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loyalty\source\PchilkaWebApp\docs\лічільники\"/>
    </mc:Choice>
  </mc:AlternateContent>
  <bookViews>
    <workbookView xWindow="0" yWindow="0" windowWidth="28800" windowHeight="12300" tabRatio="816"/>
  </bookViews>
  <sheets>
    <sheet name="Договора" sheetId="14" r:id="rId1"/>
    <sheet name="Потужнісьть" sheetId="13" r:id="rId2"/>
    <sheet name="ОПЛАТИ 2023" sheetId="5" r:id="rId3"/>
    <sheet name="ОПЛАТИ 2024-2025-2026 " sheetId="10" r:id="rId4"/>
    <sheet name="Споживання кВт" sheetId="7" r:id="rId5"/>
  </sheets>
  <definedNames>
    <definedName name="_xlnm._FilterDatabase" localSheetId="3" hidden="1">'ОПЛАТИ 2024-2025-2026 '!$A$1:$A$421</definedName>
    <definedName name="_xlnm._FilterDatabase" localSheetId="4" hidden="1">'Споживання кВт'!$A$4:$BK$50</definedName>
    <definedName name="_xlnm.Print_Area" localSheetId="0">Договора!$A$1:$C$43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V189" i="10" l="1"/>
  <c r="GV188" i="10"/>
  <c r="GV187" i="10"/>
  <c r="GT222" i="10" l="1"/>
  <c r="GT123" i="10"/>
  <c r="GV140" i="10"/>
  <c r="GV228" i="10"/>
  <c r="GV10" i="10"/>
  <c r="GU121" i="10"/>
  <c r="GV121" i="10"/>
  <c r="GV47" i="10"/>
  <c r="GV167" i="10"/>
  <c r="GV200" i="10"/>
  <c r="GV217" i="10"/>
  <c r="GV102" i="10"/>
  <c r="GV211" i="10"/>
  <c r="GV134" i="10"/>
  <c r="GV57" i="10"/>
  <c r="GV66" i="10"/>
  <c r="GV145" i="10"/>
  <c r="GT86" i="10"/>
  <c r="GQ84" i="10"/>
  <c r="GV84" i="10"/>
  <c r="GV169" i="10" l="1"/>
  <c r="GT3" i="10"/>
  <c r="GU3" i="10"/>
  <c r="GV222" i="10" l="1"/>
  <c r="GU222" i="10"/>
  <c r="GT230" i="10" l="1"/>
  <c r="GV151" i="10" l="1"/>
  <c r="GU151" i="10"/>
  <c r="GV150" i="10"/>
  <c r="GU150" i="10"/>
  <c r="GU66" i="10" l="1"/>
  <c r="GV42" i="10" l="1"/>
  <c r="GV37" i="10"/>
  <c r="GV39" i="10" l="1"/>
  <c r="GV40" i="10"/>
  <c r="GV15" i="10" l="1"/>
  <c r="GV16" i="10"/>
  <c r="GV17" i="10"/>
  <c r="GX176" i="10" l="1"/>
  <c r="GV178" i="10"/>
  <c r="GV177" i="10"/>
  <c r="GV176" i="10"/>
  <c r="GQ178" i="10" l="1"/>
  <c r="GQ176" i="10" l="1"/>
  <c r="GO19" i="10" l="1"/>
  <c r="GP66" i="10" l="1"/>
  <c r="GQ66" i="10"/>
  <c r="GQ145" i="10"/>
  <c r="GG188" i="10"/>
  <c r="GG189" i="10"/>
  <c r="GG187" i="10"/>
  <c r="GL188" i="10"/>
  <c r="GL189" i="10"/>
  <c r="GQ189" i="10"/>
  <c r="GQ188" i="10"/>
  <c r="GQ187" i="10"/>
  <c r="GL187" i="10"/>
  <c r="GQ222" i="10"/>
  <c r="GP222" i="10"/>
  <c r="GQ167" i="10" l="1"/>
  <c r="GQ200" i="10"/>
  <c r="GQ217" i="10"/>
  <c r="GQ102" i="10"/>
  <c r="GQ211" i="10"/>
  <c r="GQ134" i="10"/>
  <c r="GL134" i="10"/>
  <c r="GQ140" i="10"/>
  <c r="GQ228" i="10"/>
  <c r="GQ10" i="10"/>
  <c r="GP121" i="10"/>
  <c r="GQ121" i="10"/>
  <c r="GL121" i="10"/>
  <c r="GL47" i="10"/>
  <c r="GQ47" i="10"/>
  <c r="GO230" i="10"/>
  <c r="GQ37" i="10" l="1"/>
  <c r="GQ42" i="10"/>
  <c r="GL42" i="10"/>
  <c r="GL37" i="10"/>
  <c r="GL39" i="10"/>
  <c r="GL40" i="10"/>
  <c r="GQ39" i="10"/>
  <c r="GQ40" i="10"/>
  <c r="GQ14" i="10"/>
  <c r="GQ17" i="10"/>
  <c r="GQ16" i="10"/>
  <c r="GQ15" i="10"/>
  <c r="GS149" i="10"/>
  <c r="GQ150" i="10"/>
  <c r="GP150" i="10"/>
  <c r="GQ177" i="10"/>
  <c r="GL84" i="10"/>
  <c r="GL17" i="10" l="1"/>
  <c r="GL16" i="10"/>
  <c r="GL15" i="10"/>
  <c r="GK151" i="10"/>
  <c r="GL151" i="10"/>
  <c r="GL150" i="10"/>
  <c r="GK145" i="10"/>
  <c r="GK150" i="10"/>
  <c r="GE230" i="10" l="1"/>
  <c r="GI228" i="10"/>
  <c r="GG121" i="10" l="1"/>
  <c r="GF121" i="10"/>
  <c r="GG19" i="10"/>
  <c r="GG200" i="10"/>
  <c r="GG217" i="10"/>
  <c r="GG102" i="10"/>
  <c r="GG211" i="10"/>
  <c r="GG134" i="10"/>
  <c r="GG47" i="10"/>
  <c r="GF125" i="10"/>
  <c r="GG125" i="10"/>
  <c r="GG10" i="10"/>
  <c r="GG228" i="10"/>
  <c r="GG140" i="10"/>
  <c r="GF222" i="10" l="1"/>
  <c r="GG176" i="10"/>
  <c r="GG178" i="10"/>
  <c r="GG177" i="10"/>
  <c r="GG151" i="10"/>
  <c r="GF151" i="10"/>
  <c r="GG150" i="10"/>
  <c r="GF150" i="10"/>
  <c r="EI189" i="10" l="1"/>
  <c r="EI187" i="10"/>
  <c r="ED189" i="10"/>
  <c r="ED188" i="10"/>
  <c r="ED187" i="10"/>
  <c r="FT125" i="10"/>
  <c r="FT124" i="10"/>
  <c r="FW73" i="10" l="1"/>
  <c r="FW72" i="10"/>
  <c r="FW71" i="10"/>
  <c r="FW187" i="10" l="1"/>
  <c r="FW189" i="10"/>
  <c r="FW188" i="10"/>
  <c r="FR144" i="10"/>
  <c r="FR147" i="10"/>
  <c r="FH211" i="10"/>
  <c r="FC211" i="10"/>
  <c r="FY186" i="10" l="1"/>
  <c r="GB187" i="10"/>
  <c r="GB188" i="10"/>
  <c r="GB189" i="10"/>
  <c r="FW84" i="10" l="1"/>
  <c r="GB84" i="10"/>
  <c r="GA151" i="10" l="1"/>
  <c r="GA150" i="10"/>
  <c r="GB150" i="10"/>
  <c r="GB151" i="10"/>
  <c r="GB200" i="10"/>
  <c r="GB217" i="10"/>
  <c r="GB102" i="10"/>
  <c r="FZ102" i="10" s="1"/>
  <c r="GB211" i="10"/>
  <c r="GB134" i="10"/>
  <c r="GA140" i="10"/>
  <c r="GB140" i="10"/>
  <c r="GB10" i="10"/>
  <c r="GA121" i="10"/>
  <c r="GB121" i="10"/>
  <c r="GB47" i="10"/>
  <c r="GB57" i="10"/>
  <c r="GA66" i="10"/>
  <c r="GB66" i="10"/>
  <c r="GB145" i="10"/>
  <c r="FZ66" i="10" l="1"/>
  <c r="GB222" i="10"/>
  <c r="GD222" i="10" s="1"/>
  <c r="GA222" i="10"/>
  <c r="GB177" i="10" l="1"/>
  <c r="GB176" i="10"/>
  <c r="GB178" i="10"/>
  <c r="GB14" i="10" l="1"/>
  <c r="GB16" i="10" l="1"/>
  <c r="GB15" i="10"/>
  <c r="IA235" i="10" l="1"/>
  <c r="IM232" i="10"/>
  <c r="IH232" i="10"/>
  <c r="IC232" i="10"/>
  <c r="HX232" i="10"/>
  <c r="HU232" i="10"/>
  <c r="HS232" i="10" s="1"/>
  <c r="HN232" i="10"/>
  <c r="HI232" i="10"/>
  <c r="HD232" i="10"/>
  <c r="GY232" i="10"/>
  <c r="GT232" i="10"/>
  <c r="GO232" i="10"/>
  <c r="GJ232" i="10"/>
  <c r="HX230" i="10"/>
  <c r="HU230" i="10"/>
  <c r="HS230" i="10" s="1"/>
  <c r="HI230" i="10"/>
  <c r="HD230" i="10"/>
  <c r="GJ230" i="10"/>
  <c r="IQ228" i="10"/>
  <c r="IM228" i="10"/>
  <c r="IL228" i="10"/>
  <c r="IH228" i="10"/>
  <c r="IE228" i="10"/>
  <c r="IG227" i="10" s="1"/>
  <c r="HZ228" i="10"/>
  <c r="HU228" i="10"/>
  <c r="HP228" i="10"/>
  <c r="HK228" i="10"/>
  <c r="HM227" i="10" s="1"/>
  <c r="HF228" i="10"/>
  <c r="HA228" i="10"/>
  <c r="HC227" i="10" s="1"/>
  <c r="GS227" i="10"/>
  <c r="GN228" i="10"/>
  <c r="GJ228" i="10"/>
  <c r="IQ227" i="10"/>
  <c r="IL227" i="10"/>
  <c r="GN227" i="10"/>
  <c r="IM226" i="10"/>
  <c r="IH226" i="10"/>
  <c r="IC226" i="10"/>
  <c r="HX226" i="10"/>
  <c r="HS226" i="10"/>
  <c r="HN226" i="10"/>
  <c r="HI226" i="10"/>
  <c r="HD226" i="10"/>
  <c r="GY226" i="10"/>
  <c r="GT226" i="10"/>
  <c r="GO226" i="10"/>
  <c r="GJ226" i="10"/>
  <c r="IE223" i="10"/>
  <c r="HZ223" i="10"/>
  <c r="HK223" i="10"/>
  <c r="HM221" i="10" s="1"/>
  <c r="HF223" i="10"/>
  <c r="HA223" i="10"/>
  <c r="HC222" i="10" s="1"/>
  <c r="GQ223" i="10"/>
  <c r="IQ222" i="10"/>
  <c r="IM222" i="10"/>
  <c r="IL222" i="10"/>
  <c r="IH222" i="10"/>
  <c r="IE222" i="10"/>
  <c r="IG222" i="10" s="1"/>
  <c r="ID222" i="10"/>
  <c r="HZ222" i="10"/>
  <c r="HU222" i="10"/>
  <c r="HR222" i="10"/>
  <c r="HN222" i="10"/>
  <c r="HM222" i="10"/>
  <c r="HI222" i="10"/>
  <c r="HD222" i="10"/>
  <c r="GY222" i="10"/>
  <c r="GL222" i="10"/>
  <c r="GK222" i="10"/>
  <c r="IQ221" i="10"/>
  <c r="IL221" i="10"/>
  <c r="HR221" i="10"/>
  <c r="IO220" i="10"/>
  <c r="IM220" i="10" s="1"/>
  <c r="IJ220" i="10"/>
  <c r="IL217" i="10" s="1"/>
  <c r="IE220" i="10"/>
  <c r="IC220" i="10" s="1"/>
  <c r="HZ220" i="10"/>
  <c r="HX220" i="10" s="1"/>
  <c r="HU220" i="10"/>
  <c r="HS220" i="10" s="1"/>
  <c r="HP220" i="10"/>
  <c r="HN220" i="10" s="1"/>
  <c r="HK220" i="10"/>
  <c r="HI220" i="10" s="1"/>
  <c r="HF220" i="10"/>
  <c r="HD220" i="10" s="1"/>
  <c r="GY220" i="10"/>
  <c r="GT220" i="10"/>
  <c r="GO220" i="10"/>
  <c r="GJ220" i="10"/>
  <c r="GV219" i="10"/>
  <c r="GQ219" i="10"/>
  <c r="GO219" i="10" s="1"/>
  <c r="IQ217" i="10"/>
  <c r="IM217" i="10"/>
  <c r="IH217" i="10"/>
  <c r="IE217" i="10"/>
  <c r="HZ217" i="10"/>
  <c r="HU217" i="10"/>
  <c r="HP217" i="10"/>
  <c r="HK217" i="10"/>
  <c r="HF217" i="10"/>
  <c r="HA217" i="10"/>
  <c r="HC217" i="10" s="1"/>
  <c r="GZ217" i="10"/>
  <c r="GO217" i="10"/>
  <c r="GN217" i="10"/>
  <c r="GJ217" i="10"/>
  <c r="GQ216" i="10"/>
  <c r="GN216" i="10"/>
  <c r="IO215" i="10"/>
  <c r="IM215" i="10" s="1"/>
  <c r="IJ215" i="10"/>
  <c r="IH215" i="10" s="1"/>
  <c r="IC215" i="10"/>
  <c r="HZ215" i="10"/>
  <c r="HX215" i="10" s="1"/>
  <c r="HU215" i="10"/>
  <c r="HS215" i="10" s="1"/>
  <c r="HN215" i="10"/>
  <c r="HI215" i="10"/>
  <c r="HD215" i="10"/>
  <c r="GY215" i="10"/>
  <c r="GT215" i="10"/>
  <c r="GO215" i="10"/>
  <c r="GL215" i="10"/>
  <c r="GJ215" i="10" s="1"/>
  <c r="IM211" i="10"/>
  <c r="IH211" i="10"/>
  <c r="IF211" i="10"/>
  <c r="IE211" i="10"/>
  <c r="ID211" i="10"/>
  <c r="HZ211" i="10"/>
  <c r="IB211" i="10" s="1"/>
  <c r="HU211" i="10"/>
  <c r="HW211" i="10" s="1"/>
  <c r="HQ211" i="10"/>
  <c r="HP211" i="10"/>
  <c r="HN211" i="10" s="1"/>
  <c r="HL211" i="10"/>
  <c r="HL233" i="10" s="1"/>
  <c r="HK211" i="10"/>
  <c r="HG211" i="10"/>
  <c r="HF211" i="10"/>
  <c r="HD211" i="10" s="1"/>
  <c r="HA211" i="10"/>
  <c r="HC211" i="10" s="1"/>
  <c r="GX211" i="10"/>
  <c r="GS211" i="10"/>
  <c r="GM211" i="10"/>
  <c r="GJ211" i="10"/>
  <c r="IQ210" i="10"/>
  <c r="IM209" i="10"/>
  <c r="IH209" i="10"/>
  <c r="IC209" i="10"/>
  <c r="HX209" i="10"/>
  <c r="HS209" i="10"/>
  <c r="HN209" i="10"/>
  <c r="HI209" i="10"/>
  <c r="HD209" i="10"/>
  <c r="GY209" i="10"/>
  <c r="GT209" i="10"/>
  <c r="GO209" i="10"/>
  <c r="GJ209" i="10"/>
  <c r="IM206" i="10"/>
  <c r="IH206" i="10"/>
  <c r="IC206" i="10"/>
  <c r="HX206" i="10"/>
  <c r="HS206" i="10"/>
  <c r="HN206" i="10"/>
  <c r="HI206" i="10"/>
  <c r="HD206" i="10"/>
  <c r="GY206" i="10"/>
  <c r="GT206" i="10"/>
  <c r="GO206" i="10"/>
  <c r="GJ206" i="10"/>
  <c r="IO204" i="10"/>
  <c r="IM204" i="10" s="1"/>
  <c r="IJ204" i="10"/>
  <c r="IE204" i="10"/>
  <c r="IC204" i="10" s="1"/>
  <c r="HX204" i="10"/>
  <c r="HS204" i="10"/>
  <c r="HN204" i="10"/>
  <c r="HI204" i="10"/>
  <c r="HD204" i="10"/>
  <c r="GY204" i="10"/>
  <c r="GT204" i="10"/>
  <c r="GO204" i="10"/>
  <c r="GJ204" i="10"/>
  <c r="IO202" i="10"/>
  <c r="GL202" i="10"/>
  <c r="IO201" i="10"/>
  <c r="IQ200" i="10" s="1"/>
  <c r="HA201" i="10"/>
  <c r="GY201" i="10" s="1"/>
  <c r="GV201" i="10"/>
  <c r="GT201" i="10" s="1"/>
  <c r="IM200" i="10"/>
  <c r="IH200" i="10"/>
  <c r="IF200" i="10"/>
  <c r="IE200" i="10"/>
  <c r="IG199" i="10" s="1"/>
  <c r="HZ200" i="10"/>
  <c r="HU200" i="10"/>
  <c r="HQ200" i="10"/>
  <c r="HP200" i="10"/>
  <c r="HK200" i="10"/>
  <c r="HM199" i="10" s="1"/>
  <c r="HF200" i="10"/>
  <c r="HA200" i="10"/>
  <c r="HC199" i="10" s="1"/>
  <c r="GX199" i="10"/>
  <c r="GS199" i="10"/>
  <c r="GM200" i="10"/>
  <c r="GL200" i="10"/>
  <c r="GN200" i="10" s="1"/>
  <c r="IQ199" i="10"/>
  <c r="IL199" i="10"/>
  <c r="HR199" i="10"/>
  <c r="IO198" i="10"/>
  <c r="HX198" i="10"/>
  <c r="HU198" i="10"/>
  <c r="HW196" i="10" s="1"/>
  <c r="HP198" i="10"/>
  <c r="HN198" i="10" s="1"/>
  <c r="HK198" i="10"/>
  <c r="HJ198" i="10"/>
  <c r="HF198" i="10"/>
  <c r="GY198" i="10"/>
  <c r="GT198" i="10"/>
  <c r="GO198" i="10"/>
  <c r="GJ198" i="10"/>
  <c r="IM196" i="10"/>
  <c r="IL196" i="10"/>
  <c r="IK196" i="10"/>
  <c r="IH196" i="10"/>
  <c r="IG196" i="10"/>
  <c r="IC196" i="10"/>
  <c r="IB196" i="10"/>
  <c r="HX196" i="10"/>
  <c r="HS196" i="10"/>
  <c r="HN196" i="10"/>
  <c r="HI196" i="10"/>
  <c r="HG196" i="10"/>
  <c r="HD196" i="10"/>
  <c r="HC196" i="10"/>
  <c r="GY196" i="10"/>
  <c r="GX196" i="10"/>
  <c r="GT196" i="10"/>
  <c r="GS196" i="10"/>
  <c r="GN196" i="10"/>
  <c r="GJ196" i="10"/>
  <c r="IL195" i="10"/>
  <c r="IG195" i="10"/>
  <c r="IB195" i="10"/>
  <c r="HC195" i="10"/>
  <c r="GX195" i="10"/>
  <c r="GN195" i="10"/>
  <c r="IM194" i="10"/>
  <c r="IH194" i="10"/>
  <c r="IC194" i="10"/>
  <c r="HX194" i="10"/>
  <c r="HS194" i="10"/>
  <c r="HN194" i="10"/>
  <c r="HI194" i="10"/>
  <c r="HD194" i="10"/>
  <c r="GY194" i="10"/>
  <c r="GT194" i="10"/>
  <c r="GO194" i="10"/>
  <c r="GJ194" i="10"/>
  <c r="IM192" i="10"/>
  <c r="IH192" i="10"/>
  <c r="IC192" i="10"/>
  <c r="HX192" i="10"/>
  <c r="HS192" i="10"/>
  <c r="HN192" i="10"/>
  <c r="HI192" i="10"/>
  <c r="HD192" i="10"/>
  <c r="GY192" i="10"/>
  <c r="GT192" i="10"/>
  <c r="GO192" i="10"/>
  <c r="GJ192" i="10"/>
  <c r="IQ191" i="10"/>
  <c r="IL191" i="10"/>
  <c r="IG191" i="10"/>
  <c r="IB191" i="10"/>
  <c r="HW191" i="10"/>
  <c r="HR191" i="10"/>
  <c r="HM191" i="10"/>
  <c r="HH191" i="10"/>
  <c r="HC191" i="10"/>
  <c r="GX191" i="10"/>
  <c r="GS191" i="10"/>
  <c r="GN191" i="10"/>
  <c r="IQ190" i="10"/>
  <c r="IL190" i="10"/>
  <c r="IG190" i="10"/>
  <c r="IB190" i="10"/>
  <c r="HW190" i="10"/>
  <c r="HR190" i="10"/>
  <c r="HM190" i="10"/>
  <c r="HH190" i="10"/>
  <c r="HC190" i="10"/>
  <c r="GX190" i="10"/>
  <c r="GS190" i="10"/>
  <c r="GN190" i="10"/>
  <c r="IM189" i="10"/>
  <c r="IH189" i="10"/>
  <c r="IC189" i="10"/>
  <c r="HZ189" i="10"/>
  <c r="HX189" i="10" s="1"/>
  <c r="HU189" i="10"/>
  <c r="HS189" i="10" s="1"/>
  <c r="HP189" i="10"/>
  <c r="HN189" i="10" s="1"/>
  <c r="HK189" i="10"/>
  <c r="HI189" i="10" s="1"/>
  <c r="HF189" i="10"/>
  <c r="HD189" i="10" s="1"/>
  <c r="HA189" i="10"/>
  <c r="GY189" i="10" s="1"/>
  <c r="GT189" i="10"/>
  <c r="GO189" i="10"/>
  <c r="GJ189" i="10"/>
  <c r="HZ188" i="10"/>
  <c r="HU188" i="10"/>
  <c r="HP188" i="10"/>
  <c r="HK188" i="10"/>
  <c r="HF188" i="10"/>
  <c r="HA188" i="10"/>
  <c r="IM187" i="10"/>
  <c r="IH187" i="10"/>
  <c r="IC187" i="10"/>
  <c r="HZ187" i="10"/>
  <c r="HX187" i="10" s="1"/>
  <c r="HU187" i="10"/>
  <c r="HP187" i="10"/>
  <c r="HK187" i="10"/>
  <c r="HF187" i="10"/>
  <c r="HA187" i="10"/>
  <c r="GJ187" i="10"/>
  <c r="IQ186" i="10"/>
  <c r="IL186" i="10"/>
  <c r="IG186" i="10"/>
  <c r="GN186" i="10"/>
  <c r="IQ185" i="10"/>
  <c r="IL185" i="10"/>
  <c r="IG185" i="10"/>
  <c r="GN185" i="10"/>
  <c r="IM184" i="10"/>
  <c r="IH184" i="10"/>
  <c r="IC184" i="10"/>
  <c r="HX184" i="10"/>
  <c r="HS184" i="10"/>
  <c r="HN184" i="10"/>
  <c r="HI184" i="10"/>
  <c r="HD184" i="10"/>
  <c r="GY184" i="10"/>
  <c r="GT184" i="10"/>
  <c r="GO184" i="10"/>
  <c r="GJ184" i="10"/>
  <c r="IM182" i="10"/>
  <c r="IH182" i="10"/>
  <c r="IE182" i="10"/>
  <c r="IC182" i="10" s="1"/>
  <c r="HZ182" i="10"/>
  <c r="HX182" i="10" s="1"/>
  <c r="HV182" i="10"/>
  <c r="HU182" i="10"/>
  <c r="HS182" i="10" s="1"/>
  <c r="HQ182" i="10"/>
  <c r="HP182" i="10"/>
  <c r="HN182" i="10" s="1"/>
  <c r="HK182" i="10"/>
  <c r="HI182" i="10" s="1"/>
  <c r="HG182" i="10"/>
  <c r="HF182" i="10"/>
  <c r="HD182" i="10" s="1"/>
  <c r="HB182" i="10"/>
  <c r="HA182" i="10"/>
  <c r="GY182" i="10" s="1"/>
  <c r="GV182" i="10"/>
  <c r="GT182" i="10" s="1"/>
  <c r="GR182" i="10"/>
  <c r="GQ182" i="10"/>
  <c r="GO182" i="10" s="1"/>
  <c r="GM182" i="10"/>
  <c r="GL182" i="10"/>
  <c r="GJ182" i="10" s="1"/>
  <c r="IO178" i="10"/>
  <c r="IM178" i="10" s="1"/>
  <c r="IJ178" i="10"/>
  <c r="IH178" i="10" s="1"/>
  <c r="IE178" i="10"/>
  <c r="IC178" i="10" s="1"/>
  <c r="HX178" i="10"/>
  <c r="HU178" i="10"/>
  <c r="HS178" i="10" s="1"/>
  <c r="HP178" i="10"/>
  <c r="HN178" i="10" s="1"/>
  <c r="HK178" i="10"/>
  <c r="HI178" i="10" s="1"/>
  <c r="HF178" i="10"/>
  <c r="HD178" i="10" s="1"/>
  <c r="HA178" i="10"/>
  <c r="GY178" i="10" s="1"/>
  <c r="GT178" i="10"/>
  <c r="GO178" i="10"/>
  <c r="GL178" i="10"/>
  <c r="GJ178" i="10" s="1"/>
  <c r="IO177" i="10"/>
  <c r="IJ177" i="10"/>
  <c r="IE177" i="10"/>
  <c r="HZ177" i="10"/>
  <c r="HU177" i="10"/>
  <c r="HP177" i="10"/>
  <c r="HK177" i="10"/>
  <c r="HF177" i="10"/>
  <c r="HA177" i="10"/>
  <c r="GL177" i="10"/>
  <c r="IO176" i="10"/>
  <c r="IJ176" i="10"/>
  <c r="IE176" i="10"/>
  <c r="HZ176" i="10"/>
  <c r="HU176" i="10"/>
  <c r="HP176" i="10"/>
  <c r="HK176" i="10"/>
  <c r="HF176" i="10"/>
  <c r="HA176" i="10"/>
  <c r="GL176" i="10"/>
  <c r="HC175" i="10"/>
  <c r="IM174" i="10"/>
  <c r="IH174" i="10"/>
  <c r="IC174" i="10"/>
  <c r="HX174" i="10"/>
  <c r="HS174" i="10"/>
  <c r="HN174" i="10"/>
  <c r="HI174" i="10"/>
  <c r="HD174" i="10"/>
  <c r="GY174" i="10"/>
  <c r="GT174" i="10"/>
  <c r="GO174" i="10"/>
  <c r="GJ174" i="10"/>
  <c r="IM172" i="10"/>
  <c r="IH172" i="10"/>
  <c r="IC172" i="10"/>
  <c r="HX172" i="10"/>
  <c r="HS172" i="10"/>
  <c r="HN172" i="10"/>
  <c r="HI172" i="10"/>
  <c r="HD172" i="10"/>
  <c r="GY172" i="10"/>
  <c r="GT172" i="10"/>
  <c r="GO172" i="10"/>
  <c r="GJ172" i="10"/>
  <c r="IQ171" i="10"/>
  <c r="IL171" i="10"/>
  <c r="IG171" i="10"/>
  <c r="IB171" i="10"/>
  <c r="HW171" i="10"/>
  <c r="HR171" i="10"/>
  <c r="HM171" i="10"/>
  <c r="HH171" i="10"/>
  <c r="HC171" i="10"/>
  <c r="GX171" i="10"/>
  <c r="GS171" i="10"/>
  <c r="GN171" i="10"/>
  <c r="IQ170" i="10"/>
  <c r="IL170" i="10"/>
  <c r="IG170" i="10"/>
  <c r="IB170" i="10"/>
  <c r="HW170" i="10"/>
  <c r="HR170" i="10"/>
  <c r="HM170" i="10"/>
  <c r="HH170" i="10"/>
  <c r="HC170" i="10"/>
  <c r="GX170" i="10"/>
  <c r="GS170" i="10"/>
  <c r="GN170" i="10"/>
  <c r="IO151" i="10"/>
  <c r="IN151" i="10"/>
  <c r="IJ151" i="10"/>
  <c r="II151" i="10"/>
  <c r="IE151" i="10"/>
  <c r="ID151" i="10"/>
  <c r="HZ151" i="10"/>
  <c r="HY151" i="10"/>
  <c r="HU151" i="10"/>
  <c r="HS151" i="10" s="1"/>
  <c r="HP151" i="10"/>
  <c r="HO151" i="10"/>
  <c r="HK151" i="10"/>
  <c r="HJ151" i="10"/>
  <c r="HF151" i="10"/>
  <c r="HE151" i="10"/>
  <c r="HA151" i="10"/>
  <c r="GZ151" i="10"/>
  <c r="GQ151" i="10"/>
  <c r="GP151" i="10"/>
  <c r="IO150" i="10"/>
  <c r="IN150" i="10"/>
  <c r="IJ150" i="10"/>
  <c r="II150" i="10"/>
  <c r="IE150" i="10"/>
  <c r="ID150" i="10"/>
  <c r="HZ150" i="10"/>
  <c r="HY150" i="10"/>
  <c r="HU150" i="10"/>
  <c r="HT150" i="10"/>
  <c r="HP150" i="10"/>
  <c r="HO150" i="10"/>
  <c r="HK150" i="10"/>
  <c r="HJ150" i="10"/>
  <c r="HF150" i="10"/>
  <c r="HE150" i="10"/>
  <c r="HA150" i="10"/>
  <c r="GZ150" i="10"/>
  <c r="IO149" i="10"/>
  <c r="IJ149" i="10"/>
  <c r="IE149" i="10"/>
  <c r="HZ149" i="10"/>
  <c r="HU149" i="10"/>
  <c r="HP149" i="10"/>
  <c r="HK149" i="10"/>
  <c r="HF149" i="10"/>
  <c r="HA149" i="10"/>
  <c r="HC149" i="10" s="1"/>
  <c r="GV149" i="10"/>
  <c r="GQ149" i="10"/>
  <c r="GL149" i="10"/>
  <c r="IO147" i="10"/>
  <c r="IJ147" i="10"/>
  <c r="IH147" i="10" s="1"/>
  <c r="IE147" i="10"/>
  <c r="HZ147" i="10"/>
  <c r="HU147" i="10"/>
  <c r="HP147" i="10"/>
  <c r="HI147" i="10"/>
  <c r="HF147" i="10"/>
  <c r="HD147" i="10" s="1"/>
  <c r="HA147" i="10"/>
  <c r="GT147" i="10"/>
  <c r="GQ147" i="10"/>
  <c r="GL147" i="10"/>
  <c r="GJ147" i="10" s="1"/>
  <c r="IO145" i="10"/>
  <c r="IM145" i="10" s="1"/>
  <c r="IJ145" i="10"/>
  <c r="IH145" i="10" s="1"/>
  <c r="IE145" i="10"/>
  <c r="HZ145" i="10"/>
  <c r="HX145" i="10" s="1"/>
  <c r="HU145" i="10"/>
  <c r="HV146" i="10" s="1"/>
  <c r="HP145" i="10"/>
  <c r="HN145" i="10" s="1"/>
  <c r="HK145" i="10"/>
  <c r="HI145" i="10" s="1"/>
  <c r="HF145" i="10"/>
  <c r="GY145" i="10"/>
  <c r="GX143" i="10"/>
  <c r="GO145" i="10"/>
  <c r="GL145" i="10"/>
  <c r="IO144" i="10"/>
  <c r="IJ144" i="10"/>
  <c r="GQ144" i="10"/>
  <c r="IO142" i="10"/>
  <c r="IJ142" i="10"/>
  <c r="IH142" i="10" s="1"/>
  <c r="IE142" i="10"/>
  <c r="IC142" i="10" s="1"/>
  <c r="HZ142" i="10"/>
  <c r="HX142" i="10" s="1"/>
  <c r="HU142" i="10"/>
  <c r="HS142" i="10" s="1"/>
  <c r="HP142" i="10"/>
  <c r="HN142" i="10" s="1"/>
  <c r="HK142" i="10"/>
  <c r="HI142" i="10" s="1"/>
  <c r="HF142" i="10"/>
  <c r="HD142" i="10" s="1"/>
  <c r="HA142" i="10"/>
  <c r="GV142" i="10"/>
  <c r="GT142" i="10" s="1"/>
  <c r="GO142" i="10"/>
  <c r="GL142" i="10"/>
  <c r="GJ142" i="10" s="1"/>
  <c r="IM140" i="10"/>
  <c r="IH140" i="10"/>
  <c r="IE140" i="10"/>
  <c r="IC140" i="10" s="1"/>
  <c r="HZ140" i="10"/>
  <c r="HU140" i="10"/>
  <c r="HS140" i="10" s="1"/>
  <c r="HF140" i="10"/>
  <c r="GY140" i="10"/>
  <c r="GT140" i="10"/>
  <c r="GO140" i="10"/>
  <c r="GJ140" i="10"/>
  <c r="IO139" i="10"/>
  <c r="IQ139" i="10" s="1"/>
  <c r="IJ139" i="10"/>
  <c r="IL139" i="10" s="1"/>
  <c r="IE139" i="10"/>
  <c r="IG139" i="10" s="1"/>
  <c r="HZ139" i="10"/>
  <c r="HU139" i="10"/>
  <c r="HP139" i="10"/>
  <c r="HK139" i="10"/>
  <c r="HF139" i="10"/>
  <c r="GV139" i="10"/>
  <c r="GL137" i="10"/>
  <c r="GS136" i="10"/>
  <c r="GL136" i="10"/>
  <c r="IM135" i="10"/>
  <c r="IH135" i="10"/>
  <c r="IC135" i="10"/>
  <c r="HX135" i="10"/>
  <c r="HS135" i="10"/>
  <c r="HN135" i="10"/>
  <c r="HI135" i="10"/>
  <c r="HD135" i="10"/>
  <c r="GY135" i="10"/>
  <c r="GT135" i="10"/>
  <c r="GO135" i="10"/>
  <c r="GJ135" i="10"/>
  <c r="IM134" i="10"/>
  <c r="IH134" i="10"/>
  <c r="IE134" i="10"/>
  <c r="IC134" i="10" s="1"/>
  <c r="HZ134" i="10"/>
  <c r="HX134" i="10" s="1"/>
  <c r="HU134" i="10"/>
  <c r="HS134" i="10" s="1"/>
  <c r="HP134" i="10"/>
  <c r="HN134" i="10" s="1"/>
  <c r="HK134" i="10"/>
  <c r="HI134" i="10" s="1"/>
  <c r="HF134" i="10"/>
  <c r="HD134" i="10" s="1"/>
  <c r="HA134" i="10"/>
  <c r="GY134" i="10" s="1"/>
  <c r="GT134" i="10"/>
  <c r="GO134" i="10"/>
  <c r="GJ134" i="10"/>
  <c r="IQ133" i="10"/>
  <c r="IL133" i="10"/>
  <c r="GN133" i="10"/>
  <c r="IQ132" i="10"/>
  <c r="IL132" i="10"/>
  <c r="GN132" i="10"/>
  <c r="IM131" i="10"/>
  <c r="IH131" i="10"/>
  <c r="IC131" i="10"/>
  <c r="HX131" i="10"/>
  <c r="HS131" i="10"/>
  <c r="HN131" i="10"/>
  <c r="HI131" i="10"/>
  <c r="HD131" i="10"/>
  <c r="GY131" i="10"/>
  <c r="GT131" i="10"/>
  <c r="GO131" i="10"/>
  <c r="GJ131" i="10"/>
  <c r="IM130" i="10"/>
  <c r="IH130" i="10"/>
  <c r="IC130" i="10"/>
  <c r="HX130" i="10"/>
  <c r="HS130" i="10"/>
  <c r="HN130" i="10"/>
  <c r="HI130" i="10"/>
  <c r="HD130" i="10"/>
  <c r="GY130" i="10"/>
  <c r="GT130" i="10"/>
  <c r="GO130" i="10"/>
  <c r="GJ130" i="10"/>
  <c r="IQ129" i="10"/>
  <c r="IL129" i="10"/>
  <c r="IG129" i="10"/>
  <c r="IB129" i="10"/>
  <c r="HW129" i="10"/>
  <c r="HR129" i="10"/>
  <c r="HM129" i="10"/>
  <c r="HH129" i="10"/>
  <c r="HC129" i="10"/>
  <c r="GX129" i="10"/>
  <c r="GS129" i="10"/>
  <c r="GN129" i="10"/>
  <c r="IQ128" i="10"/>
  <c r="IL128" i="10"/>
  <c r="IG128" i="10"/>
  <c r="IB128" i="10"/>
  <c r="HW128" i="10"/>
  <c r="HR128" i="10"/>
  <c r="HM128" i="10"/>
  <c r="HH128" i="10"/>
  <c r="HC128" i="10"/>
  <c r="GX128" i="10"/>
  <c r="GS128" i="10"/>
  <c r="GN128" i="10"/>
  <c r="IM127" i="10"/>
  <c r="IH127" i="10"/>
  <c r="IC127" i="10"/>
  <c r="HX127" i="10"/>
  <c r="HS127" i="10"/>
  <c r="HN127" i="10"/>
  <c r="HI127" i="10"/>
  <c r="HD127" i="10"/>
  <c r="GY127" i="10"/>
  <c r="GT127" i="10"/>
  <c r="GO127" i="10"/>
  <c r="GJ127" i="10"/>
  <c r="IQ125" i="10"/>
  <c r="IM125" i="10"/>
  <c r="IL125" i="10"/>
  <c r="IH125" i="10"/>
  <c r="IG125" i="10"/>
  <c r="IC125" i="10"/>
  <c r="IB125" i="10"/>
  <c r="HX125" i="10"/>
  <c r="HW125" i="10"/>
  <c r="HS125" i="10"/>
  <c r="HR125" i="10"/>
  <c r="HN125" i="10"/>
  <c r="HM125" i="10"/>
  <c r="HI125" i="10"/>
  <c r="HH125" i="10"/>
  <c r="HD125" i="10"/>
  <c r="HC125" i="10"/>
  <c r="GY125" i="10"/>
  <c r="GX125" i="10"/>
  <c r="GT125" i="10"/>
  <c r="GS125" i="10"/>
  <c r="GO125" i="10"/>
  <c r="GN125" i="10"/>
  <c r="GJ125" i="10"/>
  <c r="IQ124" i="10"/>
  <c r="IL124" i="10"/>
  <c r="IG124" i="10"/>
  <c r="IB124" i="10"/>
  <c r="HW124" i="10"/>
  <c r="HR124" i="10"/>
  <c r="HM124" i="10"/>
  <c r="HH124" i="10"/>
  <c r="HC124" i="10"/>
  <c r="GX124" i="10"/>
  <c r="GS124" i="10"/>
  <c r="GN124" i="10"/>
  <c r="HN123" i="10"/>
  <c r="GJ123" i="10"/>
  <c r="IM121" i="10"/>
  <c r="IH121" i="10"/>
  <c r="IE121" i="10"/>
  <c r="ID121" i="10"/>
  <c r="HZ121" i="10"/>
  <c r="IB120" i="10" s="1"/>
  <c r="HY121" i="10"/>
  <c r="HU121" i="10"/>
  <c r="HT121" i="10"/>
  <c r="HP121" i="10"/>
  <c r="HN121" i="10" s="1"/>
  <c r="HK121" i="10"/>
  <c r="HI121" i="10" s="1"/>
  <c r="HF121" i="10"/>
  <c r="HH120" i="10" s="1"/>
  <c r="HE121" i="10"/>
  <c r="HA121" i="10"/>
  <c r="GZ121" i="10"/>
  <c r="GJ121" i="10"/>
  <c r="IQ120" i="10"/>
  <c r="IM120" i="10"/>
  <c r="IL120" i="10"/>
  <c r="IH120" i="10"/>
  <c r="IC120" i="10"/>
  <c r="HX120" i="10"/>
  <c r="HS120" i="10"/>
  <c r="HN120" i="10"/>
  <c r="HI120" i="10"/>
  <c r="HD120" i="10"/>
  <c r="GY120" i="10"/>
  <c r="GT120" i="10"/>
  <c r="GO120" i="10"/>
  <c r="GN120" i="10"/>
  <c r="GJ120" i="10"/>
  <c r="IQ119" i="10"/>
  <c r="IL119" i="10"/>
  <c r="GN119" i="10"/>
  <c r="IM118" i="10"/>
  <c r="IH118" i="10"/>
  <c r="IC118" i="10"/>
  <c r="HX118" i="10"/>
  <c r="HS118" i="10"/>
  <c r="HN118" i="10"/>
  <c r="HI118" i="10"/>
  <c r="HD118" i="10"/>
  <c r="GY118" i="10"/>
  <c r="GO118" i="10"/>
  <c r="GJ118" i="10"/>
  <c r="IQ116" i="10"/>
  <c r="IM116" i="10"/>
  <c r="IL116" i="10"/>
  <c r="IH116" i="10"/>
  <c r="IG116" i="10"/>
  <c r="IC116" i="10"/>
  <c r="IB116" i="10"/>
  <c r="HX116" i="10"/>
  <c r="HW116" i="10"/>
  <c r="HS116" i="10"/>
  <c r="HR116" i="10"/>
  <c r="HN116" i="10"/>
  <c r="HM116" i="10"/>
  <c r="HI116" i="10"/>
  <c r="HH116" i="10"/>
  <c r="HD116" i="10"/>
  <c r="HC116" i="10"/>
  <c r="GY116" i="10"/>
  <c r="GX116" i="10"/>
  <c r="GT116" i="10"/>
  <c r="GS116" i="10"/>
  <c r="GO116" i="10"/>
  <c r="GN116" i="10"/>
  <c r="GJ116" i="10"/>
  <c r="IQ115" i="10"/>
  <c r="IL115" i="10"/>
  <c r="IG115" i="10"/>
  <c r="IB115" i="10"/>
  <c r="HW115" i="10"/>
  <c r="HR115" i="10"/>
  <c r="HM115" i="10"/>
  <c r="HH115" i="10"/>
  <c r="HC115" i="10"/>
  <c r="GX115" i="10"/>
  <c r="GS115" i="10"/>
  <c r="GN115" i="10"/>
  <c r="IM108" i="10"/>
  <c r="IH108" i="10"/>
  <c r="IC108" i="10"/>
  <c r="HX108" i="10"/>
  <c r="HS108" i="10"/>
  <c r="HN108" i="10"/>
  <c r="HI108" i="10"/>
  <c r="HD108" i="10"/>
  <c r="GY108" i="10"/>
  <c r="GT108" i="10"/>
  <c r="GO108" i="10"/>
  <c r="GJ108" i="10"/>
  <c r="IQ106" i="10"/>
  <c r="IM106" i="10"/>
  <c r="IL106" i="10"/>
  <c r="IH106" i="10"/>
  <c r="IG106" i="10"/>
  <c r="IC106" i="10"/>
  <c r="IB106" i="10"/>
  <c r="HX106" i="10"/>
  <c r="HW106" i="10"/>
  <c r="HS106" i="10"/>
  <c r="HR106" i="10"/>
  <c r="HN106" i="10"/>
  <c r="HM106" i="10"/>
  <c r="HI106" i="10"/>
  <c r="HH106" i="10"/>
  <c r="HD106" i="10"/>
  <c r="HC106" i="10"/>
  <c r="GY106" i="10"/>
  <c r="GX106" i="10"/>
  <c r="GT106" i="10"/>
  <c r="GS106" i="10"/>
  <c r="GO106" i="10"/>
  <c r="GN106" i="10"/>
  <c r="GJ106" i="10"/>
  <c r="IQ105" i="10"/>
  <c r="IL105" i="10"/>
  <c r="IG105" i="10"/>
  <c r="IB105" i="10"/>
  <c r="HW105" i="10"/>
  <c r="HR105" i="10"/>
  <c r="HM105" i="10"/>
  <c r="HH105" i="10"/>
  <c r="HC105" i="10"/>
  <c r="GX105" i="10"/>
  <c r="GS105" i="10"/>
  <c r="GN105" i="10"/>
  <c r="GV103" i="10"/>
  <c r="IE102" i="10"/>
  <c r="IC102" i="10" s="1"/>
  <c r="HZ102" i="10"/>
  <c r="HX102" i="10" s="1"/>
  <c r="HU102" i="10"/>
  <c r="HS102" i="10" s="1"/>
  <c r="HP102" i="10"/>
  <c r="HN102" i="10" s="1"/>
  <c r="HK102" i="10"/>
  <c r="HI102" i="10" s="1"/>
  <c r="HF102" i="10"/>
  <c r="HD102" i="10" s="1"/>
  <c r="HA102" i="10"/>
  <c r="GY102" i="10" s="1"/>
  <c r="GO102" i="10"/>
  <c r="GN102" i="10"/>
  <c r="GN101" i="10"/>
  <c r="IM100" i="10"/>
  <c r="IH100" i="10"/>
  <c r="IC100" i="10"/>
  <c r="HX100" i="10"/>
  <c r="HS100" i="10"/>
  <c r="HN100" i="10"/>
  <c r="HI100" i="10"/>
  <c r="HD100" i="10"/>
  <c r="GY100" i="10"/>
  <c r="GT100" i="10"/>
  <c r="GO100" i="10"/>
  <c r="GJ100" i="10"/>
  <c r="IQ97" i="10"/>
  <c r="IM97" i="10"/>
  <c r="IL97" i="10"/>
  <c r="IH97" i="10"/>
  <c r="IG97" i="10"/>
  <c r="IC97" i="10"/>
  <c r="IB97" i="10"/>
  <c r="HX97" i="10"/>
  <c r="HW97" i="10"/>
  <c r="HS97" i="10"/>
  <c r="HR97" i="10"/>
  <c r="HN97" i="10"/>
  <c r="HM97" i="10"/>
  <c r="HI97" i="10"/>
  <c r="HH97" i="10"/>
  <c r="HD97" i="10"/>
  <c r="HC97" i="10"/>
  <c r="GY97" i="10"/>
  <c r="GX97" i="10"/>
  <c r="GT97" i="10"/>
  <c r="GS97" i="10"/>
  <c r="GO97" i="10"/>
  <c r="GN97" i="10"/>
  <c r="GJ97" i="10"/>
  <c r="IQ96" i="10"/>
  <c r="IL96" i="10"/>
  <c r="IG96" i="10"/>
  <c r="IB96" i="10"/>
  <c r="HW96" i="10"/>
  <c r="HR96" i="10"/>
  <c r="HM96" i="10"/>
  <c r="HH96" i="10"/>
  <c r="HC96" i="10"/>
  <c r="GX96" i="10"/>
  <c r="GS96" i="10"/>
  <c r="GN96" i="10"/>
  <c r="IO95" i="10"/>
  <c r="IM95" i="10" s="1"/>
  <c r="IJ95" i="10"/>
  <c r="IH95" i="10" s="1"/>
  <c r="IE95" i="10"/>
  <c r="IC95" i="10" s="1"/>
  <c r="HZ95" i="10"/>
  <c r="HS95" i="10"/>
  <c r="HP95" i="10"/>
  <c r="HR91" i="10" s="1"/>
  <c r="HK95" i="10"/>
  <c r="HM92" i="10" s="1"/>
  <c r="HD95" i="10"/>
  <c r="HA95" i="10"/>
  <c r="GY95" i="10" s="1"/>
  <c r="GT95" i="10"/>
  <c r="GQ95" i="10"/>
  <c r="GO95" i="10" s="1"/>
  <c r="GL95" i="10"/>
  <c r="GL94" i="10"/>
  <c r="IM93" i="10"/>
  <c r="IH93" i="10"/>
  <c r="IC93" i="10"/>
  <c r="HX93" i="10"/>
  <c r="HS93" i="10"/>
  <c r="HN93" i="10"/>
  <c r="HI93" i="10"/>
  <c r="HD93" i="10"/>
  <c r="GY93" i="10"/>
  <c r="GT93" i="10"/>
  <c r="GO93" i="10"/>
  <c r="GJ93" i="10"/>
  <c r="IL92" i="10"/>
  <c r="HW92" i="10"/>
  <c r="HH92" i="10"/>
  <c r="HA92" i="10"/>
  <c r="GX92" i="10"/>
  <c r="GL92" i="10"/>
  <c r="HW91" i="10"/>
  <c r="HH91" i="10"/>
  <c r="GX91" i="10"/>
  <c r="IM89" i="10"/>
  <c r="IH89" i="10"/>
  <c r="IC89" i="10"/>
  <c r="HX89" i="10"/>
  <c r="HS89" i="10"/>
  <c r="HN89" i="10"/>
  <c r="HI89" i="10"/>
  <c r="HD89" i="10"/>
  <c r="GY89" i="10"/>
  <c r="GT89" i="10"/>
  <c r="GO89" i="10"/>
  <c r="GJ89" i="10"/>
  <c r="IO88" i="10"/>
  <c r="IQ85" i="10" s="1"/>
  <c r="IJ88" i="10"/>
  <c r="IL86" i="10" s="1"/>
  <c r="IE88" i="10"/>
  <c r="IG86" i="10" s="1"/>
  <c r="HZ88" i="10"/>
  <c r="IB86" i="10" s="1"/>
  <c r="HU88" i="10"/>
  <c r="HW86" i="10" s="1"/>
  <c r="HP88" i="10"/>
  <c r="HR86" i="10" s="1"/>
  <c r="IQ86" i="10"/>
  <c r="IM86" i="10"/>
  <c r="IH86" i="10"/>
  <c r="IC86" i="10"/>
  <c r="HX86" i="10"/>
  <c r="HS86" i="10"/>
  <c r="HN86" i="10"/>
  <c r="HM86" i="10"/>
  <c r="HI86" i="10"/>
  <c r="HH86" i="10"/>
  <c r="HD86" i="10"/>
  <c r="HC86" i="10"/>
  <c r="GZ86" i="10"/>
  <c r="GY86" i="10" s="1"/>
  <c r="GX86" i="10"/>
  <c r="GS85" i="10"/>
  <c r="GN86" i="10"/>
  <c r="GJ86" i="10"/>
  <c r="HM85" i="10"/>
  <c r="HH85" i="10"/>
  <c r="HC85" i="10"/>
  <c r="GX85" i="10"/>
  <c r="GN85" i="10"/>
  <c r="IM84" i="10"/>
  <c r="IH84" i="10"/>
  <c r="IE84" i="10"/>
  <c r="IC84" i="10" s="1"/>
  <c r="HZ84" i="10"/>
  <c r="IB81" i="10" s="1"/>
  <c r="HS84" i="10"/>
  <c r="HP84" i="10"/>
  <c r="HR80" i="10" s="1"/>
  <c r="HK84" i="10"/>
  <c r="HD84" i="10"/>
  <c r="HA84" i="10"/>
  <c r="HC81" i="10" s="1"/>
  <c r="GT84" i="10"/>
  <c r="GO84" i="10"/>
  <c r="GJ84" i="10"/>
  <c r="IM83" i="10"/>
  <c r="IH83" i="10"/>
  <c r="IC83" i="10"/>
  <c r="HX83" i="10"/>
  <c r="HS83" i="10"/>
  <c r="HN83" i="10"/>
  <c r="HI83" i="10"/>
  <c r="HD83" i="10"/>
  <c r="GY83" i="10"/>
  <c r="GT83" i="10"/>
  <c r="GO83" i="10"/>
  <c r="GJ83" i="10"/>
  <c r="IQ81" i="10"/>
  <c r="IM81" i="10"/>
  <c r="IL81" i="10"/>
  <c r="IH81" i="10"/>
  <c r="IG81" i="10"/>
  <c r="IC81" i="10"/>
  <c r="HX81" i="10"/>
  <c r="HW81" i="10"/>
  <c r="HS81" i="10"/>
  <c r="HN81" i="10"/>
  <c r="HI81" i="10"/>
  <c r="HH81" i="10"/>
  <c r="HD81" i="10"/>
  <c r="GY81" i="10"/>
  <c r="GT81" i="10"/>
  <c r="GS81" i="10"/>
  <c r="GO81" i="10"/>
  <c r="GN81" i="10"/>
  <c r="GJ81" i="10"/>
  <c r="IQ80" i="10"/>
  <c r="IL80" i="10"/>
  <c r="HW80" i="10"/>
  <c r="HH80" i="10"/>
  <c r="GS80" i="10"/>
  <c r="GN80" i="10"/>
  <c r="IM79" i="10"/>
  <c r="IH79" i="10"/>
  <c r="IC79" i="10"/>
  <c r="HX79" i="10"/>
  <c r="HS79" i="10"/>
  <c r="HN79" i="10"/>
  <c r="HI79" i="10"/>
  <c r="HD79" i="10"/>
  <c r="GY79" i="10"/>
  <c r="GT79" i="10"/>
  <c r="GO79" i="10"/>
  <c r="GJ79" i="10"/>
  <c r="IO78" i="10"/>
  <c r="IJ78" i="10"/>
  <c r="IG78" i="10"/>
  <c r="IC78" i="10"/>
  <c r="IB78" i="10"/>
  <c r="HX78" i="10"/>
  <c r="HW78" i="10"/>
  <c r="HS78" i="10"/>
  <c r="HR78" i="10"/>
  <c r="HN78" i="10"/>
  <c r="HM78" i="10"/>
  <c r="HI78" i="10"/>
  <c r="HH78" i="10"/>
  <c r="HD78" i="10"/>
  <c r="HC78" i="10"/>
  <c r="GY78" i="10"/>
  <c r="GX78" i="10"/>
  <c r="GT78" i="10"/>
  <c r="GS78" i="10"/>
  <c r="GO78" i="10"/>
  <c r="GN78" i="10"/>
  <c r="GJ78" i="10"/>
  <c r="IG77" i="10"/>
  <c r="IB77" i="10"/>
  <c r="HW77" i="10"/>
  <c r="HR77" i="10"/>
  <c r="HM77" i="10"/>
  <c r="HH77" i="10"/>
  <c r="HC77" i="10"/>
  <c r="GX77" i="10"/>
  <c r="GS77" i="10"/>
  <c r="GN77" i="10"/>
  <c r="IN76" i="10"/>
  <c r="IM76" i="10" s="1"/>
  <c r="II76" i="10"/>
  <c r="IH76" i="10" s="1"/>
  <c r="ID76" i="10"/>
  <c r="IC76" i="10" s="1"/>
  <c r="HY76" i="10"/>
  <c r="HX76" i="10" s="1"/>
  <c r="HT76" i="10"/>
  <c r="HS76" i="10" s="1"/>
  <c r="HO76" i="10"/>
  <c r="HN76" i="10" s="1"/>
  <c r="HI76" i="10"/>
  <c r="HD76" i="10"/>
  <c r="GZ76" i="10"/>
  <c r="GY76" i="10" s="1"/>
  <c r="GU76" i="10"/>
  <c r="GT76" i="10" s="1"/>
  <c r="GO76" i="10"/>
  <c r="GJ76" i="10"/>
  <c r="IM74" i="10"/>
  <c r="IH74" i="10"/>
  <c r="IC74" i="10"/>
  <c r="HX74" i="10"/>
  <c r="HS74" i="10"/>
  <c r="HN74" i="10"/>
  <c r="HI74" i="10"/>
  <c r="HD74" i="10"/>
  <c r="HA74" i="10"/>
  <c r="GY74" i="10" s="1"/>
  <c r="GT74" i="10"/>
  <c r="GO74" i="10"/>
  <c r="GJ74" i="10"/>
  <c r="IO73" i="10"/>
  <c r="IJ73" i="10"/>
  <c r="IE73" i="10"/>
  <c r="HZ73" i="10"/>
  <c r="HU73" i="10"/>
  <c r="HP73" i="10"/>
  <c r="HK73" i="10"/>
  <c r="HF73" i="10"/>
  <c r="HA73" i="10"/>
  <c r="GV73" i="10"/>
  <c r="GQ73" i="10"/>
  <c r="GL73" i="10"/>
  <c r="IO72" i="10"/>
  <c r="IJ72" i="10"/>
  <c r="IE72" i="10"/>
  <c r="HZ72" i="10"/>
  <c r="HU72" i="10"/>
  <c r="HP72" i="10"/>
  <c r="HK72" i="10"/>
  <c r="HF72" i="10"/>
  <c r="HA72" i="10"/>
  <c r="GV72" i="10"/>
  <c r="GQ72" i="10"/>
  <c r="GL72" i="10"/>
  <c r="IO71" i="10"/>
  <c r="IJ71" i="10"/>
  <c r="IL71" i="10" s="1"/>
  <c r="IE71" i="10"/>
  <c r="HZ71" i="10"/>
  <c r="HU71" i="10"/>
  <c r="HP71" i="10"/>
  <c r="HR71" i="10" s="1"/>
  <c r="HK71" i="10"/>
  <c r="HF71" i="10"/>
  <c r="HA71" i="10"/>
  <c r="GV71" i="10"/>
  <c r="GX71" i="10" s="1"/>
  <c r="GQ71" i="10"/>
  <c r="GL71" i="10"/>
  <c r="HP68" i="10"/>
  <c r="IQ66" i="10"/>
  <c r="IL66" i="10"/>
  <c r="IE66" i="10"/>
  <c r="IG66" i="10" s="1"/>
  <c r="ID66" i="10"/>
  <c r="HZ66" i="10"/>
  <c r="IB66" i="10" s="1"/>
  <c r="HY66" i="10"/>
  <c r="HU66" i="10"/>
  <c r="HV67" i="10" s="1"/>
  <c r="HT66" i="10"/>
  <c r="HP66" i="10"/>
  <c r="HO66" i="10"/>
  <c r="HK66" i="10"/>
  <c r="HM66" i="10" s="1"/>
  <c r="HH66" i="10"/>
  <c r="HD66" i="10"/>
  <c r="HA66" i="10"/>
  <c r="HC66" i="10" s="1"/>
  <c r="GZ66" i="10"/>
  <c r="GX66" i="10"/>
  <c r="GS66" i="10"/>
  <c r="GO66" i="10"/>
  <c r="GL66" i="10"/>
  <c r="IQ65" i="10"/>
  <c r="IL65" i="10"/>
  <c r="IG65" i="10"/>
  <c r="IB65" i="10"/>
  <c r="HW65" i="10"/>
  <c r="HR65" i="10"/>
  <c r="HM65" i="10"/>
  <c r="HH65" i="10"/>
  <c r="HC65" i="10"/>
  <c r="GX65" i="10"/>
  <c r="GS65" i="10"/>
  <c r="GN65" i="10"/>
  <c r="IM64" i="10"/>
  <c r="IH64" i="10"/>
  <c r="HX64" i="10"/>
  <c r="HS64" i="10"/>
  <c r="HN64" i="10"/>
  <c r="HI64" i="10"/>
  <c r="HD64" i="10"/>
  <c r="GY64" i="10"/>
  <c r="GT64" i="10"/>
  <c r="GO64" i="10"/>
  <c r="GJ64" i="10"/>
  <c r="IM62" i="10"/>
  <c r="IH62" i="10"/>
  <c r="IC62" i="10"/>
  <c r="HX62" i="10"/>
  <c r="HS62" i="10"/>
  <c r="HN62" i="10"/>
  <c r="HI62" i="10"/>
  <c r="HD62" i="10"/>
  <c r="GY62" i="10"/>
  <c r="GT62" i="10"/>
  <c r="GS61" i="10"/>
  <c r="GJ62" i="10"/>
  <c r="IQ61" i="10"/>
  <c r="IL61" i="10"/>
  <c r="IG61" i="10"/>
  <c r="IB61" i="10"/>
  <c r="HW61" i="10"/>
  <c r="HR61" i="10"/>
  <c r="HM61" i="10"/>
  <c r="HH61" i="10"/>
  <c r="HC61" i="10"/>
  <c r="GX61" i="10"/>
  <c r="GN61" i="10"/>
  <c r="IQ60" i="10"/>
  <c r="IL60" i="10"/>
  <c r="IG60" i="10"/>
  <c r="IB60" i="10"/>
  <c r="HW60" i="10"/>
  <c r="HR60" i="10"/>
  <c r="HM60" i="10"/>
  <c r="HH60" i="10"/>
  <c r="HC60" i="10"/>
  <c r="GX60" i="10"/>
  <c r="GN60" i="10"/>
  <c r="IO59" i="10"/>
  <c r="IM59" i="10" s="1"/>
  <c r="IJ59" i="10"/>
  <c r="IH59" i="10" s="1"/>
  <c r="IE59" i="10"/>
  <c r="IC59" i="10" s="1"/>
  <c r="HZ59" i="10"/>
  <c r="HX59" i="10" s="1"/>
  <c r="HS59" i="10"/>
  <c r="HN59" i="10"/>
  <c r="HI59" i="10"/>
  <c r="HF59" i="10"/>
  <c r="HD59" i="10" s="1"/>
  <c r="HA59" i="10"/>
  <c r="GY59" i="10" s="1"/>
  <c r="GT59" i="10"/>
  <c r="GQ59" i="10"/>
  <c r="GO59" i="10" s="1"/>
  <c r="GL59" i="10"/>
  <c r="GJ59" i="10" s="1"/>
  <c r="IO58" i="10"/>
  <c r="IJ58" i="10"/>
  <c r="IE58" i="10"/>
  <c r="HF58" i="10"/>
  <c r="HA58" i="10"/>
  <c r="GQ58" i="10"/>
  <c r="IO57" i="10"/>
  <c r="IM57" i="10" s="1"/>
  <c r="IJ57" i="10"/>
  <c r="IH57" i="10" s="1"/>
  <c r="IE57" i="10"/>
  <c r="IG55" i="10" s="1"/>
  <c r="HZ57" i="10"/>
  <c r="HX57" i="10" s="1"/>
  <c r="HU57" i="10"/>
  <c r="HW55" i="10" s="1"/>
  <c r="HP57" i="10"/>
  <c r="HK57" i="10"/>
  <c r="HI57" i="10" s="1"/>
  <c r="HF57" i="10"/>
  <c r="HD57" i="10" s="1"/>
  <c r="HA57" i="10"/>
  <c r="GY57" i="10" s="1"/>
  <c r="GT57" i="10"/>
  <c r="GQ57" i="10"/>
  <c r="GJ57" i="10"/>
  <c r="IO56" i="10"/>
  <c r="IJ56" i="10"/>
  <c r="IL56" i="10" s="1"/>
  <c r="HZ56" i="10"/>
  <c r="HR56" i="10"/>
  <c r="HK56" i="10"/>
  <c r="HF56" i="10"/>
  <c r="HA56" i="10"/>
  <c r="GX56" i="10"/>
  <c r="GL56" i="10"/>
  <c r="GX55" i="10"/>
  <c r="IM54" i="10"/>
  <c r="IH54" i="10"/>
  <c r="IC54" i="10"/>
  <c r="HX54" i="10"/>
  <c r="HS54" i="10"/>
  <c r="HN54" i="10"/>
  <c r="HI54" i="10"/>
  <c r="HD54" i="10"/>
  <c r="GY54" i="10"/>
  <c r="GT54" i="10"/>
  <c r="GO54" i="10"/>
  <c r="GJ54" i="10"/>
  <c r="IQ52" i="10"/>
  <c r="IM52" i="10"/>
  <c r="IL52" i="10"/>
  <c r="IH52" i="10"/>
  <c r="IG52" i="10"/>
  <c r="IC52" i="10"/>
  <c r="IB52" i="10"/>
  <c r="HX52" i="10"/>
  <c r="HW52" i="10"/>
  <c r="HS52" i="10"/>
  <c r="HR52" i="10"/>
  <c r="HN52" i="10"/>
  <c r="HM52" i="10"/>
  <c r="HI52" i="10"/>
  <c r="HH52" i="10"/>
  <c r="HD52" i="10"/>
  <c r="HC52" i="10"/>
  <c r="GY52" i="10"/>
  <c r="GX52" i="10"/>
  <c r="GT52" i="10"/>
  <c r="GS52" i="10"/>
  <c r="GO52" i="10"/>
  <c r="GN52" i="10"/>
  <c r="GJ52" i="10"/>
  <c r="IQ51" i="10"/>
  <c r="IL51" i="10"/>
  <c r="IG51" i="10"/>
  <c r="IB51" i="10"/>
  <c r="HW51" i="10"/>
  <c r="HR51" i="10"/>
  <c r="HM51" i="10"/>
  <c r="HH51" i="10"/>
  <c r="HC51" i="10"/>
  <c r="GX51" i="10"/>
  <c r="GS51" i="10"/>
  <c r="GN51" i="10"/>
  <c r="IM50" i="10"/>
  <c r="IH50" i="10"/>
  <c r="IC50" i="10"/>
  <c r="HX50" i="10"/>
  <c r="HS50" i="10"/>
  <c r="HI50" i="10"/>
  <c r="HD50" i="10"/>
  <c r="GY50" i="10"/>
  <c r="GT50" i="10"/>
  <c r="GO50" i="10"/>
  <c r="GJ50" i="10"/>
  <c r="IM47" i="10"/>
  <c r="IH47" i="10"/>
  <c r="IE47" i="10"/>
  <c r="IC47" i="10" s="1"/>
  <c r="HZ47" i="10"/>
  <c r="HU47" i="10"/>
  <c r="HS47" i="10" s="1"/>
  <c r="HP47" i="10"/>
  <c r="HK47" i="10"/>
  <c r="HI47" i="10" s="1"/>
  <c r="HF47" i="10"/>
  <c r="HA47" i="10"/>
  <c r="GY47" i="10" s="1"/>
  <c r="IQ45" i="10"/>
  <c r="IL45" i="10"/>
  <c r="IG45" i="10"/>
  <c r="IQ44" i="10"/>
  <c r="IL44" i="10"/>
  <c r="IE43" i="10"/>
  <c r="HZ43" i="10"/>
  <c r="IO42" i="10"/>
  <c r="IJ42" i="10"/>
  <c r="IE42" i="10"/>
  <c r="HZ42" i="10"/>
  <c r="HU42" i="10"/>
  <c r="IJ41" i="10"/>
  <c r="IO40" i="10"/>
  <c r="IM40" i="10" s="1"/>
  <c r="IJ40" i="10"/>
  <c r="IE40" i="10"/>
  <c r="IC40" i="10" s="1"/>
  <c r="HZ40" i="10"/>
  <c r="HU40" i="10"/>
  <c r="HS40" i="10" s="1"/>
  <c r="HP40" i="10"/>
  <c r="HK40" i="10"/>
  <c r="HI40" i="10" s="1"/>
  <c r="HF40" i="10"/>
  <c r="HA40" i="10"/>
  <c r="GY40" i="10" s="1"/>
  <c r="GO40" i="10"/>
  <c r="IO39" i="10"/>
  <c r="IJ39" i="10"/>
  <c r="IE39" i="10"/>
  <c r="IG37" i="10" s="1"/>
  <c r="HZ39" i="10"/>
  <c r="HU39" i="10"/>
  <c r="HP39" i="10"/>
  <c r="HK39" i="10"/>
  <c r="HM37" i="10" s="1"/>
  <c r="HF39" i="10"/>
  <c r="HA39" i="10"/>
  <c r="HC36" i="10" s="1"/>
  <c r="GS37" i="10"/>
  <c r="IO38" i="10"/>
  <c r="IQ37" i="10" s="1"/>
  <c r="IJ37" i="10"/>
  <c r="IL37" i="10" s="1"/>
  <c r="HC37" i="10"/>
  <c r="IM35" i="10"/>
  <c r="IH35" i="10"/>
  <c r="IC35" i="10"/>
  <c r="HZ35" i="10"/>
  <c r="HY35" i="10"/>
  <c r="HS35" i="10"/>
  <c r="HP35" i="10"/>
  <c r="HN35" i="10" s="1"/>
  <c r="HK35" i="10"/>
  <c r="HI35" i="10" s="1"/>
  <c r="HD35" i="10"/>
  <c r="GY35" i="10"/>
  <c r="GT35" i="10"/>
  <c r="GO35" i="10"/>
  <c r="GJ35" i="10"/>
  <c r="IM33" i="10"/>
  <c r="IK33" i="10"/>
  <c r="IH33" i="10"/>
  <c r="IC33" i="10"/>
  <c r="HX33" i="10"/>
  <c r="HS33" i="10"/>
  <c r="HN33" i="10"/>
  <c r="HI33" i="10"/>
  <c r="HD33" i="10"/>
  <c r="GZ33" i="10"/>
  <c r="GY33" i="10" s="1"/>
  <c r="GT33" i="10"/>
  <c r="GO33" i="10"/>
  <c r="GJ33" i="10"/>
  <c r="HZ32" i="10"/>
  <c r="HU32" i="10"/>
  <c r="HP32" i="10"/>
  <c r="HK32" i="10"/>
  <c r="IQ31" i="10"/>
  <c r="IL31" i="10"/>
  <c r="IG31" i="10"/>
  <c r="HZ31" i="10"/>
  <c r="HU31" i="10"/>
  <c r="HP31" i="10"/>
  <c r="HK31" i="10"/>
  <c r="HH31" i="10"/>
  <c r="HC31" i="10"/>
  <c r="GX31" i="10"/>
  <c r="GS31" i="10"/>
  <c r="GN31" i="10"/>
  <c r="IQ30" i="10"/>
  <c r="IL30" i="10"/>
  <c r="IG30" i="10"/>
  <c r="HH30" i="10"/>
  <c r="HC30" i="10"/>
  <c r="GX30" i="10"/>
  <c r="GS30" i="10"/>
  <c r="GN30" i="10"/>
  <c r="IM29" i="10"/>
  <c r="IH29" i="10"/>
  <c r="IC29" i="10"/>
  <c r="HX29" i="10"/>
  <c r="HS29" i="10"/>
  <c r="HN29" i="10"/>
  <c r="HI29" i="10"/>
  <c r="HD29" i="10"/>
  <c r="GY29" i="10"/>
  <c r="GT29" i="10"/>
  <c r="GO29" i="10"/>
  <c r="GJ29" i="10"/>
  <c r="IQ27" i="10"/>
  <c r="IM27" i="10"/>
  <c r="IL27" i="10"/>
  <c r="IH27" i="10"/>
  <c r="IG27" i="10"/>
  <c r="IC27" i="10"/>
  <c r="IB27" i="10"/>
  <c r="HX27" i="10"/>
  <c r="HW27" i="10"/>
  <c r="HS27" i="10"/>
  <c r="HP27" i="10"/>
  <c r="HR27" i="10" s="1"/>
  <c r="HO27" i="10"/>
  <c r="HM27" i="10"/>
  <c r="HI27" i="10"/>
  <c r="HH27" i="10"/>
  <c r="HD27" i="10"/>
  <c r="HA27" i="10"/>
  <c r="GZ27" i="10"/>
  <c r="GX27" i="10"/>
  <c r="GT27" i="10"/>
  <c r="GS27" i="10"/>
  <c r="GO27" i="10"/>
  <c r="GN27" i="10"/>
  <c r="GJ27" i="10"/>
  <c r="IQ26" i="10"/>
  <c r="IL26" i="10"/>
  <c r="IG26" i="10"/>
  <c r="IB26" i="10"/>
  <c r="HW26" i="10"/>
  <c r="HM26" i="10"/>
  <c r="HH26" i="10"/>
  <c r="GX26" i="10"/>
  <c r="GS26" i="10"/>
  <c r="GN26" i="10"/>
  <c r="IM25" i="10"/>
  <c r="IH25" i="10"/>
  <c r="IC25" i="10"/>
  <c r="HX25" i="10"/>
  <c r="HS25" i="10"/>
  <c r="HN25" i="10"/>
  <c r="HI25" i="10"/>
  <c r="HD25" i="10"/>
  <c r="GY25" i="10"/>
  <c r="GT25" i="10"/>
  <c r="GO25" i="10"/>
  <c r="GJ25" i="10"/>
  <c r="GQ24" i="10"/>
  <c r="GS22" i="10" s="1"/>
  <c r="IO23" i="10"/>
  <c r="IL23" i="10"/>
  <c r="IH23" i="10"/>
  <c r="IG23" i="10"/>
  <c r="IC23" i="10"/>
  <c r="IB23" i="10"/>
  <c r="HX23" i="10"/>
  <c r="HW23" i="10"/>
  <c r="HS23" i="10"/>
  <c r="HR23" i="10"/>
  <c r="HN23" i="10"/>
  <c r="HM23" i="10"/>
  <c r="HI23" i="10"/>
  <c r="HH23" i="10"/>
  <c r="HD23" i="10"/>
  <c r="HC23" i="10"/>
  <c r="GY23" i="10"/>
  <c r="GX23" i="10"/>
  <c r="GT23" i="10"/>
  <c r="GO23" i="10"/>
  <c r="GN23" i="10"/>
  <c r="GJ23" i="10"/>
  <c r="IL22" i="10"/>
  <c r="IG22" i="10"/>
  <c r="IB22" i="10"/>
  <c r="HW22" i="10"/>
  <c r="HR22" i="10"/>
  <c r="HM22" i="10"/>
  <c r="HH22" i="10"/>
  <c r="HC22" i="10"/>
  <c r="GX22" i="10"/>
  <c r="GN22" i="10"/>
  <c r="IM21" i="10"/>
  <c r="IH21" i="10"/>
  <c r="IC21" i="10"/>
  <c r="HX21" i="10"/>
  <c r="HS21" i="10"/>
  <c r="HN21" i="10"/>
  <c r="HI21" i="10"/>
  <c r="HD21" i="10"/>
  <c r="GY21" i="10"/>
  <c r="GT21" i="10"/>
  <c r="GO21" i="10"/>
  <c r="GJ21" i="10"/>
  <c r="IQ19" i="10"/>
  <c r="IM19" i="10"/>
  <c r="IL19" i="10"/>
  <c r="IH19" i="10"/>
  <c r="IG19" i="10"/>
  <c r="IC19" i="10"/>
  <c r="IB19" i="10"/>
  <c r="HX19" i="10"/>
  <c r="HW19" i="10"/>
  <c r="HS19" i="10"/>
  <c r="HR19" i="10"/>
  <c r="HN19" i="10"/>
  <c r="HM19" i="10"/>
  <c r="HI19" i="10"/>
  <c r="HH19" i="10"/>
  <c r="HD19" i="10"/>
  <c r="HA19" i="10"/>
  <c r="HC19" i="10" s="1"/>
  <c r="GX19" i="10"/>
  <c r="GT19" i="10"/>
  <c r="GS19" i="10"/>
  <c r="GN19" i="10"/>
  <c r="GJ19" i="10"/>
  <c r="IQ18" i="10"/>
  <c r="IL18" i="10"/>
  <c r="IG18" i="10"/>
  <c r="IB18" i="10"/>
  <c r="HW18" i="10"/>
  <c r="HR18" i="10"/>
  <c r="HM18" i="10"/>
  <c r="HH18" i="10"/>
  <c r="GX18" i="10"/>
  <c r="GN18" i="10"/>
  <c r="IO17" i="10"/>
  <c r="IM17" i="10" s="1"/>
  <c r="IJ17" i="10"/>
  <c r="IH17" i="10" s="1"/>
  <c r="IE17" i="10"/>
  <c r="IC17" i="10" s="1"/>
  <c r="HZ17" i="10"/>
  <c r="HX17" i="10" s="1"/>
  <c r="HU17" i="10"/>
  <c r="HS17" i="10" s="1"/>
  <c r="HN17" i="10"/>
  <c r="HI17" i="10"/>
  <c r="HF17" i="10"/>
  <c r="HD17" i="10" s="1"/>
  <c r="HA17" i="10"/>
  <c r="GY17" i="10" s="1"/>
  <c r="GT17" i="10"/>
  <c r="GO17" i="10"/>
  <c r="GJ17" i="10"/>
  <c r="IO16" i="10"/>
  <c r="IJ16" i="10"/>
  <c r="HZ16" i="10"/>
  <c r="HU16" i="10"/>
  <c r="HP16" i="10"/>
  <c r="HK16" i="10"/>
  <c r="HF16" i="10"/>
  <c r="HA16" i="10"/>
  <c r="IO15" i="10"/>
  <c r="IM15" i="10" s="1"/>
  <c r="IJ15" i="10"/>
  <c r="IH15" i="10" s="1"/>
  <c r="IE15" i="10"/>
  <c r="IC15" i="10" s="1"/>
  <c r="HZ15" i="10"/>
  <c r="HX15" i="10" s="1"/>
  <c r="HU15" i="10"/>
  <c r="HS15" i="10" s="1"/>
  <c r="HP15" i="10"/>
  <c r="HN15" i="10" s="1"/>
  <c r="HK15" i="10"/>
  <c r="HI15" i="10" s="1"/>
  <c r="HF15" i="10"/>
  <c r="HD15" i="10" s="1"/>
  <c r="HA15" i="10"/>
  <c r="GY15" i="10" s="1"/>
  <c r="GT15" i="10"/>
  <c r="GO15" i="10"/>
  <c r="GJ15" i="10"/>
  <c r="IO14" i="10"/>
  <c r="IJ14" i="10"/>
  <c r="IE14" i="10"/>
  <c r="HZ14" i="10"/>
  <c r="HU14" i="10"/>
  <c r="HP14" i="10"/>
  <c r="HR14" i="10" s="1"/>
  <c r="HK14" i="10"/>
  <c r="HM14" i="10" s="1"/>
  <c r="HF14" i="10"/>
  <c r="GL14" i="10"/>
  <c r="GN14" i="10" s="1"/>
  <c r="IM12" i="10"/>
  <c r="IH12" i="10"/>
  <c r="IC12" i="10"/>
  <c r="HX12" i="10"/>
  <c r="HS12" i="10"/>
  <c r="HN12" i="10"/>
  <c r="HI12" i="10"/>
  <c r="HD12" i="10"/>
  <c r="GY12" i="10"/>
  <c r="GT12" i="10"/>
  <c r="GO12" i="10"/>
  <c r="GJ12" i="10"/>
  <c r="IM10" i="10"/>
  <c r="IH10" i="10"/>
  <c r="IE10" i="10"/>
  <c r="IC10" i="10" s="1"/>
  <c r="HZ10" i="10"/>
  <c r="HX10" i="10" s="1"/>
  <c r="HU10" i="10"/>
  <c r="HS10" i="10" s="1"/>
  <c r="HQ10" i="10"/>
  <c r="HP10" i="10"/>
  <c r="HN10" i="10" s="1"/>
  <c r="HK10" i="10"/>
  <c r="HI10" i="10" s="1"/>
  <c r="HF10" i="10"/>
  <c r="HD10" i="10" s="1"/>
  <c r="HB10" i="10"/>
  <c r="HA10" i="10"/>
  <c r="GY10" i="10" s="1"/>
  <c r="GO10" i="10"/>
  <c r="GM10" i="10"/>
  <c r="GN9" i="10" s="1"/>
  <c r="GL10" i="10"/>
  <c r="GJ10" i="10" s="1"/>
  <c r="IQ9" i="10"/>
  <c r="IL9" i="10"/>
  <c r="IB9" i="10"/>
  <c r="IQ8" i="10"/>
  <c r="IL8" i="10"/>
  <c r="IB71" i="10" l="1"/>
  <c r="IB85" i="10"/>
  <c r="IL91" i="10"/>
  <c r="GX80" i="10"/>
  <c r="HR85" i="10"/>
  <c r="IL85" i="10"/>
  <c r="HH71" i="10"/>
  <c r="IB132" i="10"/>
  <c r="GX133" i="10"/>
  <c r="GN71" i="10"/>
  <c r="HC44" i="10"/>
  <c r="GY66" i="10"/>
  <c r="HH70" i="10"/>
  <c r="HH132" i="10"/>
  <c r="HR133" i="10"/>
  <c r="HM13" i="10"/>
  <c r="IG80" i="10"/>
  <c r="GX132" i="10"/>
  <c r="HR132" i="10"/>
  <c r="HH133" i="10"/>
  <c r="IB133" i="10"/>
  <c r="IB70" i="10"/>
  <c r="GS222" i="10"/>
  <c r="GX81" i="10"/>
  <c r="HW85" i="10"/>
  <c r="IG85" i="10"/>
  <c r="HR119" i="10"/>
  <c r="HW148" i="10"/>
  <c r="HW149" i="10"/>
  <c r="IQ149" i="10"/>
  <c r="GN148" i="10"/>
  <c r="IC151" i="10"/>
  <c r="IB186" i="10"/>
  <c r="GS195" i="10"/>
  <c r="IB216" i="10"/>
  <c r="GO222" i="10"/>
  <c r="GN70" i="10"/>
  <c r="HC27" i="10"/>
  <c r="HC26" i="10"/>
  <c r="IL78" i="10"/>
  <c r="IL77" i="10"/>
  <c r="GY84" i="10"/>
  <c r="HC80" i="10"/>
  <c r="HD145" i="10"/>
  <c r="HH143" i="10"/>
  <c r="GN222" i="10"/>
  <c r="GN221" i="10"/>
  <c r="GX228" i="10"/>
  <c r="GX227" i="10"/>
  <c r="HH228" i="10"/>
  <c r="HH227" i="10"/>
  <c r="HR228" i="10"/>
  <c r="HR227" i="10"/>
  <c r="IB228" i="10"/>
  <c r="IB227" i="10"/>
  <c r="GT10" i="10"/>
  <c r="GX9" i="10"/>
  <c r="GO47" i="10"/>
  <c r="GS45" i="10"/>
  <c r="GX70" i="10"/>
  <c r="HR70" i="10"/>
  <c r="IL70" i="10"/>
  <c r="GS71" i="10"/>
  <c r="GS70" i="10"/>
  <c r="HC71" i="10"/>
  <c r="HC70" i="10"/>
  <c r="HM71" i="10"/>
  <c r="HM70" i="10"/>
  <c r="HW71" i="10"/>
  <c r="HW70" i="10"/>
  <c r="IG71" i="10"/>
  <c r="IG70" i="10"/>
  <c r="IQ71" i="10"/>
  <c r="IQ70" i="10"/>
  <c r="HX84" i="10"/>
  <c r="IB80" i="10"/>
  <c r="GS86" i="10"/>
  <c r="GO86" i="10"/>
  <c r="HC92" i="10"/>
  <c r="HC91" i="10"/>
  <c r="GJ95" i="10"/>
  <c r="GN91" i="10"/>
  <c r="HX95" i="10"/>
  <c r="IB92" i="10"/>
  <c r="IB91" i="10"/>
  <c r="GX120" i="10"/>
  <c r="GX119" i="10"/>
  <c r="HI211" i="10"/>
  <c r="HM210" i="10"/>
  <c r="HC221" i="10"/>
  <c r="HW227" i="10"/>
  <c r="GS228" i="10"/>
  <c r="GO228" i="10"/>
  <c r="HC228" i="10"/>
  <c r="GY228" i="10"/>
  <c r="HM228" i="10"/>
  <c r="HI228" i="10"/>
  <c r="HW228" i="10"/>
  <c r="HS228" i="10"/>
  <c r="IG228" i="10"/>
  <c r="IC228" i="10"/>
  <c r="HW13" i="10"/>
  <c r="GT66" i="10"/>
  <c r="HN66" i="10"/>
  <c r="HR66" i="10"/>
  <c r="GN92" i="10"/>
  <c r="HI151" i="10"/>
  <c r="HM217" i="10"/>
  <c r="HW217" i="10"/>
  <c r="IG217" i="10"/>
  <c r="GJ222" i="10"/>
  <c r="IC222" i="10"/>
  <c r="IB221" i="10"/>
  <c r="HQ233" i="10"/>
  <c r="HC13" i="10"/>
  <c r="HH14" i="10"/>
  <c r="IB14" i="10"/>
  <c r="IL14" i="10"/>
  <c r="GS13" i="10"/>
  <c r="IQ13" i="10"/>
  <c r="GS18" i="10"/>
  <c r="HC18" i="10"/>
  <c r="GY19" i="10"/>
  <c r="HR26" i="10"/>
  <c r="HW44" i="10"/>
  <c r="HM45" i="10"/>
  <c r="HH119" i="10"/>
  <c r="IB119" i="10"/>
  <c r="IC121" i="10"/>
  <c r="IB143" i="10"/>
  <c r="GJ145" i="10"/>
  <c r="HS150" i="10"/>
  <c r="GO151" i="10"/>
  <c r="GY151" i="10"/>
  <c r="HD151" i="10"/>
  <c r="HX151" i="10"/>
  <c r="HR195" i="10"/>
  <c r="HR196" i="10"/>
  <c r="GS210" i="10"/>
  <c r="IB210" i="10"/>
  <c r="GN211" i="10"/>
  <c r="HM8" i="10"/>
  <c r="GX8" i="10"/>
  <c r="IB8" i="10"/>
  <c r="HM9" i="10"/>
  <c r="HW30" i="10"/>
  <c r="HX35" i="10"/>
  <c r="GY121" i="10"/>
  <c r="HS121" i="10"/>
  <c r="HX121" i="10"/>
  <c r="GS132" i="10"/>
  <c r="HC132" i="10"/>
  <c r="HM132" i="10"/>
  <c r="HW132" i="10"/>
  <c r="IG132" i="10"/>
  <c r="GS133" i="10"/>
  <c r="HC133" i="10"/>
  <c r="HM133" i="10"/>
  <c r="HW133" i="10"/>
  <c r="IG133" i="10"/>
  <c r="GN136" i="10"/>
  <c r="IG136" i="10"/>
  <c r="GS139" i="10"/>
  <c r="GS144" i="10"/>
  <c r="HC148" i="10"/>
  <c r="HH149" i="10"/>
  <c r="GY150" i="10"/>
  <c r="HI150" i="10"/>
  <c r="HN150" i="10"/>
  <c r="GN210" i="10"/>
  <c r="HC210" i="10"/>
  <c r="HW210" i="10"/>
  <c r="GO211" i="10"/>
  <c r="GY211" i="10"/>
  <c r="HX211" i="10"/>
  <c r="GY217" i="10"/>
  <c r="GS23" i="10"/>
  <c r="HN57" i="10"/>
  <c r="HR55" i="10"/>
  <c r="HR139" i="10"/>
  <c r="HR136" i="10"/>
  <c r="GY142" i="10"/>
  <c r="HC139" i="10"/>
  <c r="IM142" i="10"/>
  <c r="IQ136" i="10"/>
  <c r="IC145" i="10"/>
  <c r="IG144" i="10"/>
  <c r="GY147" i="10"/>
  <c r="HC144" i="10"/>
  <c r="HD187" i="10"/>
  <c r="HH186" i="10"/>
  <c r="HH185" i="10"/>
  <c r="GX200" i="10"/>
  <c r="GT200" i="10"/>
  <c r="HH200" i="10"/>
  <c r="HD200" i="10"/>
  <c r="HR200" i="10"/>
  <c r="HN200" i="10"/>
  <c r="GX222" i="10"/>
  <c r="GX221" i="10"/>
  <c r="HH222" i="10"/>
  <c r="HH221" i="10"/>
  <c r="HH8" i="10"/>
  <c r="HR8" i="10"/>
  <c r="HH9" i="10"/>
  <c r="HR9" i="10"/>
  <c r="GN13" i="10"/>
  <c r="HW37" i="10"/>
  <c r="HW36" i="10"/>
  <c r="GN56" i="10"/>
  <c r="GN55" i="10"/>
  <c r="IB56" i="10"/>
  <c r="IB55" i="10"/>
  <c r="IQ56" i="10"/>
  <c r="IQ55" i="10"/>
  <c r="GO57" i="10"/>
  <c r="GS56" i="10"/>
  <c r="HS57" i="10"/>
  <c r="HW56" i="10"/>
  <c r="IC57" i="10"/>
  <c r="IG56" i="10"/>
  <c r="HC136" i="10"/>
  <c r="HM144" i="10"/>
  <c r="IQ148" i="10"/>
  <c r="GN149" i="10"/>
  <c r="GX149" i="10"/>
  <c r="HR149" i="10"/>
  <c r="HR148" i="10"/>
  <c r="IB149" i="10"/>
  <c r="IB148" i="10"/>
  <c r="IB185" i="10"/>
  <c r="HM195" i="10"/>
  <c r="HM196" i="10"/>
  <c r="HH199" i="10"/>
  <c r="IH204" i="10"/>
  <c r="IL200" i="10"/>
  <c r="GS216" i="10"/>
  <c r="HH216" i="10"/>
  <c r="GY27" i="10"/>
  <c r="HM30" i="10"/>
  <c r="GS55" i="10"/>
  <c r="HH55" i="10"/>
  <c r="IL55" i="10"/>
  <c r="HX66" i="10"/>
  <c r="GT121" i="10"/>
  <c r="HM139" i="10"/>
  <c r="HW139" i="10"/>
  <c r="IQ144" i="10"/>
  <c r="IL149" i="10"/>
  <c r="GO150" i="10"/>
  <c r="GT150" i="10"/>
  <c r="IM150" i="10"/>
  <c r="GJ151" i="10"/>
  <c r="IM151" i="10"/>
  <c r="GO196" i="10"/>
  <c r="GS176" i="10"/>
  <c r="GO176" i="10"/>
  <c r="IG176" i="10"/>
  <c r="IC176" i="10"/>
  <c r="HW222" i="10"/>
  <c r="HS222" i="10"/>
  <c r="HW221" i="10"/>
  <c r="HV235" i="10"/>
  <c r="HC176" i="10"/>
  <c r="GY176" i="10"/>
  <c r="HM176" i="10"/>
  <c r="HI176" i="10"/>
  <c r="HW176" i="10"/>
  <c r="HS176" i="10"/>
  <c r="IQ176" i="10"/>
  <c r="IM176" i="10"/>
  <c r="IQ175" i="10"/>
  <c r="IG211" i="10"/>
  <c r="IG210" i="10"/>
  <c r="GT219" i="10"/>
  <c r="GX216" i="10"/>
  <c r="GN8" i="10"/>
  <c r="IG13" i="10"/>
  <c r="GX14" i="10"/>
  <c r="HW14" i="10"/>
  <c r="IG14" i="10"/>
  <c r="IQ14" i="10"/>
  <c r="HN27" i="10"/>
  <c r="HM31" i="10"/>
  <c r="HW31" i="10"/>
  <c r="IQ36" i="10"/>
  <c r="GS60" i="10"/>
  <c r="GO62" i="10"/>
  <c r="HI66" i="10"/>
  <c r="HS66" i="10"/>
  <c r="HW66" i="10"/>
  <c r="IC66" i="10"/>
  <c r="IH78" i="10"/>
  <c r="IG91" i="10"/>
  <c r="IQ91" i="10"/>
  <c r="IG92" i="10"/>
  <c r="IQ92" i="10"/>
  <c r="HM119" i="10"/>
  <c r="HM120" i="10"/>
  <c r="HR120" i="10"/>
  <c r="HD121" i="10"/>
  <c r="HM136" i="10"/>
  <c r="HW136" i="10"/>
  <c r="IL136" i="10"/>
  <c r="GN143" i="10"/>
  <c r="HC143" i="10"/>
  <c r="HM143" i="10"/>
  <c r="GN144" i="10"/>
  <c r="HH144" i="10"/>
  <c r="HW144" i="10"/>
  <c r="HS145" i="10"/>
  <c r="GX148" i="10"/>
  <c r="HH148" i="10"/>
  <c r="IL148" i="10"/>
  <c r="IG149" i="10"/>
  <c r="GT187" i="10"/>
  <c r="GX186" i="10"/>
  <c r="GX185" i="10"/>
  <c r="HN187" i="10"/>
  <c r="HR186" i="10"/>
  <c r="HR185" i="10"/>
  <c r="HS198" i="10"/>
  <c r="HW195" i="10"/>
  <c r="IM198" i="10"/>
  <c r="IQ196" i="10"/>
  <c r="IQ195" i="10"/>
  <c r="HW200" i="10"/>
  <c r="HS200" i="10"/>
  <c r="HW199" i="10"/>
  <c r="IG200" i="10"/>
  <c r="IC200" i="10"/>
  <c r="IQ216" i="10"/>
  <c r="HH217" i="10"/>
  <c r="HD217" i="10"/>
  <c r="HR217" i="10"/>
  <c r="HN217" i="10"/>
  <c r="HR216" i="10"/>
  <c r="IB217" i="10"/>
  <c r="HX217" i="10"/>
  <c r="IH220" i="10"/>
  <c r="IL216" i="10"/>
  <c r="IB222" i="10"/>
  <c r="GJ150" i="10"/>
  <c r="HD150" i="10"/>
  <c r="HM149" i="10"/>
  <c r="HX150" i="10"/>
  <c r="IH150" i="10"/>
  <c r="GT151" i="10"/>
  <c r="HN151" i="10"/>
  <c r="IH151" i="10"/>
  <c r="GS175" i="10"/>
  <c r="HM175" i="10"/>
  <c r="HW175" i="10"/>
  <c r="IG175" i="10"/>
  <c r="HI198" i="10"/>
  <c r="IC211" i="10"/>
  <c r="GX217" i="10"/>
  <c r="IQ23" i="10"/>
  <c r="IM23" i="10"/>
  <c r="HR31" i="10"/>
  <c r="HR30" i="10"/>
  <c r="IB31" i="10"/>
  <c r="IB30" i="10"/>
  <c r="HM56" i="10"/>
  <c r="HM55" i="10"/>
  <c r="IQ78" i="10"/>
  <c r="IM78" i="10"/>
  <c r="IQ77" i="10"/>
  <c r="HI95" i="10"/>
  <c r="HM91" i="10"/>
  <c r="HC120" i="10"/>
  <c r="HC119" i="10"/>
  <c r="IG120" i="10"/>
  <c r="IG119" i="10"/>
  <c r="GX139" i="10"/>
  <c r="GX136" i="10"/>
  <c r="HD140" i="10"/>
  <c r="HH136" i="10"/>
  <c r="HX140" i="10"/>
  <c r="IB136" i="10"/>
  <c r="HN147" i="10"/>
  <c r="HR144" i="10"/>
  <c r="IC150" i="10"/>
  <c r="GY187" i="10"/>
  <c r="HC186" i="10"/>
  <c r="HC185" i="10"/>
  <c r="HI187" i="10"/>
  <c r="HM186" i="10"/>
  <c r="HM185" i="10"/>
  <c r="GS8" i="10"/>
  <c r="HC8" i="10"/>
  <c r="HW8" i="10"/>
  <c r="IG8" i="10"/>
  <c r="GS9" i="10"/>
  <c r="HC9" i="10"/>
  <c r="HW9" i="10"/>
  <c r="IG9" i="10"/>
  <c r="GX13" i="10"/>
  <c r="HH13" i="10"/>
  <c r="HR13" i="10"/>
  <c r="IB13" i="10"/>
  <c r="IL13" i="10"/>
  <c r="GS14" i="10"/>
  <c r="HC14" i="10"/>
  <c r="IQ22" i="10"/>
  <c r="GS36" i="10"/>
  <c r="HM36" i="10"/>
  <c r="IG36" i="10"/>
  <c r="GJ40" i="10"/>
  <c r="GN37" i="10"/>
  <c r="GN36" i="10"/>
  <c r="GT40" i="10"/>
  <c r="GX37" i="10"/>
  <c r="GX36" i="10"/>
  <c r="HD40" i="10"/>
  <c r="HH37" i="10"/>
  <c r="HH36" i="10"/>
  <c r="HN40" i="10"/>
  <c r="HR37" i="10"/>
  <c r="HR36" i="10"/>
  <c r="HX40" i="10"/>
  <c r="IB37" i="10"/>
  <c r="IB36" i="10"/>
  <c r="IH40" i="10"/>
  <c r="IL36" i="10"/>
  <c r="GS44" i="10"/>
  <c r="HM44" i="10"/>
  <c r="IG44" i="10"/>
  <c r="HC45" i="10"/>
  <c r="HW45" i="10"/>
  <c r="GJ47" i="10"/>
  <c r="GN45" i="10"/>
  <c r="GN44" i="10"/>
  <c r="GT47" i="10"/>
  <c r="GX45" i="10"/>
  <c r="GX44" i="10"/>
  <c r="HD47" i="10"/>
  <c r="HH45" i="10"/>
  <c r="HH44" i="10"/>
  <c r="HN47" i="10"/>
  <c r="HR45" i="10"/>
  <c r="HR44" i="10"/>
  <c r="HX47" i="10"/>
  <c r="IB45" i="10"/>
  <c r="IB44" i="10"/>
  <c r="HH56" i="10"/>
  <c r="HI84" i="10"/>
  <c r="HM81" i="10"/>
  <c r="HM80" i="10"/>
  <c r="GS92" i="10"/>
  <c r="GS91" i="10"/>
  <c r="HN95" i="10"/>
  <c r="HR92" i="10"/>
  <c r="GO121" i="10"/>
  <c r="GS120" i="10"/>
  <c r="GS119" i="10"/>
  <c r="HW120" i="10"/>
  <c r="HW119" i="10"/>
  <c r="HH139" i="10"/>
  <c r="IB139" i="10"/>
  <c r="HR143" i="10"/>
  <c r="IL143" i="10"/>
  <c r="IL144" i="10"/>
  <c r="GT145" i="10"/>
  <c r="GX144" i="10"/>
  <c r="GO147" i="10"/>
  <c r="GS143" i="10"/>
  <c r="HS147" i="10"/>
  <c r="HW143" i="10"/>
  <c r="IC147" i="10"/>
  <c r="IG143" i="10"/>
  <c r="IM147" i="10"/>
  <c r="IQ143" i="10"/>
  <c r="GS148" i="10"/>
  <c r="HM148" i="10"/>
  <c r="IG148" i="10"/>
  <c r="HC56" i="10"/>
  <c r="HC55" i="10"/>
  <c r="GN66" i="10"/>
  <c r="GJ66" i="10"/>
  <c r="HN84" i="10"/>
  <c r="HR81" i="10"/>
  <c r="GN139" i="10"/>
  <c r="HX147" i="10"/>
  <c r="IB144" i="10"/>
  <c r="GO187" i="10"/>
  <c r="GS186" i="10"/>
  <c r="GS185" i="10"/>
  <c r="HS187" i="10"/>
  <c r="HW186" i="10"/>
  <c r="HW185" i="10"/>
  <c r="GJ200" i="10"/>
  <c r="GN199" i="10"/>
  <c r="IB200" i="10"/>
  <c r="HX200" i="10"/>
  <c r="IB199" i="10"/>
  <c r="GN176" i="10"/>
  <c r="GJ176" i="10"/>
  <c r="GN175" i="10"/>
  <c r="GT176" i="10"/>
  <c r="GX175" i="10"/>
  <c r="HH176" i="10"/>
  <c r="HD176" i="10"/>
  <c r="HH175" i="10"/>
  <c r="HR176" i="10"/>
  <c r="HN176" i="10"/>
  <c r="HR175" i="10"/>
  <c r="IB176" i="10"/>
  <c r="HX176" i="10"/>
  <c r="IB175" i="10"/>
  <c r="IL176" i="10"/>
  <c r="IH176" i="10"/>
  <c r="IL175" i="10"/>
  <c r="HD198" i="10"/>
  <c r="HH196" i="10"/>
  <c r="HH195" i="10"/>
  <c r="GS200" i="10"/>
  <c r="GO200" i="10"/>
  <c r="HC200" i="10"/>
  <c r="GY200" i="10"/>
  <c r="HM200" i="10"/>
  <c r="HI200" i="10"/>
  <c r="HH211" i="10"/>
  <c r="HM211" i="10"/>
  <c r="HR211" i="10"/>
  <c r="GS217" i="10"/>
  <c r="GX210" i="10"/>
  <c r="HH210" i="10"/>
  <c r="HR210" i="10"/>
  <c r="IL210" i="10"/>
  <c r="GT211" i="10"/>
  <c r="HS211" i="10"/>
  <c r="IL211" i="10"/>
  <c r="IQ211" i="10"/>
  <c r="HC216" i="10"/>
  <c r="HM216" i="10"/>
  <c r="HW216" i="10"/>
  <c r="IG216" i="10"/>
  <c r="GT217" i="10"/>
  <c r="HI217" i="10"/>
  <c r="HS217" i="10"/>
  <c r="IC217" i="10"/>
  <c r="GS221" i="10"/>
  <c r="IG221" i="10"/>
  <c r="HX222" i="10"/>
  <c r="GT228" i="10"/>
  <c r="HD228" i="10"/>
  <c r="HN228" i="10"/>
  <c r="HX228" i="10"/>
  <c r="FW134" i="10"/>
  <c r="GS233" i="10" l="1"/>
  <c r="IL234" i="10"/>
  <c r="HR233" i="10"/>
  <c r="GX233" i="10"/>
  <c r="HR234" i="10"/>
  <c r="HH234" i="10"/>
  <c r="GN234" i="10"/>
  <c r="HW233" i="10"/>
  <c r="HW234" i="10"/>
  <c r="GX234" i="10"/>
  <c r="IB234" i="10"/>
  <c r="IG234" i="10"/>
  <c r="IQ233" i="10"/>
  <c r="HC233" i="10"/>
  <c r="HC234" i="10"/>
  <c r="GS234" i="10"/>
  <c r="IG233" i="10"/>
  <c r="IQ234" i="10"/>
  <c r="IL233" i="10"/>
  <c r="HH233" i="10"/>
  <c r="HM234" i="10"/>
  <c r="HM233" i="10"/>
  <c r="IB233" i="10"/>
  <c r="GN233" i="10"/>
  <c r="FW200" i="10"/>
  <c r="FW217" i="10"/>
  <c r="FW102" i="10"/>
  <c r="FV211" i="10"/>
  <c r="FW211" i="10"/>
  <c r="FW47" i="10"/>
  <c r="FW121" i="10"/>
  <c r="FV121" i="10"/>
  <c r="FW10" i="10"/>
  <c r="FW228" i="10"/>
  <c r="FW140" i="10"/>
  <c r="FW57" i="10"/>
  <c r="FW66" i="10"/>
  <c r="FV66" i="10"/>
  <c r="FU66" i="10" l="1"/>
  <c r="FW145" i="10"/>
  <c r="FW222" i="10"/>
  <c r="FV222" i="10" l="1"/>
  <c r="FW17" i="10" l="1"/>
  <c r="FW15" i="10"/>
  <c r="FW59" i="10"/>
  <c r="FP23" i="10"/>
  <c r="FW177" i="10"/>
  <c r="FW176" i="10"/>
  <c r="FW178" i="10"/>
  <c r="FR187" i="10" l="1"/>
  <c r="FR188" i="10"/>
  <c r="FR189" i="10"/>
  <c r="FR43" i="10" l="1"/>
  <c r="FR42" i="10"/>
  <c r="FR40" i="10"/>
  <c r="FR39" i="10"/>
  <c r="FR142" i="10"/>
  <c r="FR139" i="10"/>
  <c r="FR84" i="10" l="1"/>
  <c r="FR56" i="10"/>
  <c r="FR59" i="10"/>
  <c r="FQ35" i="10"/>
  <c r="FR35" i="10"/>
  <c r="FR32" i="10"/>
  <c r="FR31" i="10"/>
  <c r="FR150" i="10" l="1"/>
  <c r="FR151" i="10"/>
  <c r="FQ151" i="10"/>
  <c r="FQ150" i="10"/>
  <c r="FR222" i="10"/>
  <c r="FR200" i="10" l="1"/>
  <c r="FR102" i="10"/>
  <c r="FR217" i="10"/>
  <c r="FR211" i="10"/>
  <c r="FR134" i="10"/>
  <c r="FR140" i="10"/>
  <c r="FR228" i="10"/>
  <c r="FQ121" i="10"/>
  <c r="FR121" i="10"/>
  <c r="FR47" i="10"/>
  <c r="FR10" i="10"/>
  <c r="FR145" i="10" l="1"/>
  <c r="FQ66" i="10"/>
  <c r="FR66" i="10"/>
  <c r="FR57" i="10"/>
  <c r="FR17" i="10" l="1"/>
  <c r="FR16" i="10"/>
  <c r="FR14" i="10"/>
  <c r="FR15" i="10"/>
  <c r="FM176" i="10"/>
  <c r="FM177" i="10"/>
  <c r="FM178" i="10"/>
  <c r="FR177" i="10"/>
  <c r="FR176" i="10"/>
  <c r="FS235" i="10" l="1"/>
  <c r="FM189" i="10" l="1"/>
  <c r="FM188" i="10"/>
  <c r="FM187" i="10"/>
  <c r="FH189" i="10"/>
  <c r="FH188" i="10"/>
  <c r="FH187" i="10"/>
  <c r="FM222" i="10" l="1"/>
  <c r="FM200" i="10" l="1"/>
  <c r="FM217" i="10"/>
  <c r="FM102" i="10"/>
  <c r="FM211" i="10"/>
  <c r="FM134" i="10"/>
  <c r="FM140" i="10"/>
  <c r="FM228" i="10"/>
  <c r="FM10" i="10"/>
  <c r="FL121" i="10"/>
  <c r="FM121" i="10"/>
  <c r="FM47" i="10"/>
  <c r="FM32" i="10"/>
  <c r="FM31" i="10"/>
  <c r="FL150" i="10" l="1"/>
  <c r="FM150" i="10"/>
  <c r="FM151" i="10"/>
  <c r="FF131" i="10" l="1"/>
  <c r="FM66" i="10" l="1"/>
  <c r="FN67" i="10" s="1"/>
  <c r="FL66" i="10"/>
  <c r="FM57" i="10"/>
  <c r="FM145" i="10"/>
  <c r="FN146" i="10" s="1"/>
  <c r="FM14" i="10" l="1"/>
  <c r="FM17" i="10"/>
  <c r="FM16" i="10"/>
  <c r="FM15" i="10"/>
  <c r="FM232" i="10"/>
  <c r="FM230" i="10"/>
  <c r="FK230" i="10" s="1"/>
  <c r="FM39" i="10" l="1"/>
  <c r="FM40" i="10"/>
  <c r="FH39" i="10" l="1"/>
  <c r="FH40" i="10"/>
  <c r="FC142" i="10"/>
  <c r="FC139" i="10"/>
  <c r="FH139" i="10"/>
  <c r="FH142" i="10"/>
  <c r="FH57" i="10"/>
  <c r="FH66" i="10"/>
  <c r="FG66" i="10"/>
  <c r="FH145" i="10"/>
  <c r="FJ139" i="10" l="1"/>
  <c r="FG151" i="10"/>
  <c r="FG150" i="10"/>
  <c r="FH151" i="10"/>
  <c r="FH150" i="10"/>
  <c r="FH27" i="10" l="1"/>
  <c r="FG27" i="10"/>
  <c r="FH16" i="10" l="1"/>
  <c r="FH15" i="10"/>
  <c r="FH176" i="10" l="1"/>
  <c r="FH177" i="10"/>
  <c r="FH178" i="10"/>
  <c r="FC84" i="10"/>
  <c r="FH84" i="10"/>
  <c r="FC35" i="10" l="1"/>
  <c r="FH35" i="10"/>
  <c r="FH32" i="10"/>
  <c r="FH31" i="10"/>
  <c r="FC31" i="10"/>
  <c r="FC32" i="10"/>
  <c r="FC189" i="10" l="1"/>
  <c r="FC188" i="10"/>
  <c r="FC187" i="10"/>
  <c r="FC134" i="10" l="1"/>
  <c r="FC10" i="10" l="1"/>
  <c r="FA10" i="10" s="1"/>
  <c r="FA230" i="10" l="1"/>
  <c r="FC150" i="10" l="1"/>
  <c r="FC151" i="10"/>
  <c r="FB151" i="10"/>
  <c r="FB150" i="10"/>
  <c r="FC66" i="10" l="1"/>
  <c r="FC57" i="10"/>
  <c r="FC145" i="10"/>
  <c r="FC176" i="10"/>
  <c r="FC177" i="10"/>
  <c r="FC178" i="10"/>
  <c r="FC39" i="10"/>
  <c r="FC40" i="10"/>
  <c r="FC16" i="10" l="1"/>
  <c r="FC15" i="10"/>
  <c r="ER27" i="10" l="1"/>
  <c r="ES27" i="10"/>
  <c r="EX189" i="10" l="1"/>
  <c r="EX188" i="10"/>
  <c r="EX187" i="10"/>
  <c r="EZ186" i="10" l="1"/>
  <c r="EX200" i="10" l="1"/>
  <c r="EX217" i="10"/>
  <c r="EX102" i="10"/>
  <c r="EV102" i="10" s="1"/>
  <c r="EX211" i="10"/>
  <c r="EX134" i="10"/>
  <c r="EX140" i="10"/>
  <c r="EX228" i="10"/>
  <c r="EX10" i="10"/>
  <c r="EW121" i="10"/>
  <c r="EX121" i="10"/>
  <c r="EX182" i="10"/>
  <c r="EX47" i="10"/>
  <c r="EI40" i="10" l="1"/>
  <c r="EI39" i="10"/>
  <c r="EN39" i="10"/>
  <c r="EN40" i="10"/>
  <c r="ES39" i="10"/>
  <c r="EX39" i="10"/>
  <c r="EX40" i="10"/>
  <c r="ES189" i="10" l="1"/>
  <c r="ES188" i="10"/>
  <c r="ES187" i="10"/>
  <c r="EN176" i="10"/>
  <c r="EN177" i="10"/>
  <c r="EN178" i="10"/>
  <c r="ES176" i="10"/>
  <c r="ES177" i="10"/>
  <c r="ES178" i="10"/>
  <c r="EX176" i="10"/>
  <c r="EX177" i="10"/>
  <c r="EX178" i="10"/>
  <c r="EX151" i="10" l="1"/>
  <c r="EW151" i="10"/>
  <c r="EW150" i="10"/>
  <c r="EX150" i="10"/>
  <c r="ER151" i="10"/>
  <c r="ER150" i="10"/>
  <c r="ES151" i="10"/>
  <c r="ES150" i="10"/>
  <c r="EM151" i="10"/>
  <c r="EN151" i="10"/>
  <c r="EM150" i="10"/>
  <c r="EN150" i="10"/>
  <c r="EH151" i="10"/>
  <c r="EI151" i="10"/>
  <c r="EI150" i="10"/>
  <c r="EH150" i="10"/>
  <c r="EX14" i="10" l="1"/>
  <c r="EX17" i="10"/>
  <c r="EX16" i="10"/>
  <c r="EX15" i="10"/>
  <c r="ES17" i="10"/>
  <c r="ES16" i="10"/>
  <c r="ES15" i="10"/>
  <c r="GG59" i="10" l="1"/>
  <c r="GE59" i="10" s="1"/>
  <c r="GB59" i="10"/>
  <c r="FZ59" i="10" s="1"/>
  <c r="FU59" i="10"/>
  <c r="FP59" i="10"/>
  <c r="FK59" i="10"/>
  <c r="FF59" i="10"/>
  <c r="FA59" i="10"/>
  <c r="EX59" i="10"/>
  <c r="EV59" i="10" s="1"/>
  <c r="ES59" i="10"/>
  <c r="EQ59" i="10" s="1"/>
  <c r="EL59" i="10"/>
  <c r="EI59" i="10"/>
  <c r="EG59" i="10" s="1"/>
  <c r="ED59" i="10"/>
  <c r="EB59" i="10" s="1"/>
  <c r="DY59" i="10"/>
  <c r="DW59" i="10" s="1"/>
  <c r="DR59" i="10"/>
  <c r="DM59" i="10"/>
  <c r="DJ59" i="10"/>
  <c r="DH59" i="10" s="1"/>
  <c r="DE59" i="10"/>
  <c r="DC59" i="10" s="1"/>
  <c r="CX59" i="10"/>
  <c r="CS59" i="10"/>
  <c r="CP59" i="10"/>
  <c r="CN59" i="10" s="1"/>
  <c r="CK59" i="10"/>
  <c r="CI59" i="10" s="1"/>
  <c r="CD59" i="10"/>
  <c r="CA59" i="10"/>
  <c r="BY59" i="10" s="1"/>
  <c r="BV59" i="10"/>
  <c r="BT59" i="10" s="1"/>
  <c r="BQ59" i="10"/>
  <c r="BO59" i="10" s="1"/>
  <c r="BL59" i="10"/>
  <c r="BJ59" i="10" s="1"/>
  <c r="BG59" i="10"/>
  <c r="BE59" i="10" s="1"/>
  <c r="BB59" i="10"/>
  <c r="AZ59" i="10" s="1"/>
  <c r="AW59" i="10"/>
  <c r="AU59" i="10" s="1"/>
  <c r="AR59" i="10"/>
  <c r="AP59" i="10" s="1"/>
  <c r="AM59" i="10"/>
  <c r="AK59" i="10" s="1"/>
  <c r="AH59" i="10"/>
  <c r="AF59" i="10" s="1"/>
  <c r="AC59" i="10"/>
  <c r="AA59" i="10" s="1"/>
  <c r="X59" i="10"/>
  <c r="V59" i="10" s="1"/>
  <c r="S59" i="10"/>
  <c r="Q59" i="10" s="1"/>
  <c r="L59" i="10"/>
  <c r="I59" i="10"/>
  <c r="G59" i="10" s="1"/>
  <c r="GG58" i="10"/>
  <c r="GB58" i="10"/>
  <c r="FW58" i="10"/>
  <c r="EX58" i="10"/>
  <c r="ES58" i="10"/>
  <c r="EI58" i="10"/>
  <c r="DY58" i="10"/>
  <c r="DT58" i="10"/>
  <c r="DO58" i="10"/>
  <c r="DJ58" i="10"/>
  <c r="DE58" i="10"/>
  <c r="CP58" i="10"/>
  <c r="CK58" i="10"/>
  <c r="CF58" i="10"/>
  <c r="CA58" i="10"/>
  <c r="BV58" i="10"/>
  <c r="BQ58" i="10"/>
  <c r="BG58" i="10"/>
  <c r="BB58" i="10"/>
  <c r="AW58" i="10"/>
  <c r="AR58" i="10"/>
  <c r="AM58" i="10"/>
  <c r="AH58" i="10"/>
  <c r="AC58" i="10"/>
  <c r="X58" i="10"/>
  <c r="S58" i="10"/>
  <c r="N58" i="10"/>
  <c r="I58" i="10"/>
  <c r="GG57" i="10"/>
  <c r="GE57" i="10" s="1"/>
  <c r="FZ57" i="10"/>
  <c r="FU57" i="10"/>
  <c r="FP57" i="10"/>
  <c r="FK57" i="10"/>
  <c r="FF57" i="10"/>
  <c r="FA57" i="10"/>
  <c r="EX57" i="10"/>
  <c r="EV57" i="10" s="1"/>
  <c r="ES57" i="10"/>
  <c r="EQ57" i="10" s="1"/>
  <c r="EN57" i="10"/>
  <c r="EL57" i="10" s="1"/>
  <c r="EI57" i="10"/>
  <c r="EG57" i="10" s="1"/>
  <c r="EB57" i="10"/>
  <c r="DY57" i="10"/>
  <c r="DW57" i="10" s="1"/>
  <c r="DT57" i="10"/>
  <c r="DR57" i="10" s="1"/>
  <c r="DO57" i="10"/>
  <c r="DM57" i="10" s="1"/>
  <c r="DJ57" i="10"/>
  <c r="DH57" i="10" s="1"/>
  <c r="DE57" i="10"/>
  <c r="DC57" i="10" s="1"/>
  <c r="CX57" i="10"/>
  <c r="CU57" i="10"/>
  <c r="CS57" i="10" s="1"/>
  <c r="CP57" i="10"/>
  <c r="CN57" i="10" s="1"/>
  <c r="CK57" i="10"/>
  <c r="CI57" i="10" s="1"/>
  <c r="CF57" i="10"/>
  <c r="CD57" i="10" s="1"/>
  <c r="CA57" i="10"/>
  <c r="BY57" i="10" s="1"/>
  <c r="BT57" i="10"/>
  <c r="BQ57" i="10"/>
  <c r="BO57" i="10" s="1"/>
  <c r="BL57" i="10"/>
  <c r="BJ57" i="10" s="1"/>
  <c r="BG57" i="10"/>
  <c r="BE57" i="10" s="1"/>
  <c r="BB57" i="10"/>
  <c r="AZ57" i="10" s="1"/>
  <c r="AW57" i="10"/>
  <c r="AU57" i="10" s="1"/>
  <c r="AR57" i="10"/>
  <c r="AP57" i="10" s="1"/>
  <c r="AM57" i="10"/>
  <c r="AK57" i="10" s="1"/>
  <c r="AH57" i="10"/>
  <c r="AF57" i="10" s="1"/>
  <c r="AC57" i="10"/>
  <c r="AA57" i="10" s="1"/>
  <c r="X57" i="10"/>
  <c r="V57" i="10" s="1"/>
  <c r="S57" i="10"/>
  <c r="Q57" i="10" s="1"/>
  <c r="N57" i="10"/>
  <c r="L57" i="10" s="1"/>
  <c r="I57" i="10"/>
  <c r="G57" i="10" s="1"/>
  <c r="GG56" i="10"/>
  <c r="GB56" i="10"/>
  <c r="FJ56" i="10"/>
  <c r="FC56" i="10"/>
  <c r="EX56" i="10"/>
  <c r="ES56" i="10"/>
  <c r="ED56" i="10"/>
  <c r="DY56" i="10"/>
  <c r="DT56" i="10"/>
  <c r="DO56" i="10"/>
  <c r="DJ56" i="10"/>
  <c r="DE56" i="10"/>
  <c r="CZ56" i="10"/>
  <c r="DB56" i="10" s="1"/>
  <c r="CU56" i="10"/>
  <c r="CP56" i="10"/>
  <c r="CK56" i="10"/>
  <c r="BQ56" i="10"/>
  <c r="BL56" i="10"/>
  <c r="BG56" i="10"/>
  <c r="BB56" i="10"/>
  <c r="AW56" i="10"/>
  <c r="AR56" i="10"/>
  <c r="AM56" i="10"/>
  <c r="AH56" i="10"/>
  <c r="AC56" i="10"/>
  <c r="X56" i="10"/>
  <c r="S56" i="10"/>
  <c r="N56" i="10"/>
  <c r="I56" i="10"/>
  <c r="EF56" i="10" l="1"/>
  <c r="EP55" i="10"/>
  <c r="BX55" i="10"/>
  <c r="GD55" i="10"/>
  <c r="Z56" i="10"/>
  <c r="AJ56" i="10"/>
  <c r="AJ55" i="10" s="1"/>
  <c r="AT56" i="10"/>
  <c r="BD56" i="10"/>
  <c r="BN56" i="10"/>
  <c r="CC56" i="10"/>
  <c r="CR56" i="10"/>
  <c r="DL56" i="10"/>
  <c r="DV56" i="10"/>
  <c r="AT55" i="10"/>
  <c r="DB55" i="10"/>
  <c r="FJ55" i="10"/>
  <c r="AE56" i="10"/>
  <c r="AO56" i="10"/>
  <c r="AO55" i="10" s="1"/>
  <c r="AY56" i="10"/>
  <c r="BI56" i="10"/>
  <c r="EU56" i="10"/>
  <c r="FE56" i="10"/>
  <c r="FO56" i="10"/>
  <c r="FY56" i="10"/>
  <c r="GI56" i="10"/>
  <c r="Z55" i="10"/>
  <c r="BN55" i="10"/>
  <c r="CH55" i="10"/>
  <c r="DV55" i="10"/>
  <c r="BS56" i="10"/>
  <c r="EK56" i="10"/>
  <c r="BX56" i="10"/>
  <c r="BD55" i="10"/>
  <c r="CR55" i="10"/>
  <c r="DL55" i="10"/>
  <c r="EF55" i="10"/>
  <c r="EZ55" i="10"/>
  <c r="FT55" i="10"/>
  <c r="CM56" i="10"/>
  <c r="CW56" i="10"/>
  <c r="DG56" i="10"/>
  <c r="DQ56" i="10"/>
  <c r="EA56" i="10"/>
  <c r="EZ56" i="10"/>
  <c r="FT56" i="10"/>
  <c r="GD56" i="10"/>
  <c r="AE55" i="10"/>
  <c r="AY55" i="10"/>
  <c r="BI55" i="10"/>
  <c r="BS55" i="10"/>
  <c r="CC55" i="10"/>
  <c r="CM55" i="10"/>
  <c r="CW55" i="10"/>
  <c r="DG55" i="10"/>
  <c r="DQ55" i="10"/>
  <c r="EA55" i="10"/>
  <c r="EK55" i="10"/>
  <c r="EU55" i="10"/>
  <c r="FE55" i="10"/>
  <c r="FO55" i="10"/>
  <c r="FY55" i="10"/>
  <c r="GI55" i="10"/>
  <c r="CH56" i="10"/>
  <c r="EP56" i="10"/>
  <c r="ES182" i="10"/>
  <c r="ES200" i="10" l="1"/>
  <c r="ES19" i="10"/>
  <c r="ER66" i="10"/>
  <c r="ES66" i="10"/>
  <c r="ES10" i="10"/>
  <c r="ES211" i="10" l="1"/>
  <c r="ES102" i="10"/>
  <c r="ES134" i="10"/>
  <c r="ES40" i="10" l="1"/>
  <c r="EI140" i="10"/>
  <c r="EI228" i="10"/>
  <c r="EI121" i="10"/>
  <c r="EI47" i="10"/>
  <c r="EI217" i="10"/>
  <c r="EI219" i="10"/>
  <c r="EI102" i="10"/>
  <c r="EI211" i="10"/>
  <c r="EI134" i="10"/>
  <c r="EN140" i="10"/>
  <c r="EN10" i="10"/>
  <c r="EM121" i="10"/>
  <c r="EN121" i="10"/>
  <c r="EN47" i="10"/>
  <c r="EN200" i="10"/>
  <c r="EN219" i="10"/>
  <c r="EL219" i="10" s="1"/>
  <c r="EN217" i="10"/>
  <c r="EN102" i="10"/>
  <c r="EN84" i="10" l="1"/>
  <c r="EN189" i="10" l="1"/>
  <c r="EN188" i="10"/>
  <c r="EN187" i="10"/>
  <c r="EP186" i="10" l="1"/>
  <c r="EP185" i="10"/>
  <c r="EN211" i="10"/>
  <c r="EN182" i="10"/>
  <c r="EN228" i="10"/>
  <c r="EN134" i="10" l="1"/>
  <c r="EM222" i="10" l="1"/>
  <c r="EN222" i="10"/>
  <c r="EL130" i="10"/>
  <c r="EN15" i="10" l="1"/>
  <c r="EI19" i="10" l="1"/>
  <c r="EI182" i="10" l="1"/>
  <c r="EH196" i="10"/>
  <c r="EI196" i="10"/>
  <c r="EG134" i="10"/>
  <c r="EH222" i="10"/>
  <c r="EI222" i="10"/>
  <c r="EI200" i="10"/>
  <c r="EI86" i="10"/>
  <c r="EG78" i="10"/>
  <c r="EH62" i="10"/>
  <c r="EI62" i="10"/>
  <c r="EI10" i="10"/>
  <c r="EI176" i="10" l="1"/>
  <c r="EI177" i="10"/>
  <c r="EI178" i="10"/>
  <c r="EI16" i="10" l="1"/>
  <c r="EI15" i="10"/>
  <c r="ED136" i="10" l="1"/>
  <c r="ED137" i="10"/>
  <c r="ED142" i="10"/>
  <c r="ED92" i="10" l="1"/>
  <c r="ED94" i="10"/>
  <c r="ED95" i="10"/>
  <c r="ED47" i="10"/>
  <c r="ED39" i="10"/>
  <c r="ED40" i="10"/>
  <c r="ED17" i="10" l="1"/>
  <c r="ED14" i="10"/>
  <c r="EJ182" i="10" l="1"/>
  <c r="EB134" i="10" l="1"/>
  <c r="EC222" i="10"/>
  <c r="ED222" i="10"/>
  <c r="ED200" i="10"/>
  <c r="ED10" i="10"/>
  <c r="EB19" i="10"/>
  <c r="ED182" i="10"/>
  <c r="ED145" i="10"/>
  <c r="EC145" i="10"/>
  <c r="ED66" i="10"/>
  <c r="EB66" i="10" s="1"/>
  <c r="ED151" i="10" l="1"/>
  <c r="ED150" i="10"/>
  <c r="EC150" i="10"/>
  <c r="EC151" i="10"/>
  <c r="EB230" i="10" l="1"/>
  <c r="G232" i="10"/>
  <c r="L232" i="10"/>
  <c r="Q232" i="10"/>
  <c r="V232" i="10"/>
  <c r="AA232" i="10"/>
  <c r="AF232" i="10"/>
  <c r="AK232" i="10"/>
  <c r="AP232" i="10"/>
  <c r="AU232" i="10"/>
  <c r="AZ232" i="10"/>
  <c r="BE232" i="10"/>
  <c r="BJ232" i="10"/>
  <c r="BO232" i="10"/>
  <c r="BT232" i="10"/>
  <c r="BY232" i="10"/>
  <c r="CD232" i="10"/>
  <c r="CI232" i="10"/>
  <c r="CN232" i="10"/>
  <c r="CS232" i="10"/>
  <c r="CX232" i="10"/>
  <c r="DC232" i="10"/>
  <c r="DH232" i="10"/>
  <c r="DM232" i="10"/>
  <c r="DR232" i="10"/>
  <c r="DW232" i="10"/>
  <c r="EB232" i="10"/>
  <c r="EG232" i="10"/>
  <c r="EL232" i="10"/>
  <c r="EQ232" i="10"/>
  <c r="EV232" i="10"/>
  <c r="FA232" i="10"/>
  <c r="FF232" i="10"/>
  <c r="FK232" i="10"/>
  <c r="FP232" i="10"/>
  <c r="FU232" i="10"/>
  <c r="FZ232" i="10"/>
  <c r="GE232" i="10"/>
  <c r="ED73" i="10" l="1"/>
  <c r="ED72" i="10"/>
  <c r="ED71" i="10"/>
  <c r="ED178" i="10" l="1"/>
  <c r="ED176" i="10"/>
  <c r="ED177" i="10"/>
  <c r="EA124" i="10" l="1"/>
  <c r="EE200" i="10" l="1"/>
  <c r="EE211" i="10"/>
  <c r="EE10" i="10"/>
  <c r="EE182" i="10"/>
  <c r="DY150" i="10" l="1"/>
  <c r="DY151" i="10"/>
  <c r="DX151" i="10"/>
  <c r="DX150" i="10"/>
  <c r="DY39" i="10" l="1"/>
  <c r="DY40" i="10"/>
  <c r="DY145" i="10" l="1"/>
  <c r="DX66" i="10"/>
  <c r="DY66" i="10"/>
  <c r="DS66" i="10"/>
  <c r="DT66" i="10"/>
  <c r="DT145" i="10"/>
  <c r="DY188" i="10"/>
  <c r="DY189" i="10"/>
  <c r="DY187" i="10"/>
  <c r="DW187" i="10" s="1"/>
  <c r="DY95" i="10"/>
  <c r="DY92" i="10"/>
  <c r="DW66" i="10" l="1"/>
  <c r="DR66" i="10"/>
  <c r="DY144" i="10"/>
  <c r="DW123" i="10"/>
  <c r="DY102" i="10"/>
  <c r="DW102" i="10" s="1"/>
  <c r="DY211" i="10"/>
  <c r="DY217" i="10"/>
  <c r="DY222" i="10"/>
  <c r="DX222" i="10"/>
  <c r="DY200" i="10"/>
  <c r="DY140" i="10" l="1"/>
  <c r="DY228" i="10"/>
  <c r="DY10" i="10"/>
  <c r="DX121" i="10"/>
  <c r="DY121" i="10"/>
  <c r="DY182" i="10"/>
  <c r="DY47" i="10"/>
  <c r="DY16" i="10" l="1"/>
  <c r="DY15" i="10"/>
  <c r="DY176" i="10" l="1"/>
  <c r="DY179" i="10"/>
  <c r="DY178" i="10"/>
  <c r="DT142" i="10" l="1"/>
  <c r="DT84" i="10" l="1"/>
  <c r="DM230" i="10"/>
  <c r="DZ234" i="10" l="1"/>
  <c r="DR116" i="10" l="1"/>
  <c r="DR23" i="10"/>
  <c r="DT200" i="10" l="1"/>
  <c r="DT217" i="10"/>
  <c r="DT211" i="10"/>
  <c r="DT134" i="10"/>
  <c r="DR230" i="10"/>
  <c r="DT228" i="10"/>
  <c r="DT140" i="10"/>
  <c r="DT10" i="10"/>
  <c r="DT121" i="10"/>
  <c r="DS121" i="10"/>
  <c r="DT182" i="10"/>
  <c r="DT47" i="10"/>
  <c r="DO189" i="10" l="1"/>
  <c r="DO188" i="10"/>
  <c r="DO187" i="10"/>
  <c r="DT187" i="10"/>
  <c r="DS222" i="10" l="1"/>
  <c r="DT222" i="10"/>
  <c r="DT16" i="10" l="1"/>
  <c r="DT15" i="10"/>
  <c r="DT178" i="10" l="1"/>
  <c r="DT176" i="10"/>
  <c r="FP230" i="10" l="1"/>
  <c r="EV230" i="10"/>
  <c r="GE228" i="10"/>
  <c r="GD228" i="10"/>
  <c r="FZ228" i="10"/>
  <c r="FY227" i="10"/>
  <c r="FT228" i="10"/>
  <c r="FO227" i="10"/>
  <c r="FH228" i="10"/>
  <c r="FJ228" i="10" s="1"/>
  <c r="FC228" i="10"/>
  <c r="FE227" i="10" s="1"/>
  <c r="EZ228" i="10"/>
  <c r="ES228" i="10"/>
  <c r="EU227" i="10" s="1"/>
  <c r="EP228" i="10"/>
  <c r="EL228" i="10"/>
  <c r="EK228" i="10"/>
  <c r="EG228" i="10"/>
  <c r="EF228" i="10"/>
  <c r="EB228" i="10"/>
  <c r="GI227" i="10"/>
  <c r="GD227" i="10"/>
  <c r="EP227" i="10"/>
  <c r="EK227" i="10"/>
  <c r="EF227" i="10"/>
  <c r="GE226" i="10"/>
  <c r="FU226" i="10"/>
  <c r="FP226" i="10"/>
  <c r="FK226" i="10"/>
  <c r="FF226" i="10"/>
  <c r="FA226" i="10"/>
  <c r="EV226" i="10"/>
  <c r="EQ226" i="10"/>
  <c r="EL226" i="10"/>
  <c r="EG226" i="10"/>
  <c r="EB226" i="10"/>
  <c r="FW223" i="10"/>
  <c r="FR223" i="10"/>
  <c r="FC223" i="10"/>
  <c r="EX223" i="10"/>
  <c r="EZ221" i="10" s="1"/>
  <c r="ES223" i="10"/>
  <c r="EI223" i="10"/>
  <c r="GI222" i="10"/>
  <c r="GE222" i="10"/>
  <c r="FZ222" i="10"/>
  <c r="FU222" i="10"/>
  <c r="FP222" i="10"/>
  <c r="FO222" i="10"/>
  <c r="FK222" i="10"/>
  <c r="FJ222" i="10"/>
  <c r="FF222" i="10"/>
  <c r="FA222" i="10"/>
  <c r="EV222" i="10"/>
  <c r="EQ222" i="10"/>
  <c r="EP222" i="10"/>
  <c r="EL222" i="10"/>
  <c r="EG222" i="10"/>
  <c r="EB222" i="10"/>
  <c r="GI221" i="10"/>
  <c r="GD221" i="10"/>
  <c r="FO221" i="10"/>
  <c r="FJ221" i="10"/>
  <c r="EP221" i="10"/>
  <c r="GG220" i="10"/>
  <c r="GB220" i="10"/>
  <c r="GD216" i="10" s="1"/>
  <c r="FW220" i="10"/>
  <c r="FP220" i="10"/>
  <c r="FM220" i="10"/>
  <c r="FH220" i="10"/>
  <c r="FF220" i="10" s="1"/>
  <c r="FC220" i="10"/>
  <c r="EX220" i="10"/>
  <c r="EV220" i="10" s="1"/>
  <c r="EQ220" i="10"/>
  <c r="EL220" i="10"/>
  <c r="EG220" i="10"/>
  <c r="EB220" i="10"/>
  <c r="EG219" i="10"/>
  <c r="GE217" i="10"/>
  <c r="FZ217" i="10"/>
  <c r="FH217" i="10"/>
  <c r="FC217" i="10"/>
  <c r="ES217" i="10"/>
  <c r="EU217" i="10" s="1"/>
  <c r="ER217" i="10"/>
  <c r="EG217" i="10"/>
  <c r="EF217" i="10"/>
  <c r="EB217" i="10"/>
  <c r="EI216" i="10"/>
  <c r="EF216" i="10"/>
  <c r="GG215" i="10"/>
  <c r="FZ215" i="10"/>
  <c r="FU215" i="10"/>
  <c r="FP215" i="10"/>
  <c r="FO211" i="10"/>
  <c r="FF215" i="10"/>
  <c r="FA215" i="10"/>
  <c r="EV215" i="10"/>
  <c r="EQ215" i="10"/>
  <c r="EL215" i="10"/>
  <c r="EG215" i="10"/>
  <c r="ED215" i="10"/>
  <c r="EF210" i="10" s="1"/>
  <c r="GI211" i="10"/>
  <c r="GE211" i="10"/>
  <c r="FZ211" i="10"/>
  <c r="FX211" i="10"/>
  <c r="FY210" i="10"/>
  <c r="FK211" i="10"/>
  <c r="FI211" i="10"/>
  <c r="FF211" i="10"/>
  <c r="FD211" i="10"/>
  <c r="EY211" i="10"/>
  <c r="EK210" i="10"/>
  <c r="EB211" i="10"/>
  <c r="GE209" i="10"/>
  <c r="FZ209" i="10"/>
  <c r="FU209" i="10"/>
  <c r="FP209" i="10"/>
  <c r="FK209" i="10"/>
  <c r="FF209" i="10"/>
  <c r="FA209" i="10"/>
  <c r="EV209" i="10"/>
  <c r="EQ209" i="10"/>
  <c r="EL209" i="10"/>
  <c r="EG209" i="10"/>
  <c r="EB209" i="10"/>
  <c r="GE206" i="10"/>
  <c r="FZ206" i="10"/>
  <c r="FU206" i="10"/>
  <c r="FP206" i="10"/>
  <c r="FK206" i="10"/>
  <c r="FF206" i="10"/>
  <c r="FA206" i="10"/>
  <c r="EV206" i="10"/>
  <c r="EQ206" i="10"/>
  <c r="EL206" i="10"/>
  <c r="EG206" i="10"/>
  <c r="EB206" i="10"/>
  <c r="GG204" i="10"/>
  <c r="GE204" i="10" s="1"/>
  <c r="GB204" i="10"/>
  <c r="FZ204" i="10" s="1"/>
  <c r="FW204" i="10"/>
  <c r="FP204" i="10"/>
  <c r="FK204" i="10"/>
  <c r="FF204" i="10"/>
  <c r="FA204" i="10"/>
  <c r="EV204" i="10"/>
  <c r="EQ204" i="10"/>
  <c r="EG204" i="10"/>
  <c r="GG202" i="10"/>
  <c r="ED202" i="10"/>
  <c r="GG201" i="10"/>
  <c r="ES201" i="10"/>
  <c r="EN201" i="10"/>
  <c r="EL201" i="10" s="1"/>
  <c r="GE200" i="10"/>
  <c r="FZ200" i="10"/>
  <c r="FX200" i="10"/>
  <c r="FU200" i="10"/>
  <c r="FO200" i="10"/>
  <c r="FI200" i="10"/>
  <c r="FH200" i="10"/>
  <c r="FJ199" i="10" s="1"/>
  <c r="FC200" i="10"/>
  <c r="FE199" i="10" s="1"/>
  <c r="EQ200" i="10"/>
  <c r="EL200" i="10"/>
  <c r="EG200" i="10"/>
  <c r="EB200" i="10"/>
  <c r="FP198" i="10"/>
  <c r="FM198" i="10"/>
  <c r="FH198" i="10"/>
  <c r="FC198" i="10"/>
  <c r="FE195" i="10" s="1"/>
  <c r="FB198" i="10"/>
  <c r="EX198" i="10"/>
  <c r="EZ195" i="10" s="1"/>
  <c r="EL198" i="10"/>
  <c r="EB198" i="10"/>
  <c r="GE196" i="10"/>
  <c r="GD196" i="10"/>
  <c r="FZ196" i="10"/>
  <c r="FY196" i="10"/>
  <c r="FU196" i="10"/>
  <c r="FT196" i="10"/>
  <c r="FP196" i="10"/>
  <c r="FK196" i="10"/>
  <c r="FA196" i="10"/>
  <c r="EY196" i="10"/>
  <c r="EV196" i="10"/>
  <c r="EU196" i="10"/>
  <c r="EQ196" i="10"/>
  <c r="EG196" i="10"/>
  <c r="EF196" i="10"/>
  <c r="EB196" i="10"/>
  <c r="GD195" i="10"/>
  <c r="FY195" i="10"/>
  <c r="FT195" i="10"/>
  <c r="EF195" i="10"/>
  <c r="GE194" i="10"/>
  <c r="FZ194" i="10"/>
  <c r="FU194" i="10"/>
  <c r="FP194" i="10"/>
  <c r="FK194" i="10"/>
  <c r="FF194" i="10"/>
  <c r="FA194" i="10"/>
  <c r="EV194" i="10"/>
  <c r="EQ194" i="10"/>
  <c r="EL194" i="10"/>
  <c r="EG194" i="10"/>
  <c r="EB194" i="10"/>
  <c r="GE192" i="10"/>
  <c r="FZ192" i="10"/>
  <c r="FU192" i="10"/>
  <c r="FP192" i="10"/>
  <c r="FK192" i="10"/>
  <c r="FF192" i="10"/>
  <c r="FA192" i="10"/>
  <c r="EV192" i="10"/>
  <c r="EQ192" i="10"/>
  <c r="EL192" i="10"/>
  <c r="EG192" i="10"/>
  <c r="EB192" i="10"/>
  <c r="GI191" i="10"/>
  <c r="GD191" i="10"/>
  <c r="FY191" i="10"/>
  <c r="FT191" i="10"/>
  <c r="FO191" i="10"/>
  <c r="FJ191" i="10"/>
  <c r="FE191" i="10"/>
  <c r="EZ191" i="10"/>
  <c r="EU191" i="10"/>
  <c r="EP191" i="10"/>
  <c r="EK191" i="10"/>
  <c r="GI190" i="10"/>
  <c r="GD190" i="10"/>
  <c r="FY190" i="10"/>
  <c r="FT190" i="10"/>
  <c r="FO190" i="10"/>
  <c r="FJ190" i="10"/>
  <c r="FE190" i="10"/>
  <c r="EZ190" i="10"/>
  <c r="EU190" i="10"/>
  <c r="EP190" i="10"/>
  <c r="GE189" i="10"/>
  <c r="FZ189" i="10"/>
  <c r="FU189" i="10"/>
  <c r="FP189" i="10"/>
  <c r="FK189" i="10"/>
  <c r="FF189" i="10"/>
  <c r="FA189" i="10"/>
  <c r="EV189" i="10"/>
  <c r="EQ189" i="10"/>
  <c r="EL189" i="10"/>
  <c r="EG189" i="10"/>
  <c r="EF185" i="10"/>
  <c r="GE187" i="10"/>
  <c r="FZ187" i="10"/>
  <c r="FU187" i="10"/>
  <c r="EV187" i="10"/>
  <c r="EB187" i="10"/>
  <c r="GI186" i="10"/>
  <c r="GD186" i="10"/>
  <c r="GI185" i="10"/>
  <c r="GD185" i="10"/>
  <c r="FY185" i="10"/>
  <c r="GE184" i="10"/>
  <c r="FZ184" i="10"/>
  <c r="FU184" i="10"/>
  <c r="FP184" i="10"/>
  <c r="FK184" i="10"/>
  <c r="FF184" i="10"/>
  <c r="FA184" i="10"/>
  <c r="EV184" i="10"/>
  <c r="EQ184" i="10"/>
  <c r="EL184" i="10"/>
  <c r="EG184" i="10"/>
  <c r="EB184" i="10"/>
  <c r="GE182" i="10"/>
  <c r="FZ182" i="10"/>
  <c r="FW182" i="10"/>
  <c r="FU182" i="10" s="1"/>
  <c r="FR182" i="10"/>
  <c r="FP182" i="10" s="1"/>
  <c r="FN182" i="10"/>
  <c r="FN235" i="10" s="1"/>
  <c r="FM182" i="10"/>
  <c r="FK182" i="10" s="1"/>
  <c r="FI182" i="10"/>
  <c r="FH182" i="10"/>
  <c r="FF182" i="10" s="1"/>
  <c r="FC182" i="10"/>
  <c r="FA182" i="10" s="1"/>
  <c r="EY182" i="10"/>
  <c r="EV182" i="10"/>
  <c r="ET182" i="10"/>
  <c r="EQ182" i="10"/>
  <c r="EL182" i="10"/>
  <c r="EG182" i="10"/>
  <c r="EB182" i="10"/>
  <c r="GE178" i="10"/>
  <c r="FZ178" i="10"/>
  <c r="FP178" i="10"/>
  <c r="FK178" i="10"/>
  <c r="FF178" i="10"/>
  <c r="EV178" i="10"/>
  <c r="EQ178" i="10"/>
  <c r="EL178" i="10"/>
  <c r="EG178" i="10"/>
  <c r="EB178" i="10"/>
  <c r="GE174" i="10"/>
  <c r="FZ174" i="10"/>
  <c r="FU174" i="10"/>
  <c r="FP174" i="10"/>
  <c r="FK174" i="10"/>
  <c r="FF174" i="10"/>
  <c r="FA174" i="10"/>
  <c r="EV174" i="10"/>
  <c r="EQ174" i="10"/>
  <c r="EL174" i="10"/>
  <c r="EG174" i="10"/>
  <c r="EB174" i="10"/>
  <c r="GE172" i="10"/>
  <c r="FZ172" i="10"/>
  <c r="FU172" i="10"/>
  <c r="FP172" i="10"/>
  <c r="FK172" i="10"/>
  <c r="FF172" i="10"/>
  <c r="FA172" i="10"/>
  <c r="EV172" i="10"/>
  <c r="EQ172" i="10"/>
  <c r="EL172" i="10"/>
  <c r="EG172" i="10"/>
  <c r="EB172" i="10"/>
  <c r="GI171" i="10"/>
  <c r="GD171" i="10"/>
  <c r="FY171" i="10"/>
  <c r="FT171" i="10"/>
  <c r="FO171" i="10"/>
  <c r="FJ171" i="10"/>
  <c r="FE171" i="10"/>
  <c r="EZ171" i="10"/>
  <c r="EU171" i="10"/>
  <c r="EP171" i="10"/>
  <c r="EK171" i="10"/>
  <c r="EF171" i="10"/>
  <c r="GI170" i="10"/>
  <c r="GD170" i="10"/>
  <c r="FY170" i="10"/>
  <c r="FT170" i="10"/>
  <c r="FO170" i="10"/>
  <c r="FJ170" i="10"/>
  <c r="FE170" i="10"/>
  <c r="EZ170" i="10"/>
  <c r="EU170" i="10"/>
  <c r="EP170" i="10"/>
  <c r="EK170" i="10"/>
  <c r="EF170" i="10"/>
  <c r="FW151" i="10"/>
  <c r="FV151" i="10"/>
  <c r="FA151" i="10"/>
  <c r="EV151" i="10"/>
  <c r="FW150" i="10"/>
  <c r="FV150" i="10"/>
  <c r="FA150" i="10"/>
  <c r="EV150" i="10"/>
  <c r="EL150" i="10"/>
  <c r="GB149" i="10"/>
  <c r="FW149" i="10"/>
  <c r="FR149" i="10"/>
  <c r="FM149" i="10"/>
  <c r="FH149" i="10"/>
  <c r="FC149" i="10"/>
  <c r="EX149" i="10"/>
  <c r="ES149" i="10"/>
  <c r="EN149" i="10"/>
  <c r="EI149" i="10"/>
  <c r="ED149" i="10"/>
  <c r="GG147" i="10"/>
  <c r="GE147" i="10" s="1"/>
  <c r="FZ147" i="10"/>
  <c r="FU147" i="10"/>
  <c r="FP147" i="10"/>
  <c r="FK147" i="10"/>
  <c r="FH147" i="10"/>
  <c r="FF147" i="10" s="1"/>
  <c r="FA147" i="10"/>
  <c r="EX147" i="10"/>
  <c r="EV147" i="10" s="1"/>
  <c r="ES147" i="10"/>
  <c r="EL147" i="10"/>
  <c r="EI147" i="10"/>
  <c r="EG147" i="10" s="1"/>
  <c r="ED147" i="10"/>
  <c r="GG145" i="10"/>
  <c r="GE145" i="10" s="1"/>
  <c r="FZ145" i="10"/>
  <c r="FY143" i="10"/>
  <c r="FA145" i="10"/>
  <c r="EX145" i="10"/>
  <c r="EQ145" i="10"/>
  <c r="EN145" i="10"/>
  <c r="EG145" i="10"/>
  <c r="EB145" i="10"/>
  <c r="GG144" i="10"/>
  <c r="FE144" i="10"/>
  <c r="EI144" i="10"/>
  <c r="FE143" i="10"/>
  <c r="GG142" i="10"/>
  <c r="GE142" i="10" s="1"/>
  <c r="GB142" i="10"/>
  <c r="FZ142" i="10" s="1"/>
  <c r="FW142" i="10"/>
  <c r="FU142" i="10" s="1"/>
  <c r="FP142" i="10"/>
  <c r="FM142" i="10"/>
  <c r="FK142" i="10" s="1"/>
  <c r="FF142" i="10"/>
  <c r="EX142" i="10"/>
  <c r="EV142" i="10" s="1"/>
  <c r="ES142" i="10"/>
  <c r="EN142" i="10"/>
  <c r="EL142" i="10" s="1"/>
  <c r="EG142" i="10"/>
  <c r="GE140" i="10"/>
  <c r="FZ140" i="10"/>
  <c r="FU140" i="10"/>
  <c r="FP140" i="10"/>
  <c r="FK140" i="10"/>
  <c r="EV140" i="10"/>
  <c r="EQ140" i="10"/>
  <c r="EL140" i="10"/>
  <c r="EG140" i="10"/>
  <c r="EB140" i="10"/>
  <c r="GG139" i="10"/>
  <c r="GB139" i="10"/>
  <c r="FW139" i="10"/>
  <c r="FM139" i="10"/>
  <c r="EX139" i="10"/>
  <c r="EN139" i="10"/>
  <c r="EK139" i="10"/>
  <c r="EK136" i="10"/>
  <c r="GE135" i="10"/>
  <c r="FZ135" i="10"/>
  <c r="FU135" i="10"/>
  <c r="FP135" i="10"/>
  <c r="FK135" i="10"/>
  <c r="FF135" i="10"/>
  <c r="FA135" i="10"/>
  <c r="EV135" i="10"/>
  <c r="EQ135" i="10"/>
  <c r="EL135" i="10"/>
  <c r="EG135" i="10"/>
  <c r="EB135" i="10"/>
  <c r="GE134" i="10"/>
  <c r="FZ134" i="10"/>
  <c r="FT133" i="10"/>
  <c r="FO132" i="10"/>
  <c r="FH134" i="10"/>
  <c r="FJ133" i="10" s="1"/>
  <c r="EZ133" i="10"/>
  <c r="EQ134" i="10"/>
  <c r="GI133" i="10"/>
  <c r="GD133" i="10"/>
  <c r="EU133" i="10"/>
  <c r="EF133" i="10"/>
  <c r="GI132" i="10"/>
  <c r="GD132" i="10"/>
  <c r="EU132" i="10"/>
  <c r="EF132" i="10"/>
  <c r="GE131" i="10"/>
  <c r="FZ131" i="10"/>
  <c r="FU131" i="10"/>
  <c r="FP131" i="10"/>
  <c r="FK131" i="10"/>
  <c r="FA131" i="10"/>
  <c r="EV131" i="10"/>
  <c r="EQ131" i="10"/>
  <c r="EL131" i="10"/>
  <c r="EG131" i="10"/>
  <c r="EB131" i="10"/>
  <c r="GE130" i="10"/>
  <c r="FZ130" i="10"/>
  <c r="FU130" i="10"/>
  <c r="FP130" i="10"/>
  <c r="FK130" i="10"/>
  <c r="FF130" i="10"/>
  <c r="FA130" i="10"/>
  <c r="EV130" i="10"/>
  <c r="EQ130" i="10"/>
  <c r="EG130" i="10"/>
  <c r="EB130" i="10"/>
  <c r="GI129" i="10"/>
  <c r="GD129" i="10"/>
  <c r="FY129" i="10"/>
  <c r="FT129" i="10"/>
  <c r="FO129" i="10"/>
  <c r="FJ129" i="10"/>
  <c r="FE129" i="10"/>
  <c r="EZ129" i="10"/>
  <c r="EU129" i="10"/>
  <c r="EP129" i="10"/>
  <c r="EK129" i="10"/>
  <c r="EF129" i="10"/>
  <c r="GI128" i="10"/>
  <c r="GD128" i="10"/>
  <c r="FY128" i="10"/>
  <c r="FT128" i="10"/>
  <c r="FO128" i="10"/>
  <c r="FJ128" i="10"/>
  <c r="FE128" i="10"/>
  <c r="EZ128" i="10"/>
  <c r="EU128" i="10"/>
  <c r="EP128" i="10"/>
  <c r="EK128" i="10"/>
  <c r="EF128" i="10"/>
  <c r="GE127" i="10"/>
  <c r="FZ127" i="10"/>
  <c r="FU127" i="10"/>
  <c r="FP127" i="10"/>
  <c r="FK127" i="10"/>
  <c r="FF127" i="10"/>
  <c r="FA127" i="10"/>
  <c r="EV127" i="10"/>
  <c r="EQ127" i="10"/>
  <c r="EL127" i="10"/>
  <c r="EG127" i="10"/>
  <c r="EB127" i="10"/>
  <c r="GI125" i="10"/>
  <c r="GE125" i="10"/>
  <c r="GD125" i="10"/>
  <c r="FZ125" i="10"/>
  <c r="FY125" i="10"/>
  <c r="FU125" i="10"/>
  <c r="FP125" i="10"/>
  <c r="FO125" i="10"/>
  <c r="FK125" i="10"/>
  <c r="FJ125" i="10"/>
  <c r="FF125" i="10"/>
  <c r="FE125" i="10"/>
  <c r="FA125" i="10"/>
  <c r="EZ125" i="10"/>
  <c r="EV125" i="10"/>
  <c r="EU125" i="10"/>
  <c r="EQ125" i="10"/>
  <c r="EP125" i="10"/>
  <c r="EL125" i="10"/>
  <c r="EK125" i="10"/>
  <c r="EG125" i="10"/>
  <c r="EF125" i="10"/>
  <c r="EB125" i="10"/>
  <c r="GI124" i="10"/>
  <c r="GD124" i="10"/>
  <c r="FY124" i="10"/>
  <c r="FO124" i="10"/>
  <c r="FJ124" i="10"/>
  <c r="FE124" i="10"/>
  <c r="EZ124" i="10"/>
  <c r="EU124" i="10"/>
  <c r="EP124" i="10"/>
  <c r="EK124" i="10"/>
  <c r="EF124" i="10"/>
  <c r="FF123" i="10"/>
  <c r="EB123" i="10"/>
  <c r="GE121" i="10"/>
  <c r="FZ121" i="10"/>
  <c r="FU121" i="10"/>
  <c r="FK121" i="10"/>
  <c r="FH121" i="10"/>
  <c r="FC121" i="10"/>
  <c r="FA121" i="10" s="1"/>
  <c r="ES121" i="10"/>
  <c r="EU119" i="10" s="1"/>
  <c r="ER121" i="10"/>
  <c r="EP119" i="10"/>
  <c r="EG121" i="10"/>
  <c r="EB121" i="10"/>
  <c r="GI120" i="10"/>
  <c r="GE120" i="10"/>
  <c r="GD120" i="10"/>
  <c r="FZ120" i="10"/>
  <c r="FU120" i="10"/>
  <c r="FP120" i="10"/>
  <c r="FK120" i="10"/>
  <c r="FF120" i="10"/>
  <c r="FA120" i="10"/>
  <c r="EV120" i="10"/>
  <c r="EQ120" i="10"/>
  <c r="EL120" i="10"/>
  <c r="EK120" i="10"/>
  <c r="EG120" i="10"/>
  <c r="EF120" i="10"/>
  <c r="EB120" i="10"/>
  <c r="GI119" i="10"/>
  <c r="GD119" i="10"/>
  <c r="EZ119" i="10"/>
  <c r="EK119" i="10"/>
  <c r="EF119" i="10"/>
  <c r="GE118" i="10"/>
  <c r="FZ118" i="10"/>
  <c r="FU118" i="10"/>
  <c r="FP118" i="10"/>
  <c r="FK118" i="10"/>
  <c r="FF118" i="10"/>
  <c r="FA118" i="10"/>
  <c r="EV118" i="10"/>
  <c r="EQ118" i="10"/>
  <c r="EL118" i="10"/>
  <c r="EG118" i="10"/>
  <c r="EB118" i="10"/>
  <c r="GI116" i="10"/>
  <c r="GE116" i="10"/>
  <c r="GD116" i="10"/>
  <c r="FZ116" i="10"/>
  <c r="FY116" i="10"/>
  <c r="FU116" i="10"/>
  <c r="FT116" i="10"/>
  <c r="FP116" i="10"/>
  <c r="FO116" i="10"/>
  <c r="FK116" i="10"/>
  <c r="FE116" i="10"/>
  <c r="FA116" i="10"/>
  <c r="EZ116" i="10"/>
  <c r="EV116" i="10"/>
  <c r="EU116" i="10"/>
  <c r="EQ116" i="10"/>
  <c r="EP116" i="10"/>
  <c r="EL116" i="10"/>
  <c r="EK116" i="10"/>
  <c r="EG116" i="10"/>
  <c r="EF116" i="10"/>
  <c r="EB116" i="10"/>
  <c r="GI115" i="10"/>
  <c r="GD115" i="10"/>
  <c r="FY115" i="10"/>
  <c r="FT115" i="10"/>
  <c r="FO115" i="10"/>
  <c r="FE115" i="10"/>
  <c r="EZ115" i="10"/>
  <c r="EU115" i="10"/>
  <c r="EP115" i="10"/>
  <c r="EK115" i="10"/>
  <c r="EF115" i="10"/>
  <c r="GE108" i="10"/>
  <c r="FZ108" i="10"/>
  <c r="FU108" i="10"/>
  <c r="FP108" i="10"/>
  <c r="FK108" i="10"/>
  <c r="FF108" i="10"/>
  <c r="FA108" i="10"/>
  <c r="EV108" i="10"/>
  <c r="EQ108" i="10"/>
  <c r="EL108" i="10"/>
  <c r="EG108" i="10"/>
  <c r="EB108" i="10"/>
  <c r="GI106" i="10"/>
  <c r="GE106" i="10"/>
  <c r="GD106" i="10"/>
  <c r="FZ106" i="10"/>
  <c r="FY106" i="10"/>
  <c r="FU106" i="10"/>
  <c r="FT106" i="10"/>
  <c r="FP106" i="10"/>
  <c r="FO106" i="10"/>
  <c r="FK106" i="10"/>
  <c r="FJ106" i="10"/>
  <c r="FF106" i="10"/>
  <c r="FE106" i="10"/>
  <c r="FA106" i="10"/>
  <c r="EZ106" i="10"/>
  <c r="EV106" i="10"/>
  <c r="EU106" i="10"/>
  <c r="EQ106" i="10"/>
  <c r="EP106" i="10"/>
  <c r="EL106" i="10"/>
  <c r="EK106" i="10"/>
  <c r="EG106" i="10"/>
  <c r="EF106" i="10"/>
  <c r="EB106" i="10"/>
  <c r="GI105" i="10"/>
  <c r="GD105" i="10"/>
  <c r="FY105" i="10"/>
  <c r="FT105" i="10"/>
  <c r="FO105" i="10"/>
  <c r="FJ105" i="10"/>
  <c r="FE105" i="10"/>
  <c r="EZ105" i="10"/>
  <c r="EU105" i="10"/>
  <c r="EP105" i="10"/>
  <c r="EK105" i="10"/>
  <c r="EF105" i="10"/>
  <c r="EN103" i="10"/>
  <c r="FU102" i="10"/>
  <c r="FP102" i="10"/>
  <c r="FK102" i="10"/>
  <c r="FH102" i="10"/>
  <c r="FF102" i="10" s="1"/>
  <c r="FC102" i="10"/>
  <c r="FA102" i="10" s="1"/>
  <c r="EQ102" i="10"/>
  <c r="EF102" i="10"/>
  <c r="EF101" i="10"/>
  <c r="GE100" i="10"/>
  <c r="FZ100" i="10"/>
  <c r="FU100" i="10"/>
  <c r="FP100" i="10"/>
  <c r="FK100" i="10"/>
  <c r="FF100" i="10"/>
  <c r="FA100" i="10"/>
  <c r="EV100" i="10"/>
  <c r="EQ100" i="10"/>
  <c r="EL100" i="10"/>
  <c r="EG100" i="10"/>
  <c r="EB100" i="10"/>
  <c r="GI97" i="10"/>
  <c r="GE97" i="10"/>
  <c r="GD97" i="10"/>
  <c r="FZ97" i="10"/>
  <c r="FY97" i="10"/>
  <c r="FU97" i="10"/>
  <c r="FT97" i="10"/>
  <c r="FP97" i="10"/>
  <c r="FO97" i="10"/>
  <c r="FK97" i="10"/>
  <c r="FJ97" i="10"/>
  <c r="FF97" i="10"/>
  <c r="FE97" i="10"/>
  <c r="FA97" i="10"/>
  <c r="EZ97" i="10"/>
  <c r="EV97" i="10"/>
  <c r="EU97" i="10"/>
  <c r="EQ97" i="10"/>
  <c r="EP97" i="10"/>
  <c r="EL97" i="10"/>
  <c r="EK97" i="10"/>
  <c r="EG97" i="10"/>
  <c r="EF97" i="10"/>
  <c r="EB97" i="10"/>
  <c r="GI96" i="10"/>
  <c r="GD96" i="10"/>
  <c r="FY96" i="10"/>
  <c r="FT96" i="10"/>
  <c r="FO96" i="10"/>
  <c r="FJ96" i="10"/>
  <c r="FE96" i="10"/>
  <c r="EZ96" i="10"/>
  <c r="EU96" i="10"/>
  <c r="EP96" i="10"/>
  <c r="EK96" i="10"/>
  <c r="EF96" i="10"/>
  <c r="GG95" i="10"/>
  <c r="GI91" i="10" s="1"/>
  <c r="GB95" i="10"/>
  <c r="GD92" i="10" s="1"/>
  <c r="FW95" i="10"/>
  <c r="FY91" i="10" s="1"/>
  <c r="FR95" i="10"/>
  <c r="FO91" i="10"/>
  <c r="FH95" i="10"/>
  <c r="FJ92" i="10" s="1"/>
  <c r="FC95" i="10"/>
  <c r="FE91" i="10" s="1"/>
  <c r="EV95" i="10"/>
  <c r="ES95" i="10"/>
  <c r="EQ95" i="10" s="1"/>
  <c r="EL95" i="10"/>
  <c r="EI95" i="10"/>
  <c r="EG95" i="10" s="1"/>
  <c r="GE93" i="10"/>
  <c r="FZ93" i="10"/>
  <c r="FU93" i="10"/>
  <c r="FP93" i="10"/>
  <c r="FK93" i="10"/>
  <c r="FF93" i="10"/>
  <c r="FA93" i="10"/>
  <c r="EV93" i="10"/>
  <c r="EQ93" i="10"/>
  <c r="EL93" i="10"/>
  <c r="EI93" i="10"/>
  <c r="EG93" i="10" s="1"/>
  <c r="EB93" i="10"/>
  <c r="EZ92" i="10"/>
  <c r="ES92" i="10"/>
  <c r="EP92" i="10"/>
  <c r="EI92" i="10"/>
  <c r="EZ91" i="10"/>
  <c r="EP91" i="10"/>
  <c r="GE89" i="10"/>
  <c r="FZ89" i="10"/>
  <c r="FU89" i="10"/>
  <c r="FP89" i="10"/>
  <c r="FK89" i="10"/>
  <c r="FF89" i="10"/>
  <c r="FA89" i="10"/>
  <c r="EV89" i="10"/>
  <c r="EQ89" i="10"/>
  <c r="EL89" i="10"/>
  <c r="EG89" i="10"/>
  <c r="EB89" i="10"/>
  <c r="GG88" i="10"/>
  <c r="GI85" i="10" s="1"/>
  <c r="GB88" i="10"/>
  <c r="GD86" i="10" s="1"/>
  <c r="FW88" i="10"/>
  <c r="FR88" i="10"/>
  <c r="FT86" i="10" s="1"/>
  <c r="FM88" i="10"/>
  <c r="FO85" i="10" s="1"/>
  <c r="FH88" i="10"/>
  <c r="FJ86" i="10" s="1"/>
  <c r="GI86" i="10"/>
  <c r="GE86" i="10"/>
  <c r="FZ86" i="10"/>
  <c r="FU86" i="10"/>
  <c r="FP86" i="10"/>
  <c r="FK86" i="10"/>
  <c r="FF86" i="10"/>
  <c r="FE86" i="10"/>
  <c r="FA86" i="10"/>
  <c r="EZ86" i="10"/>
  <c r="EV86" i="10"/>
  <c r="EU86" i="10"/>
  <c r="ER86" i="10"/>
  <c r="EQ86" i="10" s="1"/>
  <c r="EP86" i="10"/>
  <c r="EK86" i="10"/>
  <c r="EG86" i="10"/>
  <c r="EF86" i="10"/>
  <c r="EB86" i="10"/>
  <c r="FE85" i="10"/>
  <c r="EZ85" i="10"/>
  <c r="EU85" i="10"/>
  <c r="EK85" i="10"/>
  <c r="EF85" i="10"/>
  <c r="GE84" i="10"/>
  <c r="FZ84" i="10"/>
  <c r="FU84" i="10"/>
  <c r="FP84" i="10"/>
  <c r="FK84" i="10"/>
  <c r="FJ81" i="10"/>
  <c r="FA84" i="10"/>
  <c r="EV84" i="10"/>
  <c r="ES84" i="10"/>
  <c r="EQ84" i="10" s="1"/>
  <c r="EL84" i="10"/>
  <c r="EG84" i="10"/>
  <c r="EF81" i="10"/>
  <c r="GE83" i="10"/>
  <c r="FZ83" i="10"/>
  <c r="FU83" i="10"/>
  <c r="FP83" i="10"/>
  <c r="FK83" i="10"/>
  <c r="FF83" i="10"/>
  <c r="FA83" i="10"/>
  <c r="EV83" i="10"/>
  <c r="EQ83" i="10"/>
  <c r="EL83" i="10"/>
  <c r="EG83" i="10"/>
  <c r="EB83" i="10"/>
  <c r="GI81" i="10"/>
  <c r="GE81" i="10"/>
  <c r="GD81" i="10"/>
  <c r="FZ81" i="10"/>
  <c r="FU81" i="10"/>
  <c r="FP81" i="10"/>
  <c r="FO81" i="10"/>
  <c r="FK81" i="10"/>
  <c r="FF81" i="10"/>
  <c r="FE81" i="10"/>
  <c r="FA81" i="10"/>
  <c r="EV81" i="10"/>
  <c r="EQ81" i="10"/>
  <c r="EL81" i="10"/>
  <c r="EK81" i="10"/>
  <c r="EG81" i="10"/>
  <c r="EB81" i="10"/>
  <c r="GI80" i="10"/>
  <c r="GD80" i="10"/>
  <c r="FO80" i="10"/>
  <c r="FE80" i="10"/>
  <c r="EK80" i="10"/>
  <c r="GE79" i="10"/>
  <c r="FZ79" i="10"/>
  <c r="FU79" i="10"/>
  <c r="FP79" i="10"/>
  <c r="FK79" i="10"/>
  <c r="FF79" i="10"/>
  <c r="FA79" i="10"/>
  <c r="EV79" i="10"/>
  <c r="EQ79" i="10"/>
  <c r="EL79" i="10"/>
  <c r="EG79" i="10"/>
  <c r="EB79" i="10"/>
  <c r="GI78" i="10"/>
  <c r="GD77" i="10"/>
  <c r="FY78" i="10"/>
  <c r="FU78" i="10"/>
  <c r="FT78" i="10"/>
  <c r="FP78" i="10"/>
  <c r="FO78" i="10"/>
  <c r="FJ78" i="10"/>
  <c r="FF78" i="10"/>
  <c r="FE78" i="10"/>
  <c r="FA78" i="10"/>
  <c r="EZ78" i="10"/>
  <c r="EV78" i="10"/>
  <c r="EU78" i="10"/>
  <c r="EQ78" i="10"/>
  <c r="EP78" i="10"/>
  <c r="EL78" i="10"/>
  <c r="EK78" i="10"/>
  <c r="EF78" i="10"/>
  <c r="EB78" i="10"/>
  <c r="FY77" i="10"/>
  <c r="FT77" i="10"/>
  <c r="FJ77" i="10"/>
  <c r="FE77" i="10"/>
  <c r="EZ77" i="10"/>
  <c r="EU77" i="10"/>
  <c r="EP77" i="10"/>
  <c r="EK77" i="10"/>
  <c r="EF77" i="10"/>
  <c r="GF76" i="10"/>
  <c r="GE76" i="10" s="1"/>
  <c r="GA76" i="10"/>
  <c r="FZ76" i="10" s="1"/>
  <c r="FV76" i="10"/>
  <c r="FU76" i="10" s="1"/>
  <c r="FQ76" i="10"/>
  <c r="FP76" i="10" s="1"/>
  <c r="FL76" i="10"/>
  <c r="FK76" i="10" s="1"/>
  <c r="FG76" i="10"/>
  <c r="FF76" i="10" s="1"/>
  <c r="FA76" i="10"/>
  <c r="EV76" i="10"/>
  <c r="ER76" i="10"/>
  <c r="EQ76" i="10" s="1"/>
  <c r="EM76" i="10"/>
  <c r="EL76" i="10" s="1"/>
  <c r="EG76" i="10"/>
  <c r="EB76" i="10"/>
  <c r="GE74" i="10"/>
  <c r="FZ74" i="10"/>
  <c r="FU74" i="10"/>
  <c r="FP74" i="10"/>
  <c r="FK74" i="10"/>
  <c r="FA74" i="10"/>
  <c r="EV74" i="10"/>
  <c r="ES74" i="10"/>
  <c r="EQ74" i="10" s="1"/>
  <c r="EG74" i="10"/>
  <c r="EB74" i="10"/>
  <c r="GG73" i="10"/>
  <c r="FR73" i="10"/>
  <c r="FM73" i="10"/>
  <c r="FH73" i="10"/>
  <c r="FC73" i="10"/>
  <c r="EX73" i="10"/>
  <c r="ES73" i="10"/>
  <c r="EN73" i="10"/>
  <c r="EI73" i="10"/>
  <c r="GG72" i="10"/>
  <c r="FR72" i="10"/>
  <c r="FM72" i="10"/>
  <c r="FH72" i="10"/>
  <c r="FC72" i="10"/>
  <c r="EX72" i="10"/>
  <c r="ES72" i="10"/>
  <c r="EN72" i="10"/>
  <c r="EI72" i="10"/>
  <c r="GG71" i="10"/>
  <c r="FR71" i="10"/>
  <c r="FM71" i="10"/>
  <c r="FH71" i="10"/>
  <c r="FC71" i="10"/>
  <c r="EX71" i="10"/>
  <c r="ES71" i="10"/>
  <c r="EN71" i="10"/>
  <c r="EI71" i="10"/>
  <c r="FH68" i="10"/>
  <c r="GI66" i="10"/>
  <c r="GD66" i="10"/>
  <c r="FY66" i="10"/>
  <c r="FT66" i="10"/>
  <c r="FO66" i="10"/>
  <c r="FE66" i="10"/>
  <c r="FA66" i="10"/>
  <c r="EZ66" i="10"/>
  <c r="EU66" i="10"/>
  <c r="EN66" i="10"/>
  <c r="EP66" i="10" s="1"/>
  <c r="EM66" i="10"/>
  <c r="EK66" i="10"/>
  <c r="EG66" i="10"/>
  <c r="EF66" i="10"/>
  <c r="GI65" i="10"/>
  <c r="GD65" i="10"/>
  <c r="FY65" i="10"/>
  <c r="FT65" i="10"/>
  <c r="FO65" i="10"/>
  <c r="FJ65" i="10"/>
  <c r="FE65" i="10"/>
  <c r="EZ65" i="10"/>
  <c r="EU65" i="10"/>
  <c r="EP65" i="10"/>
  <c r="EK65" i="10"/>
  <c r="EF65" i="10"/>
  <c r="GE64" i="10"/>
  <c r="FZ64" i="10"/>
  <c r="FP64" i="10"/>
  <c r="FK64" i="10"/>
  <c r="FF64" i="10"/>
  <c r="FA64" i="10"/>
  <c r="EV64" i="10"/>
  <c r="EQ64" i="10"/>
  <c r="EL64" i="10"/>
  <c r="EG64" i="10"/>
  <c r="EB64" i="10"/>
  <c r="GE62" i="10"/>
  <c r="FZ62" i="10"/>
  <c r="FU62" i="10"/>
  <c r="FP62" i="10"/>
  <c r="FK62" i="10"/>
  <c r="FF62" i="10"/>
  <c r="FA62" i="10"/>
  <c r="EV62" i="10"/>
  <c r="EQ62" i="10"/>
  <c r="EP61" i="10"/>
  <c r="EG62" i="10"/>
  <c r="EB62" i="10"/>
  <c r="GI61" i="10"/>
  <c r="GD61" i="10"/>
  <c r="FY61" i="10"/>
  <c r="FT61" i="10"/>
  <c r="FO61" i="10"/>
  <c r="FJ61" i="10"/>
  <c r="FE61" i="10"/>
  <c r="EZ61" i="10"/>
  <c r="EU61" i="10"/>
  <c r="EK61" i="10"/>
  <c r="EF61" i="10"/>
  <c r="GI60" i="10"/>
  <c r="GD60" i="10"/>
  <c r="FY60" i="10"/>
  <c r="FT60" i="10"/>
  <c r="FO60" i="10"/>
  <c r="FJ60" i="10"/>
  <c r="FE60" i="10"/>
  <c r="EZ60" i="10"/>
  <c r="EU60" i="10"/>
  <c r="EK60" i="10"/>
  <c r="EF60" i="10"/>
  <c r="GE54" i="10"/>
  <c r="FZ54" i="10"/>
  <c r="FU54" i="10"/>
  <c r="FP54" i="10"/>
  <c r="FK54" i="10"/>
  <c r="FF54" i="10"/>
  <c r="FA54" i="10"/>
  <c r="EV54" i="10"/>
  <c r="EQ54" i="10"/>
  <c r="EL54" i="10"/>
  <c r="EG54" i="10"/>
  <c r="EB54" i="10"/>
  <c r="GI52" i="10"/>
  <c r="GE52" i="10"/>
  <c r="GD52" i="10"/>
  <c r="FZ52" i="10"/>
  <c r="FY52" i="10"/>
  <c r="FU52" i="10"/>
  <c r="FT52" i="10"/>
  <c r="FP52" i="10"/>
  <c r="FO52" i="10"/>
  <c r="FK52" i="10"/>
  <c r="FJ52" i="10"/>
  <c r="FF52" i="10"/>
  <c r="FE52" i="10"/>
  <c r="FA52" i="10"/>
  <c r="EZ52" i="10"/>
  <c r="EV52" i="10"/>
  <c r="EU52" i="10"/>
  <c r="EQ52" i="10"/>
  <c r="EP52" i="10"/>
  <c r="EL52" i="10"/>
  <c r="EK52" i="10"/>
  <c r="EG52" i="10"/>
  <c r="EF52" i="10"/>
  <c r="EB52" i="10"/>
  <c r="GI51" i="10"/>
  <c r="GD51" i="10"/>
  <c r="FY51" i="10"/>
  <c r="FT51" i="10"/>
  <c r="FO51" i="10"/>
  <c r="FJ51" i="10"/>
  <c r="FE51" i="10"/>
  <c r="EZ51" i="10"/>
  <c r="EU51" i="10"/>
  <c r="EP51" i="10"/>
  <c r="EK51" i="10"/>
  <c r="EF51" i="10"/>
  <c r="GE50" i="10"/>
  <c r="FZ50" i="10"/>
  <c r="FU50" i="10"/>
  <c r="FP50" i="10"/>
  <c r="FK50" i="10"/>
  <c r="FA50" i="10"/>
  <c r="EV50" i="10"/>
  <c r="EQ50" i="10"/>
  <c r="EL50" i="10"/>
  <c r="EG50" i="10"/>
  <c r="EB50" i="10"/>
  <c r="GE47" i="10"/>
  <c r="FZ47" i="10"/>
  <c r="FU47" i="10"/>
  <c r="FP47" i="10"/>
  <c r="FK47" i="10"/>
  <c r="FH47" i="10"/>
  <c r="FF47" i="10" s="1"/>
  <c r="FC47" i="10"/>
  <c r="FA47" i="10" s="1"/>
  <c r="EV47" i="10"/>
  <c r="ES47" i="10"/>
  <c r="EQ47" i="10" s="1"/>
  <c r="EL47" i="10"/>
  <c r="EG47" i="10"/>
  <c r="EB47" i="10"/>
  <c r="GI45" i="10"/>
  <c r="GD45" i="10"/>
  <c r="EK45" i="10"/>
  <c r="EF45" i="10"/>
  <c r="GI44" i="10"/>
  <c r="GD44" i="10"/>
  <c r="EK44" i="10"/>
  <c r="EF44" i="10"/>
  <c r="FW43" i="10"/>
  <c r="GG42" i="10"/>
  <c r="GB42" i="10"/>
  <c r="FW42" i="10"/>
  <c r="FM42" i="10"/>
  <c r="GB41" i="10"/>
  <c r="GG40" i="10"/>
  <c r="GE40" i="10" s="1"/>
  <c r="GB40" i="10"/>
  <c r="FZ40" i="10" s="1"/>
  <c r="FW40" i="10"/>
  <c r="FU40" i="10" s="1"/>
  <c r="FP40" i="10"/>
  <c r="FK40" i="10"/>
  <c r="FF40" i="10"/>
  <c r="FA40" i="10"/>
  <c r="EV40" i="10"/>
  <c r="EQ40" i="10"/>
  <c r="EL40" i="10"/>
  <c r="EG40" i="10"/>
  <c r="EB40" i="10"/>
  <c r="GG39" i="10"/>
  <c r="GB39" i="10"/>
  <c r="FW39" i="10"/>
  <c r="EK37" i="10"/>
  <c r="GG38" i="10"/>
  <c r="GB37" i="10"/>
  <c r="EF37" i="10"/>
  <c r="GE35" i="10"/>
  <c r="FZ35" i="10"/>
  <c r="FU35" i="10"/>
  <c r="FP35" i="10"/>
  <c r="FK35" i="10"/>
  <c r="FF35" i="10"/>
  <c r="FA35" i="10"/>
  <c r="EV35" i="10"/>
  <c r="EQ35" i="10"/>
  <c r="EL35" i="10"/>
  <c r="EG35" i="10"/>
  <c r="EB35" i="10"/>
  <c r="GE33" i="10"/>
  <c r="FZ33" i="10"/>
  <c r="FU33" i="10"/>
  <c r="FP33" i="10"/>
  <c r="FK33" i="10"/>
  <c r="FF33" i="10"/>
  <c r="FA33" i="10"/>
  <c r="EV33" i="10"/>
  <c r="ER33" i="10"/>
  <c r="EQ33" i="10" s="1"/>
  <c r="EP31" i="10"/>
  <c r="EG33" i="10"/>
  <c r="EB33" i="10"/>
  <c r="GI31" i="10"/>
  <c r="GD31" i="10"/>
  <c r="FY31" i="10"/>
  <c r="FT31" i="10"/>
  <c r="FO31" i="10"/>
  <c r="FJ31" i="10"/>
  <c r="FE31" i="10"/>
  <c r="EZ31" i="10"/>
  <c r="EU31" i="10"/>
  <c r="EK31" i="10"/>
  <c r="EF31" i="10"/>
  <c r="GI30" i="10"/>
  <c r="GD30" i="10"/>
  <c r="FY30" i="10"/>
  <c r="FT30" i="10"/>
  <c r="FO30" i="10"/>
  <c r="FJ30" i="10"/>
  <c r="FE30" i="10"/>
  <c r="EZ30" i="10"/>
  <c r="EU30" i="10"/>
  <c r="EK30" i="10"/>
  <c r="EF30" i="10"/>
  <c r="GE29" i="10"/>
  <c r="FZ29" i="10"/>
  <c r="FU29" i="10"/>
  <c r="FP29" i="10"/>
  <c r="FK29" i="10"/>
  <c r="FF29" i="10"/>
  <c r="FA29" i="10"/>
  <c r="EV29" i="10"/>
  <c r="EQ29" i="10"/>
  <c r="EL29" i="10"/>
  <c r="EG29" i="10"/>
  <c r="EB29" i="10"/>
  <c r="GI27" i="10"/>
  <c r="GE27" i="10"/>
  <c r="GD27" i="10"/>
  <c r="FZ27" i="10"/>
  <c r="FY27" i="10"/>
  <c r="FU27" i="10"/>
  <c r="FT27" i="10"/>
  <c r="FP27" i="10"/>
  <c r="FO27" i="10"/>
  <c r="FK27" i="10"/>
  <c r="FJ27" i="10"/>
  <c r="FF27" i="10"/>
  <c r="FE27" i="10"/>
  <c r="FA27" i="10"/>
  <c r="EZ27" i="10"/>
  <c r="EV27" i="10"/>
  <c r="EU27" i="10"/>
  <c r="EQ27" i="10"/>
  <c r="EP27" i="10"/>
  <c r="EK27" i="10"/>
  <c r="EG27" i="10"/>
  <c r="EF27" i="10"/>
  <c r="EB27" i="10"/>
  <c r="GI26" i="10"/>
  <c r="GD26" i="10"/>
  <c r="FY26" i="10"/>
  <c r="FT26" i="10"/>
  <c r="FO26" i="10"/>
  <c r="FJ26" i="10"/>
  <c r="FE26" i="10"/>
  <c r="EZ26" i="10"/>
  <c r="EU26" i="10"/>
  <c r="EK26" i="10"/>
  <c r="EF26" i="10"/>
  <c r="GE25" i="10"/>
  <c r="FZ25" i="10"/>
  <c r="FU25" i="10"/>
  <c r="FP25" i="10"/>
  <c r="FK25" i="10"/>
  <c r="FF25" i="10"/>
  <c r="FA25" i="10"/>
  <c r="EV25" i="10"/>
  <c r="EQ25" i="10"/>
  <c r="EL25" i="10"/>
  <c r="EG25" i="10"/>
  <c r="EB25" i="10"/>
  <c r="EI24" i="10"/>
  <c r="GI23" i="10"/>
  <c r="GD23" i="10"/>
  <c r="FY23" i="10"/>
  <c r="FU23" i="10"/>
  <c r="FT23" i="10"/>
  <c r="FO23" i="10"/>
  <c r="FK23" i="10"/>
  <c r="FJ23" i="10"/>
  <c r="FF23" i="10"/>
  <c r="FE23" i="10"/>
  <c r="FA23" i="10"/>
  <c r="EV23" i="10"/>
  <c r="EU23" i="10"/>
  <c r="EQ23" i="10"/>
  <c r="EF23" i="10"/>
  <c r="FY22" i="10"/>
  <c r="FT22" i="10"/>
  <c r="FO22" i="10"/>
  <c r="FJ22" i="10"/>
  <c r="FE22" i="10"/>
  <c r="EU22" i="10"/>
  <c r="GE21" i="10"/>
  <c r="FZ21" i="10"/>
  <c r="FU21" i="10"/>
  <c r="FP21" i="10"/>
  <c r="FK21" i="10"/>
  <c r="FF21" i="10"/>
  <c r="FA21" i="10"/>
  <c r="EV21" i="10"/>
  <c r="EQ21" i="10"/>
  <c r="EL21" i="10"/>
  <c r="EG21" i="10"/>
  <c r="EB21" i="10"/>
  <c r="GI19" i="10"/>
  <c r="GE19" i="10"/>
  <c r="GD19" i="10"/>
  <c r="FZ19" i="10"/>
  <c r="FY19" i="10"/>
  <c r="FU19" i="10"/>
  <c r="FT19" i="10"/>
  <c r="FO19" i="10"/>
  <c r="FK19" i="10"/>
  <c r="FJ19" i="10"/>
  <c r="FE19" i="10"/>
  <c r="FA19" i="10"/>
  <c r="EZ19" i="10"/>
  <c r="EV19" i="10"/>
  <c r="EU19" i="10"/>
  <c r="EQ19" i="10"/>
  <c r="EP19" i="10"/>
  <c r="EK19" i="10"/>
  <c r="EG19" i="10"/>
  <c r="EF19" i="10"/>
  <c r="GI18" i="10"/>
  <c r="GD18" i="10"/>
  <c r="FY18" i="10"/>
  <c r="FO18" i="10"/>
  <c r="FE18" i="10"/>
  <c r="EZ18" i="10"/>
  <c r="EU18" i="10"/>
  <c r="EK18" i="10"/>
  <c r="EF18" i="10"/>
  <c r="GG17" i="10"/>
  <c r="GE17" i="10" s="1"/>
  <c r="FZ17" i="10"/>
  <c r="FU17" i="10"/>
  <c r="FP17" i="10"/>
  <c r="FK17" i="10"/>
  <c r="FF17" i="10"/>
  <c r="FA17" i="10"/>
  <c r="EV17" i="10"/>
  <c r="EQ17" i="10"/>
  <c r="EL17" i="10"/>
  <c r="EI17" i="10"/>
  <c r="EG17" i="10" s="1"/>
  <c r="EB17" i="10"/>
  <c r="GG16" i="10"/>
  <c r="GG15" i="10"/>
  <c r="GE15" i="10" s="1"/>
  <c r="FZ15" i="10"/>
  <c r="FU15" i="10"/>
  <c r="FP15" i="10"/>
  <c r="FK15" i="10"/>
  <c r="FF15" i="10"/>
  <c r="FA15" i="10"/>
  <c r="EV15" i="10"/>
  <c r="EQ15" i="10"/>
  <c r="EL15" i="10"/>
  <c r="EG15" i="10"/>
  <c r="EB15" i="10"/>
  <c r="GG14" i="10"/>
  <c r="FH14" i="10"/>
  <c r="FJ14" i="10" s="1"/>
  <c r="FC14" i="10"/>
  <c r="FE14" i="10" s="1"/>
  <c r="GE12" i="10"/>
  <c r="FZ12" i="10"/>
  <c r="FU12" i="10"/>
  <c r="FP12" i="10"/>
  <c r="FK12" i="10"/>
  <c r="FF12" i="10"/>
  <c r="FA12" i="10"/>
  <c r="EV12" i="10"/>
  <c r="EQ12" i="10"/>
  <c r="EL12" i="10"/>
  <c r="EG12" i="10"/>
  <c r="EB12" i="10"/>
  <c r="GE10" i="10"/>
  <c r="FZ10" i="10"/>
  <c r="FU10" i="10"/>
  <c r="FP10" i="10"/>
  <c r="FK10" i="10"/>
  <c r="FI10" i="10"/>
  <c r="FH10" i="10"/>
  <c r="EV10" i="10"/>
  <c r="ET10" i="10"/>
  <c r="EQ10" i="10"/>
  <c r="EL10" i="10"/>
  <c r="EG10" i="10"/>
  <c r="EB10" i="10"/>
  <c r="GI9" i="10"/>
  <c r="GD9" i="10"/>
  <c r="FE9" i="10"/>
  <c r="EP9" i="10"/>
  <c r="EK9" i="10"/>
  <c r="EF9" i="10"/>
  <c r="GI8" i="10"/>
  <c r="GD8" i="10"/>
  <c r="FE8" i="10"/>
  <c r="EP8" i="10"/>
  <c r="EK8" i="10"/>
  <c r="EF8" i="10"/>
  <c r="EU81" i="10" l="1"/>
  <c r="FF10" i="10"/>
  <c r="FJ9" i="10"/>
  <c r="EZ144" i="10"/>
  <c r="FJ144" i="10"/>
  <c r="FT144" i="10"/>
  <c r="FY9" i="10"/>
  <c r="FO9" i="10"/>
  <c r="FT85" i="10"/>
  <c r="FY13" i="10"/>
  <c r="EZ14" i="10"/>
  <c r="FT14" i="10"/>
  <c r="GD14" i="10"/>
  <c r="FE37" i="10"/>
  <c r="FO36" i="10"/>
  <c r="FO37" i="10"/>
  <c r="EU37" i="10"/>
  <c r="GD36" i="10"/>
  <c r="GI22" i="10"/>
  <c r="FT136" i="10"/>
  <c r="FT139" i="10"/>
  <c r="GD139" i="10"/>
  <c r="FE196" i="10"/>
  <c r="EP148" i="10"/>
  <c r="EK71" i="10"/>
  <c r="EU71" i="10"/>
  <c r="FE71" i="10"/>
  <c r="FO71" i="10"/>
  <c r="FY71" i="10"/>
  <c r="GI71" i="10"/>
  <c r="GI70" i="10"/>
  <c r="EP23" i="10"/>
  <c r="EK176" i="10"/>
  <c r="EU176" i="10"/>
  <c r="FE176" i="10"/>
  <c r="FY176" i="10"/>
  <c r="GI176" i="10"/>
  <c r="EK23" i="10"/>
  <c r="FY37" i="10"/>
  <c r="GD199" i="10"/>
  <c r="EZ44" i="10"/>
  <c r="EG151" i="10"/>
  <c r="FO199" i="10"/>
  <c r="GD200" i="10"/>
  <c r="EK13" i="10"/>
  <c r="EZ45" i="10"/>
  <c r="FO77" i="10"/>
  <c r="EF92" i="10"/>
  <c r="EU120" i="10"/>
  <c r="FD233" i="10"/>
  <c r="EG23" i="10"/>
  <c r="EK22" i="10"/>
  <c r="EP26" i="10"/>
  <c r="EZ80" i="10"/>
  <c r="EK92" i="10"/>
  <c r="FO120" i="10"/>
  <c r="EK144" i="10"/>
  <c r="EQ150" i="10"/>
  <c r="FU150" i="10"/>
  <c r="GE150" i="10"/>
  <c r="EB151" i="10"/>
  <c r="FO176" i="10"/>
  <c r="FJ210" i="10"/>
  <c r="FJ36" i="10"/>
  <c r="GI37" i="10"/>
  <c r="FT44" i="10"/>
  <c r="FT45" i="10"/>
  <c r="EP60" i="10"/>
  <c r="EL62" i="10"/>
  <c r="FO70" i="10"/>
  <c r="EP80" i="10"/>
  <c r="EP81" i="10"/>
  <c r="EZ81" i="10"/>
  <c r="FT186" i="10"/>
  <c r="EU216" i="10"/>
  <c r="EU36" i="10"/>
  <c r="EV66" i="10"/>
  <c r="FK66" i="10"/>
  <c r="FY70" i="10"/>
  <c r="EF70" i="10"/>
  <c r="GI77" i="10"/>
  <c r="EU80" i="10"/>
  <c r="FT80" i="10"/>
  <c r="FE120" i="10"/>
  <c r="FY120" i="10"/>
  <c r="EP149" i="10"/>
  <c r="FJ149" i="10"/>
  <c r="GD148" i="10"/>
  <c r="EG150" i="10"/>
  <c r="GE151" i="10"/>
  <c r="GI175" i="10"/>
  <c r="EG176" i="10"/>
  <c r="EQ176" i="10"/>
  <c r="FA176" i="10"/>
  <c r="FK176" i="10"/>
  <c r="FU176" i="10"/>
  <c r="GE176" i="10"/>
  <c r="EK175" i="10"/>
  <c r="EU175" i="10"/>
  <c r="EK190" i="10"/>
  <c r="GD210" i="10"/>
  <c r="FT210" i="10"/>
  <c r="EZ70" i="10"/>
  <c r="EB150" i="10"/>
  <c r="FK151" i="10"/>
  <c r="FU151" i="10"/>
  <c r="FZ151" i="10"/>
  <c r="EF190" i="10"/>
  <c r="EF191" i="10"/>
  <c r="FK200" i="10"/>
  <c r="FU211" i="10"/>
  <c r="GD211" i="10"/>
  <c r="FJ216" i="10"/>
  <c r="EZ227" i="10"/>
  <c r="FJ227" i="10"/>
  <c r="FT227" i="10"/>
  <c r="EV228" i="10"/>
  <c r="FF228" i="10"/>
  <c r="FP228" i="10"/>
  <c r="FY8" i="10"/>
  <c r="EU9" i="10"/>
  <c r="EK36" i="10"/>
  <c r="FE36" i="10"/>
  <c r="FY36" i="10"/>
  <c r="EL66" i="10"/>
  <c r="EQ66" i="10"/>
  <c r="EK70" i="10"/>
  <c r="EL86" i="10"/>
  <c r="EU92" i="10"/>
  <c r="EG102" i="10"/>
  <c r="EU13" i="10"/>
  <c r="FT71" i="10"/>
  <c r="FT70" i="10"/>
  <c r="GD71" i="10"/>
  <c r="GD70" i="10"/>
  <c r="FY85" i="10"/>
  <c r="FY86" i="10"/>
  <c r="EV121" i="10"/>
  <c r="EZ120" i="10"/>
  <c r="FF121" i="10"/>
  <c r="FJ120" i="10"/>
  <c r="FJ119" i="10"/>
  <c r="FP121" i="10"/>
  <c r="FT120" i="10"/>
  <c r="FA134" i="10"/>
  <c r="FE133" i="10"/>
  <c r="FK134" i="10"/>
  <c r="FO133" i="10"/>
  <c r="FU134" i="10"/>
  <c r="FY133" i="10"/>
  <c r="EB142" i="10"/>
  <c r="EF139" i="10"/>
  <c r="EF136" i="10"/>
  <c r="EF149" i="10"/>
  <c r="EF148" i="10"/>
  <c r="EZ149" i="10"/>
  <c r="EZ148" i="10"/>
  <c r="FF198" i="10"/>
  <c r="FJ195" i="10"/>
  <c r="FE200" i="10"/>
  <c r="FA200" i="10"/>
  <c r="EQ201" i="10"/>
  <c r="EU200" i="10"/>
  <c r="GE215" i="10"/>
  <c r="GI210" i="10"/>
  <c r="EK217" i="10"/>
  <c r="EK216" i="10"/>
  <c r="EZ217" i="10"/>
  <c r="EV217" i="10"/>
  <c r="EZ216" i="10"/>
  <c r="FJ217" i="10"/>
  <c r="FF217" i="10"/>
  <c r="FT217" i="10"/>
  <c r="FP217" i="10"/>
  <c r="FT216" i="10"/>
  <c r="FT222" i="10"/>
  <c r="FT221" i="10"/>
  <c r="EL27" i="10"/>
  <c r="FE13" i="10"/>
  <c r="EK14" i="10"/>
  <c r="EP30" i="10"/>
  <c r="EL33" i="10"/>
  <c r="EF36" i="10"/>
  <c r="EP36" i="10"/>
  <c r="EZ36" i="10"/>
  <c r="FT36" i="10"/>
  <c r="GI36" i="10"/>
  <c r="EP37" i="10"/>
  <c r="EZ37" i="10"/>
  <c r="FJ37" i="10"/>
  <c r="FT37" i="10"/>
  <c r="EP44" i="10"/>
  <c r="FJ44" i="10"/>
  <c r="EP45" i="10"/>
  <c r="FJ45" i="10"/>
  <c r="FF66" i="10"/>
  <c r="EF71" i="10"/>
  <c r="FO86" i="10"/>
  <c r="FT119" i="10"/>
  <c r="FE132" i="10"/>
  <c r="FY132" i="10"/>
  <c r="EK133" i="10"/>
  <c r="EV134" i="10"/>
  <c r="EZ132" i="10"/>
  <c r="FF134" i="10"/>
  <c r="FJ132" i="10"/>
  <c r="FP134" i="10"/>
  <c r="FT132" i="10"/>
  <c r="EZ139" i="10"/>
  <c r="EZ136" i="10"/>
  <c r="FJ148" i="10"/>
  <c r="FP187" i="10"/>
  <c r="FT185" i="10"/>
  <c r="EB189" i="10"/>
  <c r="EF186" i="10"/>
  <c r="FU204" i="10"/>
  <c r="FY199" i="10"/>
  <c r="EK211" i="10"/>
  <c r="EG211" i="10"/>
  <c r="EU211" i="10"/>
  <c r="EQ211" i="10"/>
  <c r="EU210" i="10"/>
  <c r="EZ71" i="10"/>
  <c r="EP139" i="10"/>
  <c r="GI144" i="10"/>
  <c r="FK150" i="10"/>
  <c r="FP150" i="10"/>
  <c r="EQ151" i="10"/>
  <c r="FF151" i="10"/>
  <c r="FT148" i="10"/>
  <c r="FJ196" i="10"/>
  <c r="FY200" i="10"/>
  <c r="GI200" i="10"/>
  <c r="EU199" i="10"/>
  <c r="EQ217" i="10"/>
  <c r="EQ147" i="10"/>
  <c r="EU144" i="10"/>
  <c r="EK149" i="10"/>
  <c r="EK148" i="10"/>
  <c r="EU149" i="10"/>
  <c r="EU148" i="10"/>
  <c r="FE149" i="10"/>
  <c r="FE148" i="10"/>
  <c r="FO149" i="10"/>
  <c r="FO148" i="10"/>
  <c r="FY149" i="10"/>
  <c r="FY148" i="10"/>
  <c r="GI149" i="10"/>
  <c r="GI148" i="10"/>
  <c r="FA178" i="10"/>
  <c r="FE175" i="10"/>
  <c r="FU178" i="10"/>
  <c r="FY175" i="10"/>
  <c r="EL187" i="10"/>
  <c r="FF187" i="10"/>
  <c r="FJ186" i="10"/>
  <c r="FJ185" i="10"/>
  <c r="FK198" i="10"/>
  <c r="FO196" i="10"/>
  <c r="FO195" i="10"/>
  <c r="EK200" i="10"/>
  <c r="EK199" i="10"/>
  <c r="FA220" i="10"/>
  <c r="FE216" i="10"/>
  <c r="FK220" i="10"/>
  <c r="FO216" i="10"/>
  <c r="FU220" i="10"/>
  <c r="FY216" i="10"/>
  <c r="GE220" i="10"/>
  <c r="GI217" i="10"/>
  <c r="GI216" i="10"/>
  <c r="EK222" i="10"/>
  <c r="EK221" i="10"/>
  <c r="EU8" i="10"/>
  <c r="FO8" i="10"/>
  <c r="FO13" i="10"/>
  <c r="GI13" i="10"/>
  <c r="EU14" i="10"/>
  <c r="FO14" i="10"/>
  <c r="FY14" i="10"/>
  <c r="GI14" i="10"/>
  <c r="EF14" i="10"/>
  <c r="EP18" i="10"/>
  <c r="FJ18" i="10"/>
  <c r="FT18" i="10"/>
  <c r="EL19" i="10"/>
  <c r="FP19" i="10"/>
  <c r="GD22" i="10"/>
  <c r="FZ23" i="10"/>
  <c r="GD37" i="10"/>
  <c r="FJ66" i="10"/>
  <c r="FP66" i="10"/>
  <c r="EU70" i="10"/>
  <c r="FE70" i="10"/>
  <c r="FK78" i="10"/>
  <c r="GE78" i="10"/>
  <c r="FY80" i="10"/>
  <c r="FT81" i="10"/>
  <c r="FY81" i="10"/>
  <c r="EP85" i="10"/>
  <c r="FJ85" i="10"/>
  <c r="GD85" i="10"/>
  <c r="FE119" i="10"/>
  <c r="FO119" i="10"/>
  <c r="FY119" i="10"/>
  <c r="EQ121" i="10"/>
  <c r="EU143" i="10"/>
  <c r="EV145" i="10"/>
  <c r="EZ143" i="10"/>
  <c r="FT149" i="10"/>
  <c r="GD149" i="10"/>
  <c r="FO175" i="10"/>
  <c r="EZ185" i="10"/>
  <c r="EP196" i="10"/>
  <c r="EP195" i="10"/>
  <c r="GI199" i="10"/>
  <c r="FJ200" i="10"/>
  <c r="FF200" i="10"/>
  <c r="FZ220" i="10"/>
  <c r="GD217" i="10"/>
  <c r="EZ222" i="10"/>
  <c r="FF150" i="10"/>
  <c r="FZ150" i="10"/>
  <c r="EL151" i="10"/>
  <c r="FP151" i="10"/>
  <c r="EL196" i="10"/>
  <c r="FF196" i="10"/>
  <c r="FA198" i="10"/>
  <c r="EL74" i="10"/>
  <c r="EP70" i="10"/>
  <c r="FF74" i="10"/>
  <c r="FJ70" i="10"/>
  <c r="FF84" i="10"/>
  <c r="FJ80" i="10"/>
  <c r="FF95" i="10"/>
  <c r="FJ91" i="10"/>
  <c r="FP95" i="10"/>
  <c r="FT91" i="10"/>
  <c r="FZ95" i="10"/>
  <c r="GD91" i="10"/>
  <c r="EL121" i="10"/>
  <c r="EP120" i="10"/>
  <c r="EQ142" i="10"/>
  <c r="EU136" i="10"/>
  <c r="FA142" i="10"/>
  <c r="FE139" i="10"/>
  <c r="FE136" i="10"/>
  <c r="EL145" i="10"/>
  <c r="EP143" i="10"/>
  <c r="FK145" i="10"/>
  <c r="FO144" i="10"/>
  <c r="FU145" i="10"/>
  <c r="FY144" i="10"/>
  <c r="EF176" i="10"/>
  <c r="EB176" i="10"/>
  <c r="EF175" i="10"/>
  <c r="EP176" i="10"/>
  <c r="EL176" i="10"/>
  <c r="EP175" i="10"/>
  <c r="EZ176" i="10"/>
  <c r="EV176" i="10"/>
  <c r="EZ175" i="10"/>
  <c r="FJ176" i="10"/>
  <c r="FF176" i="10"/>
  <c r="FJ175" i="10"/>
  <c r="FT176" i="10"/>
  <c r="FP176" i="10"/>
  <c r="FT175" i="10"/>
  <c r="GD176" i="10"/>
  <c r="FZ176" i="10"/>
  <c r="GD175" i="10"/>
  <c r="EG187" i="10"/>
  <c r="EK186" i="10"/>
  <c r="EK185" i="10"/>
  <c r="EQ187" i="10"/>
  <c r="EU186" i="10"/>
  <c r="EU185" i="10"/>
  <c r="FA187" i="10"/>
  <c r="FE186" i="10"/>
  <c r="FE185" i="10"/>
  <c r="FK187" i="10"/>
  <c r="FO186" i="10"/>
  <c r="FO185" i="10"/>
  <c r="EG198" i="10"/>
  <c r="EK195" i="10"/>
  <c r="EK196" i="10"/>
  <c r="EQ198" i="10"/>
  <c r="EU195" i="10"/>
  <c r="EZ200" i="10"/>
  <c r="EV200" i="10"/>
  <c r="EZ199" i="10"/>
  <c r="FT200" i="10"/>
  <c r="FP200" i="10"/>
  <c r="FT199" i="10"/>
  <c r="EB204" i="10"/>
  <c r="EF199" i="10"/>
  <c r="EF200" i="10"/>
  <c r="EL204" i="10"/>
  <c r="EP199" i="10"/>
  <c r="EP200" i="10"/>
  <c r="EP211" i="10"/>
  <c r="EL211" i="10"/>
  <c r="EP210" i="10"/>
  <c r="EV211" i="10"/>
  <c r="EZ210" i="10"/>
  <c r="EZ211" i="10"/>
  <c r="EF222" i="10"/>
  <c r="EF221" i="10"/>
  <c r="EU222" i="10"/>
  <c r="EU221" i="10"/>
  <c r="FE222" i="10"/>
  <c r="FE221" i="10"/>
  <c r="FY222" i="10"/>
  <c r="FY221" i="10"/>
  <c r="EU228" i="10"/>
  <c r="EQ228" i="10"/>
  <c r="FE228" i="10"/>
  <c r="FA228" i="10"/>
  <c r="FO228" i="10"/>
  <c r="FK228" i="10"/>
  <c r="FY228" i="10"/>
  <c r="FU228" i="10"/>
  <c r="EZ8" i="10"/>
  <c r="FJ8" i="10"/>
  <c r="FT8" i="10"/>
  <c r="EZ9" i="10"/>
  <c r="FT9" i="10"/>
  <c r="FI233" i="10"/>
  <c r="EF13" i="10"/>
  <c r="EP13" i="10"/>
  <c r="EZ13" i="10"/>
  <c r="FJ13" i="10"/>
  <c r="FT13" i="10"/>
  <c r="GD13" i="10"/>
  <c r="EP14" i="10"/>
  <c r="FF19" i="10"/>
  <c r="EF22" i="10"/>
  <c r="EP22" i="10"/>
  <c r="EZ22" i="10"/>
  <c r="EB23" i="10"/>
  <c r="EL23" i="10"/>
  <c r="EZ23" i="10"/>
  <c r="GE23" i="10"/>
  <c r="EU44" i="10"/>
  <c r="FE44" i="10"/>
  <c r="FO44" i="10"/>
  <c r="FY44" i="10"/>
  <c r="EU45" i="10"/>
  <c r="FE45" i="10"/>
  <c r="FO45" i="10"/>
  <c r="FY45" i="10"/>
  <c r="EP71" i="10"/>
  <c r="FJ71" i="10"/>
  <c r="GD78" i="10"/>
  <c r="FZ78" i="10"/>
  <c r="EB84" i="10"/>
  <c r="EF80" i="10"/>
  <c r="EK91" i="10"/>
  <c r="EU91" i="10"/>
  <c r="FT92" i="10"/>
  <c r="EB95" i="10"/>
  <c r="EF91" i="10"/>
  <c r="FA95" i="10"/>
  <c r="FE92" i="10"/>
  <c r="FK95" i="10"/>
  <c r="FO92" i="10"/>
  <c r="FU95" i="10"/>
  <c r="FY92" i="10"/>
  <c r="GE95" i="10"/>
  <c r="GI92" i="10"/>
  <c r="FJ116" i="10"/>
  <c r="FF116" i="10"/>
  <c r="FJ115" i="10"/>
  <c r="EK132" i="10"/>
  <c r="EL134" i="10"/>
  <c r="EP133" i="10"/>
  <c r="EP132" i="10"/>
  <c r="EP136" i="10"/>
  <c r="FJ136" i="10"/>
  <c r="GD136" i="10"/>
  <c r="EU139" i="10"/>
  <c r="FO139" i="10"/>
  <c r="FO136" i="10"/>
  <c r="FY139" i="10"/>
  <c r="FY136" i="10"/>
  <c r="GI139" i="10"/>
  <c r="GI136" i="10"/>
  <c r="EK143" i="10"/>
  <c r="FO143" i="10"/>
  <c r="GI143" i="10"/>
  <c r="EP144" i="10"/>
  <c r="GD144" i="10"/>
  <c r="GD143" i="10"/>
  <c r="FF145" i="10"/>
  <c r="FJ143" i="10"/>
  <c r="FP145" i="10"/>
  <c r="FT143" i="10"/>
  <c r="EB147" i="10"/>
  <c r="EF144" i="10"/>
  <c r="EF143" i="10"/>
  <c r="FJ211" i="10"/>
  <c r="FY211" i="10"/>
  <c r="FK215" i="10"/>
  <c r="FO210" i="10"/>
  <c r="FE217" i="10"/>
  <c r="FA217" i="10"/>
  <c r="FO217" i="10"/>
  <c r="FK217" i="10"/>
  <c r="FY217" i="10"/>
  <c r="FU217" i="10"/>
  <c r="EV198" i="10"/>
  <c r="EZ196" i="10"/>
  <c r="GE198" i="10"/>
  <c r="GI196" i="10"/>
  <c r="GI195" i="10"/>
  <c r="FA211" i="10"/>
  <c r="FE210" i="10"/>
  <c r="FE211" i="10"/>
  <c r="FT211" i="10"/>
  <c r="FP211" i="10"/>
  <c r="EB215" i="10"/>
  <c r="EF211" i="10"/>
  <c r="EP217" i="10"/>
  <c r="EL217" i="10"/>
  <c r="EP216" i="10"/>
  <c r="DT37" i="10"/>
  <c r="DT42" i="10"/>
  <c r="DT41" i="10"/>
  <c r="DT39" i="10"/>
  <c r="DT40" i="10"/>
  <c r="DO182" i="10"/>
  <c r="DO217" i="10"/>
  <c r="DO102" i="10"/>
  <c r="DM102" i="10" s="1"/>
  <c r="DN211" i="10"/>
  <c r="DO211" i="10"/>
  <c r="DO134" i="10"/>
  <c r="DN66" i="10"/>
  <c r="DO66" i="10"/>
  <c r="DJ66" i="10"/>
  <c r="DI66" i="10"/>
  <c r="DD66" i="10"/>
  <c r="DE66" i="10"/>
  <c r="DE145" i="10"/>
  <c r="DJ145" i="10"/>
  <c r="DO145" i="10"/>
  <c r="FO234" i="10" l="1"/>
  <c r="FJ234" i="10"/>
  <c r="GI234" i="10"/>
  <c r="FO233" i="10"/>
  <c r="EK233" i="10"/>
  <c r="EZ233" i="10"/>
  <c r="EK234" i="10"/>
  <c r="DH66" i="10"/>
  <c r="GI233" i="10"/>
  <c r="EU233" i="10"/>
  <c r="FJ233" i="10"/>
  <c r="EP234" i="10"/>
  <c r="GD233" i="10"/>
  <c r="GD234" i="10"/>
  <c r="DC66" i="10"/>
  <c r="FY233" i="10"/>
  <c r="EU234" i="10"/>
  <c r="FE233" i="10"/>
  <c r="FY234" i="10"/>
  <c r="FE234" i="10"/>
  <c r="EF234" i="10"/>
  <c r="EP233" i="10"/>
  <c r="FT234" i="10"/>
  <c r="EF233" i="10"/>
  <c r="EZ234" i="10"/>
  <c r="FT233" i="10"/>
  <c r="DU196" i="10"/>
  <c r="DU33" i="10"/>
  <c r="DP200" i="10" l="1"/>
  <c r="DP211" i="10"/>
  <c r="H726" i="13" l="1"/>
  <c r="J725" i="13"/>
  <c r="Q150" i="13" s="1"/>
  <c r="S150" i="13" s="1"/>
  <c r="J724" i="13"/>
  <c r="Q165" i="13" s="1"/>
  <c r="J723" i="13"/>
  <c r="Q88" i="13" s="1"/>
  <c r="S88" i="13" s="1"/>
  <c r="J722" i="13"/>
  <c r="Q49" i="13" s="1"/>
  <c r="Y721" i="13"/>
  <c r="Q721" i="13"/>
  <c r="J721" i="13"/>
  <c r="Q33" i="13" s="1"/>
  <c r="J720" i="13"/>
  <c r="Q15" i="13" s="1"/>
  <c r="J719" i="13"/>
  <c r="Q10" i="13" s="1"/>
  <c r="J718" i="13"/>
  <c r="Q64" i="13" s="1"/>
  <c r="S64" i="13" s="1"/>
  <c r="J717" i="13"/>
  <c r="Q23" i="13" s="1"/>
  <c r="J716" i="13"/>
  <c r="Q27" i="13" s="1"/>
  <c r="J715" i="13"/>
  <c r="Q74" i="13" s="1"/>
  <c r="J714" i="13"/>
  <c r="Q69" i="13" s="1"/>
  <c r="J713" i="13"/>
  <c r="Q84" i="13" s="1"/>
  <c r="S84" i="13" s="1"/>
  <c r="J712" i="13"/>
  <c r="Y710" i="13"/>
  <c r="Y723" i="13" s="1"/>
  <c r="Q710" i="13"/>
  <c r="Q723" i="13" s="1"/>
  <c r="U707" i="13"/>
  <c r="L707" i="13"/>
  <c r="R705" i="13"/>
  <c r="F705" i="13"/>
  <c r="R704" i="13"/>
  <c r="F704" i="13"/>
  <c r="F703" i="13"/>
  <c r="W702" i="13"/>
  <c r="F702" i="13"/>
  <c r="P700" i="13"/>
  <c r="D700" i="13"/>
  <c r="AO692" i="13"/>
  <c r="AM691" i="13"/>
  <c r="AO691" i="13" s="1"/>
  <c r="AO690" i="13"/>
  <c r="AO689" i="13"/>
  <c r="AO688" i="13"/>
  <c r="AO687" i="13"/>
  <c r="AO686" i="13"/>
  <c r="AO685" i="13"/>
  <c r="BA683" i="13"/>
  <c r="AY683" i="13"/>
  <c r="AC683" i="13"/>
  <c r="AA683" i="13"/>
  <c r="L683" i="13"/>
  <c r="J683" i="13"/>
  <c r="BA682" i="13"/>
  <c r="AY682" i="13"/>
  <c r="AC682" i="13"/>
  <c r="AA682" i="13"/>
  <c r="L682" i="13"/>
  <c r="J682" i="13"/>
  <c r="BA681" i="13"/>
  <c r="AY681" i="13"/>
  <c r="AC681" i="13"/>
  <c r="AA681" i="13"/>
  <c r="L681" i="13"/>
  <c r="J681" i="13"/>
  <c r="BA680" i="13"/>
  <c r="AY680" i="13"/>
  <c r="AO680" i="13"/>
  <c r="AM680" i="13"/>
  <c r="AC680" i="13"/>
  <c r="AA680" i="13"/>
  <c r="L680" i="13"/>
  <c r="J680" i="13"/>
  <c r="BA679" i="13"/>
  <c r="AY679" i="13"/>
  <c r="AO679" i="13"/>
  <c r="AM679" i="13"/>
  <c r="AC679" i="13"/>
  <c r="AA679" i="13"/>
  <c r="L679" i="13"/>
  <c r="J679" i="13"/>
  <c r="BA678" i="13"/>
  <c r="AY678" i="13"/>
  <c r="AO678" i="13"/>
  <c r="AM678" i="13"/>
  <c r="AC678" i="13"/>
  <c r="AA678" i="13"/>
  <c r="L678" i="13"/>
  <c r="J678" i="13"/>
  <c r="BA677" i="13"/>
  <c r="AY677" i="13"/>
  <c r="AO677" i="13"/>
  <c r="AM677" i="13"/>
  <c r="AC677" i="13"/>
  <c r="AA677" i="13"/>
  <c r="L677" i="13"/>
  <c r="J677" i="13"/>
  <c r="BA676" i="13"/>
  <c r="AY676" i="13"/>
  <c r="AO676" i="13"/>
  <c r="AM676" i="13"/>
  <c r="AC676" i="13"/>
  <c r="AA676" i="13"/>
  <c r="L676" i="13"/>
  <c r="J676" i="13"/>
  <c r="BA675" i="13"/>
  <c r="AY675" i="13"/>
  <c r="AO675" i="13"/>
  <c r="AM675" i="13"/>
  <c r="AC675" i="13"/>
  <c r="AA675" i="13"/>
  <c r="L675" i="13"/>
  <c r="J675" i="13"/>
  <c r="BA674" i="13"/>
  <c r="AY674" i="13"/>
  <c r="AO674" i="13"/>
  <c r="AM674" i="13"/>
  <c r="AC674" i="13"/>
  <c r="AA674" i="13"/>
  <c r="L674" i="13"/>
  <c r="J674" i="13"/>
  <c r="BA673" i="13"/>
  <c r="AY673" i="13"/>
  <c r="AO673" i="13"/>
  <c r="AM673" i="13"/>
  <c r="AC673" i="13"/>
  <c r="AA673" i="13"/>
  <c r="AA672" i="13" s="1"/>
  <c r="L673" i="13"/>
  <c r="J673" i="13"/>
  <c r="AU672" i="13"/>
  <c r="AS672" i="13"/>
  <c r="AI672" i="13"/>
  <c r="AG672" i="13"/>
  <c r="W672" i="13"/>
  <c r="F672" i="13"/>
  <c r="D672" i="13"/>
  <c r="AE665" i="13"/>
  <c r="L665" i="13"/>
  <c r="Q101" i="13" s="1"/>
  <c r="J665" i="13"/>
  <c r="P101" i="13" s="1"/>
  <c r="AE664" i="13"/>
  <c r="AA664" i="13"/>
  <c r="W664" i="13"/>
  <c r="P664" i="13"/>
  <c r="L664" i="13"/>
  <c r="J664" i="13"/>
  <c r="AE663" i="13"/>
  <c r="P663" i="13"/>
  <c r="P665" i="13" s="1"/>
  <c r="L663" i="13"/>
  <c r="J663" i="13"/>
  <c r="AE662" i="13"/>
  <c r="AA662" i="13"/>
  <c r="W662" i="13"/>
  <c r="F662" i="13"/>
  <c r="D662" i="13"/>
  <c r="AA661" i="13"/>
  <c r="W661" i="13"/>
  <c r="AI658" i="13"/>
  <c r="AI657" i="13"/>
  <c r="AE657" i="13"/>
  <c r="P657" i="13"/>
  <c r="L657" i="13"/>
  <c r="H657" i="13"/>
  <c r="D657" i="13"/>
  <c r="AI656" i="13"/>
  <c r="AE656" i="13"/>
  <c r="P656" i="13"/>
  <c r="L656" i="13"/>
  <c r="AI655" i="13"/>
  <c r="AE655" i="13"/>
  <c r="AA655" i="13"/>
  <c r="T655" i="13"/>
  <c r="P655" i="13"/>
  <c r="L655" i="13"/>
  <c r="H655" i="13"/>
  <c r="D655" i="13"/>
  <c r="AE654" i="13"/>
  <c r="AA654" i="13"/>
  <c r="T654" i="13"/>
  <c r="P654" i="13"/>
  <c r="L654" i="13"/>
  <c r="H654" i="13"/>
  <c r="D654" i="13"/>
  <c r="W653" i="13"/>
  <c r="W655" i="13" s="1"/>
  <c r="AG646" i="13"/>
  <c r="AC646" i="13"/>
  <c r="AG645" i="13"/>
  <c r="AG647" i="13" s="1"/>
  <c r="AC645" i="13"/>
  <c r="AC647" i="13" s="1"/>
  <c r="Y639" i="13"/>
  <c r="AC639" i="13" s="1"/>
  <c r="Y638" i="13"/>
  <c r="AC638" i="13" s="1"/>
  <c r="Y630" i="13"/>
  <c r="Y629" i="13"/>
  <c r="Y628" i="13"/>
  <c r="AP620" i="13"/>
  <c r="AL620" i="13"/>
  <c r="AG620" i="13"/>
  <c r="AF620" i="13"/>
  <c r="AA620" i="13"/>
  <c r="Y620" i="13"/>
  <c r="W620" i="13"/>
  <c r="Q620" i="13"/>
  <c r="P620" i="13"/>
  <c r="L620" i="13"/>
  <c r="J620" i="13"/>
  <c r="I620" i="13"/>
  <c r="AS619" i="13"/>
  <c r="I618" i="13"/>
  <c r="AS618" i="13" s="1"/>
  <c r="AQ617" i="13"/>
  <c r="AQ620" i="13" s="1"/>
  <c r="AN617" i="13"/>
  <c r="AN620" i="13" s="1"/>
  <c r="AK617" i="13"/>
  <c r="AK620" i="13" s="1"/>
  <c r="AJ617" i="13"/>
  <c r="AJ620" i="13" s="1"/>
  <c r="AH617" i="13"/>
  <c r="AH620" i="13" s="1"/>
  <c r="AE617" i="13"/>
  <c r="AE620" i="13" s="1"/>
  <c r="AD617" i="13"/>
  <c r="AD620" i="13" s="1"/>
  <c r="S617" i="13"/>
  <c r="S620" i="13" s="1"/>
  <c r="I616" i="13"/>
  <c r="AS616" i="13" s="1"/>
  <c r="I615" i="13"/>
  <c r="AS615" i="13" s="1"/>
  <c r="AS613" i="13"/>
  <c r="AS608" i="13"/>
  <c r="AN607" i="13"/>
  <c r="AS607" i="13" s="1"/>
  <c r="AP606" i="13"/>
  <c r="AO606" i="13"/>
  <c r="AM606" i="13"/>
  <c r="AI606" i="13"/>
  <c r="AE606" i="13"/>
  <c r="AD606" i="13"/>
  <c r="AC606" i="13"/>
  <c r="Y606" i="13"/>
  <c r="X606" i="13"/>
  <c r="V606" i="13"/>
  <c r="U606" i="13"/>
  <c r="T606" i="13"/>
  <c r="S606" i="13"/>
  <c r="P606" i="13"/>
  <c r="O606" i="13"/>
  <c r="N606" i="13"/>
  <c r="K606" i="13"/>
  <c r="J606" i="13"/>
  <c r="AR605" i="13"/>
  <c r="AR609" i="13" s="1"/>
  <c r="AQ605" i="13"/>
  <c r="AQ609" i="13" s="1"/>
  <c r="AP605" i="13"/>
  <c r="AO605" i="13"/>
  <c r="AO609" i="13" s="1"/>
  <c r="AN605" i="13"/>
  <c r="AM605" i="13"/>
  <c r="AL605" i="13"/>
  <c r="AL609" i="13" s="1"/>
  <c r="AK605" i="13"/>
  <c r="AK609" i="13" s="1"/>
  <c r="AJ605" i="13"/>
  <c r="AJ609" i="13" s="1"/>
  <c r="AI605" i="13"/>
  <c r="AI609" i="13" s="1"/>
  <c r="AH605" i="13"/>
  <c r="AH609" i="13" s="1"/>
  <c r="AG605" i="13"/>
  <c r="AG609" i="13" s="1"/>
  <c r="AF605" i="13"/>
  <c r="AF609" i="13" s="1"/>
  <c r="AE605" i="13"/>
  <c r="AD605" i="13"/>
  <c r="AC605" i="13"/>
  <c r="AB605" i="13"/>
  <c r="AB609" i="13" s="1"/>
  <c r="AA605" i="13"/>
  <c r="AA609" i="13" s="1"/>
  <c r="Z605" i="13"/>
  <c r="Z609" i="13" s="1"/>
  <c r="Y605" i="13"/>
  <c r="X605" i="13"/>
  <c r="W605" i="13"/>
  <c r="W609" i="13" s="1"/>
  <c r="V605" i="13"/>
  <c r="U605" i="13"/>
  <c r="T605" i="13"/>
  <c r="S605" i="13"/>
  <c r="R605" i="13"/>
  <c r="R609" i="13" s="1"/>
  <c r="Q605" i="13"/>
  <c r="Q609" i="13" s="1"/>
  <c r="P605" i="13"/>
  <c r="O605" i="13"/>
  <c r="N605" i="13"/>
  <c r="M605" i="13"/>
  <c r="M609" i="13" s="1"/>
  <c r="L605" i="13"/>
  <c r="L609" i="13" s="1"/>
  <c r="K605" i="13"/>
  <c r="J605" i="13"/>
  <c r="I605" i="13"/>
  <c r="T595" i="13"/>
  <c r="U595" i="13" s="1"/>
  <c r="T587" i="13"/>
  <c r="S580" i="13"/>
  <c r="T537" i="13" s="1"/>
  <c r="U537" i="13" s="1"/>
  <c r="T529" i="13"/>
  <c r="S510" i="13"/>
  <c r="T502" i="13" s="1"/>
  <c r="U502" i="13" s="1"/>
  <c r="I614" i="13" s="1"/>
  <c r="AS614" i="13" s="1"/>
  <c r="S492" i="13"/>
  <c r="S485" i="13"/>
  <c r="S484" i="13"/>
  <c r="S482" i="13"/>
  <c r="S481" i="13"/>
  <c r="S479" i="13"/>
  <c r="S478" i="13"/>
  <c r="S477" i="13"/>
  <c r="S476" i="13"/>
  <c r="S475" i="13"/>
  <c r="S474" i="13"/>
  <c r="S472" i="13"/>
  <c r="S471" i="13"/>
  <c r="S469" i="13"/>
  <c r="S467" i="13"/>
  <c r="S466" i="13"/>
  <c r="U464" i="13"/>
  <c r="S464" i="13"/>
  <c r="T440" i="13"/>
  <c r="T398" i="13"/>
  <c r="T312" i="13"/>
  <c r="U306" i="13"/>
  <c r="U305" i="13"/>
  <c r="AM617" i="13" s="1"/>
  <c r="AM620" i="13" s="1"/>
  <c r="U303" i="13"/>
  <c r="AI617" i="13" s="1"/>
  <c r="AI620" i="13" s="1"/>
  <c r="U302" i="13"/>
  <c r="AC617" i="13" s="1"/>
  <c r="AC620" i="13" s="1"/>
  <c r="T301" i="13"/>
  <c r="T300" i="13"/>
  <c r="U288" i="13"/>
  <c r="T287" i="13"/>
  <c r="AO617" i="13" s="1"/>
  <c r="AO620" i="13" s="1"/>
  <c r="S287" i="13"/>
  <c r="T286" i="13"/>
  <c r="Z617" i="13" s="1"/>
  <c r="Z620" i="13" s="1"/>
  <c r="S286" i="13"/>
  <c r="T285" i="13"/>
  <c r="X617" i="13" s="1"/>
  <c r="X620" i="13" s="1"/>
  <c r="S285" i="13"/>
  <c r="T284" i="13"/>
  <c r="V617" i="13" s="1"/>
  <c r="V620" i="13" s="1"/>
  <c r="S284" i="13"/>
  <c r="T283" i="13"/>
  <c r="U617" i="13" s="1"/>
  <c r="U620" i="13" s="1"/>
  <c r="S283" i="13"/>
  <c r="T282" i="13"/>
  <c r="T617" i="13" s="1"/>
  <c r="T620" i="13" s="1"/>
  <c r="S282" i="13"/>
  <c r="T281" i="13"/>
  <c r="R617" i="13" s="1"/>
  <c r="R620" i="13" s="1"/>
  <c r="S281" i="13"/>
  <c r="T280" i="13"/>
  <c r="O617" i="13" s="1"/>
  <c r="O620" i="13" s="1"/>
  <c r="S280" i="13"/>
  <c r="T279" i="13"/>
  <c r="N617" i="13" s="1"/>
  <c r="N620" i="13" s="1"/>
  <c r="S279" i="13"/>
  <c r="T278" i="13"/>
  <c r="S278" i="13"/>
  <c r="T277" i="13"/>
  <c r="S277" i="13"/>
  <c r="T276" i="13"/>
  <c r="K617" i="13" s="1"/>
  <c r="S276" i="13"/>
  <c r="U272" i="13"/>
  <c r="T262" i="13"/>
  <c r="S262" i="13"/>
  <c r="U256" i="13"/>
  <c r="U242" i="13"/>
  <c r="T236" i="13"/>
  <c r="U236" i="13" s="1"/>
  <c r="U219" i="13"/>
  <c r="U201" i="13"/>
  <c r="T194" i="13"/>
  <c r="O192" i="13"/>
  <c r="O189" i="13"/>
  <c r="Q188" i="13"/>
  <c r="S188" i="13" s="1"/>
  <c r="P188" i="13"/>
  <c r="O187" i="13"/>
  <c r="O184" i="13"/>
  <c r="Q183" i="13"/>
  <c r="S183" i="13" s="1"/>
  <c r="P183" i="13"/>
  <c r="Q182" i="13"/>
  <c r="O182" i="13" s="1"/>
  <c r="O179" i="13"/>
  <c r="P178" i="13"/>
  <c r="O177" i="13"/>
  <c r="O174" i="13"/>
  <c r="P173" i="13"/>
  <c r="Q172" i="13"/>
  <c r="O172" i="13" s="1"/>
  <c r="Q170" i="13"/>
  <c r="O170" i="13" s="1"/>
  <c r="Q168" i="13"/>
  <c r="O168" i="13" s="1"/>
  <c r="Q166" i="13"/>
  <c r="O166" i="13" s="1"/>
  <c r="P165" i="13"/>
  <c r="O164" i="13"/>
  <c r="O163" i="13"/>
  <c r="S161" i="13"/>
  <c r="O160" i="13"/>
  <c r="O158" i="13"/>
  <c r="Q156" i="13"/>
  <c r="P155" i="13"/>
  <c r="O154" i="13"/>
  <c r="O152" i="13"/>
  <c r="P150" i="13"/>
  <c r="Q148" i="13"/>
  <c r="O148" i="13" s="1"/>
  <c r="Q146" i="13"/>
  <c r="O146" i="13" s="1"/>
  <c r="P145" i="13"/>
  <c r="O144" i="13"/>
  <c r="O142" i="13"/>
  <c r="P140" i="13"/>
  <c r="S136" i="13"/>
  <c r="S132" i="13"/>
  <c r="S127" i="13"/>
  <c r="Q126" i="13"/>
  <c r="P126" i="13"/>
  <c r="Q125" i="13"/>
  <c r="P125" i="13"/>
  <c r="Q124" i="13"/>
  <c r="P123" i="13"/>
  <c r="Q122" i="13"/>
  <c r="O122" i="13" s="1"/>
  <c r="Q120" i="13"/>
  <c r="O120" i="13" s="1"/>
  <c r="Q119" i="13"/>
  <c r="P118" i="13"/>
  <c r="Q117" i="13"/>
  <c r="O117" i="13" s="1"/>
  <c r="O116" i="13"/>
  <c r="Q115" i="13"/>
  <c r="P114" i="13"/>
  <c r="O113" i="13"/>
  <c r="O112" i="13"/>
  <c r="S110" i="13"/>
  <c r="O109" i="13"/>
  <c r="O108" i="13"/>
  <c r="P106" i="13"/>
  <c r="O105" i="13"/>
  <c r="Q103" i="13"/>
  <c r="O103" i="13" s="1"/>
  <c r="P102" i="13"/>
  <c r="O99" i="13"/>
  <c r="O98" i="13"/>
  <c r="P97" i="13"/>
  <c r="O96" i="13"/>
  <c r="O94" i="13"/>
  <c r="P93" i="13"/>
  <c r="P88" i="13"/>
  <c r="O87" i="13"/>
  <c r="O85" i="13"/>
  <c r="P84" i="13"/>
  <c r="O83" i="13"/>
  <c r="O80" i="13"/>
  <c r="P79" i="13"/>
  <c r="Q78" i="13"/>
  <c r="O78" i="13" s="1"/>
  <c r="Q77" i="13"/>
  <c r="O76" i="13"/>
  <c r="Q75" i="13"/>
  <c r="P74" i="13"/>
  <c r="O73" i="13"/>
  <c r="Q72" i="13"/>
  <c r="Q70" i="13"/>
  <c r="O70" i="13" s="1"/>
  <c r="P69" i="13"/>
  <c r="O68" i="13"/>
  <c r="O67" i="13"/>
  <c r="O65" i="13"/>
  <c r="P64" i="13"/>
  <c r="O63" i="13"/>
  <c r="Q62" i="13"/>
  <c r="O62" i="13" s="1"/>
  <c r="P61" i="13"/>
  <c r="P60" i="13"/>
  <c r="O60" i="13" s="1"/>
  <c r="O58" i="13"/>
  <c r="Q57" i="13"/>
  <c r="Q56" i="13"/>
  <c r="Q55" i="13"/>
  <c r="O53" i="13"/>
  <c r="Q51" i="13"/>
  <c r="O51" i="13" s="1"/>
  <c r="P49" i="13"/>
  <c r="O48" i="13"/>
  <c r="O46" i="13"/>
  <c r="P45" i="13"/>
  <c r="O44" i="13"/>
  <c r="O42" i="13"/>
  <c r="P40" i="13"/>
  <c r="Q39" i="13"/>
  <c r="Q37" i="13"/>
  <c r="Q36" i="13"/>
  <c r="O36" i="13" s="1"/>
  <c r="Q35" i="13"/>
  <c r="Q34" i="13"/>
  <c r="P33" i="13"/>
  <c r="O32" i="13"/>
  <c r="Q30" i="13"/>
  <c r="O30" i="13" s="1"/>
  <c r="P27" i="13"/>
  <c r="O26" i="13"/>
  <c r="Q24" i="13"/>
  <c r="O24" i="13" s="1"/>
  <c r="P23" i="13"/>
  <c r="O22" i="13"/>
  <c r="Q21" i="13"/>
  <c r="Q20" i="13"/>
  <c r="O20" i="13" s="1"/>
  <c r="P19" i="13"/>
  <c r="O18" i="13"/>
  <c r="Q16" i="13"/>
  <c r="O16" i="13" s="1"/>
  <c r="P15" i="13"/>
  <c r="Q14" i="13"/>
  <c r="O14" i="13" s="1"/>
  <c r="Q13" i="13"/>
  <c r="Q12" i="13"/>
  <c r="O12" i="13" s="1"/>
  <c r="Q11" i="13"/>
  <c r="P10" i="13"/>
  <c r="O9" i="13"/>
  <c r="O7" i="13"/>
  <c r="S5" i="13"/>
  <c r="Y609" i="13" l="1"/>
  <c r="J672" i="13"/>
  <c r="AP609" i="13"/>
  <c r="W701" i="13"/>
  <c r="W700" i="13" s="1"/>
  <c r="AC672" i="13"/>
  <c r="AO672" i="13"/>
  <c r="AY672" i="13"/>
  <c r="AM672" i="13"/>
  <c r="BA672" i="13"/>
  <c r="M617" i="13"/>
  <c r="M620" i="13" s="1"/>
  <c r="J662" i="13"/>
  <c r="L672" i="13"/>
  <c r="K686" i="13" s="1"/>
  <c r="P681" i="13" s="1"/>
  <c r="F700" i="13"/>
  <c r="K705" i="13" s="1"/>
  <c r="J702" i="13" s="1"/>
  <c r="S27" i="13"/>
  <c r="AB617" i="13"/>
  <c r="AB620" i="13" s="1"/>
  <c r="S23" i="13"/>
  <c r="S10" i="13"/>
  <c r="S15" i="13"/>
  <c r="S33" i="13"/>
  <c r="S54" i="13"/>
  <c r="S74" i="13"/>
  <c r="S165" i="13"/>
  <c r="O125" i="13"/>
  <c r="O126" i="13"/>
  <c r="S169" i="13"/>
  <c r="U300" i="13"/>
  <c r="AS605" i="13"/>
  <c r="K609" i="13"/>
  <c r="O609" i="13"/>
  <c r="S609" i="13"/>
  <c r="U609" i="13"/>
  <c r="AC609" i="13"/>
  <c r="AE609" i="13"/>
  <c r="AM609" i="13"/>
  <c r="AS606" i="13"/>
  <c r="H656" i="13"/>
  <c r="P658" i="13"/>
  <c r="AA663" i="13"/>
  <c r="J726" i="13"/>
  <c r="S49" i="13"/>
  <c r="O101" i="13"/>
  <c r="AN609" i="13"/>
  <c r="J609" i="13"/>
  <c r="N609" i="13"/>
  <c r="P609" i="13"/>
  <c r="T609" i="13"/>
  <c r="V609" i="13"/>
  <c r="AD609" i="13"/>
  <c r="X609" i="13"/>
  <c r="D656" i="13"/>
  <c r="L658" i="13"/>
  <c r="W663" i="13"/>
  <c r="S69" i="13"/>
  <c r="S718" i="13"/>
  <c r="Q19" i="13" s="1"/>
  <c r="S19" i="13" s="1"/>
  <c r="S716" i="13"/>
  <c r="Q79" i="13" s="1"/>
  <c r="S79" i="13" s="1"/>
  <c r="S714" i="13"/>
  <c r="Q102" i="13" s="1"/>
  <c r="S102" i="13" s="1"/>
  <c r="S712" i="13"/>
  <c r="S717" i="13"/>
  <c r="Q40" i="13" s="1"/>
  <c r="S715" i="13"/>
  <c r="Q97" i="13" s="1"/>
  <c r="S97" i="13" s="1"/>
  <c r="S713" i="13"/>
  <c r="Q106" i="13" s="1"/>
  <c r="S106" i="13" s="1"/>
  <c r="K620" i="13"/>
  <c r="Q93" i="13"/>
  <c r="S93" i="13" s="1"/>
  <c r="U276" i="13"/>
  <c r="L662" i="13"/>
  <c r="R700" i="13"/>
  <c r="AA717" i="13"/>
  <c r="Q173" i="13" s="1"/>
  <c r="S173" i="13" s="1"/>
  <c r="AA715" i="13"/>
  <c r="Q114" i="13" s="1"/>
  <c r="S114" i="13" s="1"/>
  <c r="AA713" i="13"/>
  <c r="Q61" i="13" s="1"/>
  <c r="S61" i="13" s="1"/>
  <c r="AA712" i="13"/>
  <c r="AA714" i="13"/>
  <c r="Q145" i="13" s="1"/>
  <c r="S145" i="13" s="1"/>
  <c r="AA716" i="13"/>
  <c r="Q140" i="13" s="1"/>
  <c r="S140" i="13" s="1"/>
  <c r="AA718" i="13"/>
  <c r="Q123" i="13" s="1"/>
  <c r="S123" i="13" s="1"/>
  <c r="AA719" i="13"/>
  <c r="Q178" i="13" s="1"/>
  <c r="S178" i="13" s="1"/>
  <c r="AA720" i="13"/>
  <c r="Q155" i="13" s="1"/>
  <c r="S155" i="13" s="1"/>
  <c r="W654" i="13"/>
  <c r="P683" i="13" l="1"/>
  <c r="P675" i="13"/>
  <c r="R683" i="13"/>
  <c r="J701" i="13"/>
  <c r="J700" i="13" s="1"/>
  <c r="R673" i="13"/>
  <c r="R676" i="13"/>
  <c r="P678" i="13"/>
  <c r="P674" i="13"/>
  <c r="P682" i="13"/>
  <c r="R679" i="13"/>
  <c r="R680" i="13"/>
  <c r="P673" i="13"/>
  <c r="P680" i="13"/>
  <c r="P676" i="13"/>
  <c r="R674" i="13"/>
  <c r="R681" i="13"/>
  <c r="R677" i="13"/>
  <c r="R678" i="13"/>
  <c r="R682" i="13"/>
  <c r="R675" i="13"/>
  <c r="P677" i="13"/>
  <c r="P679" i="13"/>
  <c r="L702" i="13"/>
  <c r="L701" i="13"/>
  <c r="AS609" i="13"/>
  <c r="AR617" i="13"/>
  <c r="AR620" i="13" s="1"/>
  <c r="S40" i="13"/>
  <c r="O40" i="13"/>
  <c r="AA724" i="13"/>
  <c r="Q118" i="13"/>
  <c r="S118" i="13" s="1"/>
  <c r="S724" i="13"/>
  <c r="Q45" i="13"/>
  <c r="S45" i="13" s="1"/>
  <c r="P672" i="13" l="1"/>
  <c r="R672" i="13"/>
  <c r="L700" i="13"/>
  <c r="AS617" i="13"/>
  <c r="AS620" i="13" s="1"/>
  <c r="AS622" i="13" s="1"/>
  <c r="S194" i="13"/>
  <c r="DJ43" i="10"/>
  <c r="DJ42" i="10"/>
  <c r="DJ39" i="10"/>
  <c r="DJ40" i="10"/>
  <c r="DO43" i="10"/>
  <c r="DO42" i="10"/>
  <c r="DO40" i="10"/>
  <c r="DO39" i="10"/>
  <c r="DO84" i="10" l="1"/>
  <c r="DO223" i="10" l="1"/>
  <c r="DO200" i="10" l="1"/>
  <c r="DO140" i="10"/>
  <c r="DO228" i="10"/>
  <c r="DO47" i="10"/>
  <c r="DO121" i="10"/>
  <c r="DO10" i="10"/>
  <c r="DO15" i="10" l="1"/>
  <c r="DO16" i="10"/>
  <c r="DN150" i="10" l="1"/>
  <c r="DO150" i="10"/>
  <c r="DO151" i="10"/>
  <c r="DN151" i="10"/>
  <c r="DO178" i="10" l="1"/>
  <c r="DO179" i="10"/>
  <c r="DO176" i="10"/>
  <c r="DJ202" i="10" l="1"/>
  <c r="DJ19" i="10" l="1"/>
  <c r="DE200" i="10"/>
  <c r="DJ200" i="10"/>
  <c r="DJ211" i="10"/>
  <c r="DJ134" i="10"/>
  <c r="DJ217" i="10"/>
  <c r="DE217" i="10"/>
  <c r="DJ102" i="10"/>
  <c r="DH102" i="10" s="1"/>
  <c r="DE102" i="10"/>
  <c r="DC102" i="10" s="1"/>
  <c r="DE134" i="10"/>
  <c r="DE182" i="10"/>
  <c r="DE121" i="10"/>
  <c r="DE47" i="10"/>
  <c r="DE228" i="10"/>
  <c r="DE140" i="10"/>
  <c r="DJ140" i="10"/>
  <c r="DJ47" i="10"/>
  <c r="DJ121" i="10"/>
  <c r="DJ182" i="10"/>
  <c r="DJ84" i="10" l="1"/>
  <c r="DH226" i="10" l="1"/>
  <c r="DE187" i="10" l="1"/>
  <c r="DJ189" i="10"/>
  <c r="DJ188" i="10"/>
  <c r="DJ187" i="10"/>
  <c r="DJ223" i="10" l="1"/>
  <c r="DJ228" i="10" l="1"/>
  <c r="DH230" i="10"/>
  <c r="DJ10" i="10" l="1"/>
  <c r="DE142" i="10" l="1"/>
  <c r="DE139" i="10"/>
  <c r="DJ151" i="10"/>
  <c r="DJ150" i="10"/>
  <c r="DI150" i="10"/>
  <c r="DJ16" i="10" l="1"/>
  <c r="DJ15" i="10"/>
  <c r="DJ177" i="10"/>
  <c r="DJ178" i="10"/>
  <c r="DJ179" i="10"/>
  <c r="DJ176" i="10"/>
  <c r="DE10" i="10" l="1"/>
  <c r="DD151" i="10" l="1"/>
  <c r="DD150" i="10"/>
  <c r="DE150" i="10"/>
  <c r="DE151" i="10"/>
  <c r="DE149" i="10"/>
  <c r="CZ84" i="10" l="1"/>
  <c r="DE177" i="10"/>
  <c r="DE14" i="10" l="1"/>
  <c r="DE16" i="10"/>
  <c r="DE17" i="10"/>
  <c r="DE15" i="10"/>
  <c r="DE176" i="10" l="1"/>
  <c r="DE178" i="10"/>
  <c r="DE42" i="10"/>
  <c r="DE40" i="10"/>
  <c r="DE39" i="10"/>
  <c r="DF10" i="10" l="1"/>
  <c r="DF182" i="10"/>
  <c r="CZ147" i="10" l="1"/>
  <c r="CZ151" i="10"/>
  <c r="CY151" i="10"/>
  <c r="CZ150" i="10"/>
  <c r="CY150" i="10"/>
  <c r="CZ66" i="10" l="1"/>
  <c r="CY66" i="10"/>
  <c r="CZ145" i="10"/>
  <c r="CZ74" i="10"/>
  <c r="CZ19" i="10"/>
  <c r="CZ196" i="10"/>
  <c r="CY196" i="10"/>
  <c r="CZ116" i="10"/>
  <c r="CX66" i="10" l="1"/>
  <c r="CZ187" i="10"/>
  <c r="CZ189" i="10"/>
  <c r="CZ188" i="10"/>
  <c r="CZ140" i="10" l="1"/>
  <c r="CZ228" i="10"/>
  <c r="CZ10" i="10"/>
  <c r="CZ47" i="10"/>
  <c r="CZ121" i="10"/>
  <c r="CZ182" i="10"/>
  <c r="CZ200" i="10"/>
  <c r="CZ217" i="10"/>
  <c r="CZ102" i="10"/>
  <c r="CX102" i="10" s="1"/>
  <c r="CZ211" i="10"/>
  <c r="CZ134" i="10"/>
  <c r="CX78" i="10" l="1"/>
  <c r="CZ68" i="10" l="1"/>
  <c r="CU223" i="10"/>
  <c r="CZ177" i="10" l="1"/>
  <c r="CZ176" i="10"/>
  <c r="CZ178" i="10"/>
  <c r="CZ38" i="10" l="1"/>
  <c r="CZ40" i="10"/>
  <c r="CZ39" i="10"/>
  <c r="CX123" i="10" l="1"/>
  <c r="CU14" i="10" l="1"/>
  <c r="CU142" i="10"/>
  <c r="CW129" i="10"/>
  <c r="CT198" i="10" l="1"/>
  <c r="CU198" i="10"/>
  <c r="CS64" i="10"/>
  <c r="CU188" i="10" l="1"/>
  <c r="CU189" i="10"/>
  <c r="CU187" i="10"/>
  <c r="DA182" i="10" l="1"/>
  <c r="DA10" i="10"/>
  <c r="DA200" i="10"/>
  <c r="DA211" i="10"/>
  <c r="CU134" i="10"/>
  <c r="CU102" i="10"/>
  <c r="CS102" i="10" s="1"/>
  <c r="CU211" i="10"/>
  <c r="CU217" i="10"/>
  <c r="CU200" i="10"/>
  <c r="CU140" i="10"/>
  <c r="CU228" i="10"/>
  <c r="CU47" i="10"/>
  <c r="CU121" i="10"/>
  <c r="CU182" i="10"/>
  <c r="DA233" i="10" l="1"/>
  <c r="CS66" i="10"/>
  <c r="CU95" i="10" l="1"/>
  <c r="CU15" i="10" l="1"/>
  <c r="CU176" i="10" l="1"/>
  <c r="CU178" i="10"/>
  <c r="CV200" i="10" l="1"/>
  <c r="CU40" i="10"/>
  <c r="CU39" i="10" l="1"/>
  <c r="CN230" i="10" l="1"/>
  <c r="CV196" i="10" l="1"/>
  <c r="CV125" i="10"/>
  <c r="CV33" i="10"/>
  <c r="CV10" i="10"/>
  <c r="CV211" i="10"/>
  <c r="CV233" i="10" l="1"/>
  <c r="CP189" i="10"/>
  <c r="CP188" i="10"/>
  <c r="CP187" i="10" l="1"/>
  <c r="CP142" i="10" l="1"/>
  <c r="CP139" i="10"/>
  <c r="CP17" i="10"/>
  <c r="CP16" i="10"/>
  <c r="CP223" i="10" l="1"/>
  <c r="CI226" i="10"/>
  <c r="CP200" i="10" l="1"/>
  <c r="CP102" i="10"/>
  <c r="CP217" i="10"/>
  <c r="CP211" i="10"/>
  <c r="CP134" i="10"/>
  <c r="CP140" i="10"/>
  <c r="CP228" i="10"/>
  <c r="CP10" i="10"/>
  <c r="CP47" i="10"/>
  <c r="CP121" i="10"/>
  <c r="CP182" i="10"/>
  <c r="CP25" i="10"/>
  <c r="CP84" i="10"/>
  <c r="CN130" i="10" l="1"/>
  <c r="CP66" i="10"/>
  <c r="CO66" i="10"/>
  <c r="CP145" i="10"/>
  <c r="CP15" i="10"/>
  <c r="CN66" i="10" l="1"/>
  <c r="CP39" i="10"/>
  <c r="CP40" i="10"/>
  <c r="CP178" i="10" l="1"/>
  <c r="CP177" i="10"/>
  <c r="CP176" i="10"/>
  <c r="CQ196" i="10"/>
  <c r="CL10" i="10" l="1"/>
  <c r="CQ182" i="10"/>
  <c r="CQ211" i="10"/>
  <c r="CK228" i="10" l="1"/>
  <c r="CK47" i="10"/>
  <c r="CK121" i="10"/>
  <c r="CK182" i="10"/>
  <c r="CK217" i="10"/>
  <c r="CK102" i="10"/>
  <c r="CI102" i="10" s="1"/>
  <c r="CK151" i="10" l="1"/>
  <c r="CJ151" i="10" l="1"/>
  <c r="CK150" i="10"/>
  <c r="CJ150" i="10"/>
  <c r="CK223" i="10"/>
  <c r="CJ66" i="10" l="1"/>
  <c r="CK66" i="10"/>
  <c r="CK201" i="10"/>
  <c r="CI201" i="10" s="1"/>
  <c r="CK202" i="10"/>
  <c r="CK204" i="10"/>
  <c r="CI66" i="10" l="1"/>
  <c r="CR45" i="10"/>
  <c r="CR61" i="10"/>
  <c r="CR60" i="10"/>
  <c r="CR65" i="10"/>
  <c r="CK188" i="10" l="1"/>
  <c r="CK189" i="10"/>
  <c r="CK187" i="10"/>
  <c r="CK211" i="10" l="1"/>
  <c r="CK10" i="10"/>
  <c r="CJ86" i="10" l="1"/>
  <c r="CJ217" i="10" l="1"/>
  <c r="CJ121" i="10"/>
  <c r="CK74" i="10"/>
  <c r="CJ33" i="10"/>
  <c r="CJ27" i="10"/>
  <c r="CK95" i="10" l="1"/>
  <c r="CK92" i="10"/>
  <c r="CK84" i="10"/>
  <c r="CK178" i="10" l="1"/>
  <c r="CK177" i="10"/>
  <c r="CK176" i="10"/>
  <c r="CK17" i="10"/>
  <c r="CK16" i="10"/>
  <c r="CK15" i="10"/>
  <c r="CK14" i="10"/>
  <c r="CK39" i="10" l="1"/>
  <c r="CK40" i="10"/>
  <c r="CF103" i="10" l="1"/>
  <c r="CD50" i="10"/>
  <c r="BQ88" i="10"/>
  <c r="CL182" i="10" l="1"/>
  <c r="CK142" i="10" l="1"/>
  <c r="CM136" i="10" s="1"/>
  <c r="CK147" i="10"/>
  <c r="CF33" i="10" l="1"/>
  <c r="CE33" i="10"/>
  <c r="CF196" i="10"/>
  <c r="CE196" i="10"/>
  <c r="CF145" i="10"/>
  <c r="CF204" i="10"/>
  <c r="CF202" i="10"/>
  <c r="CF201" i="10"/>
  <c r="CD201" i="10" s="1"/>
  <c r="CF84" i="10" l="1"/>
  <c r="CE66" i="10" l="1"/>
  <c r="CF66" i="10"/>
  <c r="CD66" i="10" l="1"/>
  <c r="CE27" i="10"/>
  <c r="CF27" i="10"/>
  <c r="CF47" i="10"/>
  <c r="CF62" i="10"/>
  <c r="CF121" i="10"/>
  <c r="CF134" i="10"/>
  <c r="CF217" i="10"/>
  <c r="CF102" i="10"/>
  <c r="CF211" i="10"/>
  <c r="CF182" i="10"/>
  <c r="CE86" i="10"/>
  <c r="CF86" i="10"/>
  <c r="CF74" i="10"/>
  <c r="CD74" i="10" s="1"/>
  <c r="CE62" i="10"/>
  <c r="CF19" i="10"/>
  <c r="BZ228" i="10" l="1"/>
  <c r="CE228" i="10"/>
  <c r="CF187" i="10" l="1"/>
  <c r="CF176" i="10" l="1"/>
  <c r="CF177" i="10"/>
  <c r="CF178" i="10"/>
  <c r="CF16" i="10"/>
  <c r="CF15" i="10"/>
  <c r="CE76" i="10" l="1"/>
  <c r="CF39" i="10" l="1"/>
  <c r="CF40" i="10"/>
  <c r="EA228" i="10" l="1"/>
  <c r="DW228" i="10"/>
  <c r="EA227" i="10"/>
  <c r="DW226" i="10"/>
  <c r="EA222" i="10"/>
  <c r="DW222" i="10"/>
  <c r="EA221" i="10"/>
  <c r="DY220" i="10"/>
  <c r="DW220" i="10" s="1"/>
  <c r="DW217" i="10"/>
  <c r="DY215" i="10"/>
  <c r="DW211" i="10"/>
  <c r="DW209" i="10"/>
  <c r="DW206" i="10"/>
  <c r="DY204" i="10"/>
  <c r="DW204" i="10" s="1"/>
  <c r="DW200" i="10"/>
  <c r="DW198" i="10"/>
  <c r="DW196" i="10"/>
  <c r="DW194" i="10"/>
  <c r="DW192" i="10"/>
  <c r="EA191" i="10"/>
  <c r="EA190" i="10"/>
  <c r="DW189" i="10"/>
  <c r="EA186" i="10"/>
  <c r="EA185" i="10"/>
  <c r="DW184" i="10"/>
  <c r="DW182" i="10"/>
  <c r="DW178" i="10"/>
  <c r="DW174" i="10"/>
  <c r="DW172" i="10"/>
  <c r="EA171" i="10"/>
  <c r="EA170" i="10"/>
  <c r="DY149" i="10"/>
  <c r="EA149" i="10" s="1"/>
  <c r="DW147" i="10"/>
  <c r="DW145" i="10"/>
  <c r="DY142" i="10"/>
  <c r="DW142" i="10" s="1"/>
  <c r="DW140" i="10"/>
  <c r="DY139" i="10"/>
  <c r="DW135" i="10"/>
  <c r="DW134" i="10"/>
  <c r="EA133" i="10"/>
  <c r="EA132" i="10"/>
  <c r="DW131" i="10"/>
  <c r="DW130" i="10"/>
  <c r="EA129" i="10"/>
  <c r="EA128" i="10"/>
  <c r="DW127" i="10"/>
  <c r="EA125" i="10"/>
  <c r="DW125" i="10"/>
  <c r="DW121" i="10"/>
  <c r="EA120" i="10"/>
  <c r="DW120" i="10"/>
  <c r="EA119" i="10"/>
  <c r="DW118" i="10"/>
  <c r="EA116" i="10"/>
  <c r="DW116" i="10"/>
  <c r="EA115" i="10"/>
  <c r="DW108" i="10"/>
  <c r="EA106" i="10"/>
  <c r="DW106" i="10"/>
  <c r="EA105" i="10"/>
  <c r="DW100" i="10"/>
  <c r="EA97" i="10"/>
  <c r="DW97" i="10"/>
  <c r="EA96" i="10"/>
  <c r="DW93" i="10"/>
  <c r="EA91" i="10"/>
  <c r="DW89" i="10"/>
  <c r="DY88" i="10"/>
  <c r="DW86" i="10"/>
  <c r="DW84" i="10"/>
  <c r="DW83" i="10"/>
  <c r="EA81" i="10"/>
  <c r="DW81" i="10"/>
  <c r="EA80" i="10"/>
  <c r="DW79" i="10"/>
  <c r="DX76" i="10"/>
  <c r="DW76" i="10" s="1"/>
  <c r="DW74" i="10"/>
  <c r="DY73" i="10"/>
  <c r="DY72" i="10"/>
  <c r="DY71" i="10"/>
  <c r="EA66" i="10"/>
  <c r="EA65" i="10"/>
  <c r="DW64" i="10"/>
  <c r="DW62" i="10"/>
  <c r="EA61" i="10"/>
  <c r="EA60" i="10"/>
  <c r="DW54" i="10"/>
  <c r="EA52" i="10"/>
  <c r="DW52" i="10"/>
  <c r="EA51" i="10"/>
  <c r="DW50" i="10"/>
  <c r="DW47" i="10"/>
  <c r="EA45" i="10"/>
  <c r="EA44" i="10"/>
  <c r="DW40" i="10"/>
  <c r="DW35" i="10"/>
  <c r="DW33" i="10"/>
  <c r="EA31" i="10"/>
  <c r="EA30" i="10"/>
  <c r="DW29" i="10"/>
  <c r="EA27" i="10"/>
  <c r="DW27" i="10"/>
  <c r="EA26" i="10"/>
  <c r="DW25" i="10"/>
  <c r="DW21" i="10"/>
  <c r="EA19" i="10"/>
  <c r="DW19" i="10"/>
  <c r="EA18" i="10"/>
  <c r="DY17" i="10"/>
  <c r="DW17" i="10" s="1"/>
  <c r="DW15" i="10"/>
  <c r="DY14" i="10"/>
  <c r="DW12" i="10"/>
  <c r="DW10" i="10"/>
  <c r="EA9" i="10"/>
  <c r="EA8" i="10"/>
  <c r="DV228" i="10"/>
  <c r="DR228" i="10"/>
  <c r="DV227" i="10"/>
  <c r="DR226" i="10"/>
  <c r="DV222" i="10"/>
  <c r="DR222" i="10"/>
  <c r="DV221" i="10"/>
  <c r="DT220" i="10"/>
  <c r="DR220" i="10" s="1"/>
  <c r="DR217" i="10"/>
  <c r="DR211" i="10"/>
  <c r="DR209" i="10"/>
  <c r="DR206" i="10"/>
  <c r="DR204" i="10"/>
  <c r="DR200" i="10"/>
  <c r="DR196" i="10"/>
  <c r="DR194" i="10"/>
  <c r="DR192" i="10"/>
  <c r="DV191" i="10"/>
  <c r="DV190" i="10"/>
  <c r="DR189" i="10"/>
  <c r="DR187" i="10"/>
  <c r="DV186" i="10"/>
  <c r="DV185" i="10"/>
  <c r="DR184" i="10"/>
  <c r="DR182" i="10"/>
  <c r="DR178" i="10"/>
  <c r="DR174" i="10"/>
  <c r="DR172" i="10"/>
  <c r="DV171" i="10"/>
  <c r="DV170" i="10"/>
  <c r="DV149" i="10"/>
  <c r="DR147" i="10"/>
  <c r="DR145" i="10"/>
  <c r="DR142" i="10"/>
  <c r="DR140" i="10"/>
  <c r="DT139" i="10"/>
  <c r="DR135" i="10"/>
  <c r="DR134" i="10"/>
  <c r="DV133" i="10"/>
  <c r="DV132" i="10"/>
  <c r="DR131" i="10"/>
  <c r="DR130" i="10"/>
  <c r="DV129" i="10"/>
  <c r="DV128" i="10"/>
  <c r="DR127" i="10"/>
  <c r="DV125" i="10"/>
  <c r="DR125" i="10"/>
  <c r="DV124" i="10"/>
  <c r="DR121" i="10"/>
  <c r="DV120" i="10"/>
  <c r="DR120" i="10"/>
  <c r="DV119" i="10"/>
  <c r="DR118" i="10"/>
  <c r="DV116" i="10"/>
  <c r="DV115" i="10"/>
  <c r="DR108" i="10"/>
  <c r="DV106" i="10"/>
  <c r="DR106" i="10"/>
  <c r="DV105" i="10"/>
  <c r="DR100" i="10"/>
  <c r="DV97" i="10"/>
  <c r="DR97" i="10"/>
  <c r="DV96" i="10"/>
  <c r="DT95" i="10"/>
  <c r="DR93" i="10"/>
  <c r="DV91" i="10"/>
  <c r="DR89" i="10"/>
  <c r="DT88" i="10"/>
  <c r="DR84" i="10"/>
  <c r="DR83" i="10"/>
  <c r="DV81" i="10"/>
  <c r="DR81" i="10"/>
  <c r="DV80" i="10"/>
  <c r="DR79" i="10"/>
  <c r="DS76" i="10"/>
  <c r="DR76" i="10" s="1"/>
  <c r="DR74" i="10"/>
  <c r="DT73" i="10"/>
  <c r="DT72" i="10"/>
  <c r="DT71" i="10"/>
  <c r="DV66" i="10"/>
  <c r="DV65" i="10"/>
  <c r="DR64" i="10"/>
  <c r="DR62" i="10"/>
  <c r="DV61" i="10"/>
  <c r="DV60" i="10"/>
  <c r="DR54" i="10"/>
  <c r="DV52" i="10"/>
  <c r="DR52" i="10"/>
  <c r="DV51" i="10"/>
  <c r="DR50" i="10"/>
  <c r="DR47" i="10"/>
  <c r="DV45" i="10"/>
  <c r="DV44" i="10"/>
  <c r="DR40" i="10"/>
  <c r="DR35" i="10"/>
  <c r="DR33" i="10"/>
  <c r="DV31" i="10"/>
  <c r="DV30" i="10"/>
  <c r="DR29" i="10"/>
  <c r="DV27" i="10"/>
  <c r="DR27" i="10"/>
  <c r="DV26" i="10"/>
  <c r="DR25" i="10"/>
  <c r="DR21" i="10"/>
  <c r="DV19" i="10"/>
  <c r="DR19" i="10"/>
  <c r="DV18" i="10"/>
  <c r="DR17" i="10"/>
  <c r="DR15" i="10"/>
  <c r="DT14" i="10"/>
  <c r="DR12" i="10"/>
  <c r="DR10" i="10"/>
  <c r="DV9" i="10"/>
  <c r="DV8" i="10"/>
  <c r="DQ228" i="10"/>
  <c r="DM228" i="10"/>
  <c r="DQ227" i="10"/>
  <c r="DM226" i="10"/>
  <c r="DQ222" i="10"/>
  <c r="DM222" i="10"/>
  <c r="DQ221" i="10"/>
  <c r="DO220" i="10"/>
  <c r="DM220" i="10" s="1"/>
  <c r="DM217" i="10"/>
  <c r="DM211" i="10"/>
  <c r="DM209" i="10"/>
  <c r="DM206" i="10"/>
  <c r="DM204" i="10"/>
  <c r="DM200" i="10"/>
  <c r="DM196" i="10"/>
  <c r="DM194" i="10"/>
  <c r="DM192" i="10"/>
  <c r="DQ191" i="10"/>
  <c r="DQ190" i="10"/>
  <c r="DM189" i="10"/>
  <c r="DM187" i="10"/>
  <c r="DQ186" i="10"/>
  <c r="DQ185" i="10"/>
  <c r="DM184" i="10"/>
  <c r="DM182" i="10"/>
  <c r="DM178" i="10"/>
  <c r="DM174" i="10"/>
  <c r="DM172" i="10"/>
  <c r="DQ171" i="10"/>
  <c r="DQ170" i="10"/>
  <c r="DO149" i="10"/>
  <c r="DQ149" i="10" s="1"/>
  <c r="DO147" i="10"/>
  <c r="DM147" i="10" s="1"/>
  <c r="DM145" i="10"/>
  <c r="DO142" i="10"/>
  <c r="DM142" i="10" s="1"/>
  <c r="DM140" i="10"/>
  <c r="DO139" i="10"/>
  <c r="DM135" i="10"/>
  <c r="DM134" i="10"/>
  <c r="DQ133" i="10"/>
  <c r="DQ132" i="10"/>
  <c r="DM131" i="10"/>
  <c r="DM130" i="10"/>
  <c r="DQ129" i="10"/>
  <c r="DQ128" i="10"/>
  <c r="DM127" i="10"/>
  <c r="DQ125" i="10"/>
  <c r="DM125" i="10"/>
  <c r="DQ124" i="10"/>
  <c r="DM121" i="10"/>
  <c r="DQ120" i="10"/>
  <c r="DM120" i="10"/>
  <c r="DQ119" i="10"/>
  <c r="DM118" i="10"/>
  <c r="DQ116" i="10"/>
  <c r="DM116" i="10"/>
  <c r="DQ115" i="10"/>
  <c r="DM108" i="10"/>
  <c r="DQ106" i="10"/>
  <c r="DM106" i="10"/>
  <c r="DQ105" i="10"/>
  <c r="DM100" i="10"/>
  <c r="DQ97" i="10"/>
  <c r="DM97" i="10"/>
  <c r="DQ96" i="10"/>
  <c r="DO95" i="10"/>
  <c r="DQ91" i="10" s="1"/>
  <c r="DM93" i="10"/>
  <c r="DM89" i="10"/>
  <c r="DO88" i="10"/>
  <c r="DM86" i="10"/>
  <c r="DM84" i="10"/>
  <c r="DM83" i="10"/>
  <c r="DQ81" i="10"/>
  <c r="DM81" i="10"/>
  <c r="DQ80" i="10"/>
  <c r="DM79" i="10"/>
  <c r="DN76" i="10"/>
  <c r="DM76" i="10" s="1"/>
  <c r="DM74" i="10"/>
  <c r="DO73" i="10"/>
  <c r="DO72" i="10"/>
  <c r="DO71" i="10"/>
  <c r="DQ66" i="10"/>
  <c r="DQ65" i="10"/>
  <c r="DM62" i="10"/>
  <c r="DQ61" i="10"/>
  <c r="DQ60" i="10"/>
  <c r="DM54" i="10"/>
  <c r="DQ52" i="10"/>
  <c r="DM52" i="10"/>
  <c r="DQ51" i="10"/>
  <c r="DM50" i="10"/>
  <c r="DM47" i="10"/>
  <c r="DQ45" i="10"/>
  <c r="DQ44" i="10"/>
  <c r="DM40" i="10"/>
  <c r="DM35" i="10"/>
  <c r="DM33" i="10"/>
  <c r="DQ31" i="10"/>
  <c r="DQ30" i="10"/>
  <c r="DM29" i="10"/>
  <c r="DQ27" i="10"/>
  <c r="DM27" i="10"/>
  <c r="DQ26" i="10"/>
  <c r="DM25" i="10"/>
  <c r="DM21" i="10"/>
  <c r="DQ19" i="10"/>
  <c r="DM19" i="10"/>
  <c r="DQ18" i="10"/>
  <c r="DM17" i="10"/>
  <c r="DM15" i="10"/>
  <c r="DO14" i="10"/>
  <c r="DM12" i="10"/>
  <c r="DM10" i="10"/>
  <c r="DQ9" i="10"/>
  <c r="DQ8" i="10"/>
  <c r="DL228" i="10"/>
  <c r="DH228" i="10"/>
  <c r="DL227" i="10"/>
  <c r="DL222" i="10"/>
  <c r="DH222" i="10"/>
  <c r="DL221" i="10"/>
  <c r="DJ220" i="10"/>
  <c r="DH220" i="10" s="1"/>
  <c r="DH217" i="10"/>
  <c r="DJ215" i="10"/>
  <c r="DH211" i="10"/>
  <c r="DH209" i="10"/>
  <c r="DH206" i="10"/>
  <c r="DH204" i="10"/>
  <c r="DH200" i="10"/>
  <c r="DH198" i="10"/>
  <c r="DH196" i="10"/>
  <c r="DH194" i="10"/>
  <c r="DH192" i="10"/>
  <c r="DL191" i="10"/>
  <c r="DL190" i="10"/>
  <c r="DH189" i="10"/>
  <c r="DH187" i="10"/>
  <c r="DL186" i="10"/>
  <c r="DL185" i="10"/>
  <c r="DH184" i="10"/>
  <c r="DH182" i="10"/>
  <c r="DH178" i="10"/>
  <c r="DH174" i="10"/>
  <c r="DH172" i="10"/>
  <c r="DL171" i="10"/>
  <c r="DL170" i="10"/>
  <c r="DI151" i="10"/>
  <c r="DJ149" i="10"/>
  <c r="DL149" i="10" s="1"/>
  <c r="DJ147" i="10"/>
  <c r="DH147" i="10" s="1"/>
  <c r="DH145" i="10"/>
  <c r="DJ142" i="10"/>
  <c r="DH142" i="10" s="1"/>
  <c r="DH140" i="10"/>
  <c r="DJ139" i="10"/>
  <c r="DH135" i="10"/>
  <c r="DH134" i="10"/>
  <c r="DL133" i="10"/>
  <c r="DL132" i="10"/>
  <c r="DH131" i="10"/>
  <c r="DH130" i="10"/>
  <c r="DL129" i="10"/>
  <c r="DL128" i="10"/>
  <c r="DH127" i="10"/>
  <c r="DL125" i="10"/>
  <c r="DH125" i="10"/>
  <c r="DL124" i="10"/>
  <c r="DH121" i="10"/>
  <c r="DL120" i="10"/>
  <c r="DH120" i="10"/>
  <c r="DL119" i="10"/>
  <c r="DH118" i="10"/>
  <c r="DL116" i="10"/>
  <c r="DH116" i="10"/>
  <c r="DL115" i="10"/>
  <c r="DH108" i="10"/>
  <c r="DL106" i="10"/>
  <c r="DH106" i="10"/>
  <c r="DL105" i="10"/>
  <c r="DH100" i="10"/>
  <c r="DL97" i="10"/>
  <c r="DH97" i="10"/>
  <c r="DL96" i="10"/>
  <c r="DJ95" i="10"/>
  <c r="DL91" i="10" s="1"/>
  <c r="DH93" i="10"/>
  <c r="DH89" i="10"/>
  <c r="DJ88" i="10"/>
  <c r="DL86" i="10" s="1"/>
  <c r="DH86" i="10"/>
  <c r="DH84" i="10"/>
  <c r="DH83" i="10"/>
  <c r="DL81" i="10"/>
  <c r="DH81" i="10"/>
  <c r="DL80" i="10"/>
  <c r="DH79" i="10"/>
  <c r="DL78" i="10"/>
  <c r="DI76" i="10"/>
  <c r="DH76" i="10" s="1"/>
  <c r="DH74" i="10"/>
  <c r="DJ73" i="10"/>
  <c r="DJ72" i="10"/>
  <c r="DJ71" i="10"/>
  <c r="DL66" i="10"/>
  <c r="DL65" i="10"/>
  <c r="DH64" i="10"/>
  <c r="DH62" i="10"/>
  <c r="DL61" i="10"/>
  <c r="DL60" i="10"/>
  <c r="DH54" i="10"/>
  <c r="DL52" i="10"/>
  <c r="DH52" i="10"/>
  <c r="DL51" i="10"/>
  <c r="DH50" i="10"/>
  <c r="DH47" i="10"/>
  <c r="DL45" i="10"/>
  <c r="DL44" i="10"/>
  <c r="DH40" i="10"/>
  <c r="DH35" i="10"/>
  <c r="DH33" i="10"/>
  <c r="DL31" i="10"/>
  <c r="DL30" i="10"/>
  <c r="DH29" i="10"/>
  <c r="DL27" i="10"/>
  <c r="DH27" i="10"/>
  <c r="DL26" i="10"/>
  <c r="DH25" i="10"/>
  <c r="DL23" i="10"/>
  <c r="DH21" i="10"/>
  <c r="DL19" i="10"/>
  <c r="DH19" i="10"/>
  <c r="DL18" i="10"/>
  <c r="DJ17" i="10"/>
  <c r="DH17" i="10" s="1"/>
  <c r="DH15" i="10"/>
  <c r="DJ14" i="10"/>
  <c r="DH12" i="10"/>
  <c r="DH10" i="10"/>
  <c r="DL9" i="10"/>
  <c r="DL8" i="10"/>
  <c r="DG228" i="10"/>
  <c r="DC228" i="10"/>
  <c r="DG227" i="10"/>
  <c r="DC226" i="10"/>
  <c r="DG222" i="10"/>
  <c r="DC222" i="10"/>
  <c r="DG221" i="10"/>
  <c r="DE220" i="10"/>
  <c r="DC220" i="10" s="1"/>
  <c r="DC217" i="10"/>
  <c r="DE215" i="10"/>
  <c r="DC215" i="10" s="1"/>
  <c r="DC211" i="10"/>
  <c r="DC209" i="10"/>
  <c r="DC206" i="10"/>
  <c r="DC204" i="10"/>
  <c r="DC200" i="10"/>
  <c r="DE198" i="10"/>
  <c r="DC198" i="10" s="1"/>
  <c r="DC196" i="10"/>
  <c r="DC194" i="10"/>
  <c r="DC192" i="10"/>
  <c r="DG191" i="10"/>
  <c r="DG190" i="10"/>
  <c r="DC189" i="10"/>
  <c r="DC187" i="10"/>
  <c r="DG186" i="10"/>
  <c r="DG185" i="10"/>
  <c r="DC184" i="10"/>
  <c r="DC182" i="10"/>
  <c r="DC178" i="10"/>
  <c r="DC174" i="10"/>
  <c r="DC172" i="10"/>
  <c r="DG171" i="10"/>
  <c r="DG170" i="10"/>
  <c r="DG149" i="10"/>
  <c r="DE147" i="10"/>
  <c r="DC147" i="10" s="1"/>
  <c r="DC145" i="10"/>
  <c r="DC142" i="10"/>
  <c r="DC140" i="10"/>
  <c r="DG139" i="10"/>
  <c r="DC135" i="10"/>
  <c r="DC134" i="10"/>
  <c r="DG133" i="10"/>
  <c r="DG132" i="10"/>
  <c r="DC131" i="10"/>
  <c r="DC130" i="10"/>
  <c r="DG129" i="10"/>
  <c r="DG128" i="10"/>
  <c r="DC127" i="10"/>
  <c r="DG125" i="10"/>
  <c r="DC125" i="10"/>
  <c r="DG124" i="10"/>
  <c r="DC121" i="10"/>
  <c r="DG120" i="10"/>
  <c r="DC120" i="10"/>
  <c r="DG119" i="10"/>
  <c r="DC118" i="10"/>
  <c r="DG116" i="10"/>
  <c r="DC116" i="10"/>
  <c r="DG115" i="10"/>
  <c r="DC108" i="10"/>
  <c r="DG106" i="10"/>
  <c r="DC106" i="10"/>
  <c r="DG105" i="10"/>
  <c r="DC100" i="10"/>
  <c r="DG97" i="10"/>
  <c r="DC97" i="10"/>
  <c r="DG96" i="10"/>
  <c r="DE95" i="10"/>
  <c r="DC95" i="10" s="1"/>
  <c r="DC93" i="10"/>
  <c r="DC89" i="10"/>
  <c r="DE88" i="10"/>
  <c r="DG86" i="10" s="1"/>
  <c r="DC86" i="10"/>
  <c r="DC84" i="10"/>
  <c r="DC83" i="10"/>
  <c r="DG81" i="10"/>
  <c r="DC81" i="10"/>
  <c r="DG80" i="10"/>
  <c r="DC79" i="10"/>
  <c r="DE78" i="10"/>
  <c r="DG78" i="10" s="1"/>
  <c r="DD76" i="10"/>
  <c r="DC76" i="10" s="1"/>
  <c r="DC74" i="10"/>
  <c r="DE73" i="10"/>
  <c r="DE72" i="10"/>
  <c r="DE71" i="10"/>
  <c r="DG66" i="10"/>
  <c r="DG65" i="10"/>
  <c r="DC64" i="10"/>
  <c r="DC62" i="10"/>
  <c r="DG61" i="10"/>
  <c r="DG60" i="10"/>
  <c r="DC54" i="10"/>
  <c r="DG52" i="10"/>
  <c r="DC52" i="10"/>
  <c r="DG51" i="10"/>
  <c r="DC50" i="10"/>
  <c r="DC47" i="10"/>
  <c r="DG45" i="10"/>
  <c r="DG44" i="10"/>
  <c r="DC40" i="10"/>
  <c r="DC35" i="10"/>
  <c r="DC33" i="10"/>
  <c r="DG31" i="10"/>
  <c r="DG30" i="10"/>
  <c r="DC29" i="10"/>
  <c r="DG27" i="10"/>
  <c r="DC27" i="10"/>
  <c r="DG26" i="10"/>
  <c r="DC25" i="10"/>
  <c r="DG23" i="10"/>
  <c r="DC21" i="10"/>
  <c r="DG19" i="10"/>
  <c r="DC19" i="10"/>
  <c r="DG18" i="10"/>
  <c r="DC17" i="10"/>
  <c r="DC15" i="10"/>
  <c r="DC12" i="10"/>
  <c r="DC10" i="10"/>
  <c r="DG9" i="10"/>
  <c r="DG8" i="10"/>
  <c r="DG91" i="10" l="1"/>
  <c r="DL85" i="10"/>
  <c r="DV216" i="10"/>
  <c r="DV217" i="10"/>
  <c r="EA37" i="10"/>
  <c r="EA216" i="10"/>
  <c r="EA217" i="10"/>
  <c r="DV36" i="10"/>
  <c r="DV175" i="10"/>
  <c r="EA36" i="10"/>
  <c r="EA175" i="10"/>
  <c r="DQ216" i="10"/>
  <c r="DQ217" i="10"/>
  <c r="DL175" i="10"/>
  <c r="DQ175" i="10"/>
  <c r="DV37" i="10"/>
  <c r="DG14" i="10"/>
  <c r="DG37" i="10"/>
  <c r="DG175" i="10"/>
  <c r="DG13" i="10"/>
  <c r="DG36" i="10"/>
  <c r="DG144" i="10"/>
  <c r="DC150" i="10"/>
  <c r="DC151" i="10"/>
  <c r="DG195" i="10"/>
  <c r="DG196" i="10"/>
  <c r="DG200" i="10"/>
  <c r="DG216" i="10"/>
  <c r="DG217" i="10"/>
  <c r="DL14" i="10"/>
  <c r="DL37" i="10"/>
  <c r="DL71" i="10"/>
  <c r="DH150" i="10"/>
  <c r="DH151" i="10"/>
  <c r="DL216" i="10"/>
  <c r="DL217" i="10"/>
  <c r="DQ37" i="10"/>
  <c r="DR150" i="10"/>
  <c r="DR151" i="10"/>
  <c r="DG71" i="10"/>
  <c r="DL13" i="10"/>
  <c r="DL36" i="10"/>
  <c r="DQ36" i="10"/>
  <c r="DM150" i="10"/>
  <c r="DM151" i="10"/>
  <c r="DW150" i="10"/>
  <c r="DW151" i="10"/>
  <c r="DL139" i="10"/>
  <c r="DL136" i="10"/>
  <c r="DL200" i="10"/>
  <c r="DL199" i="10"/>
  <c r="DQ71" i="10"/>
  <c r="DQ70" i="10"/>
  <c r="DQ139" i="10"/>
  <c r="DQ136" i="10"/>
  <c r="DQ200" i="10"/>
  <c r="DQ199" i="10"/>
  <c r="DV71" i="10"/>
  <c r="DV70" i="10"/>
  <c r="DV139" i="10"/>
  <c r="DV136" i="10"/>
  <c r="DV200" i="10"/>
  <c r="DV199" i="10"/>
  <c r="EA71" i="10"/>
  <c r="EA70" i="10"/>
  <c r="EA139" i="10"/>
  <c r="EA136" i="10"/>
  <c r="DG22" i="10"/>
  <c r="DG70" i="10"/>
  <c r="DG77" i="10"/>
  <c r="DG85" i="10"/>
  <c r="DG92" i="10"/>
  <c r="DG136" i="10"/>
  <c r="DG143" i="10"/>
  <c r="DG176" i="10"/>
  <c r="DG199" i="10"/>
  <c r="DG210" i="10"/>
  <c r="DG211" i="10"/>
  <c r="DL22" i="10"/>
  <c r="DL70" i="10"/>
  <c r="DL77" i="10"/>
  <c r="DH95" i="10"/>
  <c r="DL92" i="10"/>
  <c r="DL144" i="10"/>
  <c r="DL143" i="10"/>
  <c r="DL195" i="10"/>
  <c r="DL196" i="10"/>
  <c r="DH215" i="10"/>
  <c r="DL211" i="10"/>
  <c r="DL210" i="10"/>
  <c r="DQ13" i="10"/>
  <c r="DQ14" i="10"/>
  <c r="DQ23" i="10"/>
  <c r="DQ22" i="10"/>
  <c r="DQ78" i="10"/>
  <c r="DQ77" i="10"/>
  <c r="DQ86" i="10"/>
  <c r="DQ85" i="10"/>
  <c r="DM95" i="10"/>
  <c r="DQ92" i="10"/>
  <c r="DQ144" i="10"/>
  <c r="DQ143" i="10"/>
  <c r="DQ195" i="10"/>
  <c r="DQ196" i="10"/>
  <c r="DM215" i="10"/>
  <c r="DQ211" i="10"/>
  <c r="DQ210" i="10"/>
  <c r="DV13" i="10"/>
  <c r="DV14" i="10"/>
  <c r="DV23" i="10"/>
  <c r="DV22" i="10"/>
  <c r="DV78" i="10"/>
  <c r="DV77" i="10"/>
  <c r="DV86" i="10"/>
  <c r="DV85" i="10"/>
  <c r="DR95" i="10"/>
  <c r="DV92" i="10"/>
  <c r="DV144" i="10"/>
  <c r="DV143" i="10"/>
  <c r="DV195" i="10"/>
  <c r="DV196" i="10"/>
  <c r="DR215" i="10"/>
  <c r="DV211" i="10"/>
  <c r="DV210" i="10"/>
  <c r="EA13" i="10"/>
  <c r="EA14" i="10"/>
  <c r="EA23" i="10"/>
  <c r="EA22" i="10"/>
  <c r="EA78" i="10"/>
  <c r="EA77" i="10"/>
  <c r="EA86" i="10"/>
  <c r="EA85" i="10"/>
  <c r="DW95" i="10"/>
  <c r="EA92" i="10"/>
  <c r="EA144" i="10"/>
  <c r="EA143" i="10"/>
  <c r="EA195" i="10"/>
  <c r="EA196" i="10"/>
  <c r="DW215" i="10"/>
  <c r="EA211" i="10"/>
  <c r="EA210" i="10"/>
  <c r="EA200" i="10"/>
  <c r="EA199" i="10"/>
  <c r="DL176" i="10"/>
  <c r="DQ176" i="10"/>
  <c r="DV176" i="10"/>
  <c r="EA176" i="10"/>
  <c r="DW23" i="10"/>
  <c r="DW78" i="10"/>
  <c r="EA148" i="10"/>
  <c r="DW176" i="10"/>
  <c r="DR78" i="10"/>
  <c r="DV148" i="10"/>
  <c r="DR176" i="10"/>
  <c r="DM23" i="10"/>
  <c r="DM78" i="10"/>
  <c r="DQ148" i="10"/>
  <c r="DM176" i="10"/>
  <c r="DH23" i="10"/>
  <c r="DH78" i="10"/>
  <c r="DL148" i="10"/>
  <c r="DH176" i="10"/>
  <c r="DC23" i="10"/>
  <c r="DC78" i="10"/>
  <c r="DG148" i="10"/>
  <c r="DC176" i="10"/>
  <c r="CF24" i="10"/>
  <c r="CF23" i="10"/>
  <c r="CA194" i="10"/>
  <c r="EA234" i="10" l="1"/>
  <c r="DQ234" i="10"/>
  <c r="DG234" i="10"/>
  <c r="DV233" i="10"/>
  <c r="DL233" i="10"/>
  <c r="DV234" i="10"/>
  <c r="DL234" i="10"/>
  <c r="DG233" i="10"/>
  <c r="DQ233" i="10"/>
  <c r="EA233" i="10"/>
  <c r="L47" i="7"/>
  <c r="L46" i="7"/>
  <c r="L44" i="7"/>
  <c r="L45" i="7"/>
  <c r="L42" i="7"/>
  <c r="L41" i="7"/>
  <c r="L40" i="7"/>
  <c r="L39" i="7"/>
  <c r="L38" i="7"/>
  <c r="L37" i="7"/>
  <c r="L36" i="7"/>
  <c r="L30" i="7"/>
  <c r="L29" i="7"/>
  <c r="L28" i="7"/>
  <c r="L27" i="7"/>
  <c r="L26" i="7"/>
  <c r="L25" i="7"/>
  <c r="L24" i="7"/>
  <c r="L22" i="7"/>
  <c r="L21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CA151" i="10"/>
  <c r="CA150" i="10"/>
  <c r="BZ151" i="10"/>
  <c r="BZ150" i="10"/>
  <c r="CA204" i="10" l="1"/>
  <c r="CA202" i="10"/>
  <c r="CA201" i="10"/>
  <c r="CA17" i="10" l="1"/>
  <c r="CA223" i="10" l="1"/>
  <c r="CA187" i="10" l="1"/>
  <c r="CA189" i="10"/>
  <c r="CA188" i="10"/>
  <c r="BT131" i="10" l="1"/>
  <c r="BT123" i="10"/>
  <c r="BZ102" i="10" l="1"/>
  <c r="CA102" i="10"/>
  <c r="CA211" i="10"/>
  <c r="CA134" i="10"/>
  <c r="BY102" i="10" l="1"/>
  <c r="BY66" i="10"/>
  <c r="CA92" i="10"/>
  <c r="CA93" i="10"/>
  <c r="CA95" i="10"/>
  <c r="BY219" i="10" l="1"/>
  <c r="CA16" i="10" l="1"/>
  <c r="CA15" i="10"/>
  <c r="CA216" i="10" l="1"/>
  <c r="CA39" i="10"/>
  <c r="CA40" i="10"/>
  <c r="CA178" i="10" l="1"/>
  <c r="CA177" i="10"/>
  <c r="CA176" i="10"/>
  <c r="CA24" i="10" l="1"/>
  <c r="CA23" i="10"/>
  <c r="BV194" i="10"/>
  <c r="BV147" i="10"/>
  <c r="BV145" i="10"/>
  <c r="BV223" i="10" l="1"/>
  <c r="BW196" i="10"/>
  <c r="BU169" i="5"/>
  <c r="BV162" i="5"/>
  <c r="BV178" i="10"/>
  <c r="BV177" i="10"/>
  <c r="BV176" i="10"/>
  <c r="BV151" i="10"/>
  <c r="BU151" i="10"/>
  <c r="BV150" i="10"/>
  <c r="BU150" i="10"/>
  <c r="L31" i="7" s="1"/>
  <c r="BV149" i="10"/>
  <c r="BU132" i="5"/>
  <c r="BU130" i="5"/>
  <c r="BV142" i="10"/>
  <c r="BW134" i="10"/>
  <c r="BW121" i="10"/>
  <c r="BX102" i="10"/>
  <c r="BX101" i="10"/>
  <c r="BV84" i="10"/>
  <c r="BV73" i="10"/>
  <c r="BV72" i="10"/>
  <c r="BV71" i="10"/>
  <c r="BV66" i="10"/>
  <c r="BT66" i="10" s="1"/>
  <c r="BW47" i="10"/>
  <c r="BV40" i="10"/>
  <c r="BV17" i="10"/>
  <c r="BV16" i="10"/>
  <c r="BU200" i="5" l="1"/>
  <c r="BS199" i="5"/>
  <c r="BU11" i="5" l="1"/>
  <c r="BU12" i="5"/>
  <c r="BP12" i="5"/>
  <c r="BU181" i="5" l="1"/>
  <c r="BU182" i="5"/>
  <c r="BU180" i="5"/>
  <c r="BW89" i="5" l="1"/>
  <c r="BW88" i="5"/>
  <c r="BU127" i="5" l="1"/>
  <c r="BU136" i="5"/>
  <c r="BT136" i="5"/>
  <c r="BU135" i="5"/>
  <c r="BT135" i="5"/>
  <c r="BO135" i="5"/>
  <c r="BU134" i="5"/>
  <c r="BV189" i="10"/>
  <c r="BT219" i="10"/>
  <c r="BV215" i="10"/>
  <c r="BV204" i="10" l="1"/>
  <c r="BV202" i="10"/>
  <c r="BV201" i="10"/>
  <c r="BT201" i="10" s="1"/>
  <c r="DB228" i="10" l="1"/>
  <c r="CX228" i="10"/>
  <c r="CW228" i="10"/>
  <c r="CS228" i="10"/>
  <c r="CR228" i="10"/>
  <c r="CN228" i="10"/>
  <c r="CM228" i="10"/>
  <c r="CI228" i="10"/>
  <c r="CH228" i="10"/>
  <c r="CD228" i="10"/>
  <c r="CC228" i="10"/>
  <c r="BY228" i="10"/>
  <c r="BX228" i="10"/>
  <c r="BT228" i="10"/>
  <c r="BS228" i="10"/>
  <c r="BO228" i="10"/>
  <c r="BN228" i="10"/>
  <c r="BJ228" i="10"/>
  <c r="BI228" i="10"/>
  <c r="BE228" i="10"/>
  <c r="BD228" i="10"/>
  <c r="AZ228" i="10"/>
  <c r="AY228" i="10"/>
  <c r="AU228" i="10"/>
  <c r="AT228" i="10"/>
  <c r="AQ228" i="10"/>
  <c r="AP228" i="10" s="1"/>
  <c r="AO228" i="10"/>
  <c r="AK228" i="10"/>
  <c r="AJ228" i="10"/>
  <c r="AJ227" i="10" s="1"/>
  <c r="AF228" i="10"/>
  <c r="AE228" i="10"/>
  <c r="AA228" i="10"/>
  <c r="Z228" i="10"/>
  <c r="V228" i="10"/>
  <c r="Q228" i="10"/>
  <c r="L228" i="10"/>
  <c r="G228" i="10"/>
  <c r="DB227" i="10"/>
  <c r="CW227" i="10"/>
  <c r="CR227" i="10"/>
  <c r="CM227" i="10"/>
  <c r="CH227" i="10"/>
  <c r="CC227" i="10"/>
  <c r="BX227" i="10"/>
  <c r="BS227" i="10"/>
  <c r="BN227" i="10"/>
  <c r="BI227" i="10"/>
  <c r="BD227" i="10"/>
  <c r="AY227" i="10"/>
  <c r="AT227" i="10"/>
  <c r="AO227" i="10"/>
  <c r="AE227" i="10"/>
  <c r="Z227" i="10"/>
  <c r="CX226" i="10"/>
  <c r="CS226" i="10"/>
  <c r="CN226" i="10"/>
  <c r="CD226" i="10"/>
  <c r="BY226" i="10"/>
  <c r="BT226" i="10"/>
  <c r="BO226" i="10"/>
  <c r="BJ226" i="10"/>
  <c r="BE226" i="10"/>
  <c r="AZ226" i="10"/>
  <c r="AU226" i="10"/>
  <c r="AP226" i="10"/>
  <c r="AK226" i="10"/>
  <c r="AF226" i="10"/>
  <c r="AA226" i="10"/>
  <c r="V226" i="10"/>
  <c r="Q226" i="10"/>
  <c r="L226" i="10"/>
  <c r="G226" i="10"/>
  <c r="BQ223" i="10"/>
  <c r="BS221" i="10" s="1"/>
  <c r="BL223" i="10"/>
  <c r="BG223" i="10"/>
  <c r="BI222" i="10" s="1"/>
  <c r="BB223" i="10"/>
  <c r="AW223" i="10"/>
  <c r="AY222" i="10" s="1"/>
  <c r="AR223" i="10"/>
  <c r="DB222" i="10"/>
  <c r="CX222" i="10"/>
  <c r="CW222" i="10"/>
  <c r="CS222" i="10"/>
  <c r="CR222" i="10"/>
  <c r="CN222" i="10"/>
  <c r="CM222" i="10"/>
  <c r="CI222" i="10"/>
  <c r="CH222" i="10"/>
  <c r="CD222" i="10"/>
  <c r="CC222" i="10"/>
  <c r="BY222" i="10"/>
  <c r="BX222" i="10"/>
  <c r="BT222" i="10"/>
  <c r="BS222" i="10"/>
  <c r="BO222" i="10"/>
  <c r="BJ222" i="10"/>
  <c r="BE222" i="10"/>
  <c r="AZ222" i="10"/>
  <c r="AU222" i="10"/>
  <c r="AP222" i="10"/>
  <c r="AO222" i="10"/>
  <c r="AO221" i="10" s="1"/>
  <c r="AK222" i="10"/>
  <c r="AJ222" i="10"/>
  <c r="AJ221" i="10" s="1"/>
  <c r="AF222" i="10"/>
  <c r="AE222" i="10"/>
  <c r="AA222" i="10"/>
  <c r="Z222" i="10"/>
  <c r="V222" i="10"/>
  <c r="Q222" i="10"/>
  <c r="L222" i="10"/>
  <c r="G222" i="10"/>
  <c r="DB221" i="10"/>
  <c r="CW221" i="10"/>
  <c r="CR221" i="10"/>
  <c r="CM221" i="10"/>
  <c r="CH221" i="10"/>
  <c r="CC221" i="10"/>
  <c r="BX221" i="10"/>
  <c r="AE221" i="10"/>
  <c r="Z221" i="10"/>
  <c r="CZ220" i="10"/>
  <c r="CX220" i="10" s="1"/>
  <c r="CU220" i="10"/>
  <c r="CW217" i="10" s="1"/>
  <c r="CP220" i="10"/>
  <c r="CR217" i="10" s="1"/>
  <c r="CD220" i="10"/>
  <c r="BT220" i="10"/>
  <c r="BO220" i="10"/>
  <c r="BL220" i="10"/>
  <c r="BE220" i="10"/>
  <c r="AZ220" i="10"/>
  <c r="AU220" i="10"/>
  <c r="AP220" i="10"/>
  <c r="AK220" i="10"/>
  <c r="AH220" i="10"/>
  <c r="AC220" i="10"/>
  <c r="V220" i="10"/>
  <c r="S220" i="10"/>
  <c r="Q220" i="10" s="1"/>
  <c r="N220" i="10"/>
  <c r="L220" i="10" s="1"/>
  <c r="I220" i="10"/>
  <c r="G220" i="10" s="1"/>
  <c r="BR219" i="10"/>
  <c r="BO219" i="10"/>
  <c r="BJ219" i="10"/>
  <c r="BE219" i="10"/>
  <c r="AZ219" i="10"/>
  <c r="AU219" i="10"/>
  <c r="AP219" i="10"/>
  <c r="AK219" i="10"/>
  <c r="BR218" i="10"/>
  <c r="AU218" i="10"/>
  <c r="DB217" i="10"/>
  <c r="CX217" i="10"/>
  <c r="CS217" i="10"/>
  <c r="CN217" i="10"/>
  <c r="CM217" i="10"/>
  <c r="CI217" i="10"/>
  <c r="CH217" i="10"/>
  <c r="CD217" i="10"/>
  <c r="CC217" i="10"/>
  <c r="BY217" i="10"/>
  <c r="BX217" i="10"/>
  <c r="BT217" i="10"/>
  <c r="BS217" i="10"/>
  <c r="BO217" i="10"/>
  <c r="BJ217" i="10"/>
  <c r="BI217" i="10"/>
  <c r="BE217" i="10"/>
  <c r="BD217" i="10"/>
  <c r="AZ217" i="10"/>
  <c r="AY217" i="10"/>
  <c r="AU217" i="10"/>
  <c r="AT217" i="10"/>
  <c r="AP217" i="10"/>
  <c r="AO217" i="10"/>
  <c r="AO216" i="10" s="1"/>
  <c r="AK217" i="10"/>
  <c r="AF217" i="10"/>
  <c r="AA217" i="10"/>
  <c r="Z217" i="10"/>
  <c r="V217" i="10"/>
  <c r="Q217" i="10"/>
  <c r="L217" i="10"/>
  <c r="G217" i="10"/>
  <c r="CH216" i="10"/>
  <c r="BX216" i="10"/>
  <c r="BS216" i="10"/>
  <c r="BI216" i="10"/>
  <c r="BD216" i="10"/>
  <c r="AY216" i="10"/>
  <c r="AT216" i="10"/>
  <c r="Z216" i="10"/>
  <c r="CX215" i="10"/>
  <c r="CS215" i="10"/>
  <c r="CN215" i="10"/>
  <c r="CI215" i="10"/>
  <c r="CD215" i="10"/>
  <c r="BY215" i="10"/>
  <c r="BT215" i="10"/>
  <c r="BQ215" i="10"/>
  <c r="BL215" i="10"/>
  <c r="BN211" i="10" s="1"/>
  <c r="BG215" i="10"/>
  <c r="BI210" i="10" s="1"/>
  <c r="BB215" i="10"/>
  <c r="BD211" i="10" s="1"/>
  <c r="AW215" i="10"/>
  <c r="AR215" i="10"/>
  <c r="AT211" i="10" s="1"/>
  <c r="AM215" i="10"/>
  <c r="AH215" i="10"/>
  <c r="AF215" i="10" s="1"/>
  <c r="AC215" i="10"/>
  <c r="V215" i="10"/>
  <c r="S215" i="10"/>
  <c r="Q215" i="10" s="1"/>
  <c r="N215" i="10"/>
  <c r="L215" i="10" s="1"/>
  <c r="I215" i="10"/>
  <c r="G215" i="10" s="1"/>
  <c r="BJ214" i="10"/>
  <c r="BH214" i="10"/>
  <c r="BE214" i="10"/>
  <c r="AZ214" i="10"/>
  <c r="CX211" i="10"/>
  <c r="CW211" i="10"/>
  <c r="CS211" i="10"/>
  <c r="CN211" i="10"/>
  <c r="CM211" i="10"/>
  <c r="CI211" i="10"/>
  <c r="CH211" i="10"/>
  <c r="CD211" i="10"/>
  <c r="CC211" i="10"/>
  <c r="BY211" i="10"/>
  <c r="BX211" i="10"/>
  <c r="BT211" i="10"/>
  <c r="BO211" i="10"/>
  <c r="BJ211" i="10"/>
  <c r="BE211" i="10"/>
  <c r="AZ211" i="10"/>
  <c r="AU211" i="10"/>
  <c r="AP211" i="10"/>
  <c r="AK211" i="10"/>
  <c r="AF211" i="10"/>
  <c r="AA211" i="10"/>
  <c r="Z211" i="10"/>
  <c r="V211" i="10"/>
  <c r="Q211" i="10"/>
  <c r="L211" i="10"/>
  <c r="G211" i="10"/>
  <c r="CH210" i="10"/>
  <c r="BX210" i="10"/>
  <c r="Z210" i="10"/>
  <c r="CX209" i="10"/>
  <c r="CS209" i="10"/>
  <c r="CN209" i="10"/>
  <c r="CI209" i="10"/>
  <c r="CD209" i="10"/>
  <c r="BY209" i="10"/>
  <c r="BT209" i="10"/>
  <c r="BO209" i="10"/>
  <c r="BJ209" i="10"/>
  <c r="BE209" i="10"/>
  <c r="AZ209" i="10"/>
  <c r="AU209" i="10"/>
  <c r="AP209" i="10"/>
  <c r="AK209" i="10"/>
  <c r="AF209" i="10"/>
  <c r="AA209" i="10"/>
  <c r="V209" i="10"/>
  <c r="Q209" i="10"/>
  <c r="L209" i="10"/>
  <c r="G209" i="10"/>
  <c r="CX206" i="10"/>
  <c r="CS206" i="10"/>
  <c r="CN206" i="10"/>
  <c r="CI206" i="10"/>
  <c r="CD206" i="10"/>
  <c r="BY206" i="10"/>
  <c r="BT206" i="10"/>
  <c r="BO206" i="10"/>
  <c r="BJ206" i="10"/>
  <c r="BE206" i="10"/>
  <c r="AZ206" i="10"/>
  <c r="AU206" i="10"/>
  <c r="AP206" i="10"/>
  <c r="AK206" i="10"/>
  <c r="AF206" i="10"/>
  <c r="AA206" i="10"/>
  <c r="V206" i="10"/>
  <c r="Q206" i="10"/>
  <c r="L206" i="10"/>
  <c r="G206" i="10"/>
  <c r="CX204" i="10"/>
  <c r="CS204" i="10"/>
  <c r="CI204" i="10"/>
  <c r="CD204" i="10"/>
  <c r="BY204" i="10"/>
  <c r="BT204" i="10"/>
  <c r="BQ204" i="10"/>
  <c r="BO204" i="10" s="1"/>
  <c r="BL204" i="10"/>
  <c r="BJ204" i="10" s="1"/>
  <c r="BG204" i="10"/>
  <c r="BE204" i="10" s="1"/>
  <c r="BB204" i="10"/>
  <c r="AZ204" i="10" s="1"/>
  <c r="AW204" i="10"/>
  <c r="AU204" i="10" s="1"/>
  <c r="AR204" i="10"/>
  <c r="AP204" i="10" s="1"/>
  <c r="AM204" i="10"/>
  <c r="AK204" i="10" s="1"/>
  <c r="AH204" i="10"/>
  <c r="AF204" i="10" s="1"/>
  <c r="AC204" i="10"/>
  <c r="AA204" i="10" s="1"/>
  <c r="X204" i="10"/>
  <c r="V204" i="10" s="1"/>
  <c r="S204" i="10"/>
  <c r="Q204" i="10" s="1"/>
  <c r="N204" i="10"/>
  <c r="L204" i="10" s="1"/>
  <c r="I204" i="10"/>
  <c r="G204" i="10" s="1"/>
  <c r="BQ202" i="10"/>
  <c r="BL202" i="10"/>
  <c r="BG202" i="10"/>
  <c r="BB202" i="10"/>
  <c r="AW202" i="10"/>
  <c r="AR202" i="10"/>
  <c r="AM202" i="10"/>
  <c r="AH202" i="10"/>
  <c r="AC202" i="10"/>
  <c r="X202" i="10"/>
  <c r="S202" i="10"/>
  <c r="N202" i="10"/>
  <c r="I202" i="10"/>
  <c r="CH200" i="10"/>
  <c r="BQ201" i="10"/>
  <c r="BJ201" i="10"/>
  <c r="BG201" i="10"/>
  <c r="BB201" i="10"/>
  <c r="AW201" i="10"/>
  <c r="AR201" i="10"/>
  <c r="AP201" i="10" s="1"/>
  <c r="AM201" i="10"/>
  <c r="AH201" i="10"/>
  <c r="AC201" i="10"/>
  <c r="X201" i="10"/>
  <c r="S201" i="10"/>
  <c r="N201" i="10"/>
  <c r="I201" i="10"/>
  <c r="CX200" i="10"/>
  <c r="CS200" i="10"/>
  <c r="CN200" i="10"/>
  <c r="CI200" i="10"/>
  <c r="CD200" i="10"/>
  <c r="BY200" i="10"/>
  <c r="BX200" i="10"/>
  <c r="BT200" i="10"/>
  <c r="BO200" i="10"/>
  <c r="BJ200" i="10"/>
  <c r="BE200" i="10"/>
  <c r="AZ200" i="10"/>
  <c r="AU200" i="10"/>
  <c r="AP200" i="10"/>
  <c r="AK200" i="10"/>
  <c r="AF200" i="10"/>
  <c r="AA200" i="10"/>
  <c r="V200" i="10"/>
  <c r="Q200" i="10"/>
  <c r="L200" i="10"/>
  <c r="G200" i="10"/>
  <c r="CH199" i="10"/>
  <c r="BX199" i="10"/>
  <c r="CZ198" i="10"/>
  <c r="CX198" i="10" s="1"/>
  <c r="CP198" i="10"/>
  <c r="CN198" i="10" s="1"/>
  <c r="CK198" i="10"/>
  <c r="CF198" i="10"/>
  <c r="CD198" i="10" s="1"/>
  <c r="CA198" i="10"/>
  <c r="BT198" i="10"/>
  <c r="BO198" i="10"/>
  <c r="BJ198" i="10"/>
  <c r="BE198" i="10"/>
  <c r="AZ198" i="10"/>
  <c r="AU198" i="10"/>
  <c r="AP198" i="10"/>
  <c r="AK198" i="10"/>
  <c r="AF198" i="10"/>
  <c r="AA198" i="10"/>
  <c r="V198" i="10"/>
  <c r="Q198" i="10"/>
  <c r="L198" i="10"/>
  <c r="G198" i="10"/>
  <c r="CX196" i="10"/>
  <c r="CS196" i="10"/>
  <c r="CN196" i="10"/>
  <c r="CI196" i="10"/>
  <c r="CD196" i="10"/>
  <c r="BY196" i="10"/>
  <c r="BX196" i="10"/>
  <c r="BT196" i="10"/>
  <c r="BS196" i="10"/>
  <c r="BO196" i="10"/>
  <c r="BN196" i="10"/>
  <c r="BJ196" i="10"/>
  <c r="BI196" i="10"/>
  <c r="BE196" i="10"/>
  <c r="BD196" i="10"/>
  <c r="AZ196" i="10"/>
  <c r="AY196" i="10"/>
  <c r="AU196" i="10"/>
  <c r="AT196" i="10"/>
  <c r="AP196" i="10"/>
  <c r="AN196" i="10"/>
  <c r="AO196" i="10" s="1"/>
  <c r="AO195" i="10" s="1"/>
  <c r="AK196" i="10"/>
  <c r="AI196" i="10"/>
  <c r="AJ196" i="10" s="1"/>
  <c r="AJ195" i="10" s="1"/>
  <c r="AF196" i="10"/>
  <c r="AE196" i="10"/>
  <c r="AA196" i="10"/>
  <c r="Z196" i="10"/>
  <c r="V196" i="10"/>
  <c r="Q196" i="10"/>
  <c r="L196" i="10"/>
  <c r="G196" i="10"/>
  <c r="BX195" i="10"/>
  <c r="BS195" i="10"/>
  <c r="BN195" i="10"/>
  <c r="BI195" i="10"/>
  <c r="BD195" i="10"/>
  <c r="AY195" i="10"/>
  <c r="AT195" i="10"/>
  <c r="AE195" i="10"/>
  <c r="Z195" i="10"/>
  <c r="CX194" i="10"/>
  <c r="CS194" i="10"/>
  <c r="CN194" i="10"/>
  <c r="CI194" i="10"/>
  <c r="CD194" i="10"/>
  <c r="BY194" i="10"/>
  <c r="BT194" i="10"/>
  <c r="BO194" i="10"/>
  <c r="BJ194" i="10"/>
  <c r="BE194" i="10"/>
  <c r="AZ194" i="10"/>
  <c r="AU194" i="10"/>
  <c r="AP194" i="10"/>
  <c r="AK194" i="10"/>
  <c r="AF194" i="10"/>
  <c r="AA194" i="10"/>
  <c r="V194" i="10"/>
  <c r="Q194" i="10"/>
  <c r="L194" i="10"/>
  <c r="G194" i="10"/>
  <c r="CX192" i="10"/>
  <c r="CS192" i="10"/>
  <c r="CN192" i="10"/>
  <c r="CI192" i="10"/>
  <c r="CD192" i="10"/>
  <c r="BY192" i="10"/>
  <c r="BT192" i="10"/>
  <c r="BO192" i="10"/>
  <c r="BJ192" i="10"/>
  <c r="BE192" i="10"/>
  <c r="AZ192" i="10"/>
  <c r="AP192" i="10"/>
  <c r="AK192" i="10"/>
  <c r="AF192" i="10"/>
  <c r="AA192" i="10"/>
  <c r="V192" i="10"/>
  <c r="Q192" i="10"/>
  <c r="L192" i="10"/>
  <c r="G192" i="10"/>
  <c r="DB191" i="10"/>
  <c r="CW191" i="10"/>
  <c r="CR191" i="10"/>
  <c r="CM191" i="10"/>
  <c r="CH191" i="10"/>
  <c r="CC191" i="10"/>
  <c r="BX191" i="10"/>
  <c r="BS191" i="10"/>
  <c r="BN191" i="10"/>
  <c r="BI191" i="10"/>
  <c r="BD191" i="10"/>
  <c r="AY191" i="10"/>
  <c r="AT191" i="10"/>
  <c r="AO191" i="10"/>
  <c r="AO190" i="10" s="1"/>
  <c r="AJ191" i="10"/>
  <c r="AE191" i="10"/>
  <c r="Z191" i="10"/>
  <c r="DB190" i="10"/>
  <c r="CW190" i="10"/>
  <c r="CR190" i="10"/>
  <c r="CM190" i="10"/>
  <c r="CH190" i="10"/>
  <c r="CC190" i="10"/>
  <c r="BX190" i="10"/>
  <c r="BS190" i="10"/>
  <c r="BN190" i="10"/>
  <c r="BI190" i="10"/>
  <c r="BD190" i="10"/>
  <c r="AY190" i="10"/>
  <c r="AT190" i="10"/>
  <c r="AJ190" i="10"/>
  <c r="AE190" i="10"/>
  <c r="Z190" i="10"/>
  <c r="CX189" i="10"/>
  <c r="CS189" i="10"/>
  <c r="CN189" i="10"/>
  <c r="CI189" i="10"/>
  <c r="CD189" i="10"/>
  <c r="BY189" i="10"/>
  <c r="BT189" i="10"/>
  <c r="BO189" i="10"/>
  <c r="BL189" i="10"/>
  <c r="BG189" i="10"/>
  <c r="BE189" i="10" s="1"/>
  <c r="BB189" i="10"/>
  <c r="AW189" i="10"/>
  <c r="AU189" i="10" s="1"/>
  <c r="AR189" i="10"/>
  <c r="AM189" i="10"/>
  <c r="AK189" i="10" s="1"/>
  <c r="AH189" i="10"/>
  <c r="AF189" i="10" s="1"/>
  <c r="AC189" i="10"/>
  <c r="X189" i="10"/>
  <c r="S189" i="10"/>
  <c r="Q189" i="10" s="1"/>
  <c r="N189" i="10"/>
  <c r="L189" i="10" s="1"/>
  <c r="G189" i="10"/>
  <c r="BL188" i="10"/>
  <c r="BG188" i="10"/>
  <c r="BB188" i="10"/>
  <c r="AW188" i="10"/>
  <c r="AR188" i="10"/>
  <c r="AM188" i="10"/>
  <c r="AC188" i="10"/>
  <c r="X188" i="10"/>
  <c r="S188" i="10"/>
  <c r="N188" i="10"/>
  <c r="CX187" i="10"/>
  <c r="CS187" i="10"/>
  <c r="CN187" i="10"/>
  <c r="CI187" i="10"/>
  <c r="CD187" i="10"/>
  <c r="BY187" i="10"/>
  <c r="BT187" i="10"/>
  <c r="BO187" i="10"/>
  <c r="BL187" i="10"/>
  <c r="BG187" i="10"/>
  <c r="BI186" i="10" s="1"/>
  <c r="BB187" i="10"/>
  <c r="AW187" i="10"/>
  <c r="AU187" i="10" s="1"/>
  <c r="AR187" i="10"/>
  <c r="AM187" i="10"/>
  <c r="AK187" i="10" s="1"/>
  <c r="AH187" i="10"/>
  <c r="AC187" i="10"/>
  <c r="AA187" i="10" s="1"/>
  <c r="X187" i="10"/>
  <c r="V187" i="10" s="1"/>
  <c r="S187" i="10"/>
  <c r="Q187" i="10" s="1"/>
  <c r="N187" i="10"/>
  <c r="L187" i="10" s="1"/>
  <c r="G187" i="10"/>
  <c r="DB186" i="10"/>
  <c r="CW186" i="10"/>
  <c r="CR186" i="10"/>
  <c r="CM186" i="10"/>
  <c r="CH186" i="10"/>
  <c r="CC186" i="10"/>
  <c r="BX186" i="10"/>
  <c r="BS186" i="10"/>
  <c r="DB185" i="10"/>
  <c r="CW185" i="10"/>
  <c r="CR185" i="10"/>
  <c r="CM185" i="10"/>
  <c r="CH185" i="10"/>
  <c r="CC185" i="10"/>
  <c r="BX185" i="10"/>
  <c r="BS185" i="10"/>
  <c r="CX184" i="10"/>
  <c r="CS184" i="10"/>
  <c r="CN184" i="10"/>
  <c r="CI184" i="10"/>
  <c r="CD184" i="10"/>
  <c r="BY184" i="10"/>
  <c r="BT184" i="10"/>
  <c r="BO184" i="10"/>
  <c r="BJ184" i="10"/>
  <c r="BE184" i="10"/>
  <c r="AZ184" i="10"/>
  <c r="AU184" i="10"/>
  <c r="AP184" i="10"/>
  <c r="AK184" i="10"/>
  <c r="AH184" i="10"/>
  <c r="AA184" i="10"/>
  <c r="V184" i="10"/>
  <c r="Q184" i="10"/>
  <c r="L184" i="10"/>
  <c r="G184" i="10"/>
  <c r="CX182" i="10"/>
  <c r="CS182" i="10"/>
  <c r="CN182" i="10"/>
  <c r="CI182" i="10"/>
  <c r="CD182" i="10"/>
  <c r="BY182" i="10"/>
  <c r="BW182" i="10"/>
  <c r="BT182" i="10"/>
  <c r="BQ182" i="10"/>
  <c r="BP182" i="10"/>
  <c r="BL182" i="10"/>
  <c r="BK182" i="10"/>
  <c r="BE182" i="10"/>
  <c r="AN182" i="10"/>
  <c r="AO181" i="10" s="1"/>
  <c r="AO180" i="10" s="1"/>
  <c r="AK182" i="10"/>
  <c r="AA182" i="10"/>
  <c r="V182" i="10"/>
  <c r="Q182" i="10"/>
  <c r="L182" i="10"/>
  <c r="G182" i="10"/>
  <c r="CX178" i="10"/>
  <c r="CS178" i="10"/>
  <c r="CN178" i="10"/>
  <c r="CI178" i="10"/>
  <c r="CD178" i="10"/>
  <c r="BY178" i="10"/>
  <c r="BT178" i="10"/>
  <c r="BQ178" i="10"/>
  <c r="BO178" i="10" s="1"/>
  <c r="BL178" i="10"/>
  <c r="BJ178" i="10" s="1"/>
  <c r="BG178" i="10"/>
  <c r="BE178" i="10" s="1"/>
  <c r="BB178" i="10"/>
  <c r="AZ178" i="10" s="1"/>
  <c r="AW178" i="10"/>
  <c r="AU178" i="10" s="1"/>
  <c r="AR178" i="10"/>
  <c r="AP178" i="10" s="1"/>
  <c r="AM178" i="10"/>
  <c r="AK178" i="10" s="1"/>
  <c r="AH178" i="10"/>
  <c r="AF178" i="10" s="1"/>
  <c r="AC178" i="10"/>
  <c r="AA178" i="10" s="1"/>
  <c r="X178" i="10"/>
  <c r="V178" i="10" s="1"/>
  <c r="S178" i="10"/>
  <c r="Q178" i="10" s="1"/>
  <c r="N178" i="10"/>
  <c r="L178" i="10" s="1"/>
  <c r="I178" i="10"/>
  <c r="G178" i="10" s="1"/>
  <c r="CC175" i="10"/>
  <c r="BX175" i="10"/>
  <c r="BQ177" i="10"/>
  <c r="BL177" i="10"/>
  <c r="BG177" i="10"/>
  <c r="BB177" i="10"/>
  <c r="AW177" i="10"/>
  <c r="AR177" i="10"/>
  <c r="AM177" i="10"/>
  <c r="AH177" i="10"/>
  <c r="AC177" i="10"/>
  <c r="X177" i="10"/>
  <c r="S177" i="10"/>
  <c r="N177" i="10"/>
  <c r="I177" i="10"/>
  <c r="CN176" i="10"/>
  <c r="BT176" i="10"/>
  <c r="BQ176" i="10"/>
  <c r="BL176" i="10"/>
  <c r="BG176" i="10"/>
  <c r="BB176" i="10"/>
  <c r="AW176" i="10"/>
  <c r="AR176" i="10"/>
  <c r="AM176" i="10"/>
  <c r="AH176" i="10"/>
  <c r="AC176" i="10"/>
  <c r="X176" i="10"/>
  <c r="S176" i="10"/>
  <c r="Q176" i="10" s="1"/>
  <c r="N176" i="10"/>
  <c r="L176" i="10" s="1"/>
  <c r="I176" i="10"/>
  <c r="G176" i="10" s="1"/>
  <c r="CX174" i="10"/>
  <c r="CS174" i="10"/>
  <c r="CN174" i="10"/>
  <c r="CI174" i="10"/>
  <c r="CD174" i="10"/>
  <c r="BY174" i="10"/>
  <c r="BT174" i="10"/>
  <c r="BO174" i="10"/>
  <c r="BJ174" i="10"/>
  <c r="BE174" i="10"/>
  <c r="AZ174" i="10"/>
  <c r="AU174" i="10"/>
  <c r="AP174" i="10"/>
  <c r="AK174" i="10"/>
  <c r="AF174" i="10"/>
  <c r="AA174" i="10"/>
  <c r="V174" i="10"/>
  <c r="Q174" i="10"/>
  <c r="L174" i="10"/>
  <c r="G174" i="10"/>
  <c r="CX172" i="10"/>
  <c r="CS172" i="10"/>
  <c r="CN172" i="10"/>
  <c r="CI172" i="10"/>
  <c r="CD172" i="10"/>
  <c r="BY172" i="10"/>
  <c r="BT172" i="10"/>
  <c r="BO172" i="10"/>
  <c r="BJ172" i="10"/>
  <c r="BE172" i="10"/>
  <c r="AZ172" i="10"/>
  <c r="AU172" i="10"/>
  <c r="AP172" i="10"/>
  <c r="AK172" i="10"/>
  <c r="AF172" i="10"/>
  <c r="AA172" i="10"/>
  <c r="V172" i="10"/>
  <c r="Q172" i="10"/>
  <c r="L172" i="10"/>
  <c r="G172" i="10"/>
  <c r="DB171" i="10"/>
  <c r="CW171" i="10"/>
  <c r="CR171" i="10"/>
  <c r="CM171" i="10"/>
  <c r="CH171" i="10"/>
  <c r="CC171" i="10"/>
  <c r="BX171" i="10"/>
  <c r="BS171" i="10"/>
  <c r="BN171" i="10"/>
  <c r="BI171" i="10"/>
  <c r="BD171" i="10"/>
  <c r="AY171" i="10"/>
  <c r="AT171" i="10"/>
  <c r="AO171" i="10"/>
  <c r="AO170" i="10" s="1"/>
  <c r="AJ171" i="10"/>
  <c r="AE171" i="10"/>
  <c r="Z171" i="10"/>
  <c r="DB170" i="10"/>
  <c r="CW170" i="10"/>
  <c r="CR170" i="10"/>
  <c r="CM170" i="10"/>
  <c r="CH170" i="10"/>
  <c r="CC170" i="10"/>
  <c r="BX170" i="10"/>
  <c r="BS170" i="10"/>
  <c r="BN170" i="10"/>
  <c r="BI170" i="10"/>
  <c r="BD170" i="10"/>
  <c r="AY170" i="10"/>
  <c r="AT170" i="10"/>
  <c r="AJ170" i="10"/>
  <c r="AE170" i="10"/>
  <c r="Z170" i="10"/>
  <c r="CF151" i="10"/>
  <c r="CE151" i="10"/>
  <c r="BT151" i="10"/>
  <c r="BQ151" i="10"/>
  <c r="BP151" i="10"/>
  <c r="BL151" i="10"/>
  <c r="BK151" i="10"/>
  <c r="BG151" i="10"/>
  <c r="BF151" i="10"/>
  <c r="BB151" i="10"/>
  <c r="BA151" i="10"/>
  <c r="AW151" i="10"/>
  <c r="AV151" i="10"/>
  <c r="AR151" i="10"/>
  <c r="AQ151" i="10"/>
  <c r="AM151" i="10"/>
  <c r="AL151" i="10"/>
  <c r="AH151" i="10"/>
  <c r="AG151" i="10"/>
  <c r="AC151" i="10"/>
  <c r="AB151" i="10"/>
  <c r="X151" i="10"/>
  <c r="W151" i="10"/>
  <c r="S151" i="10"/>
  <c r="R151" i="10"/>
  <c r="N151" i="10"/>
  <c r="M151" i="10"/>
  <c r="I151" i="10"/>
  <c r="H151" i="10"/>
  <c r="CI150" i="10"/>
  <c r="CD150" i="10"/>
  <c r="BY150" i="10"/>
  <c r="BQ150" i="10"/>
  <c r="BP150" i="10"/>
  <c r="BL150" i="10"/>
  <c r="BJ150" i="10" s="1"/>
  <c r="BG150" i="10"/>
  <c r="BF150" i="10"/>
  <c r="BB150" i="10"/>
  <c r="BA150" i="10"/>
  <c r="AW150" i="10"/>
  <c r="AV150" i="10"/>
  <c r="AR150" i="10"/>
  <c r="AQ150" i="10"/>
  <c r="AM150" i="10"/>
  <c r="AL150" i="10"/>
  <c r="AH150" i="10"/>
  <c r="AG150" i="10"/>
  <c r="AC150" i="10"/>
  <c r="AB150" i="10"/>
  <c r="X150" i="10"/>
  <c r="W150" i="10"/>
  <c r="S150" i="10"/>
  <c r="Q150" i="10" s="1"/>
  <c r="N150" i="10"/>
  <c r="M150" i="10"/>
  <c r="I150" i="10"/>
  <c r="H150" i="10"/>
  <c r="CZ149" i="10"/>
  <c r="CU149" i="10"/>
  <c r="CP149" i="10"/>
  <c r="CK149" i="10"/>
  <c r="CF149" i="10"/>
  <c r="CA149" i="10"/>
  <c r="BQ149" i="10"/>
  <c r="BL149" i="10"/>
  <c r="BG149" i="10"/>
  <c r="BB149" i="10"/>
  <c r="AW149" i="10"/>
  <c r="AR149" i="10"/>
  <c r="AM149" i="10"/>
  <c r="AH149" i="10"/>
  <c r="AC149" i="10"/>
  <c r="X149" i="10"/>
  <c r="S149" i="10"/>
  <c r="N149" i="10"/>
  <c r="I149" i="10"/>
  <c r="CX147" i="10"/>
  <c r="CS147" i="10"/>
  <c r="CP147" i="10"/>
  <c r="CN147" i="10" s="1"/>
  <c r="CI147" i="10"/>
  <c r="CD147" i="10"/>
  <c r="CA147" i="10"/>
  <c r="BY147" i="10" s="1"/>
  <c r="BT147" i="10"/>
  <c r="BO147" i="10"/>
  <c r="BL147" i="10"/>
  <c r="BJ147" i="10" s="1"/>
  <c r="BG147" i="10"/>
  <c r="BI144" i="10" s="1"/>
  <c r="AK147" i="10"/>
  <c r="AF147" i="10"/>
  <c r="AC147" i="10"/>
  <c r="AA147" i="10" s="1"/>
  <c r="X147" i="10"/>
  <c r="Q147" i="10"/>
  <c r="N147" i="10"/>
  <c r="L147" i="10" s="1"/>
  <c r="I147" i="10"/>
  <c r="G147" i="10" s="1"/>
  <c r="CX145" i="10"/>
  <c r="CS145" i="10"/>
  <c r="CN145" i="10"/>
  <c r="CI145" i="10"/>
  <c r="CD145" i="10"/>
  <c r="BY145" i="10"/>
  <c r="BT145" i="10"/>
  <c r="BQ145" i="10"/>
  <c r="BO145" i="10" s="1"/>
  <c r="BL145" i="10"/>
  <c r="BJ145" i="10" s="1"/>
  <c r="BE145" i="10"/>
  <c r="BB145" i="10"/>
  <c r="BD143" i="10" s="1"/>
  <c r="AW145" i="10"/>
  <c r="AU145" i="10" s="1"/>
  <c r="AP145" i="10"/>
  <c r="AN145" i="10"/>
  <c r="AO144" i="10" s="1"/>
  <c r="AO143" i="10" s="1"/>
  <c r="AM145" i="10"/>
  <c r="AK145" i="10" s="1"/>
  <c r="AF145" i="10"/>
  <c r="AC145" i="10"/>
  <c r="AA145" i="10" s="1"/>
  <c r="Y145" i="10"/>
  <c r="V145" i="10"/>
  <c r="Q145" i="10"/>
  <c r="L145" i="10"/>
  <c r="G145" i="10"/>
  <c r="CA144" i="10"/>
  <c r="AT144" i="10"/>
  <c r="AJ144" i="10"/>
  <c r="AJ143" i="10" s="1"/>
  <c r="BX143" i="10"/>
  <c r="AT143" i="10"/>
  <c r="CZ142" i="10"/>
  <c r="CX142" i="10" s="1"/>
  <c r="CS142" i="10"/>
  <c r="CN142" i="10"/>
  <c r="CI142" i="10"/>
  <c r="CF142" i="10"/>
  <c r="CD142" i="10" s="1"/>
  <c r="BY142" i="10"/>
  <c r="BT142" i="10"/>
  <c r="BQ142" i="10"/>
  <c r="BS136" i="10" s="1"/>
  <c r="BL142" i="10"/>
  <c r="BG142" i="10"/>
  <c r="BE142" i="10" s="1"/>
  <c r="BB142" i="10"/>
  <c r="AZ142" i="10" s="1"/>
  <c r="AW142" i="10"/>
  <c r="AU142" i="10" s="1"/>
  <c r="AR142" i="10"/>
  <c r="AM142" i="10"/>
  <c r="AK142" i="10" s="1"/>
  <c r="AH142" i="10"/>
  <c r="AF142" i="10" s="1"/>
  <c r="AC142" i="10"/>
  <c r="AA142" i="10" s="1"/>
  <c r="X142" i="10"/>
  <c r="V142" i="10" s="1"/>
  <c r="S142" i="10"/>
  <c r="Q142" i="10" s="1"/>
  <c r="L142" i="10"/>
  <c r="I142" i="10"/>
  <c r="G142" i="10" s="1"/>
  <c r="CX140" i="10"/>
  <c r="CS140" i="10"/>
  <c r="CN140" i="10"/>
  <c r="CI140" i="10"/>
  <c r="CD140" i="10"/>
  <c r="BY140" i="10"/>
  <c r="BT140" i="10"/>
  <c r="BO140" i="10"/>
  <c r="BJ140" i="10"/>
  <c r="BE140" i="10"/>
  <c r="AZ140" i="10"/>
  <c r="AU140" i="10"/>
  <c r="AP140" i="10"/>
  <c r="AK140" i="10"/>
  <c r="AF140" i="10"/>
  <c r="AA140" i="10"/>
  <c r="V140" i="10"/>
  <c r="Q140" i="10"/>
  <c r="L140" i="10"/>
  <c r="G140" i="10"/>
  <c r="CZ139" i="10"/>
  <c r="CW136" i="10"/>
  <c r="CF139" i="10"/>
  <c r="BX139" i="10"/>
  <c r="BL139" i="10"/>
  <c r="BG139" i="10"/>
  <c r="BB139" i="10"/>
  <c r="AW139" i="10"/>
  <c r="AR139" i="10"/>
  <c r="AM139" i="10"/>
  <c r="AH139" i="10"/>
  <c r="AC139" i="10"/>
  <c r="X139" i="10"/>
  <c r="S139" i="10"/>
  <c r="N139" i="10"/>
  <c r="I139" i="10"/>
  <c r="CC136" i="10"/>
  <c r="BX136" i="10"/>
  <c r="CX135" i="10"/>
  <c r="CS135" i="10"/>
  <c r="CN135" i="10"/>
  <c r="CI135" i="10"/>
  <c r="CD135" i="10"/>
  <c r="BY135" i="10"/>
  <c r="BT135" i="10"/>
  <c r="BO135" i="10"/>
  <c r="BJ135" i="10"/>
  <c r="BE135" i="10"/>
  <c r="AZ135" i="10"/>
  <c r="AU135" i="10"/>
  <c r="AP135" i="10"/>
  <c r="AK135" i="10"/>
  <c r="AF135" i="10"/>
  <c r="AA135" i="10"/>
  <c r="V135" i="10"/>
  <c r="Q135" i="10"/>
  <c r="L135" i="10"/>
  <c r="G135" i="10"/>
  <c r="CX134" i="10"/>
  <c r="CS134" i="10"/>
  <c r="CN134" i="10"/>
  <c r="CI134" i="10"/>
  <c r="CD134" i="10"/>
  <c r="BY134" i="10"/>
  <c r="BT134" i="10"/>
  <c r="BO134" i="10"/>
  <c r="BJ134" i="10"/>
  <c r="BE134" i="10"/>
  <c r="AZ134" i="10"/>
  <c r="AU134" i="10"/>
  <c r="AP134" i="10"/>
  <c r="AK134" i="10"/>
  <c r="AF134" i="10"/>
  <c r="AA134" i="10"/>
  <c r="V134" i="10"/>
  <c r="Q134" i="10"/>
  <c r="L134" i="10"/>
  <c r="G134" i="10"/>
  <c r="DB133" i="10"/>
  <c r="CW133" i="10"/>
  <c r="CR133" i="10"/>
  <c r="CM133" i="10"/>
  <c r="CH133" i="10"/>
  <c r="CC133" i="10"/>
  <c r="BX133" i="10"/>
  <c r="BS133" i="10"/>
  <c r="BN133" i="10"/>
  <c r="BI133" i="10"/>
  <c r="BD133" i="10"/>
  <c r="AY133" i="10"/>
  <c r="AT133" i="10"/>
  <c r="AT132" i="10" s="1"/>
  <c r="AO133" i="10"/>
  <c r="AJ133" i="10"/>
  <c r="AJ132" i="10" s="1"/>
  <c r="AE133" i="10"/>
  <c r="Z133" i="10"/>
  <c r="DB132" i="10"/>
  <c r="CW132" i="10"/>
  <c r="CR132" i="10"/>
  <c r="CM132" i="10"/>
  <c r="CH132" i="10"/>
  <c r="CC132" i="10"/>
  <c r="BX132" i="10"/>
  <c r="BS132" i="10"/>
  <c r="BN132" i="10"/>
  <c r="BI132" i="10"/>
  <c r="BD132" i="10"/>
  <c r="AY132" i="10"/>
  <c r="AO132" i="10"/>
  <c r="AE132" i="10"/>
  <c r="Z132" i="10"/>
  <c r="CX131" i="10"/>
  <c r="CS131" i="10"/>
  <c r="CN131" i="10"/>
  <c r="CI131" i="10"/>
  <c r="CD131" i="10"/>
  <c r="BY131" i="10"/>
  <c r="BO131" i="10"/>
  <c r="BJ131" i="10"/>
  <c r="BE131" i="10"/>
  <c r="AZ131" i="10"/>
  <c r="AU131" i="10"/>
  <c r="AP131" i="10"/>
  <c r="AK131" i="10"/>
  <c r="AF131" i="10"/>
  <c r="AA131" i="10"/>
  <c r="V131" i="10"/>
  <c r="Q131" i="10"/>
  <c r="L131" i="10"/>
  <c r="G131" i="10"/>
  <c r="CX130" i="10"/>
  <c r="CS130" i="10"/>
  <c r="CI130" i="10"/>
  <c r="CD130" i="10"/>
  <c r="BY130" i="10"/>
  <c r="BT130" i="10"/>
  <c r="BO130" i="10"/>
  <c r="BJ130" i="10"/>
  <c r="BE130" i="10"/>
  <c r="AZ130" i="10"/>
  <c r="AU130" i="10"/>
  <c r="AP130" i="10"/>
  <c r="AK130" i="10"/>
  <c r="AF130" i="10"/>
  <c r="AA130" i="10"/>
  <c r="V130" i="10"/>
  <c r="Q130" i="10"/>
  <c r="L130" i="10"/>
  <c r="G130" i="10"/>
  <c r="DB129" i="10"/>
  <c r="CR129" i="10"/>
  <c r="CM129" i="10"/>
  <c r="CH129" i="10"/>
  <c r="CC129" i="10"/>
  <c r="BX129" i="10"/>
  <c r="BS129" i="10"/>
  <c r="BN129" i="10"/>
  <c r="BI129" i="10"/>
  <c r="BD129" i="10"/>
  <c r="AY129" i="10"/>
  <c r="AT129" i="10"/>
  <c r="AO129" i="10"/>
  <c r="AO128" i="10" s="1"/>
  <c r="AJ129" i="10"/>
  <c r="AE129" i="10"/>
  <c r="Z129" i="10"/>
  <c r="DB128" i="10"/>
  <c r="CW128" i="10"/>
  <c r="CR128" i="10"/>
  <c r="CM128" i="10"/>
  <c r="CH128" i="10"/>
  <c r="CC128" i="10"/>
  <c r="BX128" i="10"/>
  <c r="BS128" i="10"/>
  <c r="BN128" i="10"/>
  <c r="BI128" i="10"/>
  <c r="BD128" i="10"/>
  <c r="AY128" i="10"/>
  <c r="AT128" i="10"/>
  <c r="AJ128" i="10"/>
  <c r="AE128" i="10"/>
  <c r="Z128" i="10"/>
  <c r="CX127" i="10"/>
  <c r="CS127" i="10"/>
  <c r="CN127" i="10"/>
  <c r="CI127" i="10"/>
  <c r="CD127" i="10"/>
  <c r="BY127" i="10"/>
  <c r="BT127" i="10"/>
  <c r="BO127" i="10"/>
  <c r="BJ127" i="10"/>
  <c r="BE127" i="10"/>
  <c r="AZ127" i="10"/>
  <c r="AU127" i="10"/>
  <c r="AP127" i="10"/>
  <c r="AK127" i="10"/>
  <c r="AF127" i="10"/>
  <c r="AA127" i="10"/>
  <c r="V127" i="10"/>
  <c r="Q127" i="10"/>
  <c r="L127" i="10"/>
  <c r="G127" i="10"/>
  <c r="DB125" i="10"/>
  <c r="CX125" i="10"/>
  <c r="CW125" i="10"/>
  <c r="CS125" i="10"/>
  <c r="CR125" i="10"/>
  <c r="CN125" i="10"/>
  <c r="CM125" i="10"/>
  <c r="CI125" i="10"/>
  <c r="CH125" i="10"/>
  <c r="CD125" i="10"/>
  <c r="CC125" i="10"/>
  <c r="BY125" i="10"/>
  <c r="BX125" i="10"/>
  <c r="BT125" i="10"/>
  <c r="BS125" i="10"/>
  <c r="BO125" i="10"/>
  <c r="BN125" i="10"/>
  <c r="BJ125" i="10"/>
  <c r="BI125" i="10"/>
  <c r="BE125" i="10"/>
  <c r="BD125" i="10"/>
  <c r="AZ125" i="10"/>
  <c r="AY125" i="10"/>
  <c r="AU125" i="10"/>
  <c r="AT125" i="10"/>
  <c r="AP125" i="10"/>
  <c r="AN125" i="10"/>
  <c r="AO125" i="10" s="1"/>
  <c r="AO124" i="10" s="1"/>
  <c r="AK125" i="10"/>
  <c r="AI125" i="10"/>
  <c r="AJ125" i="10" s="1"/>
  <c r="AJ124" i="10" s="1"/>
  <c r="AF125" i="10"/>
  <c r="AE125" i="10"/>
  <c r="AA125" i="10"/>
  <c r="Z125" i="10"/>
  <c r="V125" i="10"/>
  <c r="Q125" i="10"/>
  <c r="L125" i="10"/>
  <c r="G125" i="10"/>
  <c r="DB124" i="10"/>
  <c r="CW124" i="10"/>
  <c r="CR124" i="10"/>
  <c r="CM124" i="10"/>
  <c r="CH124" i="10"/>
  <c r="CC124" i="10"/>
  <c r="BX124" i="10"/>
  <c r="BS124" i="10"/>
  <c r="BN124" i="10"/>
  <c r="BI124" i="10"/>
  <c r="BD124" i="10"/>
  <c r="AY124" i="10"/>
  <c r="AT124" i="10"/>
  <c r="AE124" i="10"/>
  <c r="Z124" i="10"/>
  <c r="BE123" i="10"/>
  <c r="AF123" i="10"/>
  <c r="AA123" i="10"/>
  <c r="V123" i="10"/>
  <c r="L123" i="10"/>
  <c r="CX121" i="10"/>
  <c r="CS121" i="10"/>
  <c r="CN121" i="10"/>
  <c r="CI121" i="10"/>
  <c r="CD121" i="10"/>
  <c r="BY121" i="10"/>
  <c r="BT121" i="10"/>
  <c r="BO121" i="10"/>
  <c r="BJ121" i="10"/>
  <c r="BE121" i="10"/>
  <c r="AZ121" i="10"/>
  <c r="AU121" i="10"/>
  <c r="AP121" i="10"/>
  <c r="AK121" i="10"/>
  <c r="AF121" i="10"/>
  <c r="AA121" i="10"/>
  <c r="V121" i="10"/>
  <c r="Q121" i="10"/>
  <c r="L121" i="10"/>
  <c r="G121" i="10"/>
  <c r="DB120" i="10"/>
  <c r="CX120" i="10"/>
  <c r="CW120" i="10"/>
  <c r="CS120" i="10"/>
  <c r="CR120" i="10"/>
  <c r="CN120" i="10"/>
  <c r="CM120" i="10"/>
  <c r="CI120" i="10"/>
  <c r="CH120" i="10"/>
  <c r="CD120" i="10"/>
  <c r="CC120" i="10"/>
  <c r="BY120" i="10"/>
  <c r="BX120" i="10"/>
  <c r="BT120" i="10"/>
  <c r="BS120" i="10"/>
  <c r="BO120" i="10"/>
  <c r="BN120" i="10"/>
  <c r="BJ120" i="10"/>
  <c r="BI120" i="10"/>
  <c r="BE120" i="10"/>
  <c r="BD120" i="10"/>
  <c r="AZ120" i="10"/>
  <c r="AY120" i="10"/>
  <c r="AU120" i="10"/>
  <c r="AT120" i="10"/>
  <c r="AP120" i="10"/>
  <c r="AO120" i="10"/>
  <c r="AO119" i="10" s="1"/>
  <c r="AK120" i="10"/>
  <c r="AJ120" i="10"/>
  <c r="AJ119" i="10" s="1"/>
  <c r="AF120" i="10"/>
  <c r="AE120" i="10"/>
  <c r="AA120" i="10"/>
  <c r="Z120" i="10"/>
  <c r="L120" i="10"/>
  <c r="G120" i="10"/>
  <c r="DB119" i="10"/>
  <c r="CW119" i="10"/>
  <c r="CR119" i="10"/>
  <c r="CM119" i="10"/>
  <c r="CH119" i="10"/>
  <c r="CC119" i="10"/>
  <c r="BX119" i="10"/>
  <c r="BS119" i="10"/>
  <c r="BN119" i="10"/>
  <c r="BI119" i="10"/>
  <c r="BD119" i="10"/>
  <c r="AY119" i="10"/>
  <c r="AT119" i="10"/>
  <c r="AE119" i="10"/>
  <c r="Z119" i="10"/>
  <c r="CX118" i="10"/>
  <c r="CS118" i="10"/>
  <c r="CN118" i="10"/>
  <c r="CI118" i="10"/>
  <c r="CD118" i="10"/>
  <c r="BY118" i="10"/>
  <c r="BT118" i="10"/>
  <c r="BO118" i="10"/>
  <c r="BJ118" i="10"/>
  <c r="BE118" i="10"/>
  <c r="AZ118" i="10"/>
  <c r="AU118" i="10"/>
  <c r="AP118" i="10"/>
  <c r="AK118" i="10"/>
  <c r="AF118" i="10"/>
  <c r="AC118" i="10"/>
  <c r="AE116" i="10" s="1"/>
  <c r="AB118" i="10"/>
  <c r="V118" i="10"/>
  <c r="Q118" i="10"/>
  <c r="L118" i="10"/>
  <c r="G118" i="10"/>
  <c r="DB116" i="10"/>
  <c r="CX116" i="10"/>
  <c r="CW116" i="10"/>
  <c r="CS116" i="10"/>
  <c r="CR116" i="10"/>
  <c r="CN116" i="10"/>
  <c r="CM116" i="10"/>
  <c r="CI116" i="10"/>
  <c r="CH116" i="10"/>
  <c r="CD116" i="10"/>
  <c r="CC116" i="10"/>
  <c r="BY116" i="10"/>
  <c r="BX116" i="10"/>
  <c r="BT116" i="10"/>
  <c r="BS116" i="10"/>
  <c r="BO116" i="10"/>
  <c r="BN116" i="10"/>
  <c r="BJ116" i="10"/>
  <c r="BI116" i="10"/>
  <c r="BE116" i="10"/>
  <c r="BD116" i="10"/>
  <c r="AZ116" i="10"/>
  <c r="AY116" i="10"/>
  <c r="AU116" i="10"/>
  <c r="AT116" i="10"/>
  <c r="AP116" i="10"/>
  <c r="AN116" i="10"/>
  <c r="AO116" i="10" s="1"/>
  <c r="AO115" i="10" s="1"/>
  <c r="AK116" i="10"/>
  <c r="AI116" i="10"/>
  <c r="AJ116" i="10" s="1"/>
  <c r="AJ115" i="10" s="1"/>
  <c r="AF116" i="10"/>
  <c r="AA116" i="10"/>
  <c r="Z116" i="10"/>
  <c r="V116" i="10"/>
  <c r="Q116" i="10"/>
  <c r="L116" i="10"/>
  <c r="G116" i="10"/>
  <c r="DB115" i="10"/>
  <c r="CW115" i="10"/>
  <c r="CR115" i="10"/>
  <c r="CM115" i="10"/>
  <c r="CH115" i="10"/>
  <c r="CC115" i="10"/>
  <c r="BX115" i="10"/>
  <c r="BS115" i="10"/>
  <c r="BN115" i="10"/>
  <c r="BI115" i="10"/>
  <c r="BD115" i="10"/>
  <c r="AY115" i="10"/>
  <c r="AT115" i="10"/>
  <c r="Z115" i="10"/>
  <c r="CX108" i="10"/>
  <c r="CS108" i="10"/>
  <c r="CN108" i="10"/>
  <c r="CI108" i="10"/>
  <c r="CD108" i="10"/>
  <c r="BY108" i="10"/>
  <c r="BT108" i="10"/>
  <c r="BO108" i="10"/>
  <c r="BJ108" i="10"/>
  <c r="BE108" i="10"/>
  <c r="AZ108" i="10"/>
  <c r="AU108" i="10"/>
  <c r="AP108" i="10"/>
  <c r="AK108" i="10"/>
  <c r="AF108" i="10"/>
  <c r="AA108" i="10"/>
  <c r="V108" i="10"/>
  <c r="Q108" i="10"/>
  <c r="L108" i="10"/>
  <c r="G108" i="10"/>
  <c r="DB106" i="10"/>
  <c r="CX106" i="10"/>
  <c r="CW106" i="10"/>
  <c r="CS106" i="10"/>
  <c r="CR106" i="10"/>
  <c r="CN106" i="10"/>
  <c r="CM106" i="10"/>
  <c r="CI106" i="10"/>
  <c r="CH106" i="10"/>
  <c r="CD106" i="10"/>
  <c r="CC106" i="10"/>
  <c r="BY106" i="10"/>
  <c r="BX106" i="10"/>
  <c r="BT106" i="10"/>
  <c r="BS106" i="10"/>
  <c r="BO106" i="10"/>
  <c r="BN106" i="10"/>
  <c r="BJ106" i="10"/>
  <c r="BI106" i="10"/>
  <c r="BE106" i="10"/>
  <c r="BD106" i="10"/>
  <c r="AZ106" i="10"/>
  <c r="AY106" i="10"/>
  <c r="AU106" i="10"/>
  <c r="AT106" i="10"/>
  <c r="AP106" i="10"/>
  <c r="AO106" i="10"/>
  <c r="AO105" i="10" s="1"/>
  <c r="AK106" i="10"/>
  <c r="AJ106" i="10"/>
  <c r="AJ105" i="10" s="1"/>
  <c r="AF106" i="10"/>
  <c r="AE106" i="10"/>
  <c r="AA106" i="10"/>
  <c r="Z106" i="10"/>
  <c r="V106" i="10"/>
  <c r="Q106" i="10"/>
  <c r="L106" i="10"/>
  <c r="G106" i="10"/>
  <c r="DB105" i="10"/>
  <c r="CW105" i="10"/>
  <c r="CR105" i="10"/>
  <c r="CM105" i="10"/>
  <c r="CH105" i="10"/>
  <c r="CC105" i="10"/>
  <c r="BX105" i="10"/>
  <c r="BS105" i="10"/>
  <c r="BN105" i="10"/>
  <c r="BI105" i="10"/>
  <c r="BD105" i="10"/>
  <c r="AY105" i="10"/>
  <c r="AT105" i="10"/>
  <c r="AE105" i="10"/>
  <c r="Z105" i="10"/>
  <c r="CX100" i="10"/>
  <c r="CS100" i="10"/>
  <c r="CN100" i="10"/>
  <c r="CI100" i="10"/>
  <c r="CD100" i="10"/>
  <c r="BY100" i="10"/>
  <c r="BT100" i="10"/>
  <c r="BO100" i="10"/>
  <c r="BJ100" i="10"/>
  <c r="BE100" i="10"/>
  <c r="AZ100" i="10"/>
  <c r="AU100" i="10"/>
  <c r="AP100" i="10"/>
  <c r="AK100" i="10"/>
  <c r="AF100" i="10"/>
  <c r="AA100" i="10"/>
  <c r="V100" i="10"/>
  <c r="Q100" i="10"/>
  <c r="L100" i="10"/>
  <c r="G100" i="10"/>
  <c r="DB97" i="10"/>
  <c r="CX97" i="10"/>
  <c r="CW97" i="10"/>
  <c r="CS97" i="10"/>
  <c r="CR97" i="10"/>
  <c r="CN97" i="10"/>
  <c r="CM97" i="10"/>
  <c r="CI97" i="10"/>
  <c r="CH97" i="10"/>
  <c r="CD97" i="10"/>
  <c r="CC97" i="10"/>
  <c r="BY97" i="10"/>
  <c r="BX97" i="10"/>
  <c r="BT97" i="10"/>
  <c r="BS97" i="10"/>
  <c r="BO97" i="10"/>
  <c r="BN97" i="10"/>
  <c r="BJ97" i="10"/>
  <c r="BI97" i="10"/>
  <c r="BE97" i="10"/>
  <c r="BD97" i="10"/>
  <c r="AZ97" i="10"/>
  <c r="AY97" i="10"/>
  <c r="AU97" i="10"/>
  <c r="AT97" i="10"/>
  <c r="AP97" i="10"/>
  <c r="AO97" i="10"/>
  <c r="AO96" i="10" s="1"/>
  <c r="AK97" i="10"/>
  <c r="AJ97" i="10"/>
  <c r="AF97" i="10"/>
  <c r="AE97" i="10"/>
  <c r="AA97" i="10"/>
  <c r="Z97" i="10"/>
  <c r="V97" i="10"/>
  <c r="Q97" i="10"/>
  <c r="L97" i="10"/>
  <c r="G97" i="10"/>
  <c r="DB96" i="10"/>
  <c r="CW96" i="10"/>
  <c r="CR96" i="10"/>
  <c r="CM96" i="10"/>
  <c r="CH96" i="10"/>
  <c r="CC96" i="10"/>
  <c r="BX96" i="10"/>
  <c r="BS96" i="10"/>
  <c r="BN96" i="10"/>
  <c r="BI96" i="10"/>
  <c r="BD96" i="10"/>
  <c r="AY96" i="10"/>
  <c r="AT96" i="10"/>
  <c r="AJ96" i="10"/>
  <c r="AE96" i="10"/>
  <c r="Z96" i="10"/>
  <c r="CZ95" i="10"/>
  <c r="CS95" i="10"/>
  <c r="CI95" i="10"/>
  <c r="BY95" i="10"/>
  <c r="BV95" i="10"/>
  <c r="BT95" i="10" s="1"/>
  <c r="BQ95" i="10"/>
  <c r="BO95" i="10" s="1"/>
  <c r="BL95" i="10"/>
  <c r="BJ95" i="10" s="1"/>
  <c r="BG95" i="10"/>
  <c r="BE95" i="10" s="1"/>
  <c r="BB95" i="10"/>
  <c r="AZ95" i="10" s="1"/>
  <c r="AW95" i="10"/>
  <c r="AU95" i="10" s="1"/>
  <c r="AR95" i="10"/>
  <c r="AP95" i="10" s="1"/>
  <c r="AM95" i="10"/>
  <c r="AK95" i="10" s="1"/>
  <c r="AH95" i="10"/>
  <c r="AF95" i="10" s="1"/>
  <c r="AC95" i="10"/>
  <c r="AA95" i="10" s="1"/>
  <c r="X95" i="10"/>
  <c r="V95" i="10" s="1"/>
  <c r="S95" i="10"/>
  <c r="Q95" i="10" s="1"/>
  <c r="N95" i="10"/>
  <c r="L95" i="10" s="1"/>
  <c r="I95" i="10"/>
  <c r="G95" i="10" s="1"/>
  <c r="BB94" i="10"/>
  <c r="AR94" i="10"/>
  <c r="AM94" i="10"/>
  <c r="AH94" i="10"/>
  <c r="AC94" i="10"/>
  <c r="X94" i="10"/>
  <c r="S94" i="10"/>
  <c r="CX93" i="10"/>
  <c r="CS93" i="10"/>
  <c r="CN93" i="10"/>
  <c r="CI93" i="10"/>
  <c r="CD93" i="10"/>
  <c r="BY93" i="10"/>
  <c r="BT93" i="10"/>
  <c r="BO93" i="10"/>
  <c r="BJ93" i="10"/>
  <c r="BE93" i="10"/>
  <c r="AZ93" i="10"/>
  <c r="AU93" i="10"/>
  <c r="AP93" i="10"/>
  <c r="AK93" i="10"/>
  <c r="AF93" i="10"/>
  <c r="AA93" i="10"/>
  <c r="V93" i="10"/>
  <c r="Q93" i="10"/>
  <c r="L93" i="10"/>
  <c r="G93" i="10"/>
  <c r="CC92" i="10"/>
  <c r="BV92" i="10"/>
  <c r="BQ92" i="10"/>
  <c r="BS92" i="10" s="1"/>
  <c r="BL92" i="10"/>
  <c r="BG92" i="10"/>
  <c r="BI92" i="10" s="1"/>
  <c r="BB92" i="10"/>
  <c r="AW92" i="10"/>
  <c r="AY92" i="10" s="1"/>
  <c r="AR92" i="10"/>
  <c r="AM92" i="10"/>
  <c r="AH92" i="10"/>
  <c r="AC92" i="10"/>
  <c r="X92" i="10"/>
  <c r="S92" i="10"/>
  <c r="N92" i="10"/>
  <c r="CC91" i="10"/>
  <c r="CX89" i="10"/>
  <c r="CS89" i="10"/>
  <c r="CN89" i="10"/>
  <c r="CI89" i="10"/>
  <c r="CD89" i="10"/>
  <c r="BY89" i="10"/>
  <c r="BT89" i="10"/>
  <c r="BO89" i="10"/>
  <c r="BJ89" i="10"/>
  <c r="BE89" i="10"/>
  <c r="AZ89" i="10"/>
  <c r="AU89" i="10"/>
  <c r="AP89" i="10"/>
  <c r="AK89" i="10"/>
  <c r="AF89" i="10"/>
  <c r="AA89" i="10"/>
  <c r="V89" i="10"/>
  <c r="Q89" i="10"/>
  <c r="L89" i="10"/>
  <c r="G89" i="10"/>
  <c r="CZ88" i="10"/>
  <c r="DB85" i="10" s="1"/>
  <c r="CW86" i="10"/>
  <c r="CR86" i="10"/>
  <c r="CM86" i="10"/>
  <c r="CC86" i="10"/>
  <c r="BS86" i="10"/>
  <c r="BL88" i="10"/>
  <c r="BN85" i="10" s="1"/>
  <c r="BG88" i="10"/>
  <c r="BI86" i="10" s="1"/>
  <c r="BB88" i="10"/>
  <c r="AW88" i="10"/>
  <c r="AY86" i="10" s="1"/>
  <c r="AR88" i="10"/>
  <c r="AT85" i="10" s="1"/>
  <c r="AM88" i="10"/>
  <c r="AH88" i="10"/>
  <c r="AC88" i="10"/>
  <c r="AE86" i="10" s="1"/>
  <c r="X88" i="10"/>
  <c r="Z86" i="10" s="1"/>
  <c r="S88" i="10"/>
  <c r="N88" i="10"/>
  <c r="I88" i="10"/>
  <c r="DB86" i="10"/>
  <c r="CX86" i="10"/>
  <c r="CS86" i="10"/>
  <c r="CN86" i="10"/>
  <c r="CI86" i="10"/>
  <c r="CH86" i="10"/>
  <c r="CD86" i="10"/>
  <c r="BY86" i="10"/>
  <c r="BX86" i="10"/>
  <c r="BT86" i="10"/>
  <c r="BO86" i="10"/>
  <c r="BJ86" i="10"/>
  <c r="BE86" i="10"/>
  <c r="AZ86" i="10"/>
  <c r="AU86" i="10"/>
  <c r="AP86" i="10"/>
  <c r="AN86" i="10"/>
  <c r="AK86" i="10"/>
  <c r="AI86" i="10"/>
  <c r="AF86" i="10"/>
  <c r="AA86" i="10"/>
  <c r="V86" i="10"/>
  <c r="Q86" i="10"/>
  <c r="L86" i="10"/>
  <c r="G86" i="10"/>
  <c r="CW85" i="10"/>
  <c r="CR85" i="10"/>
  <c r="CM85" i="10"/>
  <c r="CH85" i="10"/>
  <c r="CC85" i="10"/>
  <c r="BX85" i="10"/>
  <c r="BS85" i="10"/>
  <c r="CX84" i="10"/>
  <c r="CS84" i="10"/>
  <c r="CN84" i="10"/>
  <c r="CI84" i="10"/>
  <c r="CD84" i="10"/>
  <c r="BY84" i="10"/>
  <c r="BT84" i="10"/>
  <c r="BQ84" i="10"/>
  <c r="BS80" i="10" s="1"/>
  <c r="BL84" i="10"/>
  <c r="BJ84" i="10" s="1"/>
  <c r="BG84" i="10"/>
  <c r="BB84" i="10"/>
  <c r="AZ84" i="10" s="1"/>
  <c r="AW84" i="10"/>
  <c r="AY80" i="10" s="1"/>
  <c r="AR84" i="10"/>
  <c r="AP84" i="10" s="1"/>
  <c r="AM84" i="10"/>
  <c r="AH84" i="10"/>
  <c r="AF84" i="10" s="1"/>
  <c r="AC84" i="10"/>
  <c r="AE80" i="10" s="1"/>
  <c r="V84" i="10"/>
  <c r="S84" i="10"/>
  <c r="Q84" i="10" s="1"/>
  <c r="N84" i="10"/>
  <c r="L84" i="10" s="1"/>
  <c r="G84" i="10"/>
  <c r="CX83" i="10"/>
  <c r="CS83" i="10"/>
  <c r="CN83" i="10"/>
  <c r="CI83" i="10"/>
  <c r="CD83" i="10"/>
  <c r="BY83" i="10"/>
  <c r="BT83" i="10"/>
  <c r="BO83" i="10"/>
  <c r="BJ83" i="10"/>
  <c r="BE83" i="10"/>
  <c r="AZ83" i="10"/>
  <c r="AU83" i="10"/>
  <c r="AP83" i="10"/>
  <c r="AK83" i="10"/>
  <c r="AF83" i="10"/>
  <c r="AA83" i="10"/>
  <c r="V83" i="10"/>
  <c r="Q83" i="10"/>
  <c r="L83" i="10"/>
  <c r="G83" i="10"/>
  <c r="DB81" i="10"/>
  <c r="CX81" i="10"/>
  <c r="CW81" i="10"/>
  <c r="CS81" i="10"/>
  <c r="CR81" i="10"/>
  <c r="CN81" i="10"/>
  <c r="CM81" i="10"/>
  <c r="CI81" i="10"/>
  <c r="CH81" i="10"/>
  <c r="CD81" i="10"/>
  <c r="CC81" i="10"/>
  <c r="BY81" i="10"/>
  <c r="BX81" i="10"/>
  <c r="BT81" i="10"/>
  <c r="BO81" i="10"/>
  <c r="BJ81" i="10"/>
  <c r="BE81" i="10"/>
  <c r="AZ81" i="10"/>
  <c r="AU81" i="10"/>
  <c r="AP81" i="10"/>
  <c r="AK81" i="10"/>
  <c r="AF81" i="10"/>
  <c r="AA81" i="10"/>
  <c r="Z81" i="10"/>
  <c r="V81" i="10"/>
  <c r="Q81" i="10"/>
  <c r="L81" i="10"/>
  <c r="G81" i="10"/>
  <c r="DB80" i="10"/>
  <c r="CW80" i="10"/>
  <c r="CR80" i="10"/>
  <c r="CM80" i="10"/>
  <c r="CH80" i="10"/>
  <c r="CC80" i="10"/>
  <c r="Z80" i="10"/>
  <c r="CX79" i="10"/>
  <c r="CS79" i="10"/>
  <c r="CN79" i="10"/>
  <c r="CI79" i="10"/>
  <c r="CD79" i="10"/>
  <c r="BY79" i="10"/>
  <c r="BT79" i="10"/>
  <c r="BO79" i="10"/>
  <c r="BJ79" i="10"/>
  <c r="BE79" i="10"/>
  <c r="AZ79" i="10"/>
  <c r="AU79" i="10"/>
  <c r="AP79" i="10"/>
  <c r="AK79" i="10"/>
  <c r="AF79" i="10"/>
  <c r="AA79" i="10"/>
  <c r="V79" i="10"/>
  <c r="L79" i="10"/>
  <c r="G79" i="10"/>
  <c r="DB78" i="10"/>
  <c r="CW78" i="10"/>
  <c r="CR78" i="10"/>
  <c r="CM78" i="10"/>
  <c r="CI78" i="10"/>
  <c r="CH78" i="10"/>
  <c r="CC78" i="10"/>
  <c r="BY78" i="10"/>
  <c r="BX78" i="10"/>
  <c r="BT78" i="10"/>
  <c r="BS78" i="10"/>
  <c r="BO78" i="10"/>
  <c r="BN78" i="10"/>
  <c r="BJ78" i="10"/>
  <c r="BG78" i="10"/>
  <c r="BI78" i="10" s="1"/>
  <c r="BD78" i="10"/>
  <c r="AZ78" i="10"/>
  <c r="AY78" i="10"/>
  <c r="AU78" i="10"/>
  <c r="AT78" i="10"/>
  <c r="AP78" i="10"/>
  <c r="AO78" i="10"/>
  <c r="AO77" i="10" s="1"/>
  <c r="AK78" i="10"/>
  <c r="AH78" i="10"/>
  <c r="AJ78" i="10" s="1"/>
  <c r="AE78" i="10"/>
  <c r="AA78" i="10"/>
  <c r="Z78" i="10"/>
  <c r="V78" i="10"/>
  <c r="Q78" i="10"/>
  <c r="N78" i="10"/>
  <c r="L78" i="10" s="1"/>
  <c r="I78" i="10"/>
  <c r="G78" i="10" s="1"/>
  <c r="CW77" i="10"/>
  <c r="CR77" i="10"/>
  <c r="CM77" i="10"/>
  <c r="CH77" i="10"/>
  <c r="CC77" i="10"/>
  <c r="BX77" i="10"/>
  <c r="BS77" i="10"/>
  <c r="BN77" i="10"/>
  <c r="BD77" i="10"/>
  <c r="AY77" i="10"/>
  <c r="AT77" i="10"/>
  <c r="AE77" i="10"/>
  <c r="Z77" i="10"/>
  <c r="CY76" i="10"/>
  <c r="CX76" i="10" s="1"/>
  <c r="CS76" i="10"/>
  <c r="CN76" i="10"/>
  <c r="CJ76" i="10"/>
  <c r="CI76" i="10" s="1"/>
  <c r="CD76" i="10"/>
  <c r="BY76" i="10"/>
  <c r="BT76" i="10"/>
  <c r="BO76" i="10"/>
  <c r="BK76" i="10"/>
  <c r="BJ76" i="10" s="1"/>
  <c r="BF76" i="10"/>
  <c r="BE76" i="10" s="1"/>
  <c r="BA76" i="10"/>
  <c r="AZ76" i="10" s="1"/>
  <c r="AU76" i="10"/>
  <c r="AP76" i="10"/>
  <c r="AL76" i="10"/>
  <c r="AK76" i="10" s="1"/>
  <c r="AF76" i="10"/>
  <c r="AA76" i="10"/>
  <c r="V76" i="10"/>
  <c r="R76" i="10"/>
  <c r="Q76" i="10" s="1"/>
  <c r="L76" i="10"/>
  <c r="H76" i="10"/>
  <c r="G76" i="10" s="1"/>
  <c r="CX74" i="10"/>
  <c r="CS74" i="10"/>
  <c r="CN74" i="10"/>
  <c r="CI74" i="10"/>
  <c r="BY74" i="10"/>
  <c r="BT74" i="10"/>
  <c r="BO74" i="10"/>
  <c r="BJ74" i="10"/>
  <c r="BE74" i="10"/>
  <c r="AZ74" i="10"/>
  <c r="AU74" i="10"/>
  <c r="AP74" i="10"/>
  <c r="AN74" i="10"/>
  <c r="AK74" i="10"/>
  <c r="AI74" i="10"/>
  <c r="AF74" i="10"/>
  <c r="AA74" i="10"/>
  <c r="V74" i="10"/>
  <c r="U74" i="10"/>
  <c r="Q74" i="10"/>
  <c r="L74" i="10"/>
  <c r="G74" i="10"/>
  <c r="CZ73" i="10"/>
  <c r="CU73" i="10"/>
  <c r="CP73" i="10"/>
  <c r="CK73" i="10"/>
  <c r="CF73" i="10"/>
  <c r="CA73" i="10"/>
  <c r="BQ73" i="10"/>
  <c r="BL73" i="10"/>
  <c r="BG73" i="10"/>
  <c r="BB73" i="10"/>
  <c r="AW73" i="10"/>
  <c r="AR73" i="10"/>
  <c r="AM73" i="10"/>
  <c r="AH73" i="10"/>
  <c r="AC73" i="10"/>
  <c r="X73" i="10"/>
  <c r="S73" i="10"/>
  <c r="N73" i="10"/>
  <c r="I73" i="10"/>
  <c r="CZ72" i="10"/>
  <c r="CU72" i="10"/>
  <c r="CP72" i="10"/>
  <c r="CK72" i="10"/>
  <c r="CF72" i="10"/>
  <c r="CA72" i="10"/>
  <c r="BQ72" i="10"/>
  <c r="BL72" i="10"/>
  <c r="BG72" i="10"/>
  <c r="BB72" i="10"/>
  <c r="AW72" i="10"/>
  <c r="AR72" i="10"/>
  <c r="AM72" i="10"/>
  <c r="AH72" i="10"/>
  <c r="AC72" i="10"/>
  <c r="X72" i="10"/>
  <c r="S72" i="10"/>
  <c r="N72" i="10"/>
  <c r="I72" i="10"/>
  <c r="CZ71" i="10"/>
  <c r="CU71" i="10"/>
  <c r="CP71" i="10"/>
  <c r="CK71" i="10"/>
  <c r="CF71" i="10"/>
  <c r="CA71" i="10"/>
  <c r="BX71" i="10"/>
  <c r="BQ71" i="10"/>
  <c r="BL71" i="10"/>
  <c r="BG71" i="10"/>
  <c r="BB71" i="10"/>
  <c r="AW71" i="10"/>
  <c r="AR71" i="10"/>
  <c r="AM71" i="10"/>
  <c r="AH71" i="10"/>
  <c r="AC71" i="10"/>
  <c r="X71" i="10"/>
  <c r="S71" i="10"/>
  <c r="N71" i="10"/>
  <c r="I71" i="10"/>
  <c r="BX70" i="10"/>
  <c r="N70" i="10"/>
  <c r="AP68" i="10"/>
  <c r="AK68" i="10"/>
  <c r="AF68" i="10"/>
  <c r="X67" i="10"/>
  <c r="Z66" i="10" s="1"/>
  <c r="DB66" i="10"/>
  <c r="CW66" i="10"/>
  <c r="CR66" i="10"/>
  <c r="CM66" i="10"/>
  <c r="CH66" i="10"/>
  <c r="CC66" i="10"/>
  <c r="BX66" i="10"/>
  <c r="BS66" i="10"/>
  <c r="BO66" i="10"/>
  <c r="BL66" i="10"/>
  <c r="BN66" i="10" s="1"/>
  <c r="BK66" i="10"/>
  <c r="BG66" i="10"/>
  <c r="BI66" i="10" s="1"/>
  <c r="BF66" i="10"/>
  <c r="BB66" i="10"/>
  <c r="BD66" i="10" s="1"/>
  <c r="BA66" i="10"/>
  <c r="AW66" i="10"/>
  <c r="AY66" i="10" s="1"/>
  <c r="AT66" i="10"/>
  <c r="AT65" i="10" s="1"/>
  <c r="AP66" i="10"/>
  <c r="AN66" i="10"/>
  <c r="AO66" i="10" s="1"/>
  <c r="AO65" i="10" s="1"/>
  <c r="AM66" i="10"/>
  <c r="AK66" i="10" s="1"/>
  <c r="AJ66" i="10"/>
  <c r="AJ65" i="10" s="1"/>
  <c r="AF66" i="10"/>
  <c r="AE66" i="10"/>
  <c r="AA66" i="10"/>
  <c r="Y66" i="10"/>
  <c r="V66" i="10"/>
  <c r="Q66" i="10"/>
  <c r="DB65" i="10"/>
  <c r="CW65" i="10"/>
  <c r="CM65" i="10"/>
  <c r="CH65" i="10"/>
  <c r="CC65" i="10"/>
  <c r="BX65" i="10"/>
  <c r="BS65" i="10"/>
  <c r="BN65" i="10"/>
  <c r="BI65" i="10"/>
  <c r="BD65" i="10"/>
  <c r="AY65" i="10"/>
  <c r="AE65" i="10"/>
  <c r="CX64" i="10"/>
  <c r="CN64" i="10"/>
  <c r="CI64" i="10"/>
  <c r="CD64" i="10"/>
  <c r="BY64" i="10"/>
  <c r="BT64" i="10"/>
  <c r="BO64" i="10"/>
  <c r="BJ64" i="10"/>
  <c r="BE64" i="10"/>
  <c r="AZ64" i="10"/>
  <c r="AU64" i="10"/>
  <c r="AP64" i="10"/>
  <c r="AK64" i="10"/>
  <c r="AF64" i="10"/>
  <c r="AA64" i="10"/>
  <c r="V64" i="10"/>
  <c r="Q64" i="10"/>
  <c r="L64" i="10"/>
  <c r="G64" i="10"/>
  <c r="CX62" i="10"/>
  <c r="CS62" i="10"/>
  <c r="CN62" i="10"/>
  <c r="CI62" i="10"/>
  <c r="CD62" i="10"/>
  <c r="BY62" i="10"/>
  <c r="BT62" i="10"/>
  <c r="BO62" i="10"/>
  <c r="BK62" i="10"/>
  <c r="BJ62" i="10" s="1"/>
  <c r="BE62" i="10"/>
  <c r="AZ62" i="10"/>
  <c r="AU62" i="10"/>
  <c r="AP62" i="10"/>
  <c r="AK62" i="10"/>
  <c r="AI62" i="10"/>
  <c r="AJ61" i="10" s="1"/>
  <c r="AJ60" i="10" s="1"/>
  <c r="AF62" i="10"/>
  <c r="AA62" i="10"/>
  <c r="V62" i="10"/>
  <c r="Q62" i="10"/>
  <c r="L62" i="10"/>
  <c r="G62" i="10"/>
  <c r="DB61" i="10"/>
  <c r="CW61" i="10"/>
  <c r="CM61" i="10"/>
  <c r="CH61" i="10"/>
  <c r="CC61" i="10"/>
  <c r="BX61" i="10"/>
  <c r="BS61" i="10"/>
  <c r="BN61" i="10"/>
  <c r="BI61" i="10"/>
  <c r="BD61" i="10"/>
  <c r="AY61" i="10"/>
  <c r="AT61" i="10"/>
  <c r="AO61" i="10"/>
  <c r="AO60" i="10" s="1"/>
  <c r="AE61" i="10"/>
  <c r="Z61" i="10"/>
  <c r="DB60" i="10"/>
  <c r="CW60" i="10"/>
  <c r="CM60" i="10"/>
  <c r="CH60" i="10"/>
  <c r="CC60" i="10"/>
  <c r="BX60" i="10"/>
  <c r="BS60" i="10"/>
  <c r="BN60" i="10"/>
  <c r="BI60" i="10"/>
  <c r="BD60" i="10"/>
  <c r="AY60" i="10"/>
  <c r="AT60" i="10"/>
  <c r="AE60" i="10"/>
  <c r="Z60" i="10"/>
  <c r="CX54" i="10"/>
  <c r="CS54" i="10"/>
  <c r="CN54" i="10"/>
  <c r="CI54" i="10"/>
  <c r="CD54" i="10"/>
  <c r="BY54" i="10"/>
  <c r="BT54" i="10"/>
  <c r="BO54" i="10"/>
  <c r="BJ54" i="10"/>
  <c r="BE54" i="10"/>
  <c r="AZ54" i="10"/>
  <c r="AU54" i="10"/>
  <c r="AP54" i="10"/>
  <c r="AK54" i="10"/>
  <c r="AF54" i="10"/>
  <c r="AA54" i="10"/>
  <c r="V54" i="10"/>
  <c r="Q54" i="10"/>
  <c r="L54" i="10"/>
  <c r="G54" i="10"/>
  <c r="DB52" i="10"/>
  <c r="CX52" i="10"/>
  <c r="CW52" i="10"/>
  <c r="CS52" i="10"/>
  <c r="CR52" i="10"/>
  <c r="CN52" i="10"/>
  <c r="CM52" i="10"/>
  <c r="CI52" i="10"/>
  <c r="CH52" i="10"/>
  <c r="CD52" i="10"/>
  <c r="CC52" i="10"/>
  <c r="BY52" i="10"/>
  <c r="BX52" i="10"/>
  <c r="BT52" i="10"/>
  <c r="BS52" i="10"/>
  <c r="BO52" i="10"/>
  <c r="BN52" i="10"/>
  <c r="BJ52" i="10"/>
  <c r="BI52" i="10"/>
  <c r="BE52" i="10"/>
  <c r="BD52" i="10"/>
  <c r="AZ52" i="10"/>
  <c r="AY52" i="10"/>
  <c r="AU52" i="10"/>
  <c r="AT52" i="10"/>
  <c r="AP52" i="10"/>
  <c r="AO52" i="10"/>
  <c r="AO51" i="10" s="1"/>
  <c r="AK52" i="10"/>
  <c r="AJ52" i="10"/>
  <c r="AJ51" i="10" s="1"/>
  <c r="AF52" i="10"/>
  <c r="AE52" i="10"/>
  <c r="AA52" i="10"/>
  <c r="Z52" i="10"/>
  <c r="V52" i="10"/>
  <c r="Q52" i="10"/>
  <c r="L52" i="10"/>
  <c r="G52" i="10"/>
  <c r="DB51" i="10"/>
  <c r="CW51" i="10"/>
  <c r="CR51" i="10"/>
  <c r="CM51" i="10"/>
  <c r="CH51" i="10"/>
  <c r="CC51" i="10"/>
  <c r="BX51" i="10"/>
  <c r="BS51" i="10"/>
  <c r="BN51" i="10"/>
  <c r="BI51" i="10"/>
  <c r="BD51" i="10"/>
  <c r="AY51" i="10"/>
  <c r="AT51" i="10"/>
  <c r="AE51" i="10"/>
  <c r="Z51" i="10"/>
  <c r="CS50" i="10"/>
  <c r="CN50" i="10"/>
  <c r="CI50" i="10"/>
  <c r="BY50" i="10"/>
  <c r="BT50" i="10"/>
  <c r="BO50" i="10"/>
  <c r="BE50" i="10"/>
  <c r="AZ50" i="10"/>
  <c r="AU50" i="10"/>
  <c r="AP50" i="10"/>
  <c r="AK50" i="10"/>
  <c r="AF50" i="10"/>
  <c r="AC50" i="10"/>
  <c r="AA50" i="10" s="1"/>
  <c r="V50" i="10"/>
  <c r="BC48" i="10"/>
  <c r="AW48" i="10"/>
  <c r="AH48" i="10"/>
  <c r="AJ46" i="10" s="1"/>
  <c r="CX47" i="10"/>
  <c r="CS47" i="10"/>
  <c r="CN47" i="10"/>
  <c r="CI47" i="10"/>
  <c r="CD47" i="10"/>
  <c r="BY47" i="10"/>
  <c r="BT47" i="10"/>
  <c r="BQ47" i="10"/>
  <c r="BO47" i="10" s="1"/>
  <c r="BL47" i="10"/>
  <c r="BJ47" i="10" s="1"/>
  <c r="BE47" i="10"/>
  <c r="AZ47" i="10"/>
  <c r="AW47" i="10"/>
  <c r="AU47" i="10" s="1"/>
  <c r="AP47" i="10"/>
  <c r="AK47" i="10"/>
  <c r="AF47" i="10"/>
  <c r="AA47" i="10"/>
  <c r="V47" i="10"/>
  <c r="Q47" i="10"/>
  <c r="L47" i="10"/>
  <c r="G47" i="10"/>
  <c r="AO46" i="10"/>
  <c r="DB45" i="10"/>
  <c r="CW45" i="10"/>
  <c r="CM45" i="10"/>
  <c r="CH45" i="10"/>
  <c r="CC45" i="10"/>
  <c r="BX45" i="10"/>
  <c r="BI45" i="10"/>
  <c r="BD45" i="10"/>
  <c r="AT45" i="10"/>
  <c r="AO45" i="10"/>
  <c r="AO44" i="10" s="1"/>
  <c r="AE45" i="10"/>
  <c r="Z45" i="10"/>
  <c r="DB44" i="10"/>
  <c r="CW44" i="10"/>
  <c r="CR44" i="10"/>
  <c r="CM44" i="10"/>
  <c r="CH44" i="10"/>
  <c r="CC44" i="10"/>
  <c r="BX44" i="10"/>
  <c r="BI44" i="10"/>
  <c r="BD44" i="10"/>
  <c r="AT44" i="10"/>
  <c r="Z44" i="10"/>
  <c r="BQ42" i="10"/>
  <c r="BL42" i="10"/>
  <c r="BJ42" i="10" s="1"/>
  <c r="AA42" i="10"/>
  <c r="V42" i="10"/>
  <c r="I42" i="10"/>
  <c r="CX40" i="10"/>
  <c r="CS40" i="10"/>
  <c r="CN40" i="10"/>
  <c r="CI40" i="10"/>
  <c r="CD40" i="10"/>
  <c r="BY40" i="10"/>
  <c r="BT40" i="10"/>
  <c r="BQ40" i="10"/>
  <c r="BO40" i="10" s="1"/>
  <c r="BL40" i="10"/>
  <c r="BJ40" i="10" s="1"/>
  <c r="BG40" i="10"/>
  <c r="BE40" i="10" s="1"/>
  <c r="BB40" i="10"/>
  <c r="AZ40" i="10" s="1"/>
  <c r="AW40" i="10"/>
  <c r="AU40" i="10" s="1"/>
  <c r="AR40" i="10"/>
  <c r="AP40" i="10" s="1"/>
  <c r="AM40" i="10"/>
  <c r="AK40" i="10" s="1"/>
  <c r="AH40" i="10"/>
  <c r="AF40" i="10" s="1"/>
  <c r="AC40" i="10"/>
  <c r="AA40" i="10" s="1"/>
  <c r="X40" i="10"/>
  <c r="V40" i="10" s="1"/>
  <c r="S40" i="10"/>
  <c r="Q40" i="10" s="1"/>
  <c r="L40" i="10"/>
  <c r="I40" i="10"/>
  <c r="G40" i="10" s="1"/>
  <c r="CH36" i="10"/>
  <c r="BQ39" i="10"/>
  <c r="BL39" i="10"/>
  <c r="BG39" i="10"/>
  <c r="BB39" i="10"/>
  <c r="AW39" i="10"/>
  <c r="AR39" i="10"/>
  <c r="AM39" i="10"/>
  <c r="AO37" i="10" s="1"/>
  <c r="AO36" i="10" s="1"/>
  <c r="AH39" i="10"/>
  <c r="AC39" i="10"/>
  <c r="X39" i="10"/>
  <c r="S39" i="10"/>
  <c r="N39" i="10"/>
  <c r="I39" i="10"/>
  <c r="CM37" i="10"/>
  <c r="CC37" i="10"/>
  <c r="BB38" i="10"/>
  <c r="BD36" i="10" s="1"/>
  <c r="AW38" i="10"/>
  <c r="AC38" i="10"/>
  <c r="X38" i="10"/>
  <c r="S38" i="10"/>
  <c r="N38" i="10"/>
  <c r="I38" i="10"/>
  <c r="CH37" i="10"/>
  <c r="BX37" i="10"/>
  <c r="BL37" i="10"/>
  <c r="BX36" i="10"/>
  <c r="CX35" i="10"/>
  <c r="CS35" i="10"/>
  <c r="CN35" i="10"/>
  <c r="CI35" i="10"/>
  <c r="CD35" i="10"/>
  <c r="BY35" i="10"/>
  <c r="BT35" i="10"/>
  <c r="BO35" i="10"/>
  <c r="BJ35" i="10"/>
  <c r="BE35" i="10"/>
  <c r="AZ35" i="10"/>
  <c r="AU35" i="10"/>
  <c r="AP35" i="10"/>
  <c r="AK35" i="10"/>
  <c r="AF35" i="10"/>
  <c r="AA35" i="10"/>
  <c r="V35" i="10"/>
  <c r="Q35" i="10"/>
  <c r="L35" i="10"/>
  <c r="G35" i="10"/>
  <c r="CX33" i="10"/>
  <c r="CS33" i="10"/>
  <c r="CN33" i="10"/>
  <c r="CI33" i="10"/>
  <c r="CD33" i="10"/>
  <c r="BT33" i="10"/>
  <c r="BO33" i="10"/>
  <c r="BJ33" i="10"/>
  <c r="BE33" i="10"/>
  <c r="AZ33" i="10"/>
  <c r="AU33" i="10"/>
  <c r="AP33" i="10"/>
  <c r="AK33" i="10"/>
  <c r="AI33" i="10"/>
  <c r="AJ31" i="10" s="1"/>
  <c r="AJ30" i="10" s="1"/>
  <c r="AF33" i="10"/>
  <c r="AA33" i="10"/>
  <c r="V33" i="10"/>
  <c r="Q33" i="10"/>
  <c r="N33" i="10"/>
  <c r="L33" i="10" s="1"/>
  <c r="G33" i="10"/>
  <c r="DB31" i="10"/>
  <c r="CW31" i="10"/>
  <c r="CR31" i="10"/>
  <c r="CM31" i="10"/>
  <c r="CH31" i="10"/>
  <c r="CC31" i="10"/>
  <c r="BX31" i="10"/>
  <c r="BS31" i="10"/>
  <c r="BN31" i="10"/>
  <c r="BI31" i="10"/>
  <c r="BD31" i="10"/>
  <c r="AY31" i="10"/>
  <c r="AT31" i="10"/>
  <c r="AO31" i="10"/>
  <c r="AO30" i="10" s="1"/>
  <c r="AE31" i="10"/>
  <c r="Z31" i="10"/>
  <c r="DB30" i="10"/>
  <c r="CW30" i="10"/>
  <c r="CR30" i="10"/>
  <c r="CM30" i="10"/>
  <c r="CH30" i="10"/>
  <c r="CC30" i="10"/>
  <c r="BX30" i="10"/>
  <c r="BS30" i="10"/>
  <c r="BN30" i="10"/>
  <c r="BI30" i="10"/>
  <c r="BD30" i="10"/>
  <c r="AY30" i="10"/>
  <c r="AT30" i="10"/>
  <c r="AE30" i="10"/>
  <c r="Z30" i="10"/>
  <c r="CX29" i="10"/>
  <c r="CS29" i="10"/>
  <c r="CN29" i="10"/>
  <c r="CI29" i="10"/>
  <c r="CD29" i="10"/>
  <c r="BY29" i="10"/>
  <c r="BT29" i="10"/>
  <c r="BO29" i="10"/>
  <c r="BJ29" i="10"/>
  <c r="BE29" i="10"/>
  <c r="AZ29" i="10"/>
  <c r="AU29" i="10"/>
  <c r="AP29" i="10"/>
  <c r="AK29" i="10"/>
  <c r="AF29" i="10"/>
  <c r="AA29" i="10"/>
  <c r="V29" i="10"/>
  <c r="Q29" i="10"/>
  <c r="L29" i="10"/>
  <c r="G29" i="10"/>
  <c r="DB27" i="10"/>
  <c r="CX27" i="10"/>
  <c r="CW27" i="10"/>
  <c r="CS27" i="10"/>
  <c r="CR27" i="10"/>
  <c r="CN27" i="10"/>
  <c r="CM27" i="10"/>
  <c r="CI27" i="10"/>
  <c r="CH27" i="10"/>
  <c r="CD27" i="10"/>
  <c r="CC27" i="10"/>
  <c r="BY27" i="10"/>
  <c r="BX27" i="10"/>
  <c r="BT27" i="10"/>
  <c r="BS27" i="10"/>
  <c r="BO27" i="10"/>
  <c r="BN27" i="10"/>
  <c r="BJ27" i="10"/>
  <c r="BI27" i="10"/>
  <c r="BE27" i="10"/>
  <c r="BD27" i="10"/>
  <c r="AZ27" i="10"/>
  <c r="AY27" i="10"/>
  <c r="AU27" i="10"/>
  <c r="AT27" i="10"/>
  <c r="AP27" i="10"/>
  <c r="AO27" i="10"/>
  <c r="AO26" i="10" s="1"/>
  <c r="AK27" i="10"/>
  <c r="AI27" i="10"/>
  <c r="AJ27" i="10" s="1"/>
  <c r="AJ26" i="10" s="1"/>
  <c r="AF27" i="10"/>
  <c r="AE27" i="10"/>
  <c r="AA27" i="10"/>
  <c r="Z27" i="10"/>
  <c r="V27" i="10"/>
  <c r="Q27" i="10"/>
  <c r="L27" i="10"/>
  <c r="G27" i="10"/>
  <c r="DB26" i="10"/>
  <c r="CW26" i="10"/>
  <c r="CR26" i="10"/>
  <c r="CM26" i="10"/>
  <c r="CH26" i="10"/>
  <c r="CC26" i="10"/>
  <c r="BX26" i="10"/>
  <c r="BS26" i="10"/>
  <c r="BN26" i="10"/>
  <c r="BI26" i="10"/>
  <c r="BD26" i="10"/>
  <c r="AY26" i="10"/>
  <c r="AT26" i="10"/>
  <c r="AE26" i="10"/>
  <c r="Z26" i="10"/>
  <c r="CX25" i="10"/>
  <c r="CS25" i="10"/>
  <c r="CN25" i="10"/>
  <c r="CI25" i="10"/>
  <c r="CD25" i="10"/>
  <c r="BY25" i="10"/>
  <c r="BT25" i="10"/>
  <c r="BO25" i="10"/>
  <c r="BJ25" i="10"/>
  <c r="BE25" i="10"/>
  <c r="AZ25" i="10"/>
  <c r="AU25" i="10"/>
  <c r="AP25" i="10"/>
  <c r="AK25" i="10"/>
  <c r="AF25" i="10"/>
  <c r="AA25" i="10"/>
  <c r="V25" i="10"/>
  <c r="Q25" i="10"/>
  <c r="L25" i="10"/>
  <c r="G25" i="10"/>
  <c r="BV24" i="10"/>
  <c r="BQ24" i="10"/>
  <c r="BL24" i="10"/>
  <c r="BG24" i="10"/>
  <c r="AW24" i="10"/>
  <c r="AR24" i="10"/>
  <c r="AM24" i="10"/>
  <c r="AH24" i="10"/>
  <c r="AC24" i="10"/>
  <c r="X24" i="10"/>
  <c r="S24" i="10"/>
  <c r="N24" i="10"/>
  <c r="I24" i="10"/>
  <c r="DB23" i="10"/>
  <c r="CW23" i="10"/>
  <c r="CR23" i="10"/>
  <c r="CM23" i="10"/>
  <c r="CH23" i="10"/>
  <c r="CC23" i="10"/>
  <c r="BV23" i="10"/>
  <c r="BQ23" i="10"/>
  <c r="BL23" i="10"/>
  <c r="BG23" i="10"/>
  <c r="BD23" i="10"/>
  <c r="AZ23" i="10"/>
  <c r="AW23" i="10"/>
  <c r="AR23" i="10"/>
  <c r="AM23" i="10"/>
  <c r="AH23" i="10"/>
  <c r="AC23" i="10"/>
  <c r="X23" i="10"/>
  <c r="S23" i="10"/>
  <c r="Q23" i="10" s="1"/>
  <c r="N23" i="10"/>
  <c r="L23" i="10" s="1"/>
  <c r="I23" i="10"/>
  <c r="G23" i="10" s="1"/>
  <c r="CR22" i="10"/>
  <c r="CH22" i="10"/>
  <c r="BD22" i="10"/>
  <c r="CX21" i="10"/>
  <c r="CS21" i="10"/>
  <c r="CN21" i="10"/>
  <c r="CI21" i="10"/>
  <c r="CD21" i="10"/>
  <c r="BY21" i="10"/>
  <c r="BT21" i="10"/>
  <c r="BO21" i="10"/>
  <c r="BJ21" i="10"/>
  <c r="BE21" i="10"/>
  <c r="AZ21" i="10"/>
  <c r="AU21" i="10"/>
  <c r="AP21" i="10"/>
  <c r="AK21" i="10"/>
  <c r="AF21" i="10"/>
  <c r="AA21" i="10"/>
  <c r="V21" i="10"/>
  <c r="Q21" i="10"/>
  <c r="L21" i="10"/>
  <c r="G21" i="10"/>
  <c r="DB19" i="10"/>
  <c r="CX19" i="10"/>
  <c r="CW19" i="10"/>
  <c r="CS19" i="10"/>
  <c r="CR19" i="10"/>
  <c r="CN19" i="10"/>
  <c r="CM19" i="10"/>
  <c r="CI19" i="10"/>
  <c r="CH19" i="10"/>
  <c r="CD19" i="10"/>
  <c r="CC19" i="10"/>
  <c r="BY19" i="10"/>
  <c r="BX19" i="10"/>
  <c r="BT19" i="10"/>
  <c r="BS19" i="10"/>
  <c r="BO19" i="10"/>
  <c r="BN19" i="10"/>
  <c r="BJ19" i="10"/>
  <c r="BI19" i="10"/>
  <c r="BE19" i="10"/>
  <c r="BD19" i="10"/>
  <c r="AZ19" i="10"/>
  <c r="AY19" i="10"/>
  <c r="AU19" i="10"/>
  <c r="AT19" i="10"/>
  <c r="AP19" i="10"/>
  <c r="AN19" i="10"/>
  <c r="AO19" i="10" s="1"/>
  <c r="AO18" i="10" s="1"/>
  <c r="AK19" i="10"/>
  <c r="AI19" i="10"/>
  <c r="AJ19" i="10" s="1"/>
  <c r="AJ18" i="10" s="1"/>
  <c r="AF19" i="10"/>
  <c r="AE19" i="10"/>
  <c r="AA19" i="10"/>
  <c r="Z19" i="10"/>
  <c r="V19" i="10"/>
  <c r="S19" i="10"/>
  <c r="Q19" i="10" s="1"/>
  <c r="L19" i="10"/>
  <c r="G19" i="10"/>
  <c r="DB18" i="10"/>
  <c r="CW18" i="10"/>
  <c r="CR18" i="10"/>
  <c r="CM18" i="10"/>
  <c r="CH18" i="10"/>
  <c r="CC18" i="10"/>
  <c r="BX18" i="10"/>
  <c r="BS18" i="10"/>
  <c r="BN18" i="10"/>
  <c r="BI18" i="10"/>
  <c r="BD18" i="10"/>
  <c r="AY18" i="10"/>
  <c r="AT18" i="10"/>
  <c r="AE18" i="10"/>
  <c r="Z18" i="10"/>
  <c r="CX17" i="10"/>
  <c r="CS17" i="10"/>
  <c r="CN17" i="10"/>
  <c r="CI17" i="10"/>
  <c r="CD17" i="10"/>
  <c r="BY17" i="10"/>
  <c r="BT17" i="10"/>
  <c r="BQ17" i="10"/>
  <c r="BO17" i="10" s="1"/>
  <c r="BL17" i="10"/>
  <c r="BJ17" i="10" s="1"/>
  <c r="BG17" i="10"/>
  <c r="BE17" i="10" s="1"/>
  <c r="BB17" i="10"/>
  <c r="AZ17" i="10" s="1"/>
  <c r="AW17" i="10"/>
  <c r="AU17" i="10" s="1"/>
  <c r="AR17" i="10"/>
  <c r="AP17" i="10" s="1"/>
  <c r="AM17" i="10"/>
  <c r="AK17" i="10" s="1"/>
  <c r="AH17" i="10"/>
  <c r="AF17" i="10" s="1"/>
  <c r="AC17" i="10"/>
  <c r="AA17" i="10" s="1"/>
  <c r="X17" i="10"/>
  <c r="V17" i="10" s="1"/>
  <c r="S17" i="10"/>
  <c r="Q17" i="10" s="1"/>
  <c r="L17" i="10"/>
  <c r="I17" i="10"/>
  <c r="G17" i="10" s="1"/>
  <c r="BQ16" i="10"/>
  <c r="BG16" i="10"/>
  <c r="BB16" i="10"/>
  <c r="AW16" i="10"/>
  <c r="AR16" i="10"/>
  <c r="AM16" i="10"/>
  <c r="AH16" i="10"/>
  <c r="AC16" i="10"/>
  <c r="X16" i="10"/>
  <c r="S16" i="10"/>
  <c r="N16" i="10"/>
  <c r="I16" i="10"/>
  <c r="CX15" i="10"/>
  <c r="CS15" i="10"/>
  <c r="CN15" i="10"/>
  <c r="CI15" i="10"/>
  <c r="CD15" i="10"/>
  <c r="BY15" i="10"/>
  <c r="BT15" i="10"/>
  <c r="BQ15" i="10"/>
  <c r="BO15" i="10" s="1"/>
  <c r="BL15" i="10"/>
  <c r="BJ15" i="10" s="1"/>
  <c r="BG15" i="10"/>
  <c r="BE15" i="10" s="1"/>
  <c r="BB15" i="10"/>
  <c r="AZ15" i="10" s="1"/>
  <c r="AW15" i="10"/>
  <c r="AU15" i="10" s="1"/>
  <c r="AR15" i="10"/>
  <c r="AP15" i="10" s="1"/>
  <c r="AM15" i="10"/>
  <c r="AK15" i="10" s="1"/>
  <c r="AH15" i="10"/>
  <c r="AF15" i="10" s="1"/>
  <c r="AC15" i="10"/>
  <c r="AA15" i="10" s="1"/>
  <c r="X15" i="10"/>
  <c r="V15" i="10" s="1"/>
  <c r="S15" i="10"/>
  <c r="Q15" i="10" s="1"/>
  <c r="N15" i="10"/>
  <c r="L15" i="10" s="1"/>
  <c r="I15" i="10"/>
  <c r="G15" i="10" s="1"/>
  <c r="CZ14" i="10"/>
  <c r="CP14" i="10"/>
  <c r="CR13" i="10" s="1"/>
  <c r="CM14" i="10"/>
  <c r="CH14" i="10"/>
  <c r="CC14" i="10"/>
  <c r="BX14" i="10"/>
  <c r="BQ14" i="10"/>
  <c r="BL14" i="10"/>
  <c r="BG14" i="10"/>
  <c r="BB14" i="10"/>
  <c r="AW14" i="10"/>
  <c r="AR14" i="10"/>
  <c r="AM14" i="10"/>
  <c r="AH14" i="10"/>
  <c r="AC14" i="10"/>
  <c r="X14" i="10"/>
  <c r="S14" i="10"/>
  <c r="N14" i="10"/>
  <c r="I14" i="10"/>
  <c r="BX13" i="10"/>
  <c r="CX12" i="10"/>
  <c r="CS12" i="10"/>
  <c r="CN12" i="10"/>
  <c r="CI12" i="10"/>
  <c r="CD12" i="10"/>
  <c r="BY12" i="10"/>
  <c r="BT12" i="10"/>
  <c r="BO12" i="10"/>
  <c r="BJ12" i="10"/>
  <c r="BG12" i="10"/>
  <c r="BE12" i="10" s="1"/>
  <c r="AZ12" i="10"/>
  <c r="AU12" i="10"/>
  <c r="AP12" i="10"/>
  <c r="AK12" i="10"/>
  <c r="AF12" i="10"/>
  <c r="AA12" i="10"/>
  <c r="V12" i="10"/>
  <c r="Q12" i="10"/>
  <c r="L12" i="10"/>
  <c r="H12" i="10"/>
  <c r="CX10" i="10"/>
  <c r="CS10" i="10"/>
  <c r="CN10" i="10"/>
  <c r="CI10" i="10"/>
  <c r="CD10" i="10"/>
  <c r="BY10" i="10"/>
  <c r="BT10" i="10"/>
  <c r="BO10" i="10"/>
  <c r="BJ10" i="10"/>
  <c r="BE10" i="10"/>
  <c r="AZ10" i="10"/>
  <c r="AX10" i="10"/>
  <c r="AU10" i="10"/>
  <c r="AP10" i="10"/>
  <c r="AK10" i="10"/>
  <c r="AF10" i="10"/>
  <c r="AA10" i="10"/>
  <c r="V10" i="10"/>
  <c r="Q10" i="10"/>
  <c r="L10" i="10"/>
  <c r="G10" i="10"/>
  <c r="DB9" i="10"/>
  <c r="CW9" i="10"/>
  <c r="CR9" i="10"/>
  <c r="CM9" i="10"/>
  <c r="CH9" i="10"/>
  <c r="CC9" i="10"/>
  <c r="BX9" i="10"/>
  <c r="BS9" i="10"/>
  <c r="BN9" i="10"/>
  <c r="BD9" i="10"/>
  <c r="AY9" i="10"/>
  <c r="AT9" i="10"/>
  <c r="AO9" i="10"/>
  <c r="AO8" i="10" s="1"/>
  <c r="AE9" i="10"/>
  <c r="Z9" i="10"/>
  <c r="DB8" i="10"/>
  <c r="CW8" i="10"/>
  <c r="CR8" i="10"/>
  <c r="CM8" i="10"/>
  <c r="CH8" i="10"/>
  <c r="CC8" i="10"/>
  <c r="BX8" i="10"/>
  <c r="BS8" i="10"/>
  <c r="BN8" i="10"/>
  <c r="BD8" i="10"/>
  <c r="AY8" i="10"/>
  <c r="AT8" i="10"/>
  <c r="AH8" i="10"/>
  <c r="AJ9" i="10" s="1"/>
  <c r="AJ8" i="10" s="1"/>
  <c r="AE8" i="10"/>
  <c r="Z8" i="10"/>
  <c r="BW26" i="5"/>
  <c r="BW14" i="5"/>
  <c r="IM201" i="10" l="1"/>
  <c r="IC201" i="10"/>
  <c r="HS201" i="10"/>
  <c r="HX201" i="10"/>
  <c r="HD201" i="10"/>
  <c r="IH201" i="10"/>
  <c r="BI36" i="10"/>
  <c r="GE201" i="10"/>
  <c r="FU201" i="10"/>
  <c r="FK201" i="10"/>
  <c r="FZ201" i="10"/>
  <c r="EV201" i="10"/>
  <c r="FP201" i="10"/>
  <c r="BS37" i="10"/>
  <c r="AY144" i="10"/>
  <c r="AY185" i="10"/>
  <c r="Z176" i="10"/>
  <c r="AJ176" i="10"/>
  <c r="AJ175" i="10" s="1"/>
  <c r="AT176" i="10"/>
  <c r="BD176" i="10"/>
  <c r="BN176" i="10"/>
  <c r="BD13" i="10"/>
  <c r="DB196" i="10"/>
  <c r="AE37" i="10"/>
  <c r="AY44" i="10"/>
  <c r="CR70" i="10"/>
  <c r="BD70" i="10"/>
  <c r="AA151" i="10"/>
  <c r="V176" i="10"/>
  <c r="AF176" i="10"/>
  <c r="AP176" i="10"/>
  <c r="AZ176" i="10"/>
  <c r="BJ176" i="10"/>
  <c r="AE175" i="10"/>
  <c r="AY186" i="10"/>
  <c r="CR195" i="10"/>
  <c r="CH196" i="10"/>
  <c r="AT199" i="10"/>
  <c r="AJ211" i="10"/>
  <c r="AJ210" i="10" s="1"/>
  <c r="AY221" i="10"/>
  <c r="AE14" i="10"/>
  <c r="AO14" i="10"/>
  <c r="AO13" i="10" s="1"/>
  <c r="AY14" i="10"/>
  <c r="BI14" i="10"/>
  <c r="BS14" i="10"/>
  <c r="CW14" i="10"/>
  <c r="BN22" i="10"/>
  <c r="Z22" i="10"/>
  <c r="BN45" i="10"/>
  <c r="Z70" i="10"/>
  <c r="AT70" i="10"/>
  <c r="DB77" i="10"/>
  <c r="CS78" i="10"/>
  <c r="AY85" i="10"/>
  <c r="AO86" i="10"/>
  <c r="AO85" i="10" s="1"/>
  <c r="AE115" i="10"/>
  <c r="BN143" i="10"/>
  <c r="CH149" i="10"/>
  <c r="AP150" i="10"/>
  <c r="G151" i="10"/>
  <c r="Q151" i="10"/>
  <c r="V151" i="10"/>
  <c r="CN151" i="10"/>
  <c r="CX151" i="10"/>
  <c r="DB199" i="10"/>
  <c r="Z13" i="10"/>
  <c r="BN37" i="10"/>
  <c r="CW37" i="10"/>
  <c r="AY37" i="10"/>
  <c r="AJ81" i="10"/>
  <c r="BI91" i="10"/>
  <c r="Z136" i="10"/>
  <c r="BD136" i="10"/>
  <c r="CN204" i="10"/>
  <c r="CR200" i="10"/>
  <c r="CR211" i="10"/>
  <c r="CR36" i="10"/>
  <c r="DB37" i="10"/>
  <c r="AT13" i="10"/>
  <c r="BN13" i="10"/>
  <c r="Z14" i="10"/>
  <c r="AJ14" i="10"/>
  <c r="AJ13" i="10" s="1"/>
  <c r="AT14" i="10"/>
  <c r="BD14" i="10"/>
  <c r="BN14" i="10"/>
  <c r="CR14" i="10"/>
  <c r="DB14" i="10"/>
  <c r="DB22" i="10"/>
  <c r="BI22" i="10"/>
  <c r="BS22" i="10"/>
  <c r="BX22" i="10"/>
  <c r="BI37" i="10"/>
  <c r="Z37" i="10"/>
  <c r="BS44" i="10"/>
  <c r="AJ45" i="10"/>
  <c r="AJ44" i="10" s="1"/>
  <c r="AJ86" i="10"/>
  <c r="AJ85" i="10" s="1"/>
  <c r="BN86" i="10"/>
  <c r="CW91" i="10"/>
  <c r="AY143" i="10"/>
  <c r="BS143" i="10"/>
  <c r="BS144" i="10"/>
  <c r="CR143" i="10"/>
  <c r="BN148" i="10"/>
  <c r="AY175" i="10"/>
  <c r="BI175" i="10"/>
  <c r="BS175" i="10"/>
  <c r="DB216" i="10"/>
  <c r="AE36" i="10"/>
  <c r="BE201" i="10"/>
  <c r="DW201" i="10"/>
  <c r="DR201" i="10"/>
  <c r="DM201" i="10"/>
  <c r="DH201" i="10"/>
  <c r="DC201" i="10"/>
  <c r="DB210" i="10"/>
  <c r="DB211" i="10"/>
  <c r="AE23" i="10"/>
  <c r="AO23" i="10"/>
  <c r="AO22" i="10" s="1"/>
  <c r="AY23" i="10"/>
  <c r="BN23" i="10"/>
  <c r="BX23" i="10"/>
  <c r="AY36" i="10"/>
  <c r="CR37" i="10"/>
  <c r="DB36" i="10"/>
  <c r="BE66" i="10"/>
  <c r="BJ66" i="10"/>
  <c r="AJ77" i="10"/>
  <c r="AF78" i="10"/>
  <c r="BD81" i="10"/>
  <c r="AE85" i="10"/>
  <c r="BI85" i="10"/>
  <c r="CW92" i="10"/>
  <c r="AE139" i="10"/>
  <c r="AO139" i="10"/>
  <c r="AO136" i="10" s="1"/>
  <c r="AY139" i="10"/>
  <c r="BI139" i="10"/>
  <c r="V150" i="10"/>
  <c r="AF150" i="10"/>
  <c r="AK150" i="10"/>
  <c r="BO150" i="10"/>
  <c r="AU151" i="10"/>
  <c r="BJ151" i="10"/>
  <c r="BO151" i="10"/>
  <c r="Z175" i="10"/>
  <c r="CM175" i="10"/>
  <c r="BO182" i="10"/>
  <c r="AE185" i="10"/>
  <c r="AO186" i="10"/>
  <c r="AO185" i="10" s="1"/>
  <c r="CH195" i="10"/>
  <c r="DB195" i="10"/>
  <c r="CR196" i="10"/>
  <c r="Z199" i="10"/>
  <c r="BN199" i="10"/>
  <c r="DB200" i="10"/>
  <c r="Z200" i="10"/>
  <c r="AJ200" i="10"/>
  <c r="AJ199" i="10" s="1"/>
  <c r="AT200" i="10"/>
  <c r="BN200" i="10"/>
  <c r="CR210" i="10"/>
  <c r="BI221" i="10"/>
  <c r="Z65" i="10"/>
  <c r="CW176" i="10"/>
  <c r="CW175" i="10"/>
  <c r="AF187" i="10"/>
  <c r="AJ186" i="10"/>
  <c r="AJ185" i="10" s="1"/>
  <c r="AP189" i="10"/>
  <c r="AT186" i="10"/>
  <c r="AZ189" i="10"/>
  <c r="BD186" i="10"/>
  <c r="BJ189" i="10"/>
  <c r="BN186" i="10"/>
  <c r="BI8" i="10"/>
  <c r="BI9" i="10"/>
  <c r="CH13" i="10"/>
  <c r="DB13" i="10"/>
  <c r="AE22" i="10"/>
  <c r="AY22" i="10"/>
  <c r="CC22" i="10"/>
  <c r="CM22" i="10"/>
  <c r="CW22" i="10"/>
  <c r="AA23" i="10"/>
  <c r="AK23" i="10"/>
  <c r="AU23" i="10"/>
  <c r="BJ23" i="10"/>
  <c r="BT23" i="10"/>
  <c r="CD23" i="10"/>
  <c r="CN23" i="10"/>
  <c r="CX23" i="10"/>
  <c r="AT22" i="10"/>
  <c r="Z36" i="10"/>
  <c r="AT36" i="10"/>
  <c r="BN36" i="10"/>
  <c r="AJ37" i="10"/>
  <c r="AJ36" i="10" s="1"/>
  <c r="AT37" i="10"/>
  <c r="BD37" i="10"/>
  <c r="AE44" i="10"/>
  <c r="AZ66" i="10"/>
  <c r="AE71" i="10"/>
  <c r="AY71" i="10"/>
  <c r="BI71" i="10"/>
  <c r="BS71" i="10"/>
  <c r="CC71" i="10"/>
  <c r="CM71" i="10"/>
  <c r="CW71" i="10"/>
  <c r="CH70" i="10"/>
  <c r="DB70" i="10"/>
  <c r="BN70" i="10"/>
  <c r="AT81" i="10"/>
  <c r="BN81" i="10"/>
  <c r="Z85" i="10"/>
  <c r="AT86" i="10"/>
  <c r="AY91" i="10"/>
  <c r="BS91" i="10"/>
  <c r="CM91" i="10"/>
  <c r="Z92" i="10"/>
  <c r="AJ92" i="10"/>
  <c r="CM92" i="10"/>
  <c r="AE91" i="10"/>
  <c r="BO142" i="10"/>
  <c r="BS139" i="10"/>
  <c r="AE143" i="10"/>
  <c r="AE144" i="10"/>
  <c r="AO149" i="10"/>
  <c r="AO148" i="10" s="1"/>
  <c r="DB149" i="10"/>
  <c r="DB148" i="10"/>
  <c r="Z186" i="10"/>
  <c r="BE187" i="10"/>
  <c r="BI185" i="10"/>
  <c r="CR199" i="10"/>
  <c r="BD200" i="10"/>
  <c r="BD199" i="10"/>
  <c r="CC139" i="10"/>
  <c r="CM139" i="10"/>
  <c r="CW139" i="10"/>
  <c r="AJ149" i="10"/>
  <c r="AJ148" i="10" s="1"/>
  <c r="AT149" i="10"/>
  <c r="BN149" i="10"/>
  <c r="G150" i="10"/>
  <c r="L150" i="10"/>
  <c r="AZ150" i="10"/>
  <c r="BE150" i="10"/>
  <c r="CS150" i="10"/>
  <c r="CX150" i="10"/>
  <c r="AK151" i="10"/>
  <c r="AP151" i="10"/>
  <c r="CD151" i="10"/>
  <c r="CI151" i="10"/>
  <c r="AE176" i="10"/>
  <c r="AO176" i="10"/>
  <c r="AO175" i="10" s="1"/>
  <c r="AY176" i="10"/>
  <c r="BI176" i="10"/>
  <c r="BS176" i="10"/>
  <c r="CC176" i="10"/>
  <c r="CM176" i="10"/>
  <c r="AT175" i="10"/>
  <c r="BD175" i="10"/>
  <c r="BN175" i="10"/>
  <c r="CR175" i="10"/>
  <c r="AE186" i="10"/>
  <c r="Z185" i="10"/>
  <c r="CC210" i="10"/>
  <c r="CM210" i="10"/>
  <c r="CW210" i="10"/>
  <c r="AT92" i="10"/>
  <c r="AT91" i="10"/>
  <c r="BD92" i="10"/>
  <c r="BD91" i="10"/>
  <c r="BN92" i="10"/>
  <c r="BN91" i="10"/>
  <c r="BX92" i="10"/>
  <c r="BX91" i="10"/>
  <c r="CD95" i="10"/>
  <c r="CH92" i="10"/>
  <c r="CH91" i="10"/>
  <c r="CN95" i="10"/>
  <c r="CR92" i="10"/>
  <c r="CR91" i="10"/>
  <c r="CX95" i="10"/>
  <c r="DB92" i="10"/>
  <c r="DB91" i="10"/>
  <c r="CH139" i="10"/>
  <c r="CH136" i="10"/>
  <c r="CR139" i="10"/>
  <c r="CR136" i="10"/>
  <c r="DB139" i="10"/>
  <c r="DB136" i="10"/>
  <c r="CC144" i="10"/>
  <c r="CC143" i="10"/>
  <c r="CM144" i="10"/>
  <c r="CM143" i="10"/>
  <c r="CW144" i="10"/>
  <c r="CW143" i="10"/>
  <c r="Z149" i="10"/>
  <c r="Z148" i="10"/>
  <c r="BD149" i="10"/>
  <c r="BD148" i="10"/>
  <c r="BX149" i="10"/>
  <c r="BX148" i="10"/>
  <c r="CR149" i="10"/>
  <c r="CR148" i="10"/>
  <c r="AA215" i="10"/>
  <c r="AE210" i="10"/>
  <c r="AE211" i="10"/>
  <c r="AK215" i="10"/>
  <c r="AO211" i="10"/>
  <c r="AO210" i="10" s="1"/>
  <c r="AU215" i="10"/>
  <c r="AY211" i="10"/>
  <c r="AY210" i="10"/>
  <c r="BE215" i="10"/>
  <c r="BI211" i="10"/>
  <c r="BO215" i="10"/>
  <c r="BS211" i="10"/>
  <c r="BS210" i="10"/>
  <c r="AT222" i="10"/>
  <c r="AT221" i="10"/>
  <c r="BD222" i="10"/>
  <c r="BD221" i="10"/>
  <c r="BN222" i="10"/>
  <c r="BN221" i="10"/>
  <c r="AE13" i="10"/>
  <c r="AY13" i="10"/>
  <c r="BI13" i="10"/>
  <c r="BS13" i="10"/>
  <c r="CC13" i="10"/>
  <c r="CM13" i="10"/>
  <c r="CW13" i="10"/>
  <c r="Z23" i="10"/>
  <c r="AJ23" i="10"/>
  <c r="AJ22" i="10" s="1"/>
  <c r="AT23" i="10"/>
  <c r="BI23" i="10"/>
  <c r="BS23" i="10"/>
  <c r="BS36" i="10"/>
  <c r="CC36" i="10"/>
  <c r="CM36" i="10"/>
  <c r="CW36" i="10"/>
  <c r="BN44" i="10"/>
  <c r="AY45" i="10"/>
  <c r="BS45" i="10"/>
  <c r="AA84" i="10"/>
  <c r="AE81" i="10"/>
  <c r="AK84" i="10"/>
  <c r="AO81" i="10"/>
  <c r="AO80" i="10" s="1"/>
  <c r="AU84" i="10"/>
  <c r="AY81" i="10"/>
  <c r="BE84" i="10"/>
  <c r="BI81" i="10"/>
  <c r="BI80" i="10"/>
  <c r="BO84" i="10"/>
  <c r="BS81" i="10"/>
  <c r="BD86" i="10"/>
  <c r="BD85" i="10"/>
  <c r="AE92" i="10"/>
  <c r="AO92" i="10"/>
  <c r="AO91" i="10" s="1"/>
  <c r="AP142" i="10"/>
  <c r="AT136" i="10"/>
  <c r="BJ142" i="10"/>
  <c r="BN136" i="10"/>
  <c r="CH143" i="10"/>
  <c r="DB143" i="10"/>
  <c r="BX144" i="10"/>
  <c r="CH144" i="10"/>
  <c r="CR144" i="10"/>
  <c r="DB144" i="10"/>
  <c r="AZ145" i="10"/>
  <c r="BD144" i="10"/>
  <c r="V147" i="10"/>
  <c r="Z144" i="10"/>
  <c r="Z143" i="10"/>
  <c r="BE147" i="10"/>
  <c r="BI143" i="10"/>
  <c r="AT148" i="10"/>
  <c r="CH148" i="10"/>
  <c r="CH176" i="10"/>
  <c r="CD176" i="10"/>
  <c r="CH175" i="10"/>
  <c r="AF220" i="10"/>
  <c r="AJ217" i="10"/>
  <c r="AJ216" i="10" s="1"/>
  <c r="BJ220" i="10"/>
  <c r="BN216" i="10"/>
  <c r="CN220" i="10"/>
  <c r="CR216" i="10"/>
  <c r="Z71" i="10"/>
  <c r="AJ71" i="10"/>
  <c r="AJ70" i="10" s="1"/>
  <c r="AT71" i="10"/>
  <c r="BD71" i="10"/>
  <c r="BN71" i="10"/>
  <c r="CH71" i="10"/>
  <c r="CR71" i="10"/>
  <c r="DB71" i="10"/>
  <c r="AO71" i="10"/>
  <c r="AO70" i="10" s="1"/>
  <c r="Z91" i="10"/>
  <c r="AJ91" i="10"/>
  <c r="Z139" i="10"/>
  <c r="AJ139" i="10"/>
  <c r="AJ136" i="10" s="1"/>
  <c r="AT139" i="10"/>
  <c r="BD139" i="10"/>
  <c r="BN139" i="10"/>
  <c r="AE149" i="10"/>
  <c r="AY149" i="10"/>
  <c r="BI149" i="10"/>
  <c r="BS149" i="10"/>
  <c r="CC149" i="10"/>
  <c r="CM149" i="10"/>
  <c r="CW149" i="10"/>
  <c r="AA150" i="10"/>
  <c r="AU150" i="10"/>
  <c r="BT150" i="10"/>
  <c r="CN150" i="10"/>
  <c r="L151" i="10"/>
  <c r="AF151" i="10"/>
  <c r="AZ151" i="10"/>
  <c r="BE151" i="10"/>
  <c r="BY151" i="10"/>
  <c r="CS151" i="10"/>
  <c r="DB176" i="10"/>
  <c r="CX176" i="10"/>
  <c r="DB175" i="10"/>
  <c r="AF184" i="10"/>
  <c r="AJ181" i="10"/>
  <c r="AJ180" i="10" s="1"/>
  <c r="AP187" i="10"/>
  <c r="AT185" i="10"/>
  <c r="AZ187" i="10"/>
  <c r="BD185" i="10"/>
  <c r="BJ187" i="10"/>
  <c r="BN185" i="10"/>
  <c r="BY198" i="10"/>
  <c r="CC196" i="10"/>
  <c r="CC195" i="10"/>
  <c r="CI198" i="10"/>
  <c r="CM196" i="10"/>
  <c r="CM195" i="10"/>
  <c r="CS198" i="10"/>
  <c r="CW196" i="10"/>
  <c r="CW195" i="10"/>
  <c r="AE200" i="10"/>
  <c r="AE199" i="10"/>
  <c r="AK201" i="10"/>
  <c r="AO200" i="10"/>
  <c r="AO199" i="10" s="1"/>
  <c r="AU201" i="10"/>
  <c r="AY200" i="10"/>
  <c r="AY199" i="10"/>
  <c r="BI200" i="10"/>
  <c r="BI199" i="10"/>
  <c r="BO201" i="10"/>
  <c r="BS200" i="10"/>
  <c r="BS199" i="10"/>
  <c r="CC200" i="10"/>
  <c r="CC199" i="10"/>
  <c r="CM200" i="10"/>
  <c r="CM199" i="10"/>
  <c r="CW200" i="10"/>
  <c r="CW199" i="10"/>
  <c r="AP215" i="10"/>
  <c r="AT210" i="10"/>
  <c r="AZ215" i="10"/>
  <c r="BD210" i="10"/>
  <c r="BJ215" i="10"/>
  <c r="BN210" i="10"/>
  <c r="AA220" i="10"/>
  <c r="AE217" i="10"/>
  <c r="AE216" i="10"/>
  <c r="BY220" i="10"/>
  <c r="CC216" i="10"/>
  <c r="CI220" i="10"/>
  <c r="CM216" i="10"/>
  <c r="CS220" i="10"/>
  <c r="CW216" i="10"/>
  <c r="BX176" i="10"/>
  <c r="CR176" i="10"/>
  <c r="BJ182" i="10"/>
  <c r="AU66" i="10"/>
  <c r="AE70" i="10"/>
  <c r="AY70" i="10"/>
  <c r="BI70" i="10"/>
  <c r="BS70" i="10"/>
  <c r="CC70" i="10"/>
  <c r="CM70" i="10"/>
  <c r="CW70" i="10"/>
  <c r="BI77" i="10"/>
  <c r="BE78" i="10"/>
  <c r="CD78" i="10"/>
  <c r="CN78" i="10"/>
  <c r="AJ80" i="10"/>
  <c r="AT80" i="10"/>
  <c r="BD80" i="10"/>
  <c r="BN80" i="10"/>
  <c r="BX80" i="10"/>
  <c r="V23" i="10"/>
  <c r="AF23" i="10"/>
  <c r="AP23" i="10"/>
  <c r="BE23" i="10"/>
  <c r="BO23" i="10"/>
  <c r="BY23" i="10"/>
  <c r="CI23" i="10"/>
  <c r="CS23" i="10"/>
  <c r="AE136" i="10"/>
  <c r="AY136" i="10"/>
  <c r="BI136" i="10"/>
  <c r="BN144" i="10"/>
  <c r="AE148" i="10"/>
  <c r="AY148" i="10"/>
  <c r="BI148" i="10"/>
  <c r="BS148" i="10"/>
  <c r="CC148" i="10"/>
  <c r="CM148" i="10"/>
  <c r="CW148" i="10"/>
  <c r="BY201" i="10"/>
  <c r="CN201" i="10"/>
  <c r="BN217" i="10"/>
  <c r="AA176" i="10"/>
  <c r="AK176" i="10"/>
  <c r="AU176" i="10"/>
  <c r="BE176" i="10"/>
  <c r="BO176" i="10"/>
  <c r="BY176" i="10"/>
  <c r="CI176" i="10"/>
  <c r="CS176" i="10"/>
  <c r="G201" i="10"/>
  <c r="L201" i="10"/>
  <c r="Q201" i="10"/>
  <c r="V201" i="10"/>
  <c r="AA201" i="10"/>
  <c r="AF201" i="10"/>
  <c r="AZ201" i="10"/>
  <c r="BW4" i="5"/>
  <c r="DB234" i="10" l="1"/>
  <c r="AY234" i="10"/>
  <c r="CM233" i="10"/>
  <c r="AT233" i="10"/>
  <c r="CM234" i="10"/>
  <c r="BS234" i="10"/>
  <c r="AY233" i="10"/>
  <c r="CH233" i="10"/>
  <c r="AE234" i="10"/>
  <c r="AJ233" i="10"/>
  <c r="BN233" i="10"/>
  <c r="BS233" i="10"/>
  <c r="CW234" i="10"/>
  <c r="CC234" i="10"/>
  <c r="BI234" i="10"/>
  <c r="AE233" i="10"/>
  <c r="DB233" i="10"/>
  <c r="Z234" i="10"/>
  <c r="CW233" i="10"/>
  <c r="CC233" i="10"/>
  <c r="CR234" i="10"/>
  <c r="BI233" i="10"/>
  <c r="BN234" i="10"/>
  <c r="AT234" i="10"/>
  <c r="Z233" i="10"/>
  <c r="CH234" i="10"/>
  <c r="BD233" i="10"/>
  <c r="AO233" i="10"/>
  <c r="BX234" i="10"/>
  <c r="BD234" i="10"/>
  <c r="CR233" i="10"/>
  <c r="BX233" i="10"/>
  <c r="AO234" i="10"/>
  <c r="AO236" i="10" s="1"/>
  <c r="AJ234" i="10"/>
  <c r="AJ236" i="10" s="1"/>
  <c r="BU82" i="5"/>
  <c r="BU79" i="5"/>
  <c r="BU72" i="5" l="1"/>
  <c r="BV41" i="5"/>
  <c r="BV107" i="5"/>
  <c r="BV120" i="5"/>
  <c r="BU35" i="5" l="1"/>
  <c r="BU19" i="5" l="1"/>
  <c r="BU18" i="5"/>
  <c r="BS196" i="5" l="1"/>
  <c r="BU158" i="5"/>
  <c r="BU157" i="5"/>
  <c r="BU156" i="5"/>
  <c r="BS120" i="5" l="1"/>
  <c r="F162" i="5" l="1"/>
  <c r="K162" i="5"/>
  <c r="BP136" i="5" l="1"/>
  <c r="BW54" i="5" l="1"/>
  <c r="BV175" i="5"/>
  <c r="CW205" i="5" l="1"/>
  <c r="DA204" i="5"/>
  <c r="CW204" i="5"/>
  <c r="DA203" i="5"/>
  <c r="CW202" i="5"/>
  <c r="DA199" i="5"/>
  <c r="CW199" i="5"/>
  <c r="DA198" i="5"/>
  <c r="CY197" i="5"/>
  <c r="CW197" i="5" s="1"/>
  <c r="CW194" i="5"/>
  <c r="CY192" i="5"/>
  <c r="CW192" i="5" s="1"/>
  <c r="CW189" i="5"/>
  <c r="CW187" i="5"/>
  <c r="CW184" i="5"/>
  <c r="CY182" i="5"/>
  <c r="CW182" i="5" s="1"/>
  <c r="CY181" i="5"/>
  <c r="CY180" i="5"/>
  <c r="CW179" i="5"/>
  <c r="CY177" i="5"/>
  <c r="CW177" i="5" s="1"/>
  <c r="CW175" i="5"/>
  <c r="CW173" i="5"/>
  <c r="CW172" i="5"/>
  <c r="DA171" i="5"/>
  <c r="DA170" i="5"/>
  <c r="CW169" i="5"/>
  <c r="CW167" i="5"/>
  <c r="DA166" i="5"/>
  <c r="DA165" i="5"/>
  <c r="CW164" i="5"/>
  <c r="CW162" i="5"/>
  <c r="CY158" i="5"/>
  <c r="CW158" i="5" s="1"/>
  <c r="CY157" i="5"/>
  <c r="CY156" i="5"/>
  <c r="CW154" i="5"/>
  <c r="CW152" i="5"/>
  <c r="DA151" i="5"/>
  <c r="DA150" i="5"/>
  <c r="CY136" i="5"/>
  <c r="CX136" i="5"/>
  <c r="CY135" i="5"/>
  <c r="CX135" i="5"/>
  <c r="CY134" i="5"/>
  <c r="DA134" i="5" s="1"/>
  <c r="CY132" i="5"/>
  <c r="CW132" i="5" s="1"/>
  <c r="CY130" i="5"/>
  <c r="CW130" i="5" s="1"/>
  <c r="CY129" i="5"/>
  <c r="CY127" i="5"/>
  <c r="CW127" i="5" s="1"/>
  <c r="CW126" i="5"/>
  <c r="CY125" i="5"/>
  <c r="DA125" i="5" s="1"/>
  <c r="CW121" i="5"/>
  <c r="CW120" i="5"/>
  <c r="DA119" i="5"/>
  <c r="DA118" i="5"/>
  <c r="CW117" i="5"/>
  <c r="CW116" i="5"/>
  <c r="DA115" i="5"/>
  <c r="DA114" i="5"/>
  <c r="CW113" i="5"/>
  <c r="DA111" i="5"/>
  <c r="CW111" i="5"/>
  <c r="DA110" i="5"/>
  <c r="CW107" i="5"/>
  <c r="DA106" i="5"/>
  <c r="CW106" i="5"/>
  <c r="DA105" i="5"/>
  <c r="CW104" i="5"/>
  <c r="DA102" i="5"/>
  <c r="CW102" i="5"/>
  <c r="DA101" i="5"/>
  <c r="CW95" i="5"/>
  <c r="DA93" i="5"/>
  <c r="CW93" i="5"/>
  <c r="DA92" i="5"/>
  <c r="CW87" i="5"/>
  <c r="DA84" i="5"/>
  <c r="CW84" i="5"/>
  <c r="DA83" i="5"/>
  <c r="CY82" i="5"/>
  <c r="CW82" i="5" s="1"/>
  <c r="CW80" i="5"/>
  <c r="DA78" i="5"/>
  <c r="CW77" i="5"/>
  <c r="CY76" i="5"/>
  <c r="DA74" i="5" s="1"/>
  <c r="CW74" i="5"/>
  <c r="CW72" i="5"/>
  <c r="CW71" i="5"/>
  <c r="DA69" i="5"/>
  <c r="CW69" i="5"/>
  <c r="DA68" i="5"/>
  <c r="CW67" i="5"/>
  <c r="CY66" i="5"/>
  <c r="DA66" i="5" s="1"/>
  <c r="CX64" i="5"/>
  <c r="CW64" i="5" s="1"/>
  <c r="CW62" i="5"/>
  <c r="CY61" i="5"/>
  <c r="CY60" i="5"/>
  <c r="CY59" i="5"/>
  <c r="DA54" i="5"/>
  <c r="DA53" i="5"/>
  <c r="CW52" i="5"/>
  <c r="CW50" i="5"/>
  <c r="DA49" i="5"/>
  <c r="DA48" i="5"/>
  <c r="CW47" i="5"/>
  <c r="DA45" i="5"/>
  <c r="CW45" i="5"/>
  <c r="DA44" i="5"/>
  <c r="CW43" i="5"/>
  <c r="CW41" i="5"/>
  <c r="DA39" i="5"/>
  <c r="DA38" i="5"/>
  <c r="CY37" i="5"/>
  <c r="CY35" i="5"/>
  <c r="CW35" i="5" s="1"/>
  <c r="CY34" i="5"/>
  <c r="CY33" i="5"/>
  <c r="CW30" i="5"/>
  <c r="CW28" i="5"/>
  <c r="DA26" i="5"/>
  <c r="DA25" i="5"/>
  <c r="CW24" i="5"/>
  <c r="DA22" i="5"/>
  <c r="CW22" i="5"/>
  <c r="DA21" i="5"/>
  <c r="CW20" i="5"/>
  <c r="CY18" i="5"/>
  <c r="DA18" i="5" s="1"/>
  <c r="CW16" i="5"/>
  <c r="DA14" i="5"/>
  <c r="CW14" i="5"/>
  <c r="DA13" i="5"/>
  <c r="CY12" i="5"/>
  <c r="CW12" i="5" s="1"/>
  <c r="CY11" i="5"/>
  <c r="CY10" i="5"/>
  <c r="CW10" i="5" s="1"/>
  <c r="CY9" i="5"/>
  <c r="CW7" i="5"/>
  <c r="CW5" i="5"/>
  <c r="DA4" i="5"/>
  <c r="DA3" i="5"/>
  <c r="CR205" i="5"/>
  <c r="CV204" i="5"/>
  <c r="CR204" i="5"/>
  <c r="CV203" i="5"/>
  <c r="CR202" i="5"/>
  <c r="CV199" i="5"/>
  <c r="CR199" i="5"/>
  <c r="CV198" i="5"/>
  <c r="CT197" i="5"/>
  <c r="CR197" i="5" s="1"/>
  <c r="CR194" i="5"/>
  <c r="CT192" i="5"/>
  <c r="CR192" i="5" s="1"/>
  <c r="CR189" i="5"/>
  <c r="CR187" i="5"/>
  <c r="CR184" i="5"/>
  <c r="CT182" i="5"/>
  <c r="CR182" i="5" s="1"/>
  <c r="CT181" i="5"/>
  <c r="CT180" i="5"/>
  <c r="CR179" i="5"/>
  <c r="CT177" i="5"/>
  <c r="CR177" i="5" s="1"/>
  <c r="CR175" i="5"/>
  <c r="CR173" i="5"/>
  <c r="CR172" i="5"/>
  <c r="CV171" i="5"/>
  <c r="CV170" i="5"/>
  <c r="CR169" i="5"/>
  <c r="CR167" i="5"/>
  <c r="CV166" i="5"/>
  <c r="CV165" i="5"/>
  <c r="CR164" i="5"/>
  <c r="CR162" i="5"/>
  <c r="CT158" i="5"/>
  <c r="CR158" i="5" s="1"/>
  <c r="CT157" i="5"/>
  <c r="CT156" i="5"/>
  <c r="CR154" i="5"/>
  <c r="CR152" i="5"/>
  <c r="CV151" i="5"/>
  <c r="CV150" i="5"/>
  <c r="CT136" i="5"/>
  <c r="CS136" i="5"/>
  <c r="CT135" i="5"/>
  <c r="CS135" i="5"/>
  <c r="CT134" i="5"/>
  <c r="CT132" i="5"/>
  <c r="CR132" i="5" s="1"/>
  <c r="CT130" i="5"/>
  <c r="CR130" i="5" s="1"/>
  <c r="CT129" i="5"/>
  <c r="CT127" i="5"/>
  <c r="CR127" i="5" s="1"/>
  <c r="CR126" i="5"/>
  <c r="CT125" i="5"/>
  <c r="CV125" i="5" s="1"/>
  <c r="CR121" i="5"/>
  <c r="CR120" i="5"/>
  <c r="CV119" i="5"/>
  <c r="CV118" i="5"/>
  <c r="CR117" i="5"/>
  <c r="CR116" i="5"/>
  <c r="CV115" i="5"/>
  <c r="CV114" i="5"/>
  <c r="CR113" i="5"/>
  <c r="CV111" i="5"/>
  <c r="CR111" i="5"/>
  <c r="CV110" i="5"/>
  <c r="CR107" i="5"/>
  <c r="CV106" i="5"/>
  <c r="CR106" i="5"/>
  <c r="CV105" i="5"/>
  <c r="CR104" i="5"/>
  <c r="CV102" i="5"/>
  <c r="CR102" i="5"/>
  <c r="CV101" i="5"/>
  <c r="CR95" i="5"/>
  <c r="CV93" i="5"/>
  <c r="CR93" i="5"/>
  <c r="CV92" i="5"/>
  <c r="CR87" i="5"/>
  <c r="CV84" i="5"/>
  <c r="CR84" i="5"/>
  <c r="CV83" i="5"/>
  <c r="CT82" i="5"/>
  <c r="CR82" i="5" s="1"/>
  <c r="CR80" i="5"/>
  <c r="CR77" i="5"/>
  <c r="CT76" i="5"/>
  <c r="CV74" i="5" s="1"/>
  <c r="CR74" i="5"/>
  <c r="CR72" i="5"/>
  <c r="CR71" i="5"/>
  <c r="CV69" i="5"/>
  <c r="CR69" i="5"/>
  <c r="CV68" i="5"/>
  <c r="CR67" i="5"/>
  <c r="CT66" i="5"/>
  <c r="CV66" i="5" s="1"/>
  <c r="CS64" i="5"/>
  <c r="CR64" i="5" s="1"/>
  <c r="CR62" i="5"/>
  <c r="CT61" i="5"/>
  <c r="CT60" i="5"/>
  <c r="CT59" i="5"/>
  <c r="CV54" i="5"/>
  <c r="CV53" i="5"/>
  <c r="CR52" i="5"/>
  <c r="CR50" i="5"/>
  <c r="CV49" i="5"/>
  <c r="CV48" i="5"/>
  <c r="CR47" i="5"/>
  <c r="CV45" i="5"/>
  <c r="CR45" i="5"/>
  <c r="CV44" i="5"/>
  <c r="CR43" i="5"/>
  <c r="CR41" i="5"/>
  <c r="CV39" i="5"/>
  <c r="CV38" i="5"/>
  <c r="CT37" i="5"/>
  <c r="CT35" i="5"/>
  <c r="CR35" i="5" s="1"/>
  <c r="CT34" i="5"/>
  <c r="CT33" i="5"/>
  <c r="CR30" i="5"/>
  <c r="CR28" i="5"/>
  <c r="CV26" i="5"/>
  <c r="CV25" i="5"/>
  <c r="CR24" i="5"/>
  <c r="CV22" i="5"/>
  <c r="CR22" i="5"/>
  <c r="CV21" i="5"/>
  <c r="CR20" i="5"/>
  <c r="CT18" i="5"/>
  <c r="CV18" i="5" s="1"/>
  <c r="CR16" i="5"/>
  <c r="CV14" i="5"/>
  <c r="CR14" i="5"/>
  <c r="CV13" i="5"/>
  <c r="CT12" i="5"/>
  <c r="CR12" i="5" s="1"/>
  <c r="CT11" i="5"/>
  <c r="CT10" i="5"/>
  <c r="CR10" i="5" s="1"/>
  <c r="CT9" i="5"/>
  <c r="CR7" i="5"/>
  <c r="CR5" i="5"/>
  <c r="CV4" i="5"/>
  <c r="CV3" i="5"/>
  <c r="CM205" i="5"/>
  <c r="CQ204" i="5"/>
  <c r="CM204" i="5"/>
  <c r="CQ203" i="5"/>
  <c r="CM202" i="5"/>
  <c r="CQ199" i="5"/>
  <c r="CM199" i="5"/>
  <c r="CQ198" i="5"/>
  <c r="CO197" i="5"/>
  <c r="CM197" i="5" s="1"/>
  <c r="CM194" i="5"/>
  <c r="CO192" i="5"/>
  <c r="CM192" i="5" s="1"/>
  <c r="CM189" i="5"/>
  <c r="CM187" i="5"/>
  <c r="CM184" i="5"/>
  <c r="CO182" i="5"/>
  <c r="CM182" i="5" s="1"/>
  <c r="CO181" i="5"/>
  <c r="CO180" i="5"/>
  <c r="CM179" i="5"/>
  <c r="CO177" i="5"/>
  <c r="CM177" i="5" s="1"/>
  <c r="CM175" i="5"/>
  <c r="CM173" i="5"/>
  <c r="CM172" i="5"/>
  <c r="CQ171" i="5"/>
  <c r="CQ170" i="5"/>
  <c r="CM169" i="5"/>
  <c r="CM167" i="5"/>
  <c r="CQ166" i="5"/>
  <c r="CQ165" i="5"/>
  <c r="CM164" i="5"/>
  <c r="CM162" i="5"/>
  <c r="CO158" i="5"/>
  <c r="CM158" i="5" s="1"/>
  <c r="CO157" i="5"/>
  <c r="CO156" i="5"/>
  <c r="CM154" i="5"/>
  <c r="CM152" i="5"/>
  <c r="CQ151" i="5"/>
  <c r="CQ150" i="5"/>
  <c r="CO136" i="5"/>
  <c r="CN136" i="5"/>
  <c r="CO135" i="5"/>
  <c r="CN135" i="5"/>
  <c r="CO134" i="5"/>
  <c r="CO132" i="5"/>
  <c r="CM132" i="5" s="1"/>
  <c r="CO130" i="5"/>
  <c r="CM130" i="5" s="1"/>
  <c r="CO129" i="5"/>
  <c r="CO127" i="5"/>
  <c r="CM127" i="5" s="1"/>
  <c r="CM126" i="5"/>
  <c r="CO125" i="5"/>
  <c r="CM121" i="5"/>
  <c r="CM120" i="5"/>
  <c r="CQ119" i="5"/>
  <c r="CQ118" i="5"/>
  <c r="CM117" i="5"/>
  <c r="CM116" i="5"/>
  <c r="CQ115" i="5"/>
  <c r="CQ114" i="5"/>
  <c r="CM113" i="5"/>
  <c r="CQ111" i="5"/>
  <c r="CM111" i="5"/>
  <c r="CQ110" i="5"/>
  <c r="CM107" i="5"/>
  <c r="CQ106" i="5"/>
  <c r="CM106" i="5"/>
  <c r="CQ105" i="5"/>
  <c r="CM104" i="5"/>
  <c r="CQ102" i="5"/>
  <c r="CM102" i="5"/>
  <c r="CQ101" i="5"/>
  <c r="CM95" i="5"/>
  <c r="CQ93" i="5"/>
  <c r="CM93" i="5"/>
  <c r="CQ92" i="5"/>
  <c r="CM87" i="5"/>
  <c r="CQ84" i="5"/>
  <c r="CM84" i="5"/>
  <c r="CQ83" i="5"/>
  <c r="CO82" i="5"/>
  <c r="CM82" i="5" s="1"/>
  <c r="CM80" i="5"/>
  <c r="CM77" i="5"/>
  <c r="CO76" i="5"/>
  <c r="CQ74" i="5" s="1"/>
  <c r="CM74" i="5"/>
  <c r="CM72" i="5"/>
  <c r="CM71" i="5"/>
  <c r="CQ69" i="5"/>
  <c r="CM69" i="5"/>
  <c r="CQ68" i="5"/>
  <c r="CM67" i="5"/>
  <c r="CO66" i="5"/>
  <c r="CQ66" i="5" s="1"/>
  <c r="CN64" i="5"/>
  <c r="CM64" i="5" s="1"/>
  <c r="CM62" i="5"/>
  <c r="CO61" i="5"/>
  <c r="CO60" i="5"/>
  <c r="CO59" i="5"/>
  <c r="CQ54" i="5"/>
  <c r="CQ53" i="5"/>
  <c r="CM52" i="5"/>
  <c r="CM50" i="5"/>
  <c r="CQ49" i="5"/>
  <c r="CQ48" i="5"/>
  <c r="CM47" i="5"/>
  <c r="CQ45" i="5"/>
  <c r="CM45" i="5"/>
  <c r="CQ44" i="5"/>
  <c r="CM43" i="5"/>
  <c r="CM41" i="5"/>
  <c r="CQ39" i="5"/>
  <c r="CQ38" i="5"/>
  <c r="CO37" i="5"/>
  <c r="CO35" i="5"/>
  <c r="CM35" i="5" s="1"/>
  <c r="CO34" i="5"/>
  <c r="CO33" i="5"/>
  <c r="CM30" i="5"/>
  <c r="CM28" i="5"/>
  <c r="CQ26" i="5"/>
  <c r="CQ25" i="5"/>
  <c r="CM24" i="5"/>
  <c r="CQ22" i="5"/>
  <c r="CM22" i="5"/>
  <c r="CQ21" i="5"/>
  <c r="CM20" i="5"/>
  <c r="CO18" i="5"/>
  <c r="CQ18" i="5" s="1"/>
  <c r="CM16" i="5"/>
  <c r="CQ14" i="5"/>
  <c r="CM14" i="5"/>
  <c r="CQ13" i="5"/>
  <c r="CO12" i="5"/>
  <c r="CM12" i="5" s="1"/>
  <c r="CO11" i="5"/>
  <c r="CO10" i="5"/>
  <c r="CM10" i="5" s="1"/>
  <c r="CO9" i="5"/>
  <c r="CM7" i="5"/>
  <c r="CM5" i="5"/>
  <c r="CQ4" i="5"/>
  <c r="CQ3" i="5"/>
  <c r="CH205" i="5"/>
  <c r="CL204" i="5"/>
  <c r="CH204" i="5"/>
  <c r="CL203" i="5"/>
  <c r="CH202" i="5"/>
  <c r="CL199" i="5"/>
  <c r="CH199" i="5"/>
  <c r="CL198" i="5"/>
  <c r="CJ197" i="5"/>
  <c r="CH197" i="5" s="1"/>
  <c r="CH194" i="5"/>
  <c r="CJ192" i="5"/>
  <c r="CH192" i="5" s="1"/>
  <c r="CH189" i="5"/>
  <c r="CH187" i="5"/>
  <c r="CH184" i="5"/>
  <c r="CJ182" i="5"/>
  <c r="CH182" i="5" s="1"/>
  <c r="CJ181" i="5"/>
  <c r="CJ180" i="5"/>
  <c r="CH179" i="5"/>
  <c r="CJ177" i="5"/>
  <c r="CH177" i="5" s="1"/>
  <c r="CH175" i="5"/>
  <c r="CH173" i="5"/>
  <c r="CH172" i="5"/>
  <c r="CL171" i="5"/>
  <c r="CL170" i="5"/>
  <c r="CH169" i="5"/>
  <c r="CH167" i="5"/>
  <c r="CL166" i="5"/>
  <c r="CL165" i="5"/>
  <c r="CH164" i="5"/>
  <c r="CH162" i="5"/>
  <c r="CJ158" i="5"/>
  <c r="CH158" i="5" s="1"/>
  <c r="CJ157" i="5"/>
  <c r="CJ156" i="5"/>
  <c r="CH154" i="5"/>
  <c r="CH152" i="5"/>
  <c r="CL151" i="5"/>
  <c r="CL150" i="5"/>
  <c r="CJ136" i="5"/>
  <c r="CI136" i="5"/>
  <c r="CJ135" i="5"/>
  <c r="CI135" i="5"/>
  <c r="CJ134" i="5"/>
  <c r="CJ132" i="5"/>
  <c r="CH132" i="5" s="1"/>
  <c r="CJ130" i="5"/>
  <c r="CH130" i="5" s="1"/>
  <c r="CJ129" i="5"/>
  <c r="CJ127" i="5"/>
  <c r="CH127" i="5" s="1"/>
  <c r="CH126" i="5"/>
  <c r="CJ125" i="5"/>
  <c r="CL125" i="5" s="1"/>
  <c r="CH121" i="5"/>
  <c r="CH120" i="5"/>
  <c r="CL119" i="5"/>
  <c r="CL118" i="5"/>
  <c r="CH117" i="5"/>
  <c r="CH116" i="5"/>
  <c r="CL115" i="5"/>
  <c r="CL114" i="5"/>
  <c r="CH113" i="5"/>
  <c r="CL111" i="5"/>
  <c r="CH111" i="5"/>
  <c r="CL110" i="5"/>
  <c r="CH107" i="5"/>
  <c r="CL106" i="5"/>
  <c r="CH106" i="5"/>
  <c r="CL105" i="5"/>
  <c r="CH104" i="5"/>
  <c r="CL102" i="5"/>
  <c r="CH102" i="5"/>
  <c r="CL101" i="5"/>
  <c r="CH95" i="5"/>
  <c r="CL93" i="5"/>
  <c r="CH93" i="5"/>
  <c r="CL92" i="5"/>
  <c r="CH87" i="5"/>
  <c r="CL84" i="5"/>
  <c r="CH84" i="5"/>
  <c r="CL83" i="5"/>
  <c r="CJ82" i="5"/>
  <c r="CH82" i="5" s="1"/>
  <c r="CH80" i="5"/>
  <c r="CH77" i="5"/>
  <c r="CJ76" i="5"/>
  <c r="CL74" i="5" s="1"/>
  <c r="CH74" i="5"/>
  <c r="CH72" i="5"/>
  <c r="CH71" i="5"/>
  <c r="CL69" i="5"/>
  <c r="CH69" i="5"/>
  <c r="CL68" i="5"/>
  <c r="CH67" i="5"/>
  <c r="CJ66" i="5"/>
  <c r="CL66" i="5" s="1"/>
  <c r="CI64" i="5"/>
  <c r="CH64" i="5" s="1"/>
  <c r="CH62" i="5"/>
  <c r="CJ61" i="5"/>
  <c r="CJ60" i="5"/>
  <c r="CJ59" i="5"/>
  <c r="CL54" i="5"/>
  <c r="CL53" i="5"/>
  <c r="CH52" i="5"/>
  <c r="CH50" i="5"/>
  <c r="CL49" i="5"/>
  <c r="CL48" i="5"/>
  <c r="CH47" i="5"/>
  <c r="CL45" i="5"/>
  <c r="CH45" i="5"/>
  <c r="CL44" i="5"/>
  <c r="CH43" i="5"/>
  <c r="CH41" i="5"/>
  <c r="CL39" i="5"/>
  <c r="CL38" i="5"/>
  <c r="CJ37" i="5"/>
  <c r="CJ35" i="5"/>
  <c r="CH35" i="5" s="1"/>
  <c r="CJ34" i="5"/>
  <c r="CJ33" i="5"/>
  <c r="CH30" i="5"/>
  <c r="CH28" i="5"/>
  <c r="CL26" i="5"/>
  <c r="CL25" i="5"/>
  <c r="CH24" i="5"/>
  <c r="CL22" i="5"/>
  <c r="CH22" i="5"/>
  <c r="CL21" i="5"/>
  <c r="CH20" i="5"/>
  <c r="CJ18" i="5"/>
  <c r="CL18" i="5" s="1"/>
  <c r="CH16" i="5"/>
  <c r="CL14" i="5"/>
  <c r="CH14" i="5"/>
  <c r="CL13" i="5"/>
  <c r="CJ12" i="5"/>
  <c r="CH12" i="5" s="1"/>
  <c r="CJ11" i="5"/>
  <c r="CJ10" i="5"/>
  <c r="CH10" i="5" s="1"/>
  <c r="CJ9" i="5"/>
  <c r="CH7" i="5"/>
  <c r="CH5" i="5"/>
  <c r="CL4" i="5"/>
  <c r="CL3" i="5"/>
  <c r="CC205" i="5"/>
  <c r="CG204" i="5"/>
  <c r="CC204" i="5"/>
  <c r="CG203" i="5"/>
  <c r="CC202" i="5"/>
  <c r="CG199" i="5"/>
  <c r="CC199" i="5"/>
  <c r="CG198" i="5"/>
  <c r="CE197" i="5"/>
  <c r="CC197" i="5" s="1"/>
  <c r="CC194" i="5"/>
  <c r="CE192" i="5"/>
  <c r="CC192" i="5" s="1"/>
  <c r="CC189" i="5"/>
  <c r="CC187" i="5"/>
  <c r="CC184" i="5"/>
  <c r="CE182" i="5"/>
  <c r="CC182" i="5" s="1"/>
  <c r="CE181" i="5"/>
  <c r="CE180" i="5"/>
  <c r="CC179" i="5"/>
  <c r="CE177" i="5"/>
  <c r="CC177" i="5" s="1"/>
  <c r="CC175" i="5"/>
  <c r="CC173" i="5"/>
  <c r="CC172" i="5"/>
  <c r="CG171" i="5"/>
  <c r="CG170" i="5"/>
  <c r="CC169" i="5"/>
  <c r="CC167" i="5"/>
  <c r="CG166" i="5"/>
  <c r="CG165" i="5"/>
  <c r="CC164" i="5"/>
  <c r="CC162" i="5"/>
  <c r="CE158" i="5"/>
  <c r="CC158" i="5" s="1"/>
  <c r="CE157" i="5"/>
  <c r="CE156" i="5"/>
  <c r="CC154" i="5"/>
  <c r="CC152" i="5"/>
  <c r="CG151" i="5"/>
  <c r="CG150" i="5"/>
  <c r="CE136" i="5"/>
  <c r="CD136" i="5"/>
  <c r="CE135" i="5"/>
  <c r="CD135" i="5"/>
  <c r="CE134" i="5"/>
  <c r="CE132" i="5"/>
  <c r="CC132" i="5" s="1"/>
  <c r="CE130" i="5"/>
  <c r="CC130" i="5" s="1"/>
  <c r="CE129" i="5"/>
  <c r="CE127" i="5"/>
  <c r="CC127" i="5" s="1"/>
  <c r="CC126" i="5"/>
  <c r="CE125" i="5"/>
  <c r="CC121" i="5"/>
  <c r="CC120" i="5"/>
  <c r="CG119" i="5"/>
  <c r="CG118" i="5"/>
  <c r="CC117" i="5"/>
  <c r="CC116" i="5"/>
  <c r="CG115" i="5"/>
  <c r="CG114" i="5"/>
  <c r="CC113" i="5"/>
  <c r="CG111" i="5"/>
  <c r="CC111" i="5"/>
  <c r="CG110" i="5"/>
  <c r="CC107" i="5"/>
  <c r="CG106" i="5"/>
  <c r="CC106" i="5"/>
  <c r="CG105" i="5"/>
  <c r="CC104" i="5"/>
  <c r="CG102" i="5"/>
  <c r="CC102" i="5"/>
  <c r="CG101" i="5"/>
  <c r="CC95" i="5"/>
  <c r="CG93" i="5"/>
  <c r="CC93" i="5"/>
  <c r="CG92" i="5"/>
  <c r="CC87" i="5"/>
  <c r="CG84" i="5"/>
  <c r="CC84" i="5"/>
  <c r="CG83" i="5"/>
  <c r="CE82" i="5"/>
  <c r="CC82" i="5" s="1"/>
  <c r="CC80" i="5"/>
  <c r="CC77" i="5"/>
  <c r="CE76" i="5"/>
  <c r="CG74" i="5" s="1"/>
  <c r="CC74" i="5"/>
  <c r="CC72" i="5"/>
  <c r="CC71" i="5"/>
  <c r="CG69" i="5"/>
  <c r="CC69" i="5"/>
  <c r="CG68" i="5"/>
  <c r="CC67" i="5"/>
  <c r="CE66" i="5"/>
  <c r="CG66" i="5" s="1"/>
  <c r="CD64" i="5"/>
  <c r="CC64" i="5" s="1"/>
  <c r="CC62" i="5"/>
  <c r="CE61" i="5"/>
  <c r="CE60" i="5"/>
  <c r="CE59" i="5"/>
  <c r="CG54" i="5"/>
  <c r="CG53" i="5"/>
  <c r="CC52" i="5"/>
  <c r="CC50" i="5"/>
  <c r="CG49" i="5"/>
  <c r="CG48" i="5"/>
  <c r="CC47" i="5"/>
  <c r="CG45" i="5"/>
  <c r="CC45" i="5"/>
  <c r="CG44" i="5"/>
  <c r="CC43" i="5"/>
  <c r="CC41" i="5"/>
  <c r="CG39" i="5"/>
  <c r="CG38" i="5"/>
  <c r="CE37" i="5"/>
  <c r="CE35" i="5"/>
  <c r="CC35" i="5" s="1"/>
  <c r="CE34" i="5"/>
  <c r="CE33" i="5"/>
  <c r="CC30" i="5"/>
  <c r="CC28" i="5"/>
  <c r="CG26" i="5"/>
  <c r="CG25" i="5"/>
  <c r="CC24" i="5"/>
  <c r="CG22" i="5"/>
  <c r="CC22" i="5"/>
  <c r="CG21" i="5"/>
  <c r="CC20" i="5"/>
  <c r="CE18" i="5"/>
  <c r="CG18" i="5" s="1"/>
  <c r="CC16" i="5"/>
  <c r="CG14" i="5"/>
  <c r="CC14" i="5"/>
  <c r="CG13" i="5"/>
  <c r="CE12" i="5"/>
  <c r="CC12" i="5" s="1"/>
  <c r="CE11" i="5"/>
  <c r="CE10" i="5"/>
  <c r="CC10" i="5" s="1"/>
  <c r="CE9" i="5"/>
  <c r="CC7" i="5"/>
  <c r="CC5" i="5"/>
  <c r="CG4" i="5"/>
  <c r="CG3" i="5"/>
  <c r="BI196" i="5"/>
  <c r="BN196" i="5"/>
  <c r="U3" i="7"/>
  <c r="CV78" i="5" l="1"/>
  <c r="CQ125" i="5"/>
  <c r="DA174" i="5"/>
  <c r="CQ134" i="5"/>
  <c r="CG125" i="5"/>
  <c r="CV134" i="5"/>
  <c r="CQ78" i="5"/>
  <c r="CL78" i="5"/>
  <c r="CL134" i="5"/>
  <c r="CG78" i="5"/>
  <c r="DA32" i="5"/>
  <c r="CV193" i="5"/>
  <c r="CV194" i="5"/>
  <c r="DA9" i="5"/>
  <c r="DA31" i="5"/>
  <c r="CG156" i="5"/>
  <c r="DA129" i="5"/>
  <c r="CW135" i="5"/>
  <c r="CW136" i="5"/>
  <c r="DA193" i="5"/>
  <c r="DA194" i="5"/>
  <c r="CG31" i="5"/>
  <c r="DA155" i="5"/>
  <c r="CC136" i="5"/>
  <c r="CG155" i="5"/>
  <c r="CL193" i="5"/>
  <c r="CL194" i="5"/>
  <c r="CQ8" i="5"/>
  <c r="CQ32" i="5"/>
  <c r="CG178" i="5"/>
  <c r="CG59" i="5"/>
  <c r="CG129" i="5"/>
  <c r="CC135" i="5"/>
  <c r="CC156" i="5"/>
  <c r="CG174" i="5"/>
  <c r="CG175" i="5"/>
  <c r="CG179" i="5"/>
  <c r="CL155" i="5"/>
  <c r="CG17" i="5"/>
  <c r="CG65" i="5"/>
  <c r="CG188" i="5"/>
  <c r="CG189" i="5"/>
  <c r="CL9" i="5"/>
  <c r="CL32" i="5"/>
  <c r="CL59" i="5"/>
  <c r="CQ9" i="5"/>
  <c r="CQ129" i="5"/>
  <c r="CM135" i="5"/>
  <c r="CM136" i="5"/>
  <c r="CQ155" i="5"/>
  <c r="CV155" i="5"/>
  <c r="CQ31" i="5"/>
  <c r="CQ174" i="5"/>
  <c r="CQ175" i="5"/>
  <c r="CQ193" i="5"/>
  <c r="CQ194" i="5"/>
  <c r="CV32" i="5"/>
  <c r="CV59" i="5"/>
  <c r="DA8" i="5"/>
  <c r="CC66" i="5"/>
  <c r="DA175" i="5"/>
  <c r="CG9" i="5"/>
  <c r="DA179" i="5"/>
  <c r="CQ179" i="5"/>
  <c r="CC18" i="5"/>
  <c r="CG134" i="5"/>
  <c r="CG193" i="5"/>
  <c r="CG194" i="5"/>
  <c r="CL8" i="5"/>
  <c r="CL31" i="5"/>
  <c r="CL129" i="5"/>
  <c r="CH135" i="5"/>
  <c r="CH136" i="5"/>
  <c r="CL174" i="5"/>
  <c r="CL175" i="5"/>
  <c r="CL179" i="5"/>
  <c r="CQ59" i="5"/>
  <c r="CV9" i="5"/>
  <c r="CV31" i="5"/>
  <c r="CV129" i="5"/>
  <c r="CR135" i="5"/>
  <c r="CR136" i="5"/>
  <c r="CV174" i="5"/>
  <c r="CV175" i="5"/>
  <c r="CV179" i="5"/>
  <c r="DA59" i="5"/>
  <c r="CV8" i="5"/>
  <c r="CG32" i="5"/>
  <c r="CG133" i="5"/>
  <c r="CL17" i="5"/>
  <c r="CL58" i="5"/>
  <c r="CL65" i="5"/>
  <c r="CL73" i="5"/>
  <c r="CL79" i="5"/>
  <c r="CL122" i="5"/>
  <c r="CL128" i="5"/>
  <c r="CL156" i="5"/>
  <c r="CL178" i="5"/>
  <c r="CL188" i="5"/>
  <c r="CL189" i="5"/>
  <c r="CQ17" i="5"/>
  <c r="CQ58" i="5"/>
  <c r="CQ65" i="5"/>
  <c r="CQ73" i="5"/>
  <c r="CQ79" i="5"/>
  <c r="CQ122" i="5"/>
  <c r="CQ128" i="5"/>
  <c r="CQ156" i="5"/>
  <c r="CQ178" i="5"/>
  <c r="CQ188" i="5"/>
  <c r="CQ189" i="5"/>
  <c r="CV17" i="5"/>
  <c r="CV58" i="5"/>
  <c r="CV65" i="5"/>
  <c r="CV73" i="5"/>
  <c r="CV79" i="5"/>
  <c r="CV122" i="5"/>
  <c r="CV128" i="5"/>
  <c r="CV156" i="5"/>
  <c r="CV178" i="5"/>
  <c r="CV188" i="5"/>
  <c r="CV189" i="5"/>
  <c r="DA17" i="5"/>
  <c r="DA58" i="5"/>
  <c r="DA65" i="5"/>
  <c r="DA73" i="5"/>
  <c r="DA79" i="5"/>
  <c r="DA122" i="5"/>
  <c r="DA128" i="5"/>
  <c r="DA156" i="5"/>
  <c r="DA178" i="5"/>
  <c r="DA188" i="5"/>
  <c r="DA189" i="5"/>
  <c r="CW18" i="5"/>
  <c r="CW66" i="5"/>
  <c r="DA133" i="5"/>
  <c r="CW156" i="5"/>
  <c r="CR18" i="5"/>
  <c r="CR66" i="5"/>
  <c r="CV133" i="5"/>
  <c r="CR156" i="5"/>
  <c r="CM18" i="5"/>
  <c r="CM66" i="5"/>
  <c r="CQ133" i="5"/>
  <c r="CM156" i="5"/>
  <c r="CH18" i="5"/>
  <c r="CH66" i="5"/>
  <c r="CL133" i="5"/>
  <c r="CH156" i="5"/>
  <c r="CG8" i="5"/>
  <c r="CG58" i="5"/>
  <c r="CG73" i="5"/>
  <c r="CG79" i="5"/>
  <c r="CG122" i="5"/>
  <c r="CG128" i="5"/>
  <c r="BE47" i="7"/>
  <c r="BE46" i="7"/>
  <c r="BE45" i="7"/>
  <c r="BE44" i="7"/>
  <c r="BE42" i="7"/>
  <c r="BE41" i="7"/>
  <c r="BE40" i="7"/>
  <c r="BE39" i="7"/>
  <c r="BE37" i="7"/>
  <c r="BE36" i="7"/>
  <c r="BE31" i="7"/>
  <c r="BE30" i="7"/>
  <c r="BP127" i="5"/>
  <c r="BR125" i="5" s="1"/>
  <c r="BE29" i="7"/>
  <c r="BE28" i="7"/>
  <c r="BE27" i="7"/>
  <c r="BE26" i="7"/>
  <c r="BE25" i="7"/>
  <c r="BE24" i="7"/>
  <c r="BE22" i="7"/>
  <c r="BE19" i="7"/>
  <c r="BE18" i="7"/>
  <c r="BE17" i="7"/>
  <c r="BE16" i="7"/>
  <c r="BE15" i="7"/>
  <c r="BE14" i="7"/>
  <c r="BE13" i="7"/>
  <c r="BE12" i="7"/>
  <c r="BE11" i="7"/>
  <c r="BE10" i="7"/>
  <c r="BE9" i="7"/>
  <c r="BE8" i="7"/>
  <c r="BE7" i="7"/>
  <c r="BE6" i="7"/>
  <c r="BE5" i="7"/>
  <c r="BE4" i="7"/>
  <c r="AZ47" i="7"/>
  <c r="AZ46" i="7"/>
  <c r="AZ45" i="7"/>
  <c r="AZ44" i="7"/>
  <c r="AZ42" i="7"/>
  <c r="AZ41" i="7"/>
  <c r="AZ40" i="7"/>
  <c r="AZ39" i="7"/>
  <c r="AZ37" i="7"/>
  <c r="AZ36" i="7"/>
  <c r="AZ31" i="7"/>
  <c r="AZ30" i="7"/>
  <c r="AZ29" i="7"/>
  <c r="AZ28" i="7"/>
  <c r="AZ27" i="7"/>
  <c r="AZ26" i="7"/>
  <c r="AZ25" i="7"/>
  <c r="AZ24" i="7"/>
  <c r="AZ22" i="7"/>
  <c r="AZ19" i="7"/>
  <c r="AZ18" i="7"/>
  <c r="AZ17" i="7"/>
  <c r="AZ16" i="7"/>
  <c r="AZ15" i="7"/>
  <c r="AZ12" i="7"/>
  <c r="AZ11" i="7"/>
  <c r="AZ10" i="7"/>
  <c r="AZ9" i="7"/>
  <c r="AZ8" i="7"/>
  <c r="AZ7" i="7"/>
  <c r="AZ6" i="7"/>
  <c r="AZ5" i="7"/>
  <c r="AZ4" i="7"/>
  <c r="AU47" i="7"/>
  <c r="AU46" i="7"/>
  <c r="AU45" i="7"/>
  <c r="AU44" i="7"/>
  <c r="AU42" i="7"/>
  <c r="AU41" i="7"/>
  <c r="AU40" i="7"/>
  <c r="AU39" i="7"/>
  <c r="AU38" i="7"/>
  <c r="AU37" i="7"/>
  <c r="AU36" i="7"/>
  <c r="AU30" i="7"/>
  <c r="AU29" i="7"/>
  <c r="AU28" i="7"/>
  <c r="AU27" i="7"/>
  <c r="AU26" i="7"/>
  <c r="AU25" i="7"/>
  <c r="AU24" i="7"/>
  <c r="AU22" i="7"/>
  <c r="AU19" i="7"/>
  <c r="AU18" i="7"/>
  <c r="AU17" i="7"/>
  <c r="AU16" i="7"/>
  <c r="AU13" i="7"/>
  <c r="AU12" i="7"/>
  <c r="AU11" i="7"/>
  <c r="AU10" i="7"/>
  <c r="AU9" i="7"/>
  <c r="AU8" i="7"/>
  <c r="AU7" i="7"/>
  <c r="AU6" i="7"/>
  <c r="AU5" i="7"/>
  <c r="AU4" i="7"/>
  <c r="AQ47" i="7"/>
  <c r="AQ46" i="7"/>
  <c r="AQ45" i="7"/>
  <c r="AQ42" i="7"/>
  <c r="AQ41" i="7"/>
  <c r="AQ40" i="7"/>
  <c r="AQ39" i="7"/>
  <c r="AQ38" i="7"/>
  <c r="AQ37" i="7"/>
  <c r="AQ29" i="7"/>
  <c r="AQ28" i="7"/>
  <c r="AQ27" i="7"/>
  <c r="AQ26" i="7"/>
  <c r="AQ25" i="7"/>
  <c r="AQ24" i="7"/>
  <c r="AQ22" i="7"/>
  <c r="AQ19" i="7"/>
  <c r="AQ18" i="7"/>
  <c r="AQ17" i="7"/>
  <c r="AQ16" i="7"/>
  <c r="DA207" i="5" l="1"/>
  <c r="CV207" i="5"/>
  <c r="CQ207" i="5"/>
  <c r="CL207" i="5"/>
  <c r="CL206" i="5"/>
  <c r="CV206" i="5"/>
  <c r="CG206" i="5"/>
  <c r="CG207" i="5"/>
  <c r="CQ206" i="5"/>
  <c r="DA206" i="5"/>
  <c r="AQ15" i="7"/>
  <c r="AQ13" i="7"/>
  <c r="AQ12" i="7"/>
  <c r="AQ11" i="7"/>
  <c r="AQ10" i="7"/>
  <c r="AQ9" i="7"/>
  <c r="AQ8" i="7"/>
  <c r="AQ7" i="7"/>
  <c r="AQ6" i="7"/>
  <c r="AQ5" i="7"/>
  <c r="AQ4" i="7"/>
  <c r="BP34" i="5"/>
  <c r="BP181" i="5" l="1"/>
  <c r="BP182" i="5"/>
  <c r="BP180" i="5" l="1"/>
  <c r="BP200" i="5" l="1"/>
  <c r="BP79" i="5" l="1"/>
  <c r="BP82" i="5"/>
  <c r="BN116" i="5"/>
  <c r="BP72" i="5" l="1"/>
  <c r="BP19" i="5" l="1"/>
  <c r="BR4" i="5" l="1"/>
  <c r="BP18" i="5"/>
  <c r="BP35" i="5" l="1"/>
  <c r="BO136" i="5" l="1"/>
  <c r="BP135" i="5"/>
  <c r="BP158" i="5" l="1"/>
  <c r="BP157" i="5"/>
  <c r="BP156" i="5"/>
  <c r="BP41" i="5" l="1"/>
  <c r="BP162" i="5"/>
  <c r="BO162" i="5"/>
  <c r="BE38" i="7" s="1"/>
  <c r="BE49" i="7" l="1"/>
  <c r="BE48" i="7"/>
  <c r="BE3" i="7"/>
  <c r="BP11" i="5"/>
  <c r="BP10" i="5"/>
  <c r="BN54" i="5" l="1"/>
  <c r="BP130" i="5"/>
  <c r="BQ196" i="5" l="1"/>
  <c r="BQ195" i="5"/>
  <c r="BK192" i="5" l="1"/>
  <c r="BX205" i="5"/>
  <c r="CB204" i="5"/>
  <c r="BX204" i="5"/>
  <c r="CB203" i="5"/>
  <c r="BX202" i="5"/>
  <c r="CB199" i="5"/>
  <c r="BX199" i="5"/>
  <c r="CB198" i="5"/>
  <c r="BZ197" i="5"/>
  <c r="BX197" i="5" s="1"/>
  <c r="BX194" i="5"/>
  <c r="BZ192" i="5"/>
  <c r="BX192" i="5" s="1"/>
  <c r="BX189" i="5"/>
  <c r="BX187" i="5"/>
  <c r="BX184" i="5"/>
  <c r="BZ182" i="5"/>
  <c r="BX182" i="5" s="1"/>
  <c r="BZ181" i="5"/>
  <c r="BZ180" i="5"/>
  <c r="BX179" i="5"/>
  <c r="BZ177" i="5"/>
  <c r="BX177" i="5" s="1"/>
  <c r="BX175" i="5"/>
  <c r="BX173" i="5"/>
  <c r="BX172" i="5"/>
  <c r="CB171" i="5"/>
  <c r="CB170" i="5"/>
  <c r="BX169" i="5"/>
  <c r="BX167" i="5"/>
  <c r="CB166" i="5"/>
  <c r="CB165" i="5"/>
  <c r="BX164" i="5"/>
  <c r="BX162" i="5"/>
  <c r="BZ158" i="5"/>
  <c r="BX158" i="5" s="1"/>
  <c r="BZ157" i="5"/>
  <c r="BZ156" i="5"/>
  <c r="BX154" i="5"/>
  <c r="BX152" i="5"/>
  <c r="CB151" i="5"/>
  <c r="CB150" i="5"/>
  <c r="BZ136" i="5"/>
  <c r="BY136" i="5"/>
  <c r="BZ135" i="5"/>
  <c r="BY135" i="5"/>
  <c r="BZ134" i="5"/>
  <c r="BZ132" i="5"/>
  <c r="BX132" i="5" s="1"/>
  <c r="BZ130" i="5"/>
  <c r="BX130" i="5" s="1"/>
  <c r="BZ129" i="5"/>
  <c r="BZ127" i="5"/>
  <c r="BX127" i="5" s="1"/>
  <c r="BX126" i="5"/>
  <c r="BZ125" i="5"/>
  <c r="BX121" i="5"/>
  <c r="BX120" i="5"/>
  <c r="CB119" i="5"/>
  <c r="CB118" i="5"/>
  <c r="BX117" i="5"/>
  <c r="BX116" i="5"/>
  <c r="CB115" i="5"/>
  <c r="CB114" i="5"/>
  <c r="BX113" i="5"/>
  <c r="CB111" i="5"/>
  <c r="BX111" i="5"/>
  <c r="CB110" i="5"/>
  <c r="BX107" i="5"/>
  <c r="CB106" i="5"/>
  <c r="BX106" i="5"/>
  <c r="CB105" i="5"/>
  <c r="BX104" i="5"/>
  <c r="CB102" i="5"/>
  <c r="BX102" i="5"/>
  <c r="CB101" i="5"/>
  <c r="BX95" i="5"/>
  <c r="CB93" i="5"/>
  <c r="BX93" i="5"/>
  <c r="CB92" i="5"/>
  <c r="BX87" i="5"/>
  <c r="CB84" i="5"/>
  <c r="BX84" i="5"/>
  <c r="CB83" i="5"/>
  <c r="BZ82" i="5"/>
  <c r="BX82" i="5" s="1"/>
  <c r="BX80" i="5"/>
  <c r="BX77" i="5"/>
  <c r="BZ76" i="5"/>
  <c r="CB74" i="5" s="1"/>
  <c r="BX74" i="5"/>
  <c r="BX72" i="5"/>
  <c r="BX71" i="5"/>
  <c r="CB69" i="5"/>
  <c r="BX69" i="5"/>
  <c r="CB68" i="5"/>
  <c r="BX67" i="5"/>
  <c r="BZ66" i="5"/>
  <c r="CB66" i="5" s="1"/>
  <c r="BY64" i="5"/>
  <c r="BX64" i="5" s="1"/>
  <c r="BX62" i="5"/>
  <c r="BZ61" i="5"/>
  <c r="BZ60" i="5"/>
  <c r="BZ59" i="5"/>
  <c r="CB54" i="5"/>
  <c r="CB53" i="5"/>
  <c r="BX52" i="5"/>
  <c r="BX50" i="5"/>
  <c r="CB49" i="5"/>
  <c r="CB48" i="5"/>
  <c r="BX47" i="5"/>
  <c r="CB45" i="5"/>
  <c r="BX45" i="5"/>
  <c r="CB44" i="5"/>
  <c r="BX43" i="5"/>
  <c r="BX41" i="5"/>
  <c r="CB39" i="5"/>
  <c r="CB38" i="5"/>
  <c r="BZ37" i="5"/>
  <c r="BZ35" i="5"/>
  <c r="BX35" i="5" s="1"/>
  <c r="BZ34" i="5"/>
  <c r="BZ33" i="5"/>
  <c r="BX30" i="5"/>
  <c r="BX28" i="5"/>
  <c r="CB26" i="5"/>
  <c r="CB25" i="5"/>
  <c r="BX24" i="5"/>
  <c r="CB22" i="5"/>
  <c r="BX22" i="5"/>
  <c r="CB21" i="5"/>
  <c r="BX20" i="5"/>
  <c r="BZ18" i="5"/>
  <c r="CB18" i="5" s="1"/>
  <c r="BX16" i="5"/>
  <c r="CB14" i="5"/>
  <c r="BX14" i="5"/>
  <c r="CB13" i="5"/>
  <c r="BZ12" i="5"/>
  <c r="BX12" i="5" s="1"/>
  <c r="BZ11" i="5"/>
  <c r="BZ10" i="5"/>
  <c r="BX10" i="5" s="1"/>
  <c r="BZ9" i="5"/>
  <c r="BX7" i="5"/>
  <c r="BX5" i="5"/>
  <c r="CB4" i="5"/>
  <c r="CB3" i="5"/>
  <c r="BS205" i="5"/>
  <c r="BW204" i="5"/>
  <c r="BS204" i="5"/>
  <c r="BW203" i="5"/>
  <c r="BS202" i="5"/>
  <c r="BW199" i="5"/>
  <c r="BW198" i="5"/>
  <c r="BU197" i="5"/>
  <c r="BS197" i="5" s="1"/>
  <c r="BS194" i="5"/>
  <c r="BU192" i="5"/>
  <c r="BS192" i="5" s="1"/>
  <c r="BS189" i="5"/>
  <c r="BS187" i="5"/>
  <c r="BS184" i="5"/>
  <c r="BS182" i="5"/>
  <c r="BS179" i="5"/>
  <c r="BS177" i="5"/>
  <c r="BS175" i="5"/>
  <c r="BS173" i="5"/>
  <c r="BS172" i="5"/>
  <c r="BW171" i="5"/>
  <c r="BW170" i="5"/>
  <c r="BS169" i="5"/>
  <c r="BS167" i="5"/>
  <c r="BW166" i="5"/>
  <c r="BW165" i="5"/>
  <c r="BS164" i="5"/>
  <c r="BS162" i="5"/>
  <c r="BS158" i="5"/>
  <c r="BS154" i="5"/>
  <c r="BS152" i="5"/>
  <c r="BW151" i="5"/>
  <c r="BW150" i="5"/>
  <c r="BW134" i="5"/>
  <c r="BS132" i="5"/>
  <c r="BS130" i="5"/>
  <c r="BS127" i="5"/>
  <c r="BS126" i="5"/>
  <c r="BW125" i="5"/>
  <c r="BS121" i="5"/>
  <c r="BW119" i="5"/>
  <c r="BW118" i="5"/>
  <c r="BS117" i="5"/>
  <c r="BS116" i="5"/>
  <c r="BW115" i="5"/>
  <c r="BW114" i="5"/>
  <c r="BS113" i="5"/>
  <c r="BW111" i="5"/>
  <c r="BS111" i="5"/>
  <c r="BW110" i="5"/>
  <c r="BS107" i="5"/>
  <c r="BW106" i="5"/>
  <c r="BS106" i="5"/>
  <c r="BW105" i="5"/>
  <c r="BS104" i="5"/>
  <c r="BW102" i="5"/>
  <c r="BS102" i="5"/>
  <c r="BW101" i="5"/>
  <c r="BS95" i="5"/>
  <c r="BW93" i="5"/>
  <c r="BS93" i="5"/>
  <c r="BS87" i="5"/>
  <c r="BW84" i="5"/>
  <c r="BS84" i="5"/>
  <c r="BW83" i="5"/>
  <c r="BS82" i="5"/>
  <c r="BS80" i="5"/>
  <c r="BW78" i="5"/>
  <c r="BS77" i="5"/>
  <c r="BU76" i="5"/>
  <c r="BW74" i="5" s="1"/>
  <c r="BS74" i="5"/>
  <c r="BS72" i="5"/>
  <c r="BS71" i="5"/>
  <c r="BW69" i="5"/>
  <c r="BS69" i="5"/>
  <c r="BW68" i="5"/>
  <c r="BS67" i="5"/>
  <c r="BW66" i="5"/>
  <c r="BT64" i="5"/>
  <c r="BS64" i="5" s="1"/>
  <c r="BS62" i="5"/>
  <c r="BU61" i="5"/>
  <c r="BU60" i="5"/>
  <c r="BU59" i="5"/>
  <c r="BW53" i="5"/>
  <c r="BS52" i="5"/>
  <c r="BS50" i="5"/>
  <c r="BW49" i="5"/>
  <c r="BW48" i="5"/>
  <c r="BS47" i="5"/>
  <c r="BW45" i="5"/>
  <c r="BS45" i="5"/>
  <c r="BW44" i="5"/>
  <c r="BS43" i="5"/>
  <c r="BS41" i="5"/>
  <c r="BW39" i="5"/>
  <c r="BW38" i="5"/>
  <c r="BS35" i="5"/>
  <c r="BS30" i="5"/>
  <c r="BS28" i="5"/>
  <c r="BW25" i="5"/>
  <c r="BS24" i="5"/>
  <c r="BW22" i="5"/>
  <c r="BS22" i="5"/>
  <c r="BW21" i="5"/>
  <c r="BS20" i="5"/>
  <c r="BW18" i="5"/>
  <c r="BS16" i="5"/>
  <c r="BS14" i="5"/>
  <c r="BW13" i="5"/>
  <c r="BS12" i="5"/>
  <c r="BS10" i="5"/>
  <c r="BU9" i="5"/>
  <c r="BS7" i="5"/>
  <c r="BS5" i="5"/>
  <c r="BW3" i="5"/>
  <c r="CB134" i="5" l="1"/>
  <c r="CB78" i="5"/>
  <c r="CB125" i="5"/>
  <c r="CB155" i="5"/>
  <c r="BW9" i="5"/>
  <c r="CB59" i="5"/>
  <c r="CB58" i="5"/>
  <c r="BW129" i="5"/>
  <c r="BW156" i="5"/>
  <c r="CB17" i="5"/>
  <c r="CB129" i="5"/>
  <c r="BX136" i="5"/>
  <c r="CB179" i="5"/>
  <c r="CB188" i="5"/>
  <c r="CB189" i="5"/>
  <c r="BW32" i="5"/>
  <c r="BW65" i="5"/>
  <c r="BW133" i="5"/>
  <c r="BW17" i="5"/>
  <c r="BS136" i="5"/>
  <c r="BW155" i="5"/>
  <c r="BW179" i="5"/>
  <c r="BW188" i="5"/>
  <c r="BW189" i="5"/>
  <c r="CB32" i="5"/>
  <c r="CB65" i="5"/>
  <c r="CB133" i="5"/>
  <c r="CB156" i="5"/>
  <c r="CB193" i="5"/>
  <c r="CB194" i="5"/>
  <c r="BS18" i="5"/>
  <c r="BW31" i="5"/>
  <c r="BW59" i="5"/>
  <c r="BS66" i="5"/>
  <c r="BS135" i="5"/>
  <c r="BS156" i="5"/>
  <c r="BW174" i="5"/>
  <c r="BW175" i="5"/>
  <c r="BW193" i="5"/>
  <c r="BW194" i="5"/>
  <c r="CB9" i="5"/>
  <c r="BX18" i="5"/>
  <c r="CB31" i="5"/>
  <c r="BX66" i="5"/>
  <c r="BX135" i="5"/>
  <c r="BX156" i="5"/>
  <c r="CB174" i="5"/>
  <c r="CB175" i="5"/>
  <c r="CB178" i="5"/>
  <c r="CB8" i="5"/>
  <c r="CB73" i="5"/>
  <c r="CB79" i="5"/>
  <c r="CB122" i="5"/>
  <c r="CB128" i="5"/>
  <c r="BW8" i="5"/>
  <c r="BW58" i="5"/>
  <c r="BW73" i="5"/>
  <c r="BW79" i="5"/>
  <c r="BW122" i="5"/>
  <c r="BW128" i="5"/>
  <c r="BW178" i="5"/>
  <c r="BI180" i="5"/>
  <c r="BK182" i="5"/>
  <c r="BK181" i="5"/>
  <c r="BI191" i="5"/>
  <c r="BK12" i="5"/>
  <c r="BW207" i="5" l="1"/>
  <c r="CB206" i="5"/>
  <c r="CB207" i="5"/>
  <c r="BW206" i="5"/>
  <c r="BK168" i="5"/>
  <c r="BK167" i="5"/>
  <c r="BK169" i="5"/>
  <c r="BK82" i="5" l="1"/>
  <c r="BK79" i="5"/>
  <c r="BK72" i="5" l="1"/>
  <c r="BK157" i="5"/>
  <c r="BK32" i="5"/>
  <c r="BK37" i="5"/>
  <c r="BI37" i="5" s="1"/>
  <c r="BK35" i="5"/>
  <c r="BK34" i="5"/>
  <c r="BI172" i="5"/>
  <c r="AY196" i="5" l="1"/>
  <c r="AJ196" i="5"/>
  <c r="AO196" i="5"/>
  <c r="BK130" i="5" l="1"/>
  <c r="BJ54" i="5"/>
  <c r="AZ14" i="7" s="1"/>
  <c r="BK54" i="5"/>
  <c r="BJ50" i="5"/>
  <c r="AZ13" i="7" s="1"/>
  <c r="BK200" i="5" l="1"/>
  <c r="BJ162" i="5" l="1"/>
  <c r="AZ38" i="7" s="1"/>
  <c r="BK162" i="5"/>
  <c r="BK41" i="5"/>
  <c r="BF167" i="5"/>
  <c r="BF168" i="5"/>
  <c r="BF169" i="5"/>
  <c r="AZ49" i="7" l="1"/>
  <c r="AZ48" i="7"/>
  <c r="BK10" i="5"/>
  <c r="BK136" i="5" l="1"/>
  <c r="BJ136" i="5"/>
  <c r="BK135" i="5"/>
  <c r="BK156" i="5" l="1"/>
  <c r="BK158" i="5"/>
  <c r="BK19" i="5" l="1"/>
  <c r="BK18" i="5"/>
  <c r="BM17" i="5" l="1"/>
  <c r="BD109" i="5"/>
  <c r="BJ64" i="5" l="1"/>
  <c r="BK197" i="5"/>
  <c r="BH14" i="5" l="1"/>
  <c r="BD196" i="5"/>
  <c r="BF125" i="5"/>
  <c r="BF127" i="5"/>
  <c r="BF182" i="5" l="1"/>
  <c r="BF181" i="5"/>
  <c r="BF180" i="5"/>
  <c r="BF12" i="5" l="1"/>
  <c r="BF9" i="5"/>
  <c r="BF11" i="5"/>
  <c r="BF10" i="5"/>
  <c r="AT5" i="5" l="1"/>
  <c r="AY5" i="5"/>
  <c r="AY202" i="5" l="1"/>
  <c r="BF200" i="5"/>
  <c r="BF79" i="5" l="1"/>
  <c r="BF82" i="5"/>
  <c r="BE54" i="5" l="1"/>
  <c r="AU14" i="7" s="1"/>
  <c r="BF54" i="5"/>
  <c r="BD54" i="5" l="1"/>
  <c r="BD162" i="5"/>
  <c r="BF66" i="5" l="1"/>
  <c r="BF157" i="5"/>
  <c r="BF156" i="5" l="1"/>
  <c r="BF158" i="5"/>
  <c r="BF135" i="5" l="1"/>
  <c r="BE135" i="5"/>
  <c r="AU31" i="7" s="1"/>
  <c r="BF136" i="5"/>
  <c r="BE136" i="5"/>
  <c r="AU49" i="7" l="1"/>
  <c r="AU48" i="7"/>
  <c r="BF72" i="5"/>
  <c r="BF34" i="5" l="1"/>
  <c r="BF35" i="5"/>
  <c r="BH32" i="5" l="1"/>
  <c r="BB42" i="5"/>
  <c r="BF19" i="5"/>
  <c r="BF18" i="5"/>
  <c r="BF192" i="5" l="1"/>
  <c r="BD191" i="5"/>
  <c r="BG191" i="5"/>
  <c r="BF7" i="5" l="1"/>
  <c r="AT196" i="5" l="1"/>
  <c r="AT195" i="5"/>
  <c r="AQ44" i="7"/>
  <c r="BA181" i="5"/>
  <c r="BC26" i="5"/>
  <c r="BC22" i="5"/>
  <c r="BC18" i="5"/>
  <c r="BC14" i="5"/>
  <c r="BC4" i="5"/>
  <c r="BC175" i="5" l="1"/>
  <c r="BA182" i="5"/>
  <c r="BA180" i="5"/>
  <c r="BC174" i="5" l="1"/>
  <c r="BA127" i="5" l="1"/>
  <c r="BA125" i="5"/>
  <c r="AV200" i="5" l="1"/>
  <c r="BA200" i="5"/>
  <c r="BK76" i="5" l="1"/>
  <c r="BF76" i="5"/>
  <c r="BA76" i="5"/>
  <c r="BA167" i="5" l="1"/>
  <c r="BA169" i="5"/>
  <c r="BA168" i="5"/>
  <c r="BC166" i="5" l="1"/>
  <c r="AT205" i="5"/>
  <c r="AY205" i="5"/>
  <c r="BA72" i="5" l="1"/>
  <c r="BA81" i="5" l="1"/>
  <c r="BA79" i="5"/>
  <c r="BA82" i="5"/>
  <c r="BC106" i="5" l="1"/>
  <c r="BA157" i="5"/>
  <c r="BA158" i="5"/>
  <c r="BA156" i="5"/>
  <c r="AY191" i="5"/>
  <c r="BA192" i="5"/>
  <c r="BC189" i="5" s="1"/>
  <c r="BA136" i="5" l="1"/>
  <c r="AZ136" i="5"/>
  <c r="AZ135" i="5"/>
  <c r="AQ31" i="7" s="1"/>
  <c r="BA135" i="5"/>
  <c r="AV12" i="5"/>
  <c r="BA35" i="5"/>
  <c r="BA34" i="5"/>
  <c r="Y4" i="5"/>
  <c r="BC119" i="5"/>
  <c r="BC13" i="5" l="1"/>
  <c r="AX4" i="5"/>
  <c r="BC3" i="5"/>
  <c r="BC25" i="5"/>
  <c r="BA130" i="5" l="1"/>
  <c r="BC129" i="5" s="1"/>
  <c r="AV54" i="5"/>
  <c r="BA54" i="5"/>
  <c r="BA12" i="5" l="1"/>
  <c r="BA11" i="5"/>
  <c r="BA10" i="5"/>
  <c r="AY130" i="5"/>
  <c r="AZ54" i="5"/>
  <c r="BB3" i="7"/>
  <c r="AW3" i="7"/>
  <c r="AT3" i="7"/>
  <c r="AS3" i="7"/>
  <c r="BC3" i="7"/>
  <c r="AZ3" i="7"/>
  <c r="AY3" i="7"/>
  <c r="AX3" i="7"/>
  <c r="AU3" i="7"/>
  <c r="AP3" i="7"/>
  <c r="AO3" i="7"/>
  <c r="AL3" i="7"/>
  <c r="AK3" i="7"/>
  <c r="AH3" i="7"/>
  <c r="AG3" i="7"/>
  <c r="AD3" i="7"/>
  <c r="AC3" i="7"/>
  <c r="Z3" i="7"/>
  <c r="Y3" i="7"/>
  <c r="V3" i="7"/>
  <c r="R3" i="7"/>
  <c r="Q3" i="7"/>
  <c r="N3" i="7"/>
  <c r="M3" i="7"/>
  <c r="J3" i="7"/>
  <c r="I3" i="7"/>
  <c r="K8" i="7"/>
  <c r="AM47" i="7"/>
  <c r="AM46" i="7"/>
  <c r="AM45" i="7"/>
  <c r="AM44" i="7"/>
  <c r="AM42" i="7"/>
  <c r="AM41" i="7"/>
  <c r="AM40" i="7"/>
  <c r="AM39" i="7"/>
  <c r="AM38" i="7"/>
  <c r="AM37" i="7"/>
  <c r="AM36" i="7"/>
  <c r="AM30" i="7"/>
  <c r="AM29" i="7"/>
  <c r="AM28" i="7"/>
  <c r="AM27" i="7"/>
  <c r="AM26" i="7"/>
  <c r="AM25" i="7"/>
  <c r="AM24" i="7"/>
  <c r="AM22" i="7"/>
  <c r="AM20" i="7"/>
  <c r="AM19" i="7"/>
  <c r="AM18" i="7"/>
  <c r="AM17" i="7"/>
  <c r="AM16" i="7"/>
  <c r="AM15" i="7"/>
  <c r="AM14" i="7"/>
  <c r="AM13" i="7"/>
  <c r="AM12" i="7"/>
  <c r="AM11" i="7"/>
  <c r="AM10" i="7"/>
  <c r="AM9" i="7"/>
  <c r="AM8" i="7"/>
  <c r="AM7" i="7"/>
  <c r="AM6" i="7"/>
  <c r="AM5" i="7"/>
  <c r="AM4" i="7"/>
  <c r="AI46" i="7"/>
  <c r="AI45" i="7"/>
  <c r="AI44" i="7"/>
  <c r="AI42" i="7"/>
  <c r="AI41" i="7"/>
  <c r="AI40" i="7"/>
  <c r="AI39" i="7"/>
  <c r="AI38" i="7"/>
  <c r="AI37" i="7"/>
  <c r="AI36" i="7"/>
  <c r="AI30" i="7"/>
  <c r="AI29" i="7"/>
  <c r="AI28" i="7"/>
  <c r="AI27" i="7"/>
  <c r="AI26" i="7"/>
  <c r="AI25" i="7"/>
  <c r="AI24" i="7"/>
  <c r="AI22" i="7"/>
  <c r="AI20" i="7"/>
  <c r="AI19" i="7"/>
  <c r="AI18" i="7"/>
  <c r="AI17" i="7"/>
  <c r="AI16" i="7"/>
  <c r="AI15" i="7"/>
  <c r="AI14" i="7"/>
  <c r="AI13" i="7"/>
  <c r="AI12" i="7"/>
  <c r="AI11" i="7"/>
  <c r="AI10" i="7"/>
  <c r="AI9" i="7"/>
  <c r="AI8" i="7"/>
  <c r="AI7" i="7"/>
  <c r="AI6" i="7"/>
  <c r="AI5" i="7"/>
  <c r="AI4" i="7"/>
  <c r="W181" i="5"/>
  <c r="AV181" i="5"/>
  <c r="AQ200" i="5"/>
  <c r="AY54" i="5" l="1"/>
  <c r="AQ14" i="7"/>
  <c r="AV127" i="5"/>
  <c r="AV125" i="5"/>
  <c r="AQ48" i="7" l="1"/>
  <c r="AQ49" i="7"/>
  <c r="AQ3" i="7"/>
  <c r="AV42" i="5"/>
  <c r="AV169" i="5" l="1"/>
  <c r="AV168" i="5"/>
  <c r="AV167" i="5"/>
  <c r="AV182" i="5" l="1"/>
  <c r="AV180" i="5"/>
  <c r="AT180" i="5" s="1"/>
  <c r="AT107" i="5" l="1"/>
  <c r="AQ12" i="5" l="1"/>
  <c r="AV9" i="5"/>
  <c r="AV11" i="5"/>
  <c r="AV10" i="5"/>
  <c r="AV82" i="5" l="1"/>
  <c r="AV79" i="5"/>
  <c r="AV72" i="5" l="1"/>
  <c r="AT54" i="5" l="1"/>
  <c r="AV130" i="5"/>
  <c r="AV41" i="5"/>
  <c r="AV136" i="5" l="1"/>
  <c r="AU136" i="5"/>
  <c r="AV135" i="5"/>
  <c r="AU135" i="5"/>
  <c r="AM31" i="7" s="1"/>
  <c r="AM3" i="7" l="1"/>
  <c r="AM48" i="7"/>
  <c r="AM49" i="7"/>
  <c r="AV192" i="5"/>
  <c r="AV18" i="5" l="1"/>
  <c r="AV19" i="5"/>
  <c r="AV158" i="5"/>
  <c r="AV157" i="5"/>
  <c r="AV156" i="5"/>
  <c r="AV33" i="5" l="1"/>
  <c r="AV35" i="5"/>
  <c r="AV34" i="5"/>
  <c r="AX3" i="5" l="1"/>
  <c r="AS3" i="5"/>
  <c r="AS4" i="5"/>
  <c r="AW5" i="5"/>
  <c r="AX114" i="5" l="1"/>
  <c r="AX115" i="5"/>
  <c r="AO84" i="5" l="1"/>
  <c r="AQ169" i="5"/>
  <c r="AQ168" i="5"/>
  <c r="AQ167" i="5"/>
  <c r="AQ82" i="5"/>
  <c r="AQ81" i="5"/>
  <c r="AQ79" i="5"/>
  <c r="AS93" i="5" l="1"/>
  <c r="AO7" i="5" l="1"/>
  <c r="AO5" i="5"/>
  <c r="AP204" i="5" l="1"/>
  <c r="AI47" i="7" s="1"/>
  <c r="AS129" i="5" l="1"/>
  <c r="AS119" i="5"/>
  <c r="AQ182" i="5" l="1"/>
  <c r="AQ181" i="5"/>
  <c r="AQ180" i="5"/>
  <c r="AO180" i="5" s="1"/>
  <c r="AQ72" i="5"/>
  <c r="AQ35" i="5" l="1"/>
  <c r="AS118" i="5" l="1"/>
  <c r="AQ127" i="5"/>
  <c r="AQ125" i="5"/>
  <c r="AQ158" i="5"/>
  <c r="AQ157" i="5"/>
  <c r="AQ156" i="5"/>
  <c r="AP136" i="5"/>
  <c r="AS122" i="5" l="1"/>
  <c r="AS125" i="5"/>
  <c r="AQ192" i="5"/>
  <c r="AS189" i="5" s="1"/>
  <c r="AP135" i="5" l="1"/>
  <c r="AI31" i="7" s="1"/>
  <c r="AQ135" i="5"/>
  <c r="AQ136" i="5"/>
  <c r="AQ10" i="5"/>
  <c r="AQ11" i="5"/>
  <c r="AI3" i="7" l="1"/>
  <c r="AI48" i="7"/>
  <c r="AI49" i="7"/>
  <c r="AL167" i="5"/>
  <c r="AS54" i="5" l="1"/>
  <c r="AS26" i="5" l="1"/>
  <c r="AS14" i="5"/>
  <c r="AS44" i="5" l="1"/>
  <c r="AS38" i="5"/>
  <c r="AS25" i="5"/>
  <c r="AS21" i="5"/>
  <c r="AS13" i="5"/>
  <c r="AS114" i="5"/>
  <c r="AS102" i="5" l="1"/>
  <c r="AO50" i="5"/>
  <c r="AS49" i="5"/>
  <c r="AQ19" i="5" l="1"/>
  <c r="AQ18" i="5"/>
  <c r="AQ34" i="5" l="1"/>
  <c r="AS31" i="5" l="1"/>
  <c r="AS32" i="5"/>
  <c r="AQ76" i="5"/>
  <c r="AL35" i="5" l="1"/>
  <c r="AM162" i="5"/>
  <c r="AN161" i="5" s="1"/>
  <c r="AL127" i="5"/>
  <c r="AL125" i="5"/>
  <c r="AL169" i="5"/>
  <c r="AL168" i="5"/>
  <c r="AL54" i="5" l="1"/>
  <c r="AE47" i="7"/>
  <c r="AE46" i="7"/>
  <c r="AE45" i="7"/>
  <c r="BN197" i="5"/>
  <c r="BI197" i="5"/>
  <c r="BD197" i="5"/>
  <c r="AY197" i="5"/>
  <c r="AT197" i="5"/>
  <c r="AO197" i="5"/>
  <c r="AJ197" i="5"/>
  <c r="AG197" i="5"/>
  <c r="AE197" i="5" s="1"/>
  <c r="AB197" i="5"/>
  <c r="Z197" i="5" s="1"/>
  <c r="U197" i="5"/>
  <c r="R197" i="5"/>
  <c r="P197" i="5" s="1"/>
  <c r="M197" i="5"/>
  <c r="K197" i="5" s="1"/>
  <c r="H197" i="5"/>
  <c r="F197" i="5" s="1"/>
  <c r="BR194" i="5"/>
  <c r="BN194" i="5"/>
  <c r="BM194" i="5"/>
  <c r="BI194" i="5"/>
  <c r="BH194" i="5"/>
  <c r="BD194" i="5"/>
  <c r="BC194" i="5"/>
  <c r="AY194" i="5"/>
  <c r="AX194" i="5"/>
  <c r="AT194" i="5"/>
  <c r="AS194" i="5"/>
  <c r="AO194" i="5"/>
  <c r="AN194" i="5"/>
  <c r="AN193" i="5" s="1"/>
  <c r="AJ194" i="5"/>
  <c r="AI194" i="5"/>
  <c r="AI193" i="5" s="1"/>
  <c r="AE194" i="5"/>
  <c r="Z194" i="5"/>
  <c r="Y194" i="5"/>
  <c r="U194" i="5"/>
  <c r="P194" i="5"/>
  <c r="K194" i="5"/>
  <c r="F194" i="5"/>
  <c r="BR193" i="5"/>
  <c r="BM193" i="5"/>
  <c r="BH193" i="5"/>
  <c r="BC193" i="5"/>
  <c r="AX193" i="5"/>
  <c r="AS193" i="5"/>
  <c r="Y193" i="5"/>
  <c r="AE44" i="7"/>
  <c r="AE42" i="7"/>
  <c r="AE41" i="7"/>
  <c r="AE40" i="7"/>
  <c r="AE39" i="7"/>
  <c r="AE38" i="7"/>
  <c r="AE37" i="7"/>
  <c r="AE36" i="7"/>
  <c r="AE30" i="7"/>
  <c r="AE29" i="7"/>
  <c r="AE31" i="7"/>
  <c r="AE28" i="7"/>
  <c r="AE27" i="7"/>
  <c r="AE26" i="7"/>
  <c r="AE25" i="7"/>
  <c r="AE24" i="7"/>
  <c r="AE22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8" i="7" l="1"/>
  <c r="AD194" i="5"/>
  <c r="AD193" i="5"/>
  <c r="AM130" i="5"/>
  <c r="AM54" i="5"/>
  <c r="AL130" i="5"/>
  <c r="AN40" i="5"/>
  <c r="AM62" i="5"/>
  <c r="AM175" i="5"/>
  <c r="AM14" i="5"/>
  <c r="AM102" i="5"/>
  <c r="AM111" i="5"/>
  <c r="AM74" i="5"/>
  <c r="AL81" i="5" l="1"/>
  <c r="AL82" i="5"/>
  <c r="AL79" i="5"/>
  <c r="AN49" i="5" l="1"/>
  <c r="AN26" i="5"/>
  <c r="AE4" i="7" l="1"/>
  <c r="AN204" i="5"/>
  <c r="AN203" i="5" s="1"/>
  <c r="AN160" i="5"/>
  <c r="AN166" i="5"/>
  <c r="AN165" i="5" s="1"/>
  <c r="AN84" i="5"/>
  <c r="AN83" i="5" s="1"/>
  <c r="AN79" i="5"/>
  <c r="AN78" i="5" s="1"/>
  <c r="AN54" i="5"/>
  <c r="AN53" i="5" s="1"/>
  <c r="AO56" i="5"/>
  <c r="AS53" i="5"/>
  <c r="AO54" i="5"/>
  <c r="AJ56" i="5"/>
  <c r="AJ54" i="5"/>
  <c r="AN25" i="5"/>
  <c r="AN45" i="5"/>
  <c r="AN44" i="5" s="1"/>
  <c r="AE3" i="7" l="1"/>
  <c r="AE49" i="7"/>
  <c r="AN39" i="5"/>
  <c r="AN38" i="5" s="1"/>
  <c r="AN48" i="5"/>
  <c r="AL182" i="5" l="1"/>
  <c r="AL181" i="5"/>
  <c r="AL180" i="5"/>
  <c r="AK136" i="5"/>
  <c r="AL136" i="5"/>
  <c r="AK135" i="5"/>
  <c r="AL135" i="5"/>
  <c r="AN179" i="5" l="1"/>
  <c r="AN178" i="5" s="1"/>
  <c r="AJ180" i="5"/>
  <c r="AL72" i="5"/>
  <c r="AN69" i="5" s="1"/>
  <c r="AN68" i="5" s="1"/>
  <c r="AL12" i="5"/>
  <c r="AL11" i="5"/>
  <c r="AL10" i="5"/>
  <c r="AL192" i="5" l="1"/>
  <c r="AN189" i="5" s="1"/>
  <c r="AN188" i="5" s="1"/>
  <c r="AN119" i="5"/>
  <c r="AN118" i="5" s="1"/>
  <c r="AN106" i="5"/>
  <c r="AN105" i="5" s="1"/>
  <c r="AO167" i="5" l="1"/>
  <c r="AL34" i="5"/>
  <c r="AL19" i="5"/>
  <c r="AL18" i="5"/>
  <c r="AL156" i="5" l="1"/>
  <c r="AL157" i="5"/>
  <c r="AL158" i="5"/>
  <c r="Z54" i="5" l="1"/>
  <c r="AA47" i="7"/>
  <c r="W47" i="7"/>
  <c r="AA46" i="7"/>
  <c r="W46" i="7"/>
  <c r="AA44" i="7"/>
  <c r="W44" i="7"/>
  <c r="AA42" i="7"/>
  <c r="W42" i="7"/>
  <c r="S47" i="7"/>
  <c r="O47" i="7"/>
  <c r="S46" i="7"/>
  <c r="O46" i="7"/>
  <c r="S44" i="7"/>
  <c r="O44" i="7"/>
  <c r="S42" i="7"/>
  <c r="O42" i="7"/>
  <c r="K47" i="7"/>
  <c r="K46" i="7"/>
  <c r="K44" i="7"/>
  <c r="K42" i="7"/>
  <c r="AA41" i="7"/>
  <c r="W41" i="7"/>
  <c r="AA40" i="7"/>
  <c r="W40" i="7"/>
  <c r="AA39" i="7"/>
  <c r="W39" i="7"/>
  <c r="AA37" i="7"/>
  <c r="W37" i="7"/>
  <c r="AA36" i="7"/>
  <c r="W36" i="7"/>
  <c r="S41" i="7"/>
  <c r="O41" i="7"/>
  <c r="K41" i="7"/>
  <c r="S40" i="7"/>
  <c r="O40" i="7"/>
  <c r="K40" i="7"/>
  <c r="S39" i="7"/>
  <c r="O39" i="7"/>
  <c r="K39" i="7"/>
  <c r="S37" i="7"/>
  <c r="O37" i="7"/>
  <c r="K37" i="7"/>
  <c r="S36" i="7"/>
  <c r="O36" i="7"/>
  <c r="K36" i="7"/>
  <c r="AA14" i="7"/>
  <c r="W14" i="7"/>
  <c r="S14" i="7"/>
  <c r="O14" i="7"/>
  <c r="AA30" i="7"/>
  <c r="W30" i="7"/>
  <c r="AA29" i="7"/>
  <c r="W29" i="7"/>
  <c r="AA28" i="7"/>
  <c r="W28" i="7"/>
  <c r="AA27" i="7"/>
  <c r="W27" i="7"/>
  <c r="AA26" i="7"/>
  <c r="W26" i="7"/>
  <c r="AA25" i="7"/>
  <c r="W25" i="7"/>
  <c r="AA24" i="7"/>
  <c r="W24" i="7"/>
  <c r="O31" i="7"/>
  <c r="S30" i="7"/>
  <c r="O30" i="7"/>
  <c r="K30" i="7"/>
  <c r="S29" i="7"/>
  <c r="O29" i="7"/>
  <c r="K29" i="7"/>
  <c r="S28" i="7"/>
  <c r="O28" i="7"/>
  <c r="K28" i="7"/>
  <c r="S27" i="7"/>
  <c r="O27" i="7"/>
  <c r="K27" i="7"/>
  <c r="S26" i="7"/>
  <c r="O26" i="7"/>
  <c r="K26" i="7"/>
  <c r="S25" i="7"/>
  <c r="O25" i="7"/>
  <c r="K25" i="7"/>
  <c r="S24" i="7"/>
  <c r="O24" i="7"/>
  <c r="K24" i="7"/>
  <c r="K22" i="7"/>
  <c r="O22" i="7"/>
  <c r="S22" i="7"/>
  <c r="W22" i="7"/>
  <c r="AA22" i="7"/>
  <c r="AA20" i="7"/>
  <c r="AA19" i="7"/>
  <c r="AA18" i="7"/>
  <c r="AA17" i="7"/>
  <c r="AA16" i="7"/>
  <c r="AA15" i="7"/>
  <c r="W20" i="7"/>
  <c r="W19" i="7"/>
  <c r="W18" i="7"/>
  <c r="W17" i="7"/>
  <c r="W16" i="7"/>
  <c r="W15" i="7"/>
  <c r="S20" i="7"/>
  <c r="S19" i="7"/>
  <c r="S18" i="7"/>
  <c r="S17" i="7"/>
  <c r="S16" i="7"/>
  <c r="S15" i="7"/>
  <c r="O19" i="7"/>
  <c r="O18" i="7"/>
  <c r="O17" i="7"/>
  <c r="O16" i="7"/>
  <c r="O15" i="7"/>
  <c r="O20" i="7"/>
  <c r="K20" i="7"/>
  <c r="K19" i="7"/>
  <c r="K18" i="7"/>
  <c r="K17" i="7"/>
  <c r="K16" i="7"/>
  <c r="K15" i="7"/>
  <c r="O48" i="7" l="1"/>
  <c r="AA13" i="7"/>
  <c r="AA12" i="7"/>
  <c r="AA11" i="7"/>
  <c r="AA10" i="7"/>
  <c r="AA9" i="7"/>
  <c r="AA8" i="7"/>
  <c r="AA7" i="7"/>
  <c r="W13" i="7"/>
  <c r="W12" i="7"/>
  <c r="W11" i="7"/>
  <c r="W10" i="7"/>
  <c r="W9" i="7"/>
  <c r="W8" i="7"/>
  <c r="W7" i="7"/>
  <c r="S13" i="7"/>
  <c r="S12" i="7"/>
  <c r="S11" i="7"/>
  <c r="S10" i="7"/>
  <c r="S9" i="7"/>
  <c r="S8" i="7"/>
  <c r="S7" i="7"/>
  <c r="O13" i="7"/>
  <c r="O12" i="7"/>
  <c r="O11" i="7"/>
  <c r="O10" i="7"/>
  <c r="O9" i="7"/>
  <c r="O8" i="7"/>
  <c r="O7" i="7"/>
  <c r="AA6" i="7"/>
  <c r="W6" i="7"/>
  <c r="S6" i="7"/>
  <c r="O6" i="7"/>
  <c r="AA5" i="7"/>
  <c r="W5" i="7"/>
  <c r="S5" i="7"/>
  <c r="O5" i="7"/>
  <c r="AA4" i="7"/>
  <c r="W4" i="7"/>
  <c r="S4" i="7"/>
  <c r="O4" i="7"/>
  <c r="K13" i="7"/>
  <c r="K12" i="7"/>
  <c r="K11" i="7"/>
  <c r="K10" i="7"/>
  <c r="K9" i="7"/>
  <c r="K7" i="7"/>
  <c r="K6" i="7"/>
  <c r="K5" i="7"/>
  <c r="K4" i="7"/>
  <c r="BD47" i="7"/>
  <c r="BD46" i="7"/>
  <c r="BD44" i="7"/>
  <c r="BD42" i="7"/>
  <c r="BD41" i="7"/>
  <c r="BD40" i="7"/>
  <c r="BD39" i="7"/>
  <c r="BD37" i="7"/>
  <c r="BD36" i="7"/>
  <c r="BD30" i="7"/>
  <c r="BD29" i="7"/>
  <c r="BD28" i="7"/>
  <c r="BD27" i="7"/>
  <c r="BD26" i="7"/>
  <c r="BD25" i="7"/>
  <c r="BD24" i="7"/>
  <c r="BD22" i="7"/>
  <c r="BD20" i="7"/>
  <c r="BD19" i="7"/>
  <c r="BD18" i="7"/>
  <c r="BD17" i="7"/>
  <c r="BD16" i="7"/>
  <c r="BD15" i="7"/>
  <c r="BD13" i="7"/>
  <c r="BD12" i="7"/>
  <c r="BD11" i="7"/>
  <c r="BD10" i="7"/>
  <c r="BD9" i="7"/>
  <c r="BD8" i="7"/>
  <c r="BD7" i="7"/>
  <c r="BD6" i="7"/>
  <c r="BD5" i="7"/>
  <c r="BD4" i="7"/>
  <c r="O49" i="7" l="1"/>
  <c r="O3" i="7"/>
  <c r="AN199" i="5"/>
  <c r="AN198" i="5" s="1"/>
  <c r="AN171" i="5"/>
  <c r="AN170" i="5" s="1"/>
  <c r="AN156" i="5"/>
  <c r="AN155" i="5" s="1"/>
  <c r="AN151" i="5"/>
  <c r="AN150" i="5" s="1"/>
  <c r="AN129" i="5"/>
  <c r="AN128" i="5" s="1"/>
  <c r="AN115" i="5"/>
  <c r="AN114" i="5" s="1"/>
  <c r="AN111" i="5"/>
  <c r="AN110" i="5" s="1"/>
  <c r="AN102" i="5"/>
  <c r="AN93" i="5"/>
  <c r="AN92" i="5" s="1"/>
  <c r="AN66" i="5"/>
  <c r="AN65" i="5" s="1"/>
  <c r="AN32" i="5"/>
  <c r="AN31" i="5" s="1"/>
  <c r="AN22" i="5"/>
  <c r="AN21" i="5" s="1"/>
  <c r="AN18" i="5"/>
  <c r="AN17" i="5" s="1"/>
  <c r="AN14" i="5"/>
  <c r="AN13" i="5" s="1"/>
  <c r="AN4" i="5"/>
  <c r="AN3" i="5" s="1"/>
  <c r="AN101" i="5" l="1"/>
  <c r="AE5" i="5"/>
  <c r="AI115" i="5"/>
  <c r="AH28" i="5"/>
  <c r="AI26" i="5" s="1"/>
  <c r="AI204" i="5" l="1"/>
  <c r="AG164" i="5"/>
  <c r="AI161" i="5" s="1"/>
  <c r="AI199" i="5" l="1"/>
  <c r="AE109" i="5" l="1"/>
  <c r="AE202" i="5" l="1"/>
  <c r="AG169" i="5" l="1"/>
  <c r="AG167" i="5"/>
  <c r="AI166" i="5" l="1"/>
  <c r="AI160" i="5"/>
  <c r="AI129" i="5"/>
  <c r="AI203" i="5" l="1"/>
  <c r="AI198" i="5"/>
  <c r="AI171" i="5"/>
  <c r="AI170" i="5" s="1"/>
  <c r="AI165" i="5"/>
  <c r="AI151" i="5"/>
  <c r="AI150" i="5" s="1"/>
  <c r="AI128" i="5"/>
  <c r="AI119" i="5"/>
  <c r="AI118" i="5" s="1"/>
  <c r="AI114" i="5"/>
  <c r="AI106" i="5"/>
  <c r="AI105" i="5" s="1"/>
  <c r="AI93" i="5"/>
  <c r="AI84" i="5"/>
  <c r="AI54" i="5"/>
  <c r="AI53" i="5" s="1"/>
  <c r="AI25" i="5"/>
  <c r="AG127" i="5"/>
  <c r="AG125" i="5"/>
  <c r="AI125" i="5" l="1"/>
  <c r="AI122" i="5" s="1"/>
  <c r="AG12" i="5"/>
  <c r="AE54" i="5"/>
  <c r="AG66" i="5" l="1"/>
  <c r="AF136" i="5"/>
  <c r="AF135" i="5"/>
  <c r="AA31" i="7" s="1"/>
  <c r="AG135" i="5"/>
  <c r="AG136" i="5"/>
  <c r="AG81" i="5"/>
  <c r="AG82" i="5"/>
  <c r="AG79" i="5"/>
  <c r="AG3" i="5"/>
  <c r="AI4" i="5" s="1"/>
  <c r="AI3" i="5" s="1"/>
  <c r="AG34" i="5"/>
  <c r="AG35" i="5"/>
  <c r="AA3" i="7" l="1"/>
  <c r="AA48" i="7"/>
  <c r="AA49" i="7"/>
  <c r="AI32" i="5"/>
  <c r="AI31" i="5" s="1"/>
  <c r="AI79" i="5"/>
  <c r="AI66" i="5"/>
  <c r="AI65" i="5"/>
  <c r="AH175" i="5"/>
  <c r="AI175" i="5" s="1"/>
  <c r="AI174" i="5" s="1"/>
  <c r="AH62" i="5"/>
  <c r="AH14" i="5"/>
  <c r="AH102" i="5"/>
  <c r="AI102" i="5" s="1"/>
  <c r="AI101" i="5" s="1"/>
  <c r="AH111" i="5"/>
  <c r="AI111" i="5" s="1"/>
  <c r="AI110" i="5" s="1"/>
  <c r="AH74" i="5"/>
  <c r="AH50" i="5"/>
  <c r="AI49" i="5" s="1"/>
  <c r="AI48" i="5" s="1"/>
  <c r="AH22" i="5"/>
  <c r="AI22" i="5" s="1"/>
  <c r="AI21" i="5" s="1"/>
  <c r="AI14" i="5" l="1"/>
  <c r="AI13" i="5" s="1"/>
  <c r="AI92" i="5"/>
  <c r="AG182" i="5" l="1"/>
  <c r="AG181" i="5"/>
  <c r="AG180" i="5"/>
  <c r="AG72" i="5"/>
  <c r="AI69" i="5" l="1"/>
  <c r="AI68" i="5"/>
  <c r="AI179" i="5"/>
  <c r="AI178" i="5" s="1"/>
  <c r="AI45" i="5"/>
  <c r="AJ106" i="5"/>
  <c r="AE93" i="5"/>
  <c r="AI44" i="5" l="1"/>
  <c r="AG192" i="5"/>
  <c r="AI189" i="5" s="1"/>
  <c r="AI188" i="5" s="1"/>
  <c r="AG156" i="5" l="1"/>
  <c r="AG157" i="5"/>
  <c r="AG158" i="5"/>
  <c r="AG11" i="5"/>
  <c r="AG10" i="5"/>
  <c r="AG76" i="5"/>
  <c r="AI74" i="5" s="1"/>
  <c r="AI73" i="5" s="1"/>
  <c r="AI156" i="5" l="1"/>
  <c r="AG42" i="5"/>
  <c r="AG18" i="5"/>
  <c r="AD199" i="5"/>
  <c r="AD53" i="5"/>
  <c r="AD54" i="5"/>
  <c r="AI40" i="5" l="1"/>
  <c r="AI39" i="5"/>
  <c r="AI38" i="5" s="1"/>
  <c r="AI155" i="5"/>
  <c r="AD39" i="5"/>
  <c r="AE56" i="5" l="1"/>
  <c r="AG19" i="5" l="1"/>
  <c r="AI18" i="5" l="1"/>
  <c r="AI17" i="5" s="1"/>
  <c r="BR204" i="5"/>
  <c r="BR203" i="5"/>
  <c r="BR199" i="5"/>
  <c r="BR198" i="5"/>
  <c r="BR171" i="5"/>
  <c r="BR170" i="5"/>
  <c r="BR151" i="5"/>
  <c r="BR150" i="5"/>
  <c r="BR119" i="5"/>
  <c r="BR118" i="5"/>
  <c r="BR115" i="5"/>
  <c r="BR114" i="5"/>
  <c r="BR111" i="5"/>
  <c r="BR110" i="5"/>
  <c r="BR106" i="5"/>
  <c r="BR105" i="5"/>
  <c r="BR102" i="5"/>
  <c r="BR101" i="5"/>
  <c r="BR93" i="5"/>
  <c r="BR92" i="5"/>
  <c r="BR84" i="5"/>
  <c r="BR83" i="5"/>
  <c r="BR69" i="5"/>
  <c r="BR68" i="5"/>
  <c r="BR54" i="5"/>
  <c r="BR53" i="5"/>
  <c r="BR49" i="5"/>
  <c r="BR48" i="5"/>
  <c r="BR45" i="5"/>
  <c r="BR44" i="5"/>
  <c r="BR39" i="5"/>
  <c r="BR38" i="5"/>
  <c r="BR26" i="5"/>
  <c r="BR25" i="5"/>
  <c r="BR22" i="5"/>
  <c r="BR21" i="5"/>
  <c r="BR14" i="5"/>
  <c r="BR13" i="5"/>
  <c r="BR3" i="5"/>
  <c r="BM204" i="5"/>
  <c r="BM203" i="5"/>
  <c r="BM199" i="5"/>
  <c r="BM198" i="5"/>
  <c r="BM171" i="5"/>
  <c r="BM170" i="5"/>
  <c r="BM166" i="5"/>
  <c r="BM165" i="5"/>
  <c r="BM151" i="5"/>
  <c r="BM150" i="5"/>
  <c r="BM119" i="5"/>
  <c r="BM118" i="5"/>
  <c r="BM115" i="5"/>
  <c r="BM114" i="5"/>
  <c r="BM111" i="5"/>
  <c r="BM110" i="5"/>
  <c r="BM106" i="5"/>
  <c r="BM105" i="5"/>
  <c r="BM102" i="5"/>
  <c r="BM101" i="5"/>
  <c r="BM93" i="5"/>
  <c r="BM92" i="5"/>
  <c r="BM84" i="5"/>
  <c r="BM83" i="5"/>
  <c r="BM69" i="5"/>
  <c r="BM68" i="5"/>
  <c r="BM53" i="5"/>
  <c r="BM49" i="5"/>
  <c r="BM48" i="5"/>
  <c r="BM45" i="5"/>
  <c r="BM44" i="5"/>
  <c r="BM39" i="5"/>
  <c r="BM38" i="5"/>
  <c r="BM26" i="5"/>
  <c r="BM25" i="5"/>
  <c r="BM22" i="5"/>
  <c r="BM21" i="5"/>
  <c r="BM14" i="5"/>
  <c r="BM13" i="5"/>
  <c r="BM4" i="5"/>
  <c r="BM3" i="5"/>
  <c r="BH204" i="5"/>
  <c r="BH203" i="5"/>
  <c r="BH199" i="5"/>
  <c r="BH198" i="5"/>
  <c r="BH171" i="5"/>
  <c r="BH170" i="5"/>
  <c r="BH166" i="5"/>
  <c r="BH165" i="5"/>
  <c r="BH151" i="5"/>
  <c r="BH150" i="5"/>
  <c r="BH119" i="5"/>
  <c r="BH118" i="5"/>
  <c r="BH115" i="5"/>
  <c r="BH114" i="5"/>
  <c r="BH111" i="5"/>
  <c r="BH110" i="5"/>
  <c r="BH106" i="5"/>
  <c r="BH105" i="5"/>
  <c r="BH102" i="5"/>
  <c r="BH101" i="5"/>
  <c r="BH93" i="5"/>
  <c r="BH92" i="5"/>
  <c r="BH84" i="5"/>
  <c r="BH83" i="5"/>
  <c r="BH69" i="5"/>
  <c r="BH68" i="5"/>
  <c r="BH54" i="5"/>
  <c r="BH53" i="5"/>
  <c r="BH49" i="5"/>
  <c r="BH48" i="5"/>
  <c r="BH45" i="5"/>
  <c r="BH44" i="5"/>
  <c r="BH39" i="5"/>
  <c r="BH38" i="5"/>
  <c r="BH26" i="5"/>
  <c r="BH25" i="5"/>
  <c r="BH22" i="5"/>
  <c r="BH21" i="5"/>
  <c r="BH13" i="5"/>
  <c r="BH4" i="5"/>
  <c r="BH3" i="5"/>
  <c r="BC204" i="5"/>
  <c r="BC203" i="5"/>
  <c r="BC199" i="5"/>
  <c r="BC198" i="5"/>
  <c r="BC171" i="5"/>
  <c r="BC170" i="5"/>
  <c r="BC165" i="5"/>
  <c r="BC151" i="5"/>
  <c r="BC150" i="5"/>
  <c r="BC118" i="5"/>
  <c r="BC115" i="5"/>
  <c r="BC114" i="5"/>
  <c r="BC111" i="5"/>
  <c r="BC110" i="5"/>
  <c r="BC105" i="5"/>
  <c r="BC102" i="5"/>
  <c r="BC101" i="5"/>
  <c r="BC93" i="5"/>
  <c r="BC92" i="5"/>
  <c r="BC84" i="5"/>
  <c r="BC83" i="5"/>
  <c r="BC69" i="5"/>
  <c r="BC68" i="5"/>
  <c r="BC54" i="5"/>
  <c r="BC53" i="5"/>
  <c r="BC49" i="5"/>
  <c r="BC48" i="5"/>
  <c r="BC45" i="5"/>
  <c r="BC44" i="5"/>
  <c r="BC39" i="5"/>
  <c r="BC38" i="5"/>
  <c r="BC21" i="5"/>
  <c r="AX204" i="5"/>
  <c r="AX203" i="5"/>
  <c r="AX199" i="5"/>
  <c r="AX198" i="5"/>
  <c r="AX171" i="5"/>
  <c r="AX170" i="5"/>
  <c r="AX166" i="5"/>
  <c r="AX165" i="5"/>
  <c r="AX151" i="5"/>
  <c r="AX150" i="5"/>
  <c r="AX119" i="5"/>
  <c r="AX118" i="5"/>
  <c r="AX111" i="5"/>
  <c r="AX110" i="5"/>
  <c r="AX106" i="5"/>
  <c r="AX105" i="5"/>
  <c r="AX102" i="5"/>
  <c r="AX101" i="5"/>
  <c r="AX93" i="5"/>
  <c r="AX92" i="5"/>
  <c r="AX84" i="5"/>
  <c r="AX83" i="5"/>
  <c r="AX69" i="5"/>
  <c r="AX68" i="5"/>
  <c r="AX54" i="5"/>
  <c r="AX53" i="5"/>
  <c r="AX49" i="5"/>
  <c r="AX48" i="5"/>
  <c r="AX45" i="5"/>
  <c r="AX44" i="5"/>
  <c r="AX39" i="5"/>
  <c r="AX38" i="5"/>
  <c r="AX26" i="5"/>
  <c r="AX25" i="5"/>
  <c r="AX22" i="5"/>
  <c r="AX21" i="5"/>
  <c r="AX14" i="5"/>
  <c r="AX13" i="5"/>
  <c r="AS204" i="5"/>
  <c r="AS203" i="5"/>
  <c r="AS199" i="5"/>
  <c r="AS198" i="5"/>
  <c r="AS171" i="5"/>
  <c r="AS170" i="5"/>
  <c r="AS166" i="5"/>
  <c r="AS165" i="5"/>
  <c r="AS151" i="5"/>
  <c r="AS150" i="5"/>
  <c r="AS115" i="5"/>
  <c r="AS111" i="5"/>
  <c r="AS110" i="5"/>
  <c r="AS106" i="5"/>
  <c r="AS105" i="5"/>
  <c r="AS101" i="5"/>
  <c r="AS92" i="5"/>
  <c r="AS69" i="5"/>
  <c r="AS68" i="5"/>
  <c r="AS48" i="5"/>
  <c r="AS45" i="5"/>
  <c r="AS39" i="5"/>
  <c r="AS22" i="5"/>
  <c r="AI83" i="5"/>
  <c r="AI78" i="5"/>
  <c r="AD204" i="5"/>
  <c r="AD203" i="5"/>
  <c r="AD198" i="5"/>
  <c r="AD175" i="5"/>
  <c r="AD174" i="5"/>
  <c r="AD171" i="5"/>
  <c r="AD170" i="5"/>
  <c r="AD151" i="5"/>
  <c r="AD150" i="5"/>
  <c r="AD119" i="5"/>
  <c r="AD118" i="5"/>
  <c r="AD115" i="5"/>
  <c r="AD114" i="5"/>
  <c r="AD111" i="5"/>
  <c r="AD110" i="5"/>
  <c r="AD106" i="5"/>
  <c r="AD105" i="5"/>
  <c r="AD93" i="5"/>
  <c r="AD92" i="5"/>
  <c r="AD84" i="5"/>
  <c r="AD83" i="5"/>
  <c r="AD66" i="5"/>
  <c r="AD65" i="5"/>
  <c r="AD49" i="5"/>
  <c r="AD48" i="5"/>
  <c r="AD45" i="5"/>
  <c r="AD44" i="5"/>
  <c r="AD26" i="5"/>
  <c r="AD25" i="5"/>
  <c r="AD22" i="5"/>
  <c r="AD21" i="5"/>
  <c r="AD14" i="5"/>
  <c r="AD13" i="5"/>
  <c r="AD4" i="5"/>
  <c r="AD3" i="5"/>
  <c r="Y204" i="5"/>
  <c r="Y199" i="5"/>
  <c r="Y189" i="5"/>
  <c r="Y175" i="5"/>
  <c r="Y171" i="5"/>
  <c r="Y151" i="5"/>
  <c r="Y119" i="5"/>
  <c r="Y115" i="5"/>
  <c r="Y111" i="5"/>
  <c r="Y106" i="5"/>
  <c r="Y102" i="5"/>
  <c r="Y93" i="5"/>
  <c r="Y84" i="5"/>
  <c r="Y69" i="5"/>
  <c r="Y66" i="5"/>
  <c r="Y49" i="5"/>
  <c r="Y45" i="5"/>
  <c r="Y39" i="5"/>
  <c r="Y26" i="5"/>
  <c r="Y22" i="5"/>
  <c r="Y14" i="5"/>
  <c r="Y3" i="5"/>
  <c r="W81" i="5"/>
  <c r="Z109" i="5" l="1"/>
  <c r="AB43" i="5"/>
  <c r="AD38" i="5" s="1"/>
  <c r="AE106" i="5" l="1"/>
  <c r="AA104" i="5"/>
  <c r="AB104" i="5"/>
  <c r="AB127" i="5"/>
  <c r="AB125" i="5"/>
  <c r="AB169" i="5"/>
  <c r="AB168" i="5"/>
  <c r="AB167" i="5"/>
  <c r="AD166" i="5" l="1"/>
  <c r="AD165" i="5"/>
  <c r="AD125" i="5"/>
  <c r="AD122" i="5"/>
  <c r="AD102" i="5"/>
  <c r="AD101" i="5"/>
  <c r="AB182" i="5"/>
  <c r="AB181" i="5"/>
  <c r="AB180" i="5"/>
  <c r="AD178" i="5" l="1"/>
  <c r="AD179" i="5"/>
  <c r="Z66" i="5"/>
  <c r="U77" i="5" l="1"/>
  <c r="AB158" i="5" l="1"/>
  <c r="AB157" i="5"/>
  <c r="AB156" i="5"/>
  <c r="AB192" i="5"/>
  <c r="AD188" i="5" l="1"/>
  <c r="AD189" i="5"/>
  <c r="AD156" i="5"/>
  <c r="AD155" i="5"/>
  <c r="AB72" i="5"/>
  <c r="AD69" i="5" l="1"/>
  <c r="AD68" i="5"/>
  <c r="AB82" i="5"/>
  <c r="AB81" i="5"/>
  <c r="AB79" i="5"/>
  <c r="AB130" i="5"/>
  <c r="AB135" i="5"/>
  <c r="AA135" i="5"/>
  <c r="W31" i="7" s="1"/>
  <c r="AB136" i="5"/>
  <c r="AA136" i="5"/>
  <c r="W3" i="7" l="1"/>
  <c r="W48" i="7"/>
  <c r="W49" i="7"/>
  <c r="AD79" i="5"/>
  <c r="AD78" i="5"/>
  <c r="AB12" i="5"/>
  <c r="AB11" i="5"/>
  <c r="AB10" i="5"/>
  <c r="AB34" i="5" l="1"/>
  <c r="AB35" i="5"/>
  <c r="Z37" i="5"/>
  <c r="AB19" i="5" l="1"/>
  <c r="AB18" i="5"/>
  <c r="Y198" i="5"/>
  <c r="AD17" i="5" l="1"/>
  <c r="AD18" i="5"/>
  <c r="Z18" i="5"/>
  <c r="Y203" i="5"/>
  <c r="Y188" i="5"/>
  <c r="Y170" i="5"/>
  <c r="W55" i="5"/>
  <c r="Y54" i="5" s="1"/>
  <c r="Y174" i="5"/>
  <c r="Y150" i="5"/>
  <c r="Y118" i="5"/>
  <c r="Y114" i="5"/>
  <c r="Y110" i="5"/>
  <c r="Y105" i="5"/>
  <c r="Y101" i="5"/>
  <c r="Y92" i="5"/>
  <c r="Y83" i="5"/>
  <c r="Y68" i="5"/>
  <c r="Y65" i="5"/>
  <c r="Y48" i="5"/>
  <c r="Y44" i="5"/>
  <c r="Y38" i="5"/>
  <c r="Y25" i="5"/>
  <c r="Y21" i="5"/>
  <c r="Y13" i="5"/>
  <c r="U130" i="5"/>
  <c r="K130" i="5"/>
  <c r="P130" i="5"/>
  <c r="Y53" i="5" l="1"/>
  <c r="Z7" i="5"/>
  <c r="U67" i="5" l="1"/>
  <c r="U52" i="5"/>
  <c r="Z52" i="5"/>
  <c r="W157" i="5" l="1"/>
  <c r="W156" i="5"/>
  <c r="W158" i="5"/>
  <c r="W167" i="5"/>
  <c r="W168" i="5"/>
  <c r="W169" i="5"/>
  <c r="X54" i="5"/>
  <c r="H127" i="5"/>
  <c r="H125" i="5"/>
  <c r="R125" i="5"/>
  <c r="R127" i="5"/>
  <c r="W125" i="5"/>
  <c r="W127" i="5"/>
  <c r="Y125" i="5" l="1"/>
  <c r="Y122" i="5"/>
  <c r="Y166" i="5"/>
  <c r="Y165" i="5"/>
  <c r="Y156" i="5"/>
  <c r="Y155" i="5"/>
  <c r="U204" i="5"/>
  <c r="U54" i="5" l="1"/>
  <c r="P54" i="5"/>
  <c r="X130" i="5" l="1"/>
  <c r="W182" i="5"/>
  <c r="W180" i="5" l="1"/>
  <c r="Y179" i="5" l="1"/>
  <c r="Y178" i="5"/>
  <c r="W79" i="5"/>
  <c r="U202" i="5"/>
  <c r="W135" i="5" l="1"/>
  <c r="V135" i="5"/>
  <c r="S31" i="7" s="1"/>
  <c r="W136" i="5"/>
  <c r="V136" i="5"/>
  <c r="S3" i="7" l="1"/>
  <c r="S48" i="7"/>
  <c r="S49" i="7"/>
  <c r="W59" i="5"/>
  <c r="W12" i="5"/>
  <c r="W11" i="5"/>
  <c r="W10" i="5"/>
  <c r="W19" i="5" l="1"/>
  <c r="W18" i="5"/>
  <c r="Y18" i="5" l="1"/>
  <c r="U18" i="5"/>
  <c r="Y17" i="5"/>
  <c r="U37" i="5"/>
  <c r="W34" i="5"/>
  <c r="W35" i="5"/>
  <c r="U43" i="5" l="1"/>
  <c r="U109" i="5"/>
  <c r="P204" i="5"/>
  <c r="K154" i="5"/>
  <c r="K109" i="5"/>
  <c r="R14" i="5" l="1"/>
  <c r="P14" i="5" s="1"/>
  <c r="R182" i="5"/>
  <c r="R181" i="5"/>
  <c r="R180" i="5"/>
  <c r="R167" i="5"/>
  <c r="R168" i="5"/>
  <c r="R169" i="5"/>
  <c r="R192" i="5"/>
  <c r="R79" i="5" l="1"/>
  <c r="R82" i="5"/>
  <c r="R81" i="5"/>
  <c r="M58" i="5"/>
  <c r="R72" i="5"/>
  <c r="R136" i="5"/>
  <c r="Q136" i="5"/>
  <c r="R135" i="5"/>
  <c r="T62" i="5" l="1"/>
  <c r="R12" i="5"/>
  <c r="R11" i="5"/>
  <c r="R10" i="5"/>
  <c r="R157" i="5"/>
  <c r="R158" i="5"/>
  <c r="R156" i="5"/>
  <c r="R34" i="5" l="1"/>
  <c r="R35" i="5"/>
  <c r="R19" i="5"/>
  <c r="R18" i="5"/>
  <c r="H19" i="5"/>
  <c r="M167" i="5"/>
  <c r="M169" i="5"/>
  <c r="M168" i="5"/>
  <c r="K106" i="5"/>
  <c r="M28" i="5"/>
  <c r="M79" i="5"/>
  <c r="M82" i="5"/>
  <c r="M72" i="5"/>
  <c r="M125" i="5"/>
  <c r="M19" i="5" l="1"/>
  <c r="M18" i="5"/>
  <c r="BN205" i="5"/>
  <c r="BN204" i="5"/>
  <c r="BN202" i="5"/>
  <c r="BN199" i="5"/>
  <c r="BP192" i="5"/>
  <c r="BN189" i="5"/>
  <c r="BN187" i="5"/>
  <c r="BN184" i="5"/>
  <c r="BN182" i="5"/>
  <c r="BN179" i="5"/>
  <c r="BN175" i="5"/>
  <c r="BN173" i="5"/>
  <c r="BN172" i="5"/>
  <c r="BN164" i="5"/>
  <c r="BN162" i="5"/>
  <c r="BN158" i="5"/>
  <c r="BN154" i="5"/>
  <c r="BN152" i="5"/>
  <c r="BP134" i="5"/>
  <c r="BN132" i="5"/>
  <c r="BN130" i="5"/>
  <c r="BN127" i="5"/>
  <c r="BN126" i="5"/>
  <c r="BN121" i="5"/>
  <c r="BN120" i="5"/>
  <c r="BN117" i="5"/>
  <c r="BN113" i="5"/>
  <c r="BN111" i="5"/>
  <c r="BN107" i="5"/>
  <c r="BN106" i="5"/>
  <c r="BN104" i="5"/>
  <c r="BN102" i="5"/>
  <c r="BN95" i="5"/>
  <c r="BN93" i="5"/>
  <c r="BN87" i="5"/>
  <c r="BN84" i="5"/>
  <c r="BN80" i="5"/>
  <c r="BN77" i="5"/>
  <c r="BP76" i="5"/>
  <c r="BN74" i="5"/>
  <c r="BN72" i="5"/>
  <c r="BN71" i="5"/>
  <c r="BN69" i="5"/>
  <c r="BN67" i="5"/>
  <c r="BN64" i="5"/>
  <c r="BN62" i="5"/>
  <c r="BP61" i="5"/>
  <c r="BP60" i="5"/>
  <c r="BP59" i="5"/>
  <c r="BN52" i="5"/>
  <c r="BN50" i="5"/>
  <c r="BN47" i="5"/>
  <c r="BN45" i="5"/>
  <c r="BN43" i="5"/>
  <c r="BN41" i="5"/>
  <c r="BP37" i="5"/>
  <c r="BN35" i="5"/>
  <c r="BN30" i="5"/>
  <c r="BN28" i="5"/>
  <c r="BN24" i="5"/>
  <c r="BN22" i="5"/>
  <c r="BN20" i="5"/>
  <c r="BN16" i="5"/>
  <c r="BN14" i="5"/>
  <c r="BN12" i="5"/>
  <c r="BN10" i="5"/>
  <c r="BP9" i="5"/>
  <c r="BN7" i="5"/>
  <c r="BN5" i="5"/>
  <c r="BI205" i="5"/>
  <c r="BI204" i="5"/>
  <c r="BI202" i="5"/>
  <c r="BI199" i="5"/>
  <c r="BI189" i="5"/>
  <c r="BI187" i="5"/>
  <c r="BI184" i="5"/>
  <c r="BI182" i="5"/>
  <c r="BI179" i="5"/>
  <c r="BI175" i="5"/>
  <c r="BI173" i="5"/>
  <c r="BI169" i="5"/>
  <c r="BI167" i="5"/>
  <c r="BI164" i="5"/>
  <c r="BI162" i="5"/>
  <c r="BI158" i="5"/>
  <c r="BI154" i="5"/>
  <c r="BI152" i="5"/>
  <c r="BK134" i="5"/>
  <c r="BK132" i="5"/>
  <c r="BI132" i="5" s="1"/>
  <c r="BI130" i="5"/>
  <c r="BK127" i="5"/>
  <c r="BI127" i="5" s="1"/>
  <c r="BI126" i="5"/>
  <c r="BK125" i="5"/>
  <c r="BI121" i="5"/>
  <c r="BI120" i="5"/>
  <c r="BI117" i="5"/>
  <c r="BI116" i="5"/>
  <c r="BI113" i="5"/>
  <c r="BI111" i="5"/>
  <c r="BI107" i="5"/>
  <c r="BI106" i="5"/>
  <c r="BI104" i="5"/>
  <c r="BI102" i="5"/>
  <c r="BI95" i="5"/>
  <c r="BI93" i="5"/>
  <c r="BI87" i="5"/>
  <c r="BI84" i="5"/>
  <c r="BI80" i="5"/>
  <c r="BI77" i="5"/>
  <c r="BI74" i="5"/>
  <c r="BI72" i="5"/>
  <c r="BI71" i="5"/>
  <c r="BI69" i="5"/>
  <c r="BI67" i="5"/>
  <c r="BI64" i="5"/>
  <c r="BI62" i="5"/>
  <c r="BK61" i="5"/>
  <c r="BK60" i="5"/>
  <c r="BK59" i="5"/>
  <c r="BI52" i="5"/>
  <c r="BI50" i="5"/>
  <c r="BI47" i="5"/>
  <c r="BI45" i="5"/>
  <c r="BI41" i="5"/>
  <c r="BI35" i="5"/>
  <c r="BI30" i="5"/>
  <c r="BI28" i="5"/>
  <c r="BI24" i="5"/>
  <c r="BI22" i="5"/>
  <c r="BI20" i="5"/>
  <c r="BI16" i="5"/>
  <c r="BI14" i="5"/>
  <c r="BI12" i="5"/>
  <c r="BI10" i="5"/>
  <c r="BK9" i="5"/>
  <c r="BI7" i="5"/>
  <c r="BI5" i="5"/>
  <c r="BD205" i="5"/>
  <c r="BD204" i="5"/>
  <c r="BD202" i="5"/>
  <c r="BD199" i="5"/>
  <c r="BD189" i="5"/>
  <c r="BD187" i="5"/>
  <c r="BD184" i="5"/>
  <c r="BD182" i="5"/>
  <c r="BD179" i="5"/>
  <c r="BD175" i="5"/>
  <c r="BD173" i="5"/>
  <c r="BD172" i="5"/>
  <c r="BD169" i="5"/>
  <c r="BD167" i="5"/>
  <c r="BD164" i="5"/>
  <c r="BD158" i="5"/>
  <c r="BD154" i="5"/>
  <c r="BD152" i="5"/>
  <c r="BF134" i="5"/>
  <c r="BF132" i="5"/>
  <c r="BD132" i="5" s="1"/>
  <c r="BD130" i="5"/>
  <c r="BD127" i="5"/>
  <c r="BD126" i="5"/>
  <c r="BD121" i="5"/>
  <c r="BD120" i="5"/>
  <c r="BD117" i="5"/>
  <c r="BD116" i="5"/>
  <c r="BD113" i="5"/>
  <c r="BD111" i="5"/>
  <c r="BD107" i="5"/>
  <c r="BD106" i="5"/>
  <c r="BD104" i="5"/>
  <c r="BD102" i="5"/>
  <c r="BD95" i="5"/>
  <c r="BD93" i="5"/>
  <c r="BD87" i="5"/>
  <c r="BD84" i="5"/>
  <c r="BD80" i="5"/>
  <c r="BD77" i="5"/>
  <c r="BD74" i="5"/>
  <c r="BD72" i="5"/>
  <c r="BD71" i="5"/>
  <c r="BD69" i="5"/>
  <c r="BD67" i="5"/>
  <c r="BE64" i="5"/>
  <c r="BD64" i="5" s="1"/>
  <c r="BD62" i="5"/>
  <c r="BF61" i="5"/>
  <c r="BF60" i="5"/>
  <c r="BF59" i="5"/>
  <c r="BD52" i="5"/>
  <c r="BD50" i="5"/>
  <c r="BD47" i="5"/>
  <c r="BD45" i="5"/>
  <c r="BD43" i="5"/>
  <c r="BD41" i="5"/>
  <c r="BD35" i="5"/>
  <c r="BD30" i="5"/>
  <c r="BD28" i="5"/>
  <c r="BD24" i="5"/>
  <c r="BD22" i="5"/>
  <c r="BD20" i="5"/>
  <c r="BD16" i="5"/>
  <c r="BD14" i="5"/>
  <c r="BD12" i="5"/>
  <c r="BD10" i="5"/>
  <c r="BD7" i="5"/>
  <c r="BD5" i="5"/>
  <c r="AY204" i="5"/>
  <c r="AY199" i="5"/>
  <c r="AY189" i="5"/>
  <c r="AY187" i="5"/>
  <c r="AY184" i="5"/>
  <c r="AY182" i="5"/>
  <c r="AY179" i="5"/>
  <c r="AY175" i="5"/>
  <c r="AY173" i="5"/>
  <c r="AY172" i="5"/>
  <c r="AY169" i="5"/>
  <c r="AY167" i="5"/>
  <c r="AY164" i="5"/>
  <c r="AY158" i="5"/>
  <c r="AY154" i="5"/>
  <c r="AY152" i="5"/>
  <c r="BA134" i="5"/>
  <c r="AY127" i="5"/>
  <c r="AY126" i="5"/>
  <c r="AY121" i="5"/>
  <c r="AY120" i="5"/>
  <c r="AY117" i="5"/>
  <c r="AY116" i="5"/>
  <c r="AY113" i="5"/>
  <c r="AY111" i="5"/>
  <c r="AY107" i="5"/>
  <c r="AY106" i="5"/>
  <c r="AY104" i="5"/>
  <c r="AY102" i="5"/>
  <c r="AY95" i="5"/>
  <c r="AY93" i="5"/>
  <c r="AY87" i="5"/>
  <c r="AY84" i="5"/>
  <c r="AY80" i="5"/>
  <c r="AY77" i="5"/>
  <c r="AY74" i="5"/>
  <c r="AY72" i="5"/>
  <c r="AY71" i="5"/>
  <c r="AY69" i="5"/>
  <c r="AY67" i="5"/>
  <c r="AZ64" i="5"/>
  <c r="AY64" i="5" s="1"/>
  <c r="AY62" i="5"/>
  <c r="BA61" i="5"/>
  <c r="BA60" i="5"/>
  <c r="BA59" i="5"/>
  <c r="AY52" i="5"/>
  <c r="AY50" i="5"/>
  <c r="AY47" i="5"/>
  <c r="AY45" i="5"/>
  <c r="AY43" i="5"/>
  <c r="AY41" i="5"/>
  <c r="AY35" i="5"/>
  <c r="BA33" i="5"/>
  <c r="AY30" i="5"/>
  <c r="AY28" i="5"/>
  <c r="AY24" i="5"/>
  <c r="AY22" i="5"/>
  <c r="AY20" i="5"/>
  <c r="AY16" i="5"/>
  <c r="AY14" i="5"/>
  <c r="AY12" i="5"/>
  <c r="AY10" i="5"/>
  <c r="BA9" i="5"/>
  <c r="AY7" i="5"/>
  <c r="AT204" i="5"/>
  <c r="AT202" i="5"/>
  <c r="AT199" i="5"/>
  <c r="AT189" i="5"/>
  <c r="AT187" i="5"/>
  <c r="AT184" i="5"/>
  <c r="AT182" i="5"/>
  <c r="AT179" i="5"/>
  <c r="AT175" i="5"/>
  <c r="AT173" i="5"/>
  <c r="AT169" i="5"/>
  <c r="AT167" i="5"/>
  <c r="AT164" i="5"/>
  <c r="AT158" i="5"/>
  <c r="AT154" i="5"/>
  <c r="AT152" i="5"/>
  <c r="AV134" i="5"/>
  <c r="AT130" i="5"/>
  <c r="AT127" i="5"/>
  <c r="AT126" i="5"/>
  <c r="AT121" i="5"/>
  <c r="AT120" i="5"/>
  <c r="AT117" i="5"/>
  <c r="AT116" i="5"/>
  <c r="AT113" i="5"/>
  <c r="AT111" i="5"/>
  <c r="AT106" i="5"/>
  <c r="AT104" i="5"/>
  <c r="AT102" i="5"/>
  <c r="AT95" i="5"/>
  <c r="AT93" i="5"/>
  <c r="AT87" i="5"/>
  <c r="AT84" i="5"/>
  <c r="AT80" i="5"/>
  <c r="AT77" i="5"/>
  <c r="AV76" i="5"/>
  <c r="AT74" i="5"/>
  <c r="AT72" i="5"/>
  <c r="AT71" i="5"/>
  <c r="AT69" i="5"/>
  <c r="AT67" i="5"/>
  <c r="AT64" i="5"/>
  <c r="AT62" i="5"/>
  <c r="AV61" i="5"/>
  <c r="AV60" i="5"/>
  <c r="AV59" i="5"/>
  <c r="AT52" i="5"/>
  <c r="AT50" i="5"/>
  <c r="AT47" i="5"/>
  <c r="AT45" i="5"/>
  <c r="AT43" i="5"/>
  <c r="AT41" i="5"/>
  <c r="AT35" i="5"/>
  <c r="AT30" i="5"/>
  <c r="AT28" i="5"/>
  <c r="AT24" i="5"/>
  <c r="AT22" i="5"/>
  <c r="AT20" i="5"/>
  <c r="AT16" i="5"/>
  <c r="AT14" i="5"/>
  <c r="AT12" i="5"/>
  <c r="AT10" i="5"/>
  <c r="AT7" i="5"/>
  <c r="AO205" i="5"/>
  <c r="AO204" i="5"/>
  <c r="AO202" i="5"/>
  <c r="AO199" i="5"/>
  <c r="AO189" i="5"/>
  <c r="AO187" i="5"/>
  <c r="AO184" i="5"/>
  <c r="AO182" i="5"/>
  <c r="AO179" i="5"/>
  <c r="AO175" i="5"/>
  <c r="AO173" i="5"/>
  <c r="AO172" i="5"/>
  <c r="AO169" i="5"/>
  <c r="AO164" i="5"/>
  <c r="AO158" i="5"/>
  <c r="AO154" i="5"/>
  <c r="AO152" i="5"/>
  <c r="AQ134" i="5"/>
  <c r="AO130" i="5"/>
  <c r="AO127" i="5"/>
  <c r="AO126" i="5"/>
  <c r="AO121" i="5"/>
  <c r="AO120" i="5"/>
  <c r="AO117" i="5"/>
  <c r="AO116" i="5"/>
  <c r="AO113" i="5"/>
  <c r="AO111" i="5"/>
  <c r="AO107" i="5"/>
  <c r="AO106" i="5"/>
  <c r="AO104" i="5"/>
  <c r="AO102" i="5"/>
  <c r="AO95" i="5"/>
  <c r="AO93" i="5"/>
  <c r="AO87" i="5"/>
  <c r="AO80" i="5"/>
  <c r="AO77" i="5"/>
  <c r="AO74" i="5"/>
  <c r="AO72" i="5"/>
  <c r="AO71" i="5"/>
  <c r="AO69" i="5"/>
  <c r="AO67" i="5"/>
  <c r="AO64" i="5"/>
  <c r="AO62" i="5"/>
  <c r="AQ61" i="5"/>
  <c r="AQ60" i="5"/>
  <c r="AQ59" i="5"/>
  <c r="AO52" i="5"/>
  <c r="AO47" i="5"/>
  <c r="AO45" i="5"/>
  <c r="AO43" i="5"/>
  <c r="AO41" i="5"/>
  <c r="AO35" i="5"/>
  <c r="AO30" i="5"/>
  <c r="AO28" i="5"/>
  <c r="AO24" i="5"/>
  <c r="AO22" i="5"/>
  <c r="AO20" i="5"/>
  <c r="AO16" i="5"/>
  <c r="AO14" i="5"/>
  <c r="AO12" i="5"/>
  <c r="AO10" i="5"/>
  <c r="AQ9" i="5"/>
  <c r="AS8" i="5" s="1"/>
  <c r="AJ205" i="5"/>
  <c r="AJ204" i="5"/>
  <c r="AJ202" i="5"/>
  <c r="AJ199" i="5"/>
  <c r="AJ189" i="5"/>
  <c r="AJ187" i="5"/>
  <c r="AJ184" i="5"/>
  <c r="AJ182" i="5"/>
  <c r="AJ179" i="5"/>
  <c r="AN175" i="5"/>
  <c r="AJ175" i="5"/>
  <c r="AJ173" i="5"/>
  <c r="AJ172" i="5"/>
  <c r="AJ169" i="5"/>
  <c r="AJ167" i="5"/>
  <c r="AJ164" i="5"/>
  <c r="AJ162" i="5"/>
  <c r="AJ158" i="5"/>
  <c r="AJ154" i="5"/>
  <c r="AJ152" i="5"/>
  <c r="AL134" i="5"/>
  <c r="AN134" i="5" s="1"/>
  <c r="AN133" i="5" s="1"/>
  <c r="AJ132" i="5"/>
  <c r="AJ130" i="5"/>
  <c r="AJ127" i="5"/>
  <c r="AJ126" i="5"/>
  <c r="AN125" i="5"/>
  <c r="AN122" i="5" s="1"/>
  <c r="AJ121" i="5"/>
  <c r="AJ120" i="5"/>
  <c r="AJ117" i="5"/>
  <c r="AJ116" i="5"/>
  <c r="AJ113" i="5"/>
  <c r="AJ111" i="5"/>
  <c r="AJ107" i="5"/>
  <c r="AJ104" i="5"/>
  <c r="AJ102" i="5"/>
  <c r="AJ95" i="5"/>
  <c r="AJ93" i="5"/>
  <c r="AJ87" i="5"/>
  <c r="AJ84" i="5"/>
  <c r="AJ80" i="5"/>
  <c r="AJ77" i="5"/>
  <c r="AL76" i="5"/>
  <c r="AN74" i="5" s="1"/>
  <c r="AN73" i="5" s="1"/>
  <c r="AJ74" i="5"/>
  <c r="AJ72" i="5"/>
  <c r="AJ71" i="5"/>
  <c r="AJ69" i="5"/>
  <c r="AJ67" i="5"/>
  <c r="AK64" i="5"/>
  <c r="AJ64" i="5" s="1"/>
  <c r="AJ62" i="5"/>
  <c r="AL61" i="5"/>
  <c r="AL60" i="5"/>
  <c r="AL59" i="5"/>
  <c r="AJ52" i="5"/>
  <c r="AJ50" i="5"/>
  <c r="AJ47" i="5"/>
  <c r="AJ45" i="5"/>
  <c r="AJ43" i="5"/>
  <c r="AJ41" i="5"/>
  <c r="AJ35" i="5"/>
  <c r="AJ30" i="5"/>
  <c r="AJ28" i="5"/>
  <c r="AJ24" i="5"/>
  <c r="AJ22" i="5"/>
  <c r="AJ20" i="5"/>
  <c r="AJ16" i="5"/>
  <c r="AJ14" i="5"/>
  <c r="AJ12" i="5"/>
  <c r="AJ10" i="5"/>
  <c r="AL9" i="5"/>
  <c r="AN9" i="5" s="1"/>
  <c r="AJ7" i="5"/>
  <c r="AJ5" i="5"/>
  <c r="AE205" i="5"/>
  <c r="AE204" i="5"/>
  <c r="AE199" i="5"/>
  <c r="AE192" i="5"/>
  <c r="AE189" i="5"/>
  <c r="AE187" i="5"/>
  <c r="AE184" i="5"/>
  <c r="AE182" i="5"/>
  <c r="AE179" i="5"/>
  <c r="AE175" i="5"/>
  <c r="AE173" i="5"/>
  <c r="AE172" i="5"/>
  <c r="AE169" i="5"/>
  <c r="AE167" i="5"/>
  <c r="AE164" i="5"/>
  <c r="AE158" i="5"/>
  <c r="AE156" i="5"/>
  <c r="AE154" i="5"/>
  <c r="AE152" i="5"/>
  <c r="AG134" i="5"/>
  <c r="AI134" i="5" s="1"/>
  <c r="AE130" i="5"/>
  <c r="AE127" i="5"/>
  <c r="AE126" i="5"/>
  <c r="AE121" i="5"/>
  <c r="AE120" i="5"/>
  <c r="AE117" i="5"/>
  <c r="AE116" i="5"/>
  <c r="AE113" i="5"/>
  <c r="AE111" i="5"/>
  <c r="AE107" i="5"/>
  <c r="AE104" i="5"/>
  <c r="AE102" i="5"/>
  <c r="AE95" i="5"/>
  <c r="AE87" i="5"/>
  <c r="AE84" i="5"/>
  <c r="AE82" i="5"/>
  <c r="AE80" i="5"/>
  <c r="AE77" i="5"/>
  <c r="AE74" i="5"/>
  <c r="AE72" i="5"/>
  <c r="AE71" i="5"/>
  <c r="AE69" i="5"/>
  <c r="AE67" i="5"/>
  <c r="AE66" i="5"/>
  <c r="AE64" i="5"/>
  <c r="AE62" i="5"/>
  <c r="AG61" i="5"/>
  <c r="AG60" i="5"/>
  <c r="AG59" i="5"/>
  <c r="AE52" i="5"/>
  <c r="AE50" i="5"/>
  <c r="AE47" i="5"/>
  <c r="AE45" i="5"/>
  <c r="AE43" i="5"/>
  <c r="AE41" i="5"/>
  <c r="AE35" i="5"/>
  <c r="AE30" i="5"/>
  <c r="AE28" i="5"/>
  <c r="AE24" i="5"/>
  <c r="AE22" i="5"/>
  <c r="AE20" i="5"/>
  <c r="AE18" i="5"/>
  <c r="AE16" i="5"/>
  <c r="AE14" i="5"/>
  <c r="AE12" i="5"/>
  <c r="AE10" i="5"/>
  <c r="AG9" i="5"/>
  <c r="AE7" i="5"/>
  <c r="K35" i="5"/>
  <c r="K5" i="5"/>
  <c r="M136" i="5"/>
  <c r="L136" i="5"/>
  <c r="L135" i="5"/>
  <c r="K31" i="7" s="1"/>
  <c r="M135" i="5"/>
  <c r="M66" i="5"/>
  <c r="K3" i="7" l="1"/>
  <c r="K48" i="7"/>
  <c r="K49" i="7"/>
  <c r="BG49" i="7" s="1"/>
  <c r="BC9" i="5"/>
  <c r="BC8" i="5"/>
  <c r="AN8" i="5"/>
  <c r="AI9" i="5"/>
  <c r="AI8" i="5" s="1"/>
  <c r="AI59" i="5"/>
  <c r="AI58" i="5" s="1"/>
  <c r="AN59" i="5"/>
  <c r="AN58" i="5" s="1"/>
  <c r="AN174" i="5"/>
  <c r="AI133" i="5"/>
  <c r="AE177" i="5"/>
  <c r="AJ18" i="5"/>
  <c r="AJ82" i="5"/>
  <c r="AS9" i="5"/>
  <c r="AO18" i="5"/>
  <c r="AS18" i="5"/>
  <c r="AS17" i="5"/>
  <c r="AS59" i="5"/>
  <c r="AS58" i="5"/>
  <c r="AO82" i="5"/>
  <c r="AS79" i="5"/>
  <c r="AS78" i="5"/>
  <c r="AS128" i="5"/>
  <c r="AO156" i="5"/>
  <c r="AS156" i="5"/>
  <c r="AS155" i="5"/>
  <c r="AO177" i="5"/>
  <c r="AS175" i="5"/>
  <c r="AS174" i="5"/>
  <c r="AS179" i="5"/>
  <c r="AS178" i="5"/>
  <c r="AO192" i="5"/>
  <c r="AS188" i="5"/>
  <c r="AT66" i="5"/>
  <c r="AX66" i="5"/>
  <c r="AX65" i="5"/>
  <c r="AX74" i="5"/>
  <c r="AX73" i="5"/>
  <c r="AX125" i="5"/>
  <c r="AX122" i="5"/>
  <c r="AX134" i="5"/>
  <c r="AX133" i="5"/>
  <c r="AY18" i="5"/>
  <c r="BC17" i="5"/>
  <c r="BC32" i="5"/>
  <c r="BC31" i="5"/>
  <c r="BC59" i="5"/>
  <c r="BC58" i="5"/>
  <c r="AY82" i="5"/>
  <c r="BC79" i="5"/>
  <c r="BC78" i="5"/>
  <c r="BC128" i="5"/>
  <c r="AY156" i="5"/>
  <c r="BC156" i="5"/>
  <c r="BC155" i="5"/>
  <c r="AY177" i="5"/>
  <c r="BC179" i="5"/>
  <c r="BC178" i="5"/>
  <c r="AY192" i="5"/>
  <c r="BC188" i="5"/>
  <c r="BD66" i="5"/>
  <c r="BH66" i="5"/>
  <c r="BH65" i="5"/>
  <c r="BH74" i="5"/>
  <c r="BH73" i="5"/>
  <c r="BH125" i="5"/>
  <c r="BH122" i="5"/>
  <c r="BH134" i="5"/>
  <c r="BH133" i="5"/>
  <c r="BM9" i="5"/>
  <c r="BM8" i="5"/>
  <c r="BI18" i="5"/>
  <c r="BM18" i="5"/>
  <c r="BM32" i="5"/>
  <c r="BM31" i="5"/>
  <c r="BM59" i="5"/>
  <c r="BM58" i="5"/>
  <c r="BI82" i="5"/>
  <c r="BM79" i="5"/>
  <c r="BM78" i="5"/>
  <c r="BM129" i="5"/>
  <c r="BM128" i="5"/>
  <c r="BI156" i="5"/>
  <c r="BM156" i="5"/>
  <c r="BM155" i="5"/>
  <c r="BI177" i="5"/>
  <c r="BM175" i="5"/>
  <c r="BM174" i="5"/>
  <c r="BM179" i="5"/>
  <c r="BM178" i="5"/>
  <c r="BI192" i="5"/>
  <c r="BM189" i="5"/>
  <c r="BM188" i="5"/>
  <c r="BN66" i="5"/>
  <c r="BR66" i="5"/>
  <c r="BR65" i="5"/>
  <c r="BR74" i="5"/>
  <c r="BR73" i="5"/>
  <c r="BR122" i="5"/>
  <c r="BR134" i="5"/>
  <c r="BR133" i="5"/>
  <c r="AE132" i="5"/>
  <c r="AJ66" i="5"/>
  <c r="AJ156" i="5"/>
  <c r="AJ177" i="5"/>
  <c r="AJ192" i="5"/>
  <c r="AO66" i="5"/>
  <c r="AS66" i="5"/>
  <c r="AS65" i="5"/>
  <c r="AS74" i="5"/>
  <c r="AS73" i="5"/>
  <c r="AS134" i="5"/>
  <c r="AS133" i="5"/>
  <c r="AX9" i="5"/>
  <c r="AX8" i="5"/>
  <c r="AT18" i="5"/>
  <c r="AX18" i="5"/>
  <c r="AX17" i="5"/>
  <c r="AX32" i="5"/>
  <c r="AX31" i="5"/>
  <c r="AX59" i="5"/>
  <c r="AX58" i="5"/>
  <c r="AT82" i="5"/>
  <c r="AX79" i="5"/>
  <c r="AX78" i="5"/>
  <c r="AX129" i="5"/>
  <c r="AX128" i="5"/>
  <c r="AT156" i="5"/>
  <c r="AX156" i="5"/>
  <c r="AX155" i="5"/>
  <c r="AT177" i="5"/>
  <c r="AX175" i="5"/>
  <c r="AX174" i="5"/>
  <c r="AX179" i="5"/>
  <c r="AX178" i="5"/>
  <c r="AT192" i="5"/>
  <c r="AX189" i="5"/>
  <c r="AX188" i="5"/>
  <c r="AY66" i="5"/>
  <c r="BC66" i="5"/>
  <c r="BC65" i="5"/>
  <c r="BC74" i="5"/>
  <c r="BC73" i="5"/>
  <c r="BC125" i="5"/>
  <c r="BC122" i="5"/>
  <c r="BC134" i="5"/>
  <c r="BC133" i="5"/>
  <c r="BH9" i="5"/>
  <c r="BH8" i="5"/>
  <c r="BD18" i="5"/>
  <c r="BH18" i="5"/>
  <c r="BH17" i="5"/>
  <c r="BH31" i="5"/>
  <c r="BH59" i="5"/>
  <c r="BH58" i="5"/>
  <c r="BD82" i="5"/>
  <c r="BH79" i="5"/>
  <c r="BH78" i="5"/>
  <c r="BH129" i="5"/>
  <c r="BH128" i="5"/>
  <c r="BD156" i="5"/>
  <c r="BH156" i="5"/>
  <c r="BH155" i="5"/>
  <c r="BD177" i="5"/>
  <c r="BH175" i="5"/>
  <c r="BH174" i="5"/>
  <c r="BH179" i="5"/>
  <c r="BH178" i="5"/>
  <c r="BD192" i="5"/>
  <c r="BH189" i="5"/>
  <c r="BH188" i="5"/>
  <c r="BI66" i="5"/>
  <c r="BM66" i="5"/>
  <c r="BM65" i="5"/>
  <c r="BM74" i="5"/>
  <c r="BM73" i="5"/>
  <c r="BM125" i="5"/>
  <c r="BM122" i="5"/>
  <c r="BM134" i="5"/>
  <c r="BM133" i="5"/>
  <c r="BR9" i="5"/>
  <c r="BR8" i="5"/>
  <c r="BN18" i="5"/>
  <c r="BR18" i="5"/>
  <c r="BR17" i="5"/>
  <c r="BR32" i="5"/>
  <c r="BR31" i="5"/>
  <c r="BR59" i="5"/>
  <c r="BR58" i="5"/>
  <c r="BN82" i="5"/>
  <c r="BR79" i="5"/>
  <c r="BR78" i="5"/>
  <c r="BR129" i="5"/>
  <c r="BR128" i="5"/>
  <c r="BN156" i="5"/>
  <c r="BR156" i="5"/>
  <c r="BR155" i="5"/>
  <c r="BN177" i="5"/>
  <c r="BR175" i="5"/>
  <c r="BR174" i="5"/>
  <c r="BR179" i="5"/>
  <c r="BR178" i="5"/>
  <c r="BN192" i="5"/>
  <c r="BR189" i="5"/>
  <c r="BR188" i="5"/>
  <c r="AE136" i="5"/>
  <c r="AY136" i="5"/>
  <c r="AY135" i="5"/>
  <c r="BD136" i="5"/>
  <c r="BI136" i="5"/>
  <c r="AE135" i="5"/>
  <c r="AJ136" i="5"/>
  <c r="AO136" i="5"/>
  <c r="AT136" i="5"/>
  <c r="BI135" i="5"/>
  <c r="BN136" i="5"/>
  <c r="AJ135" i="5"/>
  <c r="AO135" i="5"/>
  <c r="AT135" i="5"/>
  <c r="BD135" i="5"/>
  <c r="BN135" i="5"/>
  <c r="M192" i="5"/>
  <c r="AN207" i="5" l="1"/>
  <c r="AN209" i="5" s="1"/>
  <c r="BC206" i="5"/>
  <c r="BC207" i="5"/>
  <c r="AN206" i="5"/>
  <c r="BH206" i="5"/>
  <c r="AX206" i="5"/>
  <c r="AI207" i="5"/>
  <c r="AI209" i="5" s="1"/>
  <c r="AI206" i="5"/>
  <c r="BH207" i="5"/>
  <c r="AX207" i="5"/>
  <c r="BM206" i="5"/>
  <c r="M157" i="5"/>
  <c r="M156" i="5"/>
  <c r="K156" i="5" s="1"/>
  <c r="M158" i="5"/>
  <c r="M182" i="5" l="1"/>
  <c r="M181" i="5"/>
  <c r="M180" i="5"/>
  <c r="M11" i="5" l="1"/>
  <c r="M10" i="5"/>
  <c r="H66" i="5" l="1"/>
  <c r="Z205" i="5" l="1"/>
  <c r="Z204" i="5"/>
  <c r="Z202" i="5"/>
  <c r="Z199" i="5"/>
  <c r="Z192" i="5"/>
  <c r="Z189" i="5"/>
  <c r="Z187" i="5"/>
  <c r="Z184" i="5"/>
  <c r="Z182" i="5"/>
  <c r="Z179" i="5"/>
  <c r="Z177" i="5"/>
  <c r="Z175" i="5"/>
  <c r="Z173" i="5"/>
  <c r="Z172" i="5"/>
  <c r="Z167" i="5"/>
  <c r="Z164" i="5"/>
  <c r="Z162" i="5"/>
  <c r="Z158" i="5"/>
  <c r="Z156" i="5"/>
  <c r="Z154" i="5"/>
  <c r="Z152" i="5"/>
  <c r="AB134" i="5"/>
  <c r="AB132" i="5"/>
  <c r="Z130" i="5"/>
  <c r="Z127" i="5"/>
  <c r="Z126" i="5"/>
  <c r="Z121" i="5"/>
  <c r="Z120" i="5"/>
  <c r="Z117" i="5"/>
  <c r="Z116" i="5"/>
  <c r="Z113" i="5"/>
  <c r="Z111" i="5"/>
  <c r="Z107" i="5"/>
  <c r="Z106" i="5"/>
  <c r="Z102" i="5"/>
  <c r="Z95" i="5"/>
  <c r="Z93" i="5"/>
  <c r="Z87" i="5"/>
  <c r="Z84" i="5"/>
  <c r="Z82" i="5"/>
  <c r="Z80" i="5"/>
  <c r="Z77" i="5"/>
  <c r="AB76" i="5"/>
  <c r="Z74" i="5"/>
  <c r="Z72" i="5"/>
  <c r="Z71" i="5"/>
  <c r="Z69" i="5"/>
  <c r="Z67" i="5"/>
  <c r="Z64" i="5"/>
  <c r="Z62" i="5"/>
  <c r="AB61" i="5"/>
  <c r="AB60" i="5"/>
  <c r="AB59" i="5"/>
  <c r="Z50" i="5"/>
  <c r="Z47" i="5"/>
  <c r="Z45" i="5"/>
  <c r="Z43" i="5"/>
  <c r="Z41" i="5"/>
  <c r="Z35" i="5"/>
  <c r="AB33" i="5"/>
  <c r="Z30" i="5"/>
  <c r="Z28" i="5"/>
  <c r="Z24" i="5"/>
  <c r="Z22" i="5"/>
  <c r="Z20" i="5"/>
  <c r="Z16" i="5"/>
  <c r="Z14" i="5"/>
  <c r="Z12" i="5"/>
  <c r="Z10" i="5"/>
  <c r="AB9" i="5"/>
  <c r="Z5" i="5"/>
  <c r="U205" i="5"/>
  <c r="U199" i="5"/>
  <c r="U192" i="5"/>
  <c r="U189" i="5"/>
  <c r="U187" i="5"/>
  <c r="U184" i="5"/>
  <c r="U182" i="5"/>
  <c r="U179" i="5"/>
  <c r="U177" i="5"/>
  <c r="U175" i="5"/>
  <c r="U173" i="5"/>
  <c r="U172" i="5"/>
  <c r="U167" i="5"/>
  <c r="U164" i="5"/>
  <c r="U162" i="5"/>
  <c r="U158" i="5"/>
  <c r="U156" i="5"/>
  <c r="U154" i="5"/>
  <c r="U152" i="5"/>
  <c r="W134" i="5"/>
  <c r="W132" i="5"/>
  <c r="U127" i="5"/>
  <c r="U126" i="5"/>
  <c r="U121" i="5"/>
  <c r="U120" i="5"/>
  <c r="U117" i="5"/>
  <c r="U116" i="5"/>
  <c r="U113" i="5"/>
  <c r="U111" i="5"/>
  <c r="U107" i="5"/>
  <c r="U104" i="5"/>
  <c r="U102" i="5"/>
  <c r="U95" i="5"/>
  <c r="U93" i="5"/>
  <c r="U87" i="5"/>
  <c r="U84" i="5"/>
  <c r="W82" i="5"/>
  <c r="U80" i="5"/>
  <c r="W76" i="5"/>
  <c r="U74" i="5"/>
  <c r="U72" i="5"/>
  <c r="U71" i="5"/>
  <c r="U69" i="5"/>
  <c r="U66" i="5"/>
  <c r="U64" i="5"/>
  <c r="U62" i="5"/>
  <c r="W61" i="5"/>
  <c r="W60" i="5"/>
  <c r="U50" i="5"/>
  <c r="U47" i="5"/>
  <c r="U45" i="5"/>
  <c r="U41" i="5"/>
  <c r="U35" i="5"/>
  <c r="W33" i="5"/>
  <c r="U30" i="5"/>
  <c r="U28" i="5"/>
  <c r="U24" i="5"/>
  <c r="U22" i="5"/>
  <c r="U20" i="5"/>
  <c r="U16" i="5"/>
  <c r="U14" i="5"/>
  <c r="U12" i="5"/>
  <c r="U10" i="5"/>
  <c r="W9" i="5"/>
  <c r="U7" i="5"/>
  <c r="U5" i="5"/>
  <c r="P205" i="5"/>
  <c r="P202" i="5"/>
  <c r="P199" i="5"/>
  <c r="P192" i="5"/>
  <c r="P189" i="5"/>
  <c r="P187" i="5"/>
  <c r="P184" i="5"/>
  <c r="P182" i="5"/>
  <c r="P179" i="5"/>
  <c r="P177" i="5"/>
  <c r="P175" i="5"/>
  <c r="P173" i="5"/>
  <c r="P172" i="5"/>
  <c r="P169" i="5"/>
  <c r="P167" i="5"/>
  <c r="P164" i="5"/>
  <c r="P162" i="5"/>
  <c r="P158" i="5"/>
  <c r="P156" i="5"/>
  <c r="P154" i="5"/>
  <c r="P152" i="5"/>
  <c r="R134" i="5"/>
  <c r="P132" i="5"/>
  <c r="P127" i="5"/>
  <c r="P126" i="5"/>
  <c r="P121" i="5"/>
  <c r="P120" i="5"/>
  <c r="P117" i="5"/>
  <c r="P116" i="5"/>
  <c r="P113" i="5"/>
  <c r="P111" i="5"/>
  <c r="P107" i="5"/>
  <c r="P104" i="5"/>
  <c r="P102" i="5"/>
  <c r="P95" i="5"/>
  <c r="P93" i="5"/>
  <c r="P82" i="5"/>
  <c r="P80" i="5"/>
  <c r="P77" i="5"/>
  <c r="R76" i="5"/>
  <c r="P74" i="5"/>
  <c r="P72" i="5"/>
  <c r="P71" i="5"/>
  <c r="P69" i="5"/>
  <c r="P66" i="5"/>
  <c r="Q64" i="5"/>
  <c r="P64" i="5" s="1"/>
  <c r="P62" i="5"/>
  <c r="R61" i="5"/>
  <c r="R60" i="5"/>
  <c r="R59" i="5"/>
  <c r="P52" i="5"/>
  <c r="P50" i="5"/>
  <c r="P47" i="5"/>
  <c r="P45" i="5"/>
  <c r="P41" i="5"/>
  <c r="P35" i="5"/>
  <c r="R33" i="5"/>
  <c r="P30" i="5"/>
  <c r="P28" i="5"/>
  <c r="P24" i="5"/>
  <c r="P20" i="5"/>
  <c r="P18" i="5"/>
  <c r="P16" i="5"/>
  <c r="P12" i="5"/>
  <c r="P10" i="5"/>
  <c r="R9" i="5"/>
  <c r="P7" i="5"/>
  <c r="P5" i="5"/>
  <c r="G7" i="5"/>
  <c r="K62" i="5"/>
  <c r="K205" i="5"/>
  <c r="K204" i="5"/>
  <c r="K202" i="5"/>
  <c r="K199" i="5"/>
  <c r="K192" i="5"/>
  <c r="K189" i="5"/>
  <c r="K187" i="5"/>
  <c r="K184" i="5"/>
  <c r="K182" i="5"/>
  <c r="K179" i="5"/>
  <c r="K177" i="5"/>
  <c r="K175" i="5"/>
  <c r="K173" i="5"/>
  <c r="K172" i="5"/>
  <c r="K169" i="5"/>
  <c r="K167" i="5"/>
  <c r="K164" i="5"/>
  <c r="K158" i="5"/>
  <c r="K152" i="5"/>
  <c r="M134" i="5"/>
  <c r="M132" i="5"/>
  <c r="K132" i="5" s="1"/>
  <c r="K127" i="5"/>
  <c r="K126" i="5"/>
  <c r="K121" i="5"/>
  <c r="K120" i="5"/>
  <c r="K117" i="5"/>
  <c r="K116" i="5"/>
  <c r="K113" i="5"/>
  <c r="K107" i="5"/>
  <c r="K104" i="5"/>
  <c r="K95" i="5"/>
  <c r="K93" i="5"/>
  <c r="K87" i="5"/>
  <c r="K84" i="5"/>
  <c r="K82" i="5"/>
  <c r="K80" i="5"/>
  <c r="K77" i="5"/>
  <c r="M76" i="5"/>
  <c r="K74" i="5"/>
  <c r="K72" i="5"/>
  <c r="K71" i="5"/>
  <c r="K69" i="5"/>
  <c r="K67" i="5"/>
  <c r="K66" i="5"/>
  <c r="K64" i="5"/>
  <c r="M61" i="5"/>
  <c r="M60" i="5"/>
  <c r="M59" i="5"/>
  <c r="K52" i="5"/>
  <c r="K47" i="5"/>
  <c r="K45" i="5"/>
  <c r="K41" i="5"/>
  <c r="M34" i="5"/>
  <c r="M33" i="5"/>
  <c r="K30" i="5"/>
  <c r="K28" i="5"/>
  <c r="K24" i="5"/>
  <c r="K22" i="5"/>
  <c r="K20" i="5"/>
  <c r="K18" i="5"/>
  <c r="K16" i="5"/>
  <c r="K14" i="5"/>
  <c r="K12" i="5"/>
  <c r="K10" i="5"/>
  <c r="M9" i="5"/>
  <c r="K7" i="5"/>
  <c r="G64" i="5"/>
  <c r="Y74" i="5" l="1"/>
  <c r="Y73" i="5"/>
  <c r="U82" i="5"/>
  <c r="Y79" i="5"/>
  <c r="Y78" i="5"/>
  <c r="U132" i="5"/>
  <c r="Y129" i="5"/>
  <c r="Y128" i="5"/>
  <c r="AD8" i="5"/>
  <c r="AD9" i="5"/>
  <c r="AD31" i="5"/>
  <c r="AD32" i="5"/>
  <c r="AD134" i="5"/>
  <c r="AD133" i="5"/>
  <c r="Y9" i="5"/>
  <c r="Y8" i="5"/>
  <c r="Y32" i="5"/>
  <c r="Y31" i="5"/>
  <c r="Y59" i="5"/>
  <c r="Y58" i="5"/>
  <c r="Y134" i="5"/>
  <c r="Y133" i="5"/>
  <c r="AD59" i="5"/>
  <c r="AD58" i="5"/>
  <c r="AD74" i="5"/>
  <c r="AD73" i="5"/>
  <c r="Z132" i="5"/>
  <c r="AD129" i="5"/>
  <c r="AD128" i="5"/>
  <c r="Z135" i="5"/>
  <c r="Z136" i="5"/>
  <c r="P136" i="5"/>
  <c r="P135" i="5"/>
  <c r="U136" i="5"/>
  <c r="U135" i="5"/>
  <c r="K135" i="5"/>
  <c r="K136" i="5"/>
  <c r="F14" i="5"/>
  <c r="F41" i="5"/>
  <c r="Y206" i="5" l="1"/>
  <c r="AD206" i="5"/>
  <c r="Y207" i="5"/>
  <c r="AD207" i="5"/>
  <c r="G135" i="5"/>
  <c r="BD31" i="7" s="1"/>
  <c r="BD3" i="7" s="1"/>
  <c r="G136" i="5"/>
  <c r="H136" i="5"/>
  <c r="H135" i="5"/>
  <c r="H192" i="5"/>
  <c r="H182" i="5"/>
  <c r="H181" i="5"/>
  <c r="H180" i="5"/>
  <c r="H158" i="5"/>
  <c r="H157" i="5"/>
  <c r="H156" i="5"/>
  <c r="CC180" i="5" l="1"/>
  <c r="CW180" i="5"/>
  <c r="CR180" i="5"/>
  <c r="CM180" i="5"/>
  <c r="CH180" i="5"/>
  <c r="BX180" i="5"/>
  <c r="BS180" i="5"/>
  <c r="BN180" i="5"/>
  <c r="BD180" i="5"/>
  <c r="AY180" i="5"/>
  <c r="AE180" i="5"/>
  <c r="Z180" i="5"/>
  <c r="U180" i="5"/>
  <c r="P180" i="5"/>
  <c r="F180" i="5"/>
  <c r="K180" i="5"/>
  <c r="H18" i="5"/>
  <c r="H12" i="5"/>
  <c r="H11" i="5"/>
  <c r="H10" i="5"/>
  <c r="H9" i="5"/>
  <c r="H33" i="5"/>
  <c r="H34" i="5"/>
  <c r="H35" i="5"/>
  <c r="H37" i="5"/>
  <c r="H59" i="5"/>
  <c r="H60" i="5"/>
  <c r="H61" i="5"/>
  <c r="H76" i="5"/>
  <c r="H82" i="5"/>
  <c r="H132" i="5"/>
  <c r="H134" i="5"/>
  <c r="F205" i="5" l="1"/>
  <c r="F204" i="5"/>
  <c r="F202" i="5"/>
  <c r="F199" i="5"/>
  <c r="F192" i="5"/>
  <c r="F189" i="5"/>
  <c r="F187" i="5"/>
  <c r="F184" i="5"/>
  <c r="F182" i="5"/>
  <c r="F179" i="5"/>
  <c r="F177" i="5"/>
  <c r="F175" i="5"/>
  <c r="F173" i="5"/>
  <c r="F172" i="5"/>
  <c r="F169" i="5"/>
  <c r="F167" i="5"/>
  <c r="F164" i="5"/>
  <c r="F158" i="5"/>
  <c r="F156" i="5"/>
  <c r="F154" i="5"/>
  <c r="F152" i="5"/>
  <c r="F135" i="5"/>
  <c r="F132" i="5"/>
  <c r="F130" i="5"/>
  <c r="F127" i="5"/>
  <c r="F126" i="5"/>
  <c r="F121" i="5"/>
  <c r="F120" i="5"/>
  <c r="F117" i="5"/>
  <c r="F116" i="5"/>
  <c r="F113" i="5"/>
  <c r="F111" i="5"/>
  <c r="F107" i="5"/>
  <c r="F106" i="5"/>
  <c r="F104" i="5"/>
  <c r="F102" i="5"/>
  <c r="F95" i="5"/>
  <c r="F93" i="5"/>
  <c r="F87" i="5"/>
  <c r="F84" i="5"/>
  <c r="F82" i="5"/>
  <c r="F80" i="5"/>
  <c r="F77" i="5"/>
  <c r="F74" i="5"/>
  <c r="F72" i="5"/>
  <c r="F71" i="5"/>
  <c r="F69" i="5"/>
  <c r="F67" i="5"/>
  <c r="F66" i="5"/>
  <c r="F64" i="5"/>
  <c r="F62" i="5"/>
  <c r="F52" i="5"/>
  <c r="F50" i="5"/>
  <c r="F47" i="5"/>
  <c r="F45" i="5"/>
  <c r="F35" i="5"/>
  <c r="F30" i="5"/>
  <c r="F28" i="5"/>
  <c r="F24" i="5"/>
  <c r="F22" i="5"/>
  <c r="F20" i="5"/>
  <c r="F18" i="5"/>
  <c r="F16" i="5"/>
  <c r="F12" i="5"/>
  <c r="F10" i="5"/>
  <c r="F5" i="5"/>
  <c r="F136" i="5" l="1"/>
  <c r="K50" i="5" l="1"/>
  <c r="K111" i="5"/>
  <c r="K102" i="5"/>
  <c r="P84" i="5"/>
  <c r="P87" i="5"/>
  <c r="P22" i="5"/>
  <c r="AS84" i="5" l="1"/>
  <c r="AS207" i="5" s="1"/>
  <c r="AS83" i="5"/>
  <c r="AS206" i="5" s="1"/>
  <c r="BI54" i="5" l="1"/>
  <c r="BM54" i="5"/>
  <c r="BM207" i="5" s="1"/>
  <c r="BN167" i="5"/>
  <c r="BR166" i="5"/>
  <c r="BR207" i="5" s="1"/>
  <c r="BN169" i="5"/>
  <c r="BR165" i="5"/>
  <c r="BR206" i="5" s="1"/>
  <c r="BY33" i="10" l="1"/>
  <c r="DR86" i="10"/>
</calcChain>
</file>

<file path=xl/comments1.xml><?xml version="1.0" encoding="utf-8"?>
<comments xmlns="http://schemas.openxmlformats.org/spreadsheetml/2006/main">
  <authors>
    <author>Поліщук Володимир Миколайович</author>
    <author/>
  </authors>
  <commentList>
    <comment ref="R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октябрь</t>
        </r>
      </text>
    </comment>
    <comment ref="Q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19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24.12. пришли счета</t>
        </r>
      </text>
    </comment>
    <comment ref="K32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Выставляется ремонтом автомобиля</t>
        </r>
      </text>
    </comment>
    <comment ref="K41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выросли оплата на 7000грн</t>
        </r>
      </text>
    </comment>
    <comment ref="O8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Q85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R9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август</t>
        </r>
      </text>
    </comment>
    <comment ref="Q141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Солыдарне утримання примыщення 1259,52 грн.+тех. Обсл. Внутридомовых сетей 1647,64грн</t>
        </r>
      </text>
    </comment>
    <comment ref="Q15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1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170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Тариф актив+ распределением</t>
        </r>
      </text>
    </comment>
    <comment ref="Q170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распределение 56677,65грн.+ актив 122 099,42 грн</t>
        </r>
      </text>
    </comment>
    <comment ref="S277" authorId="1" shapeId="0">
      <text>
        <r>
          <rPr>
            <b/>
            <sz val="9"/>
            <color rgb="FF000000"/>
            <rFont val="Tahoma"/>
            <family val="2"/>
            <charset val="204"/>
          </rPr>
          <t>Поліщук Володимир Миколайович:Сума разбита на цех, в том числе. </t>
        </r>
      </text>
    </comment>
    <comment ref="C278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Розбито (5308,6+3167,8)*1,2</t>
        </r>
      </text>
    </comment>
  </commentList>
</comments>
</file>

<file path=xl/comments2.xml><?xml version="1.0" encoding="utf-8"?>
<comments xmlns="http://schemas.openxmlformats.org/spreadsheetml/2006/main">
  <authors>
    <author>Поліщук Володимир Миколайович</author>
    <author/>
  </authors>
  <commentList>
    <comment ref="H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M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січень 50913,98 грн.</t>
        </r>
      </text>
    </comment>
    <comment ref="N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R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S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W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X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B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C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
</t>
        </r>
      </text>
    </comment>
    <comment ref="AH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AM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Q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R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AV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W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серпень 130588,31+ аванс на вересень 399432,60</t>
        </r>
      </text>
    </comment>
    <comment ref="BA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BB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</t>
        </r>
      </text>
    </comment>
    <comment ref="BG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K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BL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BV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BZ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A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CE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F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CJ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K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CO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P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CT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U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CY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Z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BG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абоненське обслуговування 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100 кВт 3 категории</t>
        </r>
      </text>
    </comment>
    <comment ref="I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R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вересень 2023</t>
        </r>
      </text>
    </comment>
    <comment ref="BB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R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W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+6%</t>
        </r>
      </text>
    </comment>
    <comment ref="AB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G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L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Q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V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A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F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K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P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U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Z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E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J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O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T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Y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I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R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
</t>
        </r>
        <r>
          <rPr>
            <sz val="9"/>
            <color indexed="81"/>
            <rFont val="Tahoma"/>
            <family val="2"/>
            <charset val="204"/>
          </rPr>
          <t>Оплата налічными в банк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заборгованості за: Жовтень, грудень 2021 та Листопад, Грудень 2022</t>
        </r>
      </text>
    </comment>
    <comment ref="I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R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30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Выставляется ремонтом автомобиля</t>
        </r>
      </text>
    </comment>
    <comment ref="AG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AL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AQ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D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4 числа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M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R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W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B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G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L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Q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V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A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F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K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P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U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Z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
</t>
        </r>
      </text>
    </comment>
    <comment ref="CE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J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O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T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Y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I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постачальник не виставив</t>
        </r>
      </text>
    </comment>
    <comment ref="S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2023</t>
        </r>
      </text>
    </comment>
    <comment ref="X4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 Рахунок на квітень, а платим як за </t>
        </r>
        <r>
          <rPr>
            <sz val="9"/>
            <color indexed="81"/>
            <rFont val="Tahoma"/>
            <family val="2"/>
            <charset val="204"/>
          </rPr>
          <t>Аванс травень 2023</t>
        </r>
      </text>
    </comment>
    <comment ref="AC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(рахунок) поставщик не виставив</t>
        </r>
      </text>
    </comment>
    <comment ref="AH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(рахунок) поставщик не виставив</t>
        </r>
      </text>
    </comment>
    <comment ref="AM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R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вересень 2023</t>
        </r>
      </text>
    </comment>
    <comment ref="AW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G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L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A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F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</t>
        </r>
      </text>
    </comment>
    <comment ref="S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</t>
        </r>
      </text>
    </comment>
    <comment ref="X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травень</t>
        </r>
      </text>
    </comment>
    <comment ref="AC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G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 2386,75+319,53(доплата за травень</t>
        </r>
      </text>
    </comment>
    <comment ref="AQ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липень 2023 385,46+ аванс вересень 3162,65</t>
        </r>
      </text>
    </comment>
    <comment ref="AV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жовтень 3777,36 грн+доплата за серпень 1 260,91 грн.</t>
        </r>
      </text>
    </comment>
    <comment ref="BB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Авас на листопад 2023+ доплата за вересень 585,75 грн</t>
        </r>
      </text>
    </comment>
    <comment ref="BG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</t>
        </r>
      </text>
    </comment>
    <comment ref="BL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січень2024</t>
        </r>
      </text>
    </comment>
    <comment ref="BV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M4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водоспоживання магазинів  за період лютий 2022 по січень 2023 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W4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C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J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M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O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R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S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W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B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G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L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Q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V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A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F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K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P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U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Z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E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J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O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T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Y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I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P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2 місяця</t>
        </r>
      </text>
    </comment>
    <comment ref="AR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запуск 31 марта 2023</t>
        </r>
      </text>
    </comment>
    <comment ref="X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154432,80 грн. квітень 2023, аванс 77216,40 грн. травень 2023</t>
        </r>
      </text>
    </comment>
    <comment ref="AC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F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17723кВт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H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</t>
        </r>
      </text>
    </comment>
    <comment ref="AK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 19770,3 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M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</t>
        </r>
      </text>
    </comment>
    <comment ref="AP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17723кВт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R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</t>
        </r>
      </text>
    </comment>
    <comment ref="BB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A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водоспоживання в червень (1300грн.) липень (1200 грн.)</t>
        </r>
      </text>
    </comment>
    <comment ref="C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 з 01.002.2023 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приєднана 120кВт Автомат 200А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електроенергії на квітень 2023</t>
        </r>
      </text>
    </comment>
    <comment ref="T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і березень 2023</t>
        </r>
      </text>
    </comment>
    <comment ref="X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B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не розрахував</t>
        </r>
      </text>
    </comment>
    <comment ref="AC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F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 два месяца</t>
        </r>
      </text>
    </comment>
    <comment ref="AH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BB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J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два місяця жовтень- листопад</t>
        </r>
      </text>
    </comment>
    <comment ref="BL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C6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 30.01.2023 </t>
        </r>
      </text>
    </comment>
    <comment ref="I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R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G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L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Q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A7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 перед за 3 полуги вересень-листопад 1 502,55</t>
        </r>
      </text>
    </comment>
    <comment ref="C7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Договір№ 24791/5-10 від 26.03.2021 р.</t>
        </r>
      </text>
    </comment>
    <comment ref="BB7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отсутствие Умов</t>
        </r>
      </text>
    </comment>
    <comment ref="AU8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РОЗРАХОВАНО НА 28.08. ОСТАТОЧНИЙ РОЗРАХУНОК ПО ВИЇЗДУ З ПРИМІЩЕННЯ.</t>
        </r>
      </text>
    </comment>
    <comment ref="F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K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M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</text>
    </comment>
    <comment ref="P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R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U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W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Z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B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E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G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J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L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O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Q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T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V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Y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A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D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F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I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K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N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P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S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U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X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Z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C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E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H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J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M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O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R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T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W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Y93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R9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скид з перевищення допустимих концентрацій в каналізаційні мережі м. Київ</t>
        </r>
      </text>
    </comment>
    <comment ref="I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R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L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N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S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X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B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квітень 21 996 грн.</t>
        </r>
      </text>
    </comment>
    <comment ref="AC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червень</t>
        </r>
      </text>
    </comment>
    <comment ref="AH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AM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серпень 2023 в розмірі 105032,87
Доплата за липень 41525,40 грн згідно вимоги  
</t>
        </r>
      </text>
    </comment>
    <comment ref="AR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на вересень 2023 в сумі 98 636,69 грн. Доплата за серпень 7 134,48 грн згідно вимоги</t>
        </r>
      </text>
    </comment>
    <comment ref="AW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Жовтень 2023 в сумі 102 326,95 грн. Доплата за вересень 21 386,15 грн згідно договору та вимоги </t>
        </r>
      </text>
    </comment>
    <comment ref="BB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2023 аванс  Листопад 168 530,77 грн</t>
        </r>
      </text>
    </comment>
    <comment ref="BG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L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Q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U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BV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A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F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K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P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U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Z10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J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M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R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W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B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G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L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Q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V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A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F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K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P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U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Z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E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J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O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T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Y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M10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водоспоживання магазинів  за період лютий 2022 по січень 2023 </t>
        </r>
      </text>
    </comment>
    <comment ref="S10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період лютий березень 2023</t>
        </r>
      </text>
    </comment>
    <comment ref="W10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період лютий березень 2023</t>
        </r>
      </text>
    </comment>
    <comment ref="I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N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R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W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L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Q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V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A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F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K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P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U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Z1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11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налічными в банк</t>
        </r>
      </text>
    </comment>
    <comment ref="J11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налічними в банк вмісто власника</t>
        </r>
      </text>
    </comment>
    <comment ref="D1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до 20 числа за выставленый месяц. Пшеничный попросил выставлять на оплату до 10.При возможности поднять вопрос об пересмотрении данного платежа
</t>
        </r>
      </text>
    </comment>
    <comment ref="BL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 100 000 кВт </t>
        </r>
      </text>
    </comment>
    <comment ref="BQ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січень 2024</t>
        </r>
      </text>
    </comment>
    <comment ref="BV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січень 2024</t>
        </r>
      </text>
    </comment>
    <comment ref="H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I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N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 на березень 2023</t>
        </r>
      </text>
    </comment>
    <comment ref="R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S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 53 900,44 </t>
        </r>
      </text>
    </comment>
    <comment ref="X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</t>
        </r>
      </text>
    </comment>
    <comment ref="AC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</t>
        </r>
      </text>
    </comment>
    <comment ref="AG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H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</t>
        </r>
      </text>
    </comment>
    <comment ref="AL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M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AR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на вересень 2023 в сумі 94 783,20 грн. Доплата за серпень 7 031,17 грн згідно вимоги. </t>
        </r>
      </text>
    </comment>
    <comment ref="AV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W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Жовтень 2023 в сумі 106 815,34 грн. Доплата за вересень 20 850,40 грн згідно договору та вимоги </t>
        </r>
      </text>
    </comment>
    <comment ref="BA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B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G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K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P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Q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BU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BV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BZ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A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CE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F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J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K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O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P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T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U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Y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Z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прибирання, мусор, вода, обслуговування КНС</t>
        </r>
      </text>
    </comment>
    <comment ref="AB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розібратись з нарахуванням мусору</t>
        </r>
      </text>
    </comment>
    <comment ref="D1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Компенсація за воду отримуємо в рахунку з експлуатаційними </t>
        </r>
      </text>
    </comment>
    <comment ref="N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 2023</t>
        </r>
      </text>
    </comment>
    <comment ref="S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</t>
        </r>
      </text>
    </comment>
    <comment ref="X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аванс квітень+травень</t>
        </r>
      </text>
    </comment>
    <comment ref="AC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BB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AF1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Початкові показник 226 м.куб., кінцевий показник - 334 м.куб. 108м3</t>
        </r>
      </text>
    </comment>
    <comment ref="BG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</t>
        </r>
      </text>
    </comment>
    <comment ref="H151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Солыдарне утримання примыщення 1259,52 грн.+тех. Обсл. Внутридомовых сетей 1647,64грн</t>
        </r>
      </text>
    </comment>
    <comment ref="BL15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разовий авансовий платіж по активній електроенергії. </t>
        </r>
      </text>
    </comment>
    <comment ref="M15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13.02.2023 Орендодавець відповів, що По реактиву не выставив дтек, мала сумма перетікання  </t>
        </r>
      </text>
    </comment>
    <comment ref="R15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13.02.2023 Орендодавець відповів, що По реактиву не выставив дтек, мала сумма перетікання  </t>
        </r>
      </text>
    </comment>
    <comment ref="BU15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Рахунок Скоригований на переплату фактичне споживання       1245,74 грн</t>
        </r>
      </text>
    </comment>
    <comment ref="H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M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R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W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B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G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Реструктуризований штраф за спожиту електроенергію з періоду 10.2022 по 06.2023р (206426 кВт/г.), що становить 1277212,90 грн.
22.06.2023 оплата 420000 грн.
21.07.2023 оплата 420000 грн.
21.08.2023 оплата 437212 грн 90к.</t>
        </r>
      </text>
    </comment>
    <comment ref="AL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Реструктуризований штраф за спожиту електроенергію з періоду 10.2022 по 06.2023р (206426 кВт/г.), що становить 1277212,90 грн.
22.06.2023 оплата 420000 грн.
10.07.2023 оплата 420000 грн.
___.08.2023 оплата 437212 грн 90к.</t>
        </r>
      </text>
    </comment>
    <comment ref="AQ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V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BB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U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BV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BZ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A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E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J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O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T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Y1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G16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Заборгованості 1086,75 оплата за серпень 2022 та фактичне споживання травня 786,24 грн</t>
        </r>
      </text>
    </comment>
    <comment ref="BF16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не зняв покази та ненадав рахунки, в наступному місяці за два</t>
        </r>
      </text>
    </comment>
    <comment ref="BK16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в жовтні не зняв покази та ненадав рахунки, тому в листопаді виставив за жовтень-листопад за два місяці</t>
        </r>
      </text>
    </comment>
    <comment ref="H16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Контрагент виставляє рахунки з урахуванням місця загального користування, надалі МЗК, компенсація яких не передбачено договором оренди. Проведені переговори, але через те, що орендодавець дає скидку по оренді, призупинили переговори.</t>
        </r>
      </text>
    </comment>
    <comment ref="L16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23475,30 кВт споживання магазину без МЗК</t>
        </r>
      </text>
    </comment>
    <comment ref="C17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Була підписана додаткова угода по зміні отримувача по комунальним послугам </t>
        </r>
      </text>
    </comment>
    <comment ref="AV17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 налога</t>
        </r>
      </text>
    </comment>
    <comment ref="M17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водоспоживання магазинів  за період лютий 2022 по січень 2023 </t>
        </r>
      </text>
    </comment>
    <comment ref="S17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 березні за період лютий-березень</t>
        </r>
      </text>
    </comment>
    <comment ref="W17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N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S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X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2023</t>
        </r>
      </text>
    </comment>
    <comment ref="AH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M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BB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G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L1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D18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распределению </t>
        </r>
      </text>
    </comment>
    <comment ref="S18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розподілу на лютий 2023</t>
        </r>
      </text>
    </comment>
    <comment ref="X18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розподілу на березень 2023</t>
        </r>
      </text>
    </comment>
    <comment ref="BL18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січень 2024</t>
        </r>
      </text>
    </comment>
    <comment ref="CA18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BB19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 по розподілу на листопад 2023. </t>
        </r>
      </text>
    </comment>
    <comment ref="BG19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жовтень75767,10+доплата жовтень 7864,08+аванс 28 620,89 на грудень  2023</t>
        </r>
      </text>
    </comment>
    <comment ref="AR19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скид з перевищення допустимих концентрацій в каналізаційні мережі м. Біла Церква</t>
        </r>
      </text>
    </comment>
    <comment ref="AW19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ховтень 2023</t>
        </r>
      </text>
    </comment>
    <comment ref="BB19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G19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грудень2023</t>
        </r>
      </text>
    </comment>
    <comment ref="AR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вересень 2023</t>
        </r>
      </text>
    </comment>
    <comment ref="AW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B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G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</t>
        </r>
      </text>
    </comment>
    <comment ref="BV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по ліміту</t>
        </r>
      </text>
    </comment>
    <comment ref="D20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ел/енергії  97 880,08 грн  оплата 23.09.2022 0:00</t>
        </r>
      </text>
    </comment>
  </commentList>
</comments>
</file>

<file path=xl/comments3.xml><?xml version="1.0" encoding="utf-8"?>
<comments xmlns="http://schemas.openxmlformats.org/spreadsheetml/2006/main">
  <authors>
    <author>Поліщук Володимир Миколайович</author>
    <author/>
  </authors>
  <commentList>
    <comment ref="DK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М18 Аванс  200000</t>
        </r>
      </text>
    </comment>
    <comment ref="FS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М18 Аванс  200000</t>
        </r>
      </text>
    </comment>
    <comment ref="IA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М18 Аванс  200000</t>
        </r>
      </text>
    </comment>
    <comment ref="I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J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N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січень 50913,98 грн.</t>
        </r>
      </text>
    </comment>
    <comment ref="O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T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X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Y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D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
</t>
        </r>
      </text>
    </comment>
    <comment ref="AI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AN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R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S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</t>
        </r>
      </text>
    </comment>
    <comment ref="AW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AX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серпень 130588,31+ аванс на вересень 399432,60</t>
        </r>
      </text>
    </comment>
    <comment ref="B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BC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</t>
        </r>
      </text>
    </comment>
    <comment ref="BH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L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BM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BW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A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F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G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CP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U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CV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CZ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A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DE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F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DJ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K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DO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P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DT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U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DY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DZ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EE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2025</t>
        </r>
      </text>
    </comment>
    <comment ref="EI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EJ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EN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EO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EX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C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D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H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I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FM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N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FR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S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FW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FX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G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GC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GG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GH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GM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2025</t>
        </r>
      </text>
    </comment>
    <comment ref="GQ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GR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GV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GW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HF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HK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HL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P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HQ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HU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HV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HZ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IA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IE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IF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IJ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IK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IO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68 546,23 грн.</t>
        </r>
      </text>
    </comment>
    <comment ref="IP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 2023</t>
        </r>
      </text>
    </comment>
    <comment ref="BH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абоненське обслуговування </t>
        </r>
      </text>
    </comment>
    <comment ref="BV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A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F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U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DE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ED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EI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EN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FC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FM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червень -серпень2024</t>
        </r>
      </text>
    </comment>
    <comment ref="GL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GQ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GV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HK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HU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червень -серпень2024</t>
        </r>
      </text>
    </comment>
    <comment ref="EH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січень-лютий 2025</t>
        </r>
      </text>
    </comment>
    <comment ref="GB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Миколайович:Оплптп за жовтень2025 + листопад 2025</t>
        </r>
      </text>
    </comment>
    <comment ref="GP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січень-лютий 2025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100 кВт 3 категории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S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вересень 2023</t>
        </r>
      </text>
    </comment>
    <comment ref="BC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L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T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I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B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Q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N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S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X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+6%</t>
        </r>
      </text>
    </comment>
    <comment ref="AC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H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M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R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AW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B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G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L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Q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BV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A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F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K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P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U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CZ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E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J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O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T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Y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ED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EI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EN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ES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EX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FC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FH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FM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FR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FW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GB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GG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GL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GQ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GV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A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F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K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P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U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HZ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IE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IJ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IO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S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2023березень 2024</t>
        </r>
      </text>
    </comment>
    <comment ref="CL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2023березень 2024</t>
        </r>
      </text>
    </comment>
    <comment ref="ET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2023березень 2024</t>
        </r>
      </text>
    </comment>
    <comment ref="HB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2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
</t>
        </r>
        <r>
          <rPr>
            <sz val="9"/>
            <color indexed="81"/>
            <rFont val="Tahoma"/>
            <family val="2"/>
            <charset val="204"/>
          </rPr>
          <t>Оплата налічными в банк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 серпня 2024 сплачували на ТОВ "Ковальська -Житлосервіс".                      Власник приміщення перезаключив договір на себе, компенсація.                 Вересень-листопад2024 сплачували на Пластун+5%
</t>
        </r>
      </text>
    </comment>
    <comment ref="O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заборгованості за: Жовтень, грудень 2021 та Листопад, Грудень 2022</t>
        </r>
      </text>
    </comment>
    <comment ref="DT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
</t>
        </r>
      </text>
    </comment>
    <comment ref="DY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 
8735,36 +6%</t>
        </r>
      </text>
    </comment>
    <comment ref="FC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H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M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R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GB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
</t>
        </r>
      </text>
    </comment>
    <comment ref="HK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P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U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Z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IJ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
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 серпня 2024 сплачували на ТОВ "Ковальська -Житлосервіс".                      Власник приміщення перезаключив договір на себе, компенсація.                 Вересень-листопад2024 сплачували на Пластун+5%
</t>
        </r>
      </text>
    </comment>
    <comment ref="DT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</t>
        </r>
      </text>
    </comment>
    <comment ref="DY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 
 5836,12 +6%</t>
        </r>
      </text>
    </comment>
    <comment ref="FC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H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M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R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GB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</t>
        </r>
      </text>
    </comment>
    <comment ref="HK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P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U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Z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IJ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Вересень-листопад2024  +5%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S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N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V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3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35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Выставляется ремонтом автомобиля</t>
        </r>
      </text>
    </comment>
    <comment ref="FC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H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FM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K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P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HU3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нараховує на суму 1,064% податка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По договору оренди плачуємо додатково</t>
        </r>
        <r>
          <rPr>
            <sz val="9"/>
            <color indexed="81"/>
            <rFont val="Tahoma"/>
            <family val="2"/>
            <charset val="204"/>
          </rPr>
          <t xml:space="preserve">
1. Послуга із забезпечення технічної
можливості для постачання електричної та
теплової енергії 7%
2.Обробка даних(зняття показника лічильника
подання звітності та інше)3%</t>
        </r>
      </text>
    </comment>
    <comment ref="AH3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AM3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AR3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змінилась площа орендуємого приміщення, підвал повернули орендодавцю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
По договору оренди сплачуємо </t>
        </r>
        <r>
          <rPr>
            <sz val="9"/>
            <color indexed="81"/>
            <rFont val="Tahoma"/>
            <family val="2"/>
            <charset val="204"/>
          </rPr>
          <t xml:space="preserve">
1. Послуга із забезпечення технічнї можливості
для постачання води 7%
2.Обробка даних(зняття показника лічильника
подання звітності та інше)3%</t>
        </r>
      </text>
    </comment>
    <comment ref="E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4 числа</t>
        </r>
      </text>
    </comment>
    <comment ref="I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N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S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X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C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H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M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R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AW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B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G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L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Q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BV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A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
</t>
        </r>
      </text>
    </comment>
    <comment ref="CF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K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P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U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CZ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DE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DJ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DO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DT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DY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ED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EI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EN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ES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EX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FC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FH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FM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FR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FW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GB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GG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GL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GQ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GV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A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F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K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P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U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HZ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IE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IJ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IO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до 10 числа</t>
        </r>
      </text>
    </comment>
    <comment ref="J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постачальник не виставив</t>
        </r>
      </text>
    </comment>
    <comment ref="T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2023</t>
        </r>
      </text>
    </comment>
    <comment ref="Y47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 Рахунок на квітень, а платим як за </t>
        </r>
        <r>
          <rPr>
            <sz val="9"/>
            <color indexed="81"/>
            <rFont val="Tahoma"/>
            <family val="2"/>
            <charset val="204"/>
          </rPr>
          <t>Аванс травень 2023</t>
        </r>
      </text>
    </comment>
    <comment ref="AD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(рахунок) поставщик не виставив</t>
        </r>
      </text>
    </comment>
    <comment ref="AI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(рахунок) поставщик не виставив</t>
        </r>
      </text>
    </comment>
    <comment ref="AN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S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вересень 2023</t>
        </r>
      </text>
    </comment>
    <comment ref="AX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H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M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B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G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L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EJ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EO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T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I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GR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GW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B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Q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</t>
        </r>
      </text>
    </comment>
    <comment ref="T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</t>
        </r>
      </text>
    </comment>
    <comment ref="Y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травень</t>
        </r>
      </text>
    </comment>
    <comment ref="AD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H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 2386,75+319,53(доплата за травень</t>
        </r>
      </text>
    </comment>
    <comment ref="AR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липень 2023 385,46+ аванс вересень 3162,65</t>
        </r>
      </text>
    </comment>
    <comment ref="AW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жовтень 3777,36 грн+доплата за серпень 1 260,91 грн.</t>
        </r>
      </text>
    </comment>
    <comment ref="BC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Авас на листопад 2023+ доплата за вересень 585,75 грн</t>
        </r>
      </text>
    </comment>
    <comment ref="BH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</t>
        </r>
      </text>
    </comment>
    <comment ref="BM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січень2024</t>
        </r>
      </text>
    </comment>
    <comment ref="BV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BW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CA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CB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CG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</t>
        </r>
      </text>
    </comment>
    <comment ref="ED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EE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EI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EJ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EO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</t>
        </r>
      </text>
    </comment>
    <comment ref="EY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 2025</t>
        </r>
      </text>
    </comment>
    <comment ref="FD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серпень 2025</t>
        </r>
      </text>
    </comment>
    <comment ref="GL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GM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Fdfyc yf </t>
        </r>
      </text>
    </comment>
    <comment ref="GQ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GR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GW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</t>
        </r>
      </text>
    </comment>
    <comment ref="HG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 2025</t>
        </r>
      </text>
    </comment>
    <comment ref="HL4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серпень 2025</t>
        </r>
      </text>
    </comment>
    <comment ref="N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водоспоживання магазинів  за період лютий 2022 по січень 2023 </t>
        </r>
      </text>
    </comment>
    <comment ref="T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X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BV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A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F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CU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DE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ED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EI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EN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FC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FH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FM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GL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GQ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GV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 за періол січень-березень 2024</t>
        </r>
      </text>
    </comment>
    <comment ref="HK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травень-червень 2024</t>
        </r>
      </text>
    </comment>
    <comment ref="HP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HU5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за липень-серпень 2024</t>
        </r>
      </text>
    </comment>
    <comment ref="EH5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січень-лютий 2025</t>
        </r>
      </text>
    </comment>
    <comment ref="GP5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січень-лютий 2025</t>
        </r>
      </text>
    </comment>
    <comment ref="D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I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K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N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P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T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X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C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H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M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R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AW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B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G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L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Q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BV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A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F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K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P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U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CZ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E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J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O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T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Y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ED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EI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EN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ES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EX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FC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FH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FM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FR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FW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GB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GG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GL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GQ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GV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A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F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K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P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U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HZ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IE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IJ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IO6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ОПЛАЧИВАЕТ РАЗВИТИЕ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 2023</t>
        </r>
      </text>
    </comment>
    <comment ref="AQ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2 місяця</t>
        </r>
      </text>
    </comment>
    <comment ref="AS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6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R6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фактично виставлено за 172 (м3) =8596,56грн  </t>
        </r>
      </text>
    </comment>
    <comment ref="HZ6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фактично виставлено за 172 (м3) =8596,56грн  </t>
        </r>
      </text>
    </comment>
    <comment ref="C6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запуск 31 марта 2023</t>
        </r>
      </text>
    </comment>
    <comment ref="D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Y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154432,80 грн. квітень 2023, аванс 77216,40 грн. травень 2023</t>
        </r>
      </text>
    </comment>
    <comment ref="AD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G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17723кВт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I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</t>
        </r>
      </text>
    </comment>
    <comment ref="AL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 19770,3 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N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серпень</t>
        </r>
      </text>
    </comment>
    <comment ref="AQ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17723кВт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S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</t>
        </r>
      </text>
    </comment>
    <comment ref="BC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CV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FD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HL6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BB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водоспоживання в червень (1300грн.) липень (1200 грн.)</t>
        </r>
      </text>
    </comment>
    <comment ref="CF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за водоспоживання в лютому-березні 2024</t>
        </r>
      </text>
    </comment>
    <comment ref="CZ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воду
1.Червень 4300
2. Травень 4000
3.Квітень 2000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EN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за водоспоживання в лютому-березні 2024</t>
        </r>
      </text>
    </comment>
    <comment ref="FH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воду
1.Червень 4300
2. Травень 4000
3.Квітень 2000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V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за водоспоживання в лютому-березні 2024</t>
        </r>
      </text>
    </comment>
    <comment ref="HP6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
Оплата за воду
1.Червень 4300
2. Травень 4000
3.Квітень 2000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E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приєднана 120кВт Автомат 200А</t>
        </r>
      </text>
    </comment>
    <comment ref="T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електроенергії на квітень 2023</t>
        </r>
      </text>
    </comment>
    <comment ref="U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і березень 2023</t>
        </r>
      </text>
    </comment>
    <comment ref="Y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не розрахував</t>
        </r>
      </text>
    </comment>
    <comment ref="AD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G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 два месяца</t>
        </r>
      </text>
    </comment>
    <comment ref="AI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BC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K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за два місяця жовтень- листопад</t>
        </r>
      </text>
    </comment>
    <comment ref="BM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CG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V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EO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FD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GW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L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7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 30.01.2023 </t>
        </r>
      </text>
    </comment>
    <comment ref="CA7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січень-лютий 2024</t>
        </r>
      </text>
    </comment>
    <comment ref="EI7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січень-лютий 2024</t>
        </r>
      </text>
    </comment>
    <comment ref="GQ7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січень-лютий 2024</t>
        </r>
      </text>
    </comment>
    <comment ref="D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S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H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M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R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Авансчервень 2024</t>
        </r>
      </text>
    </comment>
    <comment ref="DA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Авансчервень 2024</t>
        </r>
      </text>
    </comment>
    <comment ref="FI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Авансчервень 2024</t>
        </r>
      </text>
    </comment>
    <comment ref="HQ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8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B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 перед за 3 полуги вересень-листопад 1 502,55</t>
        </r>
      </text>
    </comment>
    <comment ref="BV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водопровідних мереж за счінь,лютий, березень 2024</t>
        </r>
      </text>
    </comment>
    <comment ref="CK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вітень, травень, червень 2024</t>
        </r>
      </text>
    </comment>
    <comment ref="ED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водопровідних мереж за счінь,лютий, березень 2024</t>
        </r>
      </text>
    </comment>
    <comment ref="ES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вітень, травень, червень 2024</t>
        </r>
      </text>
    </comment>
    <comment ref="GL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водопровідних мереж за счінь,лютий, березень 2024</t>
        </r>
      </text>
    </comment>
    <comment ref="HA8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вітень, травень, червень 2024</t>
        </r>
      </text>
    </comment>
    <comment ref="D8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Договір№ 24791/5-10 від 26.03.2021 р.</t>
        </r>
      </text>
    </comment>
    <comment ref="BC8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отсутствие Умов</t>
        </r>
      </text>
    </comment>
    <comment ref="AV9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РОЗРАХОВАНО НА 28.08. ОСТАТОЧНИЙ РОЗРАХУНОК ПО ВИЇЗДУ З ПРИМІЩЕННЯ.</t>
        </r>
      </text>
    </comment>
    <comment ref="BV10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 Період стройки сплата орендодавцю </t>
        </r>
        <r>
          <rPr>
            <sz val="9"/>
            <color indexed="81"/>
            <rFont val="Tahoma"/>
            <family val="2"/>
            <charset val="204"/>
          </rPr>
          <t>ТОВ "ГТ РІТЕЙЛ"</t>
        </r>
      </text>
    </comment>
    <comment ref="CV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ED10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 Період стройки сплата орендодавцю </t>
        </r>
        <r>
          <rPr>
            <sz val="9"/>
            <color indexed="81"/>
            <rFont val="Tahoma"/>
            <family val="2"/>
            <charset val="204"/>
          </rPr>
          <t>ТОВ "ГТ РІТЕЙЛ"</t>
        </r>
      </text>
    </comment>
    <comment ref="FD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GL102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Поліщук Володимир Миколайович: Період стройки сплата орендодавцю </t>
        </r>
        <r>
          <rPr>
            <sz val="9"/>
            <color indexed="81"/>
            <rFont val="Tahoma"/>
            <family val="2"/>
            <charset val="204"/>
          </rPr>
          <t>ТОВ "ГТ РІТЕЙЛ"</t>
        </r>
      </text>
    </comment>
    <comment ref="HL10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CF10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виставив за 3ри місяця (січень-березень)</t>
        </r>
      </text>
    </comment>
    <comment ref="EN10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виставив за 3ри місяця (січень-березень)</t>
        </r>
      </text>
    </comment>
    <comment ref="GV10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Орендодавець виставив за 3ри місяця (січень-березень)</t>
        </r>
      </text>
    </comment>
    <comment ref="G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I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L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N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</text>
    </comment>
    <comment ref="Q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S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V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X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A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C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F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H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K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M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P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R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U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AW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Z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B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E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G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J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L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O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Q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T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BV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BY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A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D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F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I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K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N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P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S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U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CX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CZ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DC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DE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DH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DJ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DM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DO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DR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DT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DW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DY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EB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ED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EG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EI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EL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EN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EQ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ES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EV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EX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A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FC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F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FH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K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FM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P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FR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U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FW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FZ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GB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GE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GG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GJ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GL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GO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GQ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GT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GV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GY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A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HD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F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HI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K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HN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P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HS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U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HX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HZ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IC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IE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IH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IJ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IM10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На тариф набрасывают 6%</t>
        </r>
      </text>
    </comment>
    <comment ref="IO106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На тариф набрасывают 6%</t>
        </r>
      </text>
    </comment>
    <comment ref="AS10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скид з перевищення допустимих концентрацій в каналізаційні мережі м. Київ</t>
        </r>
      </text>
    </comment>
    <comment ref="D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S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M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I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Q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11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B1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39м3</t>
        </r>
      </text>
    </comment>
    <comment ref="HJ1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39м3</t>
        </r>
      </text>
    </comment>
    <comment ref="CF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сплачено в квітні</t>
        </r>
      </text>
    </comment>
    <comment ref="CK1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березень-квітень 2024</t>
        </r>
      </text>
    </comment>
    <comment ref="J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T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Y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C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квітень 21 996 грн.</t>
        </r>
      </text>
    </comment>
    <comment ref="AD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червень</t>
        </r>
      </text>
    </comment>
    <comment ref="AI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AN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серпень 2023 в розмірі 105032,87
Доплата за липень 41525,40 грн згідно вимоги  
</t>
        </r>
      </text>
    </comment>
    <comment ref="AS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на вересень 2023 в сумі 98 636,69 грн. Доплата за серпень 7 134,48 грн згідно вимоги</t>
        </r>
      </text>
    </comment>
    <comment ref="AX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Жовтень 2023 в сумі 102 326,95 грн. Доплата за вересень 21 386,15 грн згідно договору та вимоги </t>
        </r>
      </text>
    </comment>
    <comment ref="BC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2023 аванс  Листопад 168 530,77 грн</t>
        </r>
      </text>
    </comment>
    <comment ref="BH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M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R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BV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BW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B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G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L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Q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CV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 червень 2024  </t>
        </r>
      </text>
    </comment>
    <comment ref="DA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DF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DK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DP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DU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ED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EE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EJ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EO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ET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EY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FD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 червень 2024  </t>
        </r>
      </text>
    </comment>
    <comment ref="FI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FN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FS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FX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GC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GH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GL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GM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GR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GW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HB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HG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HL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 червень 2024  </t>
        </r>
      </text>
    </comment>
    <comment ref="HQ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HV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IA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IF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IK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IP12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2023 Лютий 100000 грн</t>
        </r>
      </text>
    </comment>
    <comment ref="I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K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N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S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X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C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H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M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R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AW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B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G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L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Q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BV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A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F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K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P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U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CZ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DE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DJ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DO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DT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DY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ED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EI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EN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ES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EX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FC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FH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FM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FR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FW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GB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GG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GL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GQ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GV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A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F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K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P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U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HZ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IE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IJ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IO12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Не виставляють</t>
        </r>
      </text>
    </comment>
    <comment ref="N12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водоспоживання магазинів  за період лютий 2022 по січень 2023 </t>
        </r>
      </text>
    </comment>
    <comment ref="T12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період лютий березень 2023</t>
        </r>
      </text>
    </comment>
    <comment ref="X12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період лютий березень 2023</t>
        </r>
      </text>
    </comment>
    <comment ref="D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J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O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AS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AX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C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M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R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BW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B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G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CL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Q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CV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A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F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K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P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U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Z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E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J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O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T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EY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D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I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N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S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FX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C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H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M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R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GW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HB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G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L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Q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HV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A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F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K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IP12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2023</t>
        </r>
      </text>
    </comment>
    <comment ref="D1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налічными в банк</t>
        </r>
      </text>
    </comment>
    <comment ref="K1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налічними в банк вмісто власника</t>
        </r>
      </text>
    </comment>
    <comment ref="E1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до 20 числа за выставленый месяц. Пшеничный попросил выставлять на оплату до 10.При возможности поднять вопрос об пересмотрении данного платежа
</t>
        </r>
      </text>
    </comment>
    <comment ref="CV1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Сплачений аванс на липень</t>
        </r>
      </text>
    </comment>
    <comment ref="FD1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Сплачений аванс на липень</t>
        </r>
      </text>
    </comment>
    <comment ref="HL1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Сплачений аванс на липень</t>
        </r>
      </text>
    </comment>
    <comment ref="BM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 100 000 кВт </t>
        </r>
      </text>
    </comment>
    <comment ref="BR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січень 2024</t>
        </r>
      </text>
    </comment>
    <comment ref="BW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січень 2024</t>
        </r>
      </text>
    </comment>
    <comment ref="CB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кВтлютий 2024</t>
        </r>
      </text>
    </comment>
    <comment ref="CG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березень 2024</t>
        </r>
      </text>
    </comment>
    <comment ref="CL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квітень 2024</t>
        </r>
      </text>
    </comment>
    <comment ref="EE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січень 2024</t>
        </r>
      </text>
    </comment>
    <comment ref="EJ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кВтлютий 2024</t>
        </r>
      </text>
    </comment>
    <comment ref="EO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березень 2024</t>
        </r>
      </text>
    </comment>
    <comment ref="ET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квітень 2024</t>
        </r>
      </text>
    </comment>
    <comment ref="GM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 2026</t>
        </r>
      </text>
    </comment>
    <comment ref="GR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кВтлютий 2024</t>
        </r>
      </text>
    </comment>
    <comment ref="GW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березень 2024</t>
        </r>
      </text>
    </comment>
    <comment ref="HB1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до ліміта 100 кВт квітень 2024</t>
        </r>
      </text>
    </comment>
    <comment ref="CV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DA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FD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FI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HL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HQ13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через заміну рахунку від постачальника</t>
        </r>
      </text>
    </comment>
    <comment ref="I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J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O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 на березень 2023</t>
        </r>
      </text>
    </comment>
    <comment ref="S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T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 53 900,44 </t>
        </r>
      </text>
    </comment>
    <comment ref="Y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</t>
        </r>
      </text>
    </comment>
    <comment ref="AD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</t>
        </r>
      </text>
    </comment>
    <comment ref="AH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I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липень</t>
        </r>
      </text>
    </comment>
    <comment ref="AM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N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AS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на вересень 2023 в сумі 94 783,20 грн. Доплата за серпень 7 031,17 грн згідно вимоги. </t>
        </r>
      </text>
    </comment>
    <comment ref="AW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AX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електроенергії, аванса на Жовтень 2023 в сумі 106 815,34 грн. Доплата за вересень 20 850,40 грн згідно договору та вимоги </t>
        </r>
      </text>
    </comment>
    <comment ref="BB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C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H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L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Q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BR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BV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BW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A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B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CG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K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L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CP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Q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CU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CV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CZ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DA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F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J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DK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O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DP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T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DU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DX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Згорів лічильник, на даний час споживання без обліку, ДТЕК проведе донарахування </t>
        </r>
      </text>
    </comment>
    <comment ref="DY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DZ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EC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Згорів лічильник, на даний час споживання без обліку, ДТЕК проведе донарахування </t>
        </r>
      </text>
    </comment>
    <comment ref="ED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EE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EI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EJ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EO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ES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ET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EX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EY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FC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FD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FH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FI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FN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FR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FS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FW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FX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GB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GC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GH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GL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GM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GQ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GR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GW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HA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HB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HF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HG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HK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HL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HP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HQ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HV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HZ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IA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IE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IF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IJ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IK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IO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IP1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</t>
        </r>
      </text>
    </comment>
    <comment ref="E1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прибирання, мусор, вода, обслуговування КНС</t>
        </r>
      </text>
    </comment>
    <comment ref="AC1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розібратись з нарахуванням мусору</t>
        </r>
      </text>
    </comment>
    <comment ref="CJ14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Остаточний розрахунок, перехід на прямий договір ОБЛЕНЕРГО</t>
        </r>
      </text>
    </comment>
    <comment ref="CV14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ER14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Остаточний розрахунок, перехід на прямий договір ОБЛЕНЕРГО</t>
        </r>
      </text>
    </comment>
    <comment ref="GZ14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Остаточний розрахунок, перехід на прямий договір ОБЛЕНЕРГО</t>
        </r>
      </text>
    </comment>
    <comment ref="FS1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2025</t>
        </r>
      </text>
    </comment>
    <comment ref="IA1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2025</t>
        </r>
      </text>
    </comment>
    <comment ref="E14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Компенсація за воду отримуємо в рахунку з експлуатаційними </t>
        </r>
      </text>
    </comment>
    <comment ref="D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O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березень 2023</t>
        </r>
      </text>
    </comment>
    <comment ref="T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</t>
        </r>
      </text>
    </comment>
    <comment ref="Y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аванс квітень+травень</t>
        </r>
      </text>
    </comment>
    <comment ref="AD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2023</t>
        </r>
      </text>
    </comment>
    <comment ref="AI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липень 2023</t>
        </r>
      </text>
    </comment>
    <comment ref="BC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CV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FD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HL14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AG1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Початкові показник 226 м.куб., кінцевий показник - 334 м.куб. 108м3</t>
        </r>
      </text>
    </comment>
    <comment ref="CF1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води з листопада 2023 по березень2024</t>
        </r>
      </text>
    </comment>
    <comment ref="EN1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води з листопада 2023 по березень2024</t>
        </r>
      </text>
    </comment>
    <comment ref="FQ1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початковий
показник 799,26 м.куб., кінцевий показник - 859,70 м.куб.</t>
        </r>
      </text>
    </comment>
    <comment ref="GV1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води з січень- березень2026</t>
        </r>
      </text>
    </comment>
    <comment ref="BH14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</t>
        </r>
      </text>
    </comment>
    <comment ref="CF1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комунальних послуг за березень 2024
Постачальник активної електроенергії надасть орендодавцю документи в травні. У зв'язку з квартальним звітом бухгалтерії, за для своєчасного проведення затрати, було домовленості з орендодавцем  про сплату  по тарифу Київських мереж березня нашого орендаря м7. Після отримання в травні документів провести перерахунок, якщо ціна буде відрізняється.</t>
        </r>
      </text>
    </comment>
    <comment ref="EN1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комунальних послуг за березень 2024
Постачальник активної електроенергії надасть орендодавцю документи в травні. У зв'язку з квартальним звітом бухгалтерії, за для своєчасного проведення затрати, було домовленості з орендодавцем  про сплату  по тарифу Київських мереж березня нашого орендаря м7. Після отримання в травні документів провести перерахунок, якщо ціна буде відрізняється.</t>
        </r>
      </text>
    </comment>
    <comment ref="GV15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Відшкодування комунальних послуг за березень 2024
Постачальник активної електроенергії надасть орендодавцю документи в травні. У зв'язку з квартальним звітом бухгалтерії, за для своєчасного проведення затрати, було домовленості з орендодавцем  про сплату  по тарифу Київських мереж березня нашого орендаря м7. Після отримання в травні документів провести перерахунок, якщо ціна буде відрізняється.</t>
        </r>
      </text>
    </comment>
    <comment ref="C16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Відкриття 05.12.2025</t>
        </r>
      </text>
    </comment>
    <comment ref="I171" authorId="1" shapeId="0">
      <text>
        <r>
          <rPr>
            <b/>
            <sz val="9"/>
            <color rgb="FF000000"/>
            <rFont val="Tahoma"/>
            <family val="2"/>
            <charset val="204"/>
          </rPr>
          <t xml:space="preserve">Поліщук Володимир Миколайович:
</t>
        </r>
        <r>
          <rPr>
            <sz val="9"/>
            <color rgb="FF000000"/>
            <rFont val="Tahoma"/>
            <family val="2"/>
            <charset val="204"/>
          </rPr>
          <t>Солыдарне утримання примыщення 1259,52 грн.+тех. Обсл. Внутридомовых сетей 1647,64грн</t>
        </r>
      </text>
    </comment>
    <comment ref="FM17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Компенсація  солідарне утримання будівлі та техн. обслуг. внутр.-будин. мереж за період : травень-серпень 2025р 
До травня за солідарне утримання виставляли бухгалер оренди.
солідарне утримання 2020,91грн.
техн. обслуг. внутр.-будин. мереж  1647,64 грн.
3668,56*4
</t>
        </r>
      </text>
    </comment>
    <comment ref="HU17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Компенсація  солідарне утримання будівлі та техн. обслуг. внутр.-будин. мереж за період : травень-серпень 2025р 
До травня за солідарне утримання виставляли бухгалер оренди.
солідарне утримання 2020,91грн.
техн. обслуг. внутр.-будин. мереж  1647,64 грн.
3668,56*4
</t>
        </r>
      </text>
    </comment>
    <comment ref="BM17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разовий авансовий платіж по активній електроенергії. </t>
        </r>
      </text>
    </comment>
    <comment ref="N17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13.02.2023 Орендодавець відповів, що По реактиву не выставив дтек, мала сумма перетікання  </t>
        </r>
      </text>
    </comment>
    <comment ref="S17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13.02.2023 Орендодавець відповів, що По реактиву не выставив дтек, мала сумма перетікання  </t>
        </r>
      </text>
    </comment>
    <comment ref="BV1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Рахунок Скоригований на переплату фактичне споживання       1245,74 грн</t>
        </r>
      </text>
    </comment>
    <comment ref="ED1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Рахунок Скоригований на переплату фактичне споживання       1245,74 грн</t>
        </r>
      </text>
    </comment>
    <comment ref="GL17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Рахунок Скоригований на переплату фактичне споживання       1245,74 грн</t>
        </r>
      </text>
    </comment>
    <comment ref="I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N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S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X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C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H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Реструктуризований штраф за спожиту електроенергію з періоду 10.2022 по 06.2023р (206426 кВт/г.), що становить 1277212,90 грн.
22.06.2023 оплата 420000 грн.
21.07.2023 оплата 420000 грн.
21.08.2023 оплата 437212 грн 90к.</t>
        </r>
      </text>
    </comment>
    <comment ref="AM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Реструктуризований штраф за спожиту електроенергію з періоду 10.2022 по 06.2023р (206426 кВт/г.), що становить 1277212,90 грн.
22.06.2023 оплата 420000 грн.
10.07.2023 оплата 420000 грн.
___.08.2023 оплата 437212 грн 90к.</t>
        </r>
      </text>
    </comment>
    <comment ref="AR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W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BC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V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BW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CA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B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CG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K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P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U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CV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CZ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DE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DY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ED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EE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EI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EJ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EO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ES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EX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FC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FD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H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FM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FW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GB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GG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GL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GM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січень 2024</t>
        </r>
      </text>
    </comment>
    <comment ref="GQ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GR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лютий 2024</t>
        </r>
      </text>
    </comment>
    <comment ref="GW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HA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HF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HK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HL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P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HU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IE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IJ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IO18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актив 130624,84 грн+распределение 41676,74 грн</t>
        </r>
      </text>
    </comment>
    <comment ref="AH18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Заборгованості 1086,75 оплата за серпень 2022 та фактичне споживання травня 786,24 грн</t>
        </r>
      </text>
    </comment>
    <comment ref="BG18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не зняв покази та ненадав рахунки, в наступному місяці за два</t>
        </r>
      </text>
    </comment>
    <comment ref="BL18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Постачальник в жовтні не зняв покази та ненадав рахунки, тому в листопаді виставив за жовтень-листопад за два місяці</t>
        </r>
      </text>
    </comment>
    <comment ref="I18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Контрагент виставляє рахунки з урахуванням місця загального користування, надалі МЗК, компенсація яких не передбачено договором оренди. Проведені переговори, але через те, що орендодавець дає скидку по оренді, призупинили переговори.</t>
        </r>
      </text>
    </comment>
    <comment ref="M18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23475,30 кВт споживання магазину без МЗК</t>
        </r>
      </text>
    </comment>
    <comment ref="D19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Була підписана додаткова угода по зміні отримувача по комунальним послугам </t>
        </r>
      </text>
    </comment>
    <comment ref="AW19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+5% налога</t>
        </r>
      </text>
    </comment>
    <comment ref="DU19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Втрати 50% від рахунків ОСББ за (жовтень,листопад)</t>
        </r>
      </text>
    </comment>
    <comment ref="D19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Була підписана додаткова угода по зміні отримувача по комунальним послугам </t>
        </r>
      </text>
    </comment>
    <comment ref="N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водоспоживання магазинів  за період лютий 2022 по січень 2023 </t>
        </r>
      </text>
    </comment>
    <comment ref="T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в березні за період лютий-березень</t>
        </r>
      </text>
    </comment>
    <comment ref="X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 за період лютий березень 2023</t>
        </r>
      </text>
    </comment>
    <comment ref="DS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жовтень-грудень 2024</t>
        </r>
      </text>
    </comment>
    <comment ref="DX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жовтень-грудень 2024</t>
        </r>
      </text>
    </comment>
    <comment ref="ED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Перша сплата на КП БУЧАСЕРВІС</t>
        </r>
      </text>
    </comment>
    <comment ref="FR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серпень-вересень 2025</t>
        </r>
      </text>
    </comment>
    <comment ref="GL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Перша сплата на КП БУЧАСЕРВІС</t>
        </r>
      </text>
    </comment>
    <comment ref="HZ1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серпень-вересень 2025</t>
        </r>
      </text>
    </comment>
    <comment ref="D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Зміна постачальника 3з 02.2024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2023</t>
        </r>
      </text>
    </comment>
    <comment ref="T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квітень 2023</t>
        </r>
      </text>
    </comment>
    <comment ref="Y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травень 2023</t>
        </r>
      </text>
    </comment>
    <comment ref="AD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2023</t>
        </r>
      </text>
    </comment>
    <comment ref="AI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на червень і Аванс липень
 2023</t>
        </r>
      </text>
    </comment>
    <comment ref="AN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ЛИПЕНЬ Аванс СЕРПЕНЬ 2023</t>
        </r>
      </text>
    </comment>
    <comment ref="BC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H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 2023</t>
        </r>
      </text>
    </comment>
    <comment ref="BM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CG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EO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GW19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березень 2024</t>
        </r>
      </text>
    </comment>
    <comment ref="DT19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із них заборгованість 6811,46 грн</t>
        </r>
      </text>
    </comment>
    <comment ref="GB19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із них заборгованість 6811,46 грн</t>
        </r>
      </text>
    </comment>
    <comment ref="IJ19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із них заборгованість 6811,46 грн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180 кВт/час</t>
        </r>
      </text>
    </comment>
    <comment ref="D20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Перехід на прямий договір з травня 2024р</t>
        </r>
      </text>
    </comment>
    <comment ref="E20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распределению </t>
        </r>
      </text>
    </comment>
    <comment ref="T20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розподілу на лютий 2023</t>
        </r>
      </text>
    </comment>
    <comment ref="Y20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розподілу на березень 2023</t>
        </r>
      </text>
    </comment>
    <comment ref="FC20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травень-червень 2025</t>
        </r>
      </text>
    </comment>
    <comment ref="HK20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травень-червень 2025</t>
        </r>
      </text>
    </comment>
    <comment ref="BM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січень 2024</t>
        </r>
      </text>
    </comment>
    <comment ref="CB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CV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EJ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FD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GR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лютий 2024</t>
        </r>
      </text>
    </comment>
    <comment ref="HL2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червень 2024</t>
        </r>
      </text>
    </comment>
    <comment ref="CB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CG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1 449,82 (аванс квітень-травень) </t>
        </r>
      </text>
    </comment>
    <comment ref="EJ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EO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1 449,82 (аванс квітень-травень) </t>
        </r>
      </text>
    </comment>
    <comment ref="GR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квітень 2024</t>
        </r>
      </text>
    </comment>
    <comment ref="GW21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1 449,82 (аванс квітень-травень) </t>
        </r>
      </text>
    </comment>
    <comment ref="BC2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Аванса  по розподілу на листопад 2023. </t>
        </r>
      </text>
    </comment>
    <comment ref="BH2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жовтень75767,10+доплата жовтень 7864,08+аванс 28 620,89 на грудень  2023</t>
        </r>
      </text>
    </comment>
    <comment ref="AS2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Штраф за скид з перевищення допустимих концентрацій в каналізаційні мережі м. Біла Церква</t>
        </r>
      </text>
    </comment>
    <comment ref="CV21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D21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L21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AX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ховтень 2023</t>
        </r>
      </text>
    </comment>
    <comment ref="BC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2023</t>
        </r>
      </text>
    </comment>
    <comment ref="BH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грудень2023</t>
        </r>
      </text>
    </comment>
    <comment ref="CG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 2 532,98 (аванс квітень-травень) </t>
        </r>
      </text>
    </comment>
    <comment ref="EO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 2 532,98 (аванс квітень-травень) </t>
        </r>
      </text>
    </comment>
    <comment ref="GW2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Сплата  2 532,98 (аванс квітень-травень) </t>
        </r>
      </text>
    </comment>
    <comment ref="AS2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вересень 2023</t>
        </r>
      </text>
    </comment>
    <comment ref="AX2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C2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листопад</t>
        </r>
      </text>
    </comment>
    <comment ref="BH2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на Грудень 2023</t>
        </r>
      </text>
    </comment>
    <comment ref="BW21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по ліміту</t>
        </r>
      </text>
    </comment>
    <comment ref="E2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ел/енергії  97 880,08 грн  оплата 23.09.2022 0:00</t>
        </r>
      </text>
    </comment>
    <comment ref="CV2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DT2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Доплата за грудень 816,81грн</t>
        </r>
      </text>
    </comment>
    <comment ref="FD2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HL22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червень 2024</t>
        </r>
      </text>
    </comment>
    <comment ref="FS2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2025</t>
        </r>
      </text>
    </comment>
    <comment ref="IA22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листопад 2025</t>
        </r>
      </text>
    </comment>
    <comment ref="E2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Аванс по ел/енергії  97 880,08 грн  оплата 23.09.2022 0:00
+5% </t>
        </r>
      </text>
    </comment>
    <comment ref="BV232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Оплата за жовтень-грудень 2023, січень 2024</t>
        </r>
      </text>
    </comment>
  </commentList>
</comments>
</file>

<file path=xl/comments4.xml><?xml version="1.0" encoding="utf-8"?>
<comments xmlns="http://schemas.openxmlformats.org/spreadsheetml/2006/main">
  <authors>
    <author>Поліщук Володимир Миколайович</author>
    <author>Віницький Володимир Борисович</author>
  </authors>
  <commentList>
    <comment ref="C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128,3 кВт</t>
        </r>
      </text>
    </comment>
    <comment ref="C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100кВт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Ирпень Облэнерго</t>
        </r>
      </text>
    </comment>
    <comment ref="C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(40+ 44,3) 84,3 кВт по договору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(132,4+132,4) 264,8 кВт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Цех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75кВт по договору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140кВт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10кВт</t>
        </r>
      </text>
    </comment>
    <comment ref="AA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17723кВт електроенергії розраховано по середньому, так як не своечасно  управляющий зняв показники і не заповнив таблицю.</t>
        </r>
      </text>
    </comment>
    <comment ref="AE1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магазина по лічильнику 19770,3 кВт електроенергії розраховано по середньому, так як не своечасно  управляющий зняв показники і не заповнив таблицю.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120кВт 3-я категория</t>
        </r>
      </text>
    </comment>
    <comment ref="AZ15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 2 місяця</t>
        </r>
      </text>
    </comment>
    <comment ref="C18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(0+147,3) 147,3 кВт</t>
        </r>
      </text>
    </comment>
    <comment ref="D2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Закритий в серпні 2023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26,9 кВт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15 кВт з збільшенням до 45кВт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200 кВт по договору</t>
        </r>
      </text>
    </comment>
    <comment ref="D2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Собственик плюсует 8%к счету по ээ</t>
        </r>
      </text>
    </comment>
    <comment ref="C3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71,5 кВт по договору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 49 кВт по договору</t>
        </r>
      </text>
    </comment>
    <comment ref="D38" authorId="1" shapeId="0">
      <text>
        <r>
          <rPr>
            <sz val="9"/>
            <color indexed="81"/>
            <rFont val="Tahoma"/>
            <family val="2"/>
            <charset val="204"/>
          </rPr>
          <t xml:space="preserve">Магазин действующий, подключен по времянке, за ээ не платим до.
</t>
        </r>
      </text>
    </comment>
    <comment ref="C39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не менше 130кВт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не менше 150кВт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(0+248,9) 248,9 кВт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Ц.Офис</t>
        </r>
      </text>
    </comment>
    <comment ref="BD41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споживання з офісом</t>
        </r>
      </text>
    </comment>
    <comment ref="C46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100кВт </t>
        </r>
      </text>
    </comment>
    <comment ref="C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По договору 80кВт</t>
        </r>
      </text>
    </comment>
    <comment ref="D47" authorId="0" shapeId="0">
      <text>
        <r>
          <rPr>
            <b/>
            <sz val="9"/>
            <color indexed="81"/>
            <rFont val="Tahoma"/>
            <family val="2"/>
            <charset val="204"/>
          </rPr>
          <t>Поліщук Володимир Миколайович:</t>
        </r>
        <r>
          <rPr>
            <sz val="9"/>
            <color indexed="81"/>
            <rFont val="Tahoma"/>
            <family val="2"/>
            <charset val="204"/>
          </rPr>
          <t xml:space="preserve">
Магазин открылся 29.06.2022</t>
        </r>
      </text>
    </comment>
  </commentList>
</comments>
</file>

<file path=xl/sharedStrings.xml><?xml version="1.0" encoding="utf-8"?>
<sst xmlns="http://schemas.openxmlformats.org/spreadsheetml/2006/main" count="5013" uniqueCount="1233">
  <si>
    <t>НАЗВАНИЕ ОБЪЕКТА</t>
  </si>
  <si>
    <t>АДРЕС ОБЪЕКТА</t>
  </si>
  <si>
    <t>ЮРИДИЧЕСКОЕ (ФИЗИЧЕСКОЕ) ЛИЦО</t>
  </si>
  <si>
    <t>НАИМЕНОВАНИЕ</t>
  </si>
  <si>
    <t>Тариф</t>
  </si>
  <si>
    <t>Показатели</t>
  </si>
  <si>
    <t>Сумма</t>
  </si>
  <si>
    <t>Авансы</t>
  </si>
  <si>
    <t>г.Житомир, пр. Мира, 15</t>
  </si>
  <si>
    <t>ТОВ ГРІН БІН Україна</t>
  </si>
  <si>
    <t>Вывоз ТБО</t>
  </si>
  <si>
    <t>Экспл. расходы</t>
  </si>
  <si>
    <t>ООО «Житомирская областная энергетическая компания»</t>
  </si>
  <si>
    <t>Активная ЭЭ</t>
  </si>
  <si>
    <t>ООО «Житомиробленерго», АТ "Житомиробленерго" Житомирський РЕМ</t>
  </si>
  <si>
    <t>Реактивная ЭЭ</t>
  </si>
  <si>
    <t>КП "Житомирводоканал"</t>
  </si>
  <si>
    <t>ХВ</t>
  </si>
  <si>
    <t>г.Киев, ул.Владимирская, 73/77</t>
  </si>
  <si>
    <t>ТОВ "Еко-Грінко"</t>
  </si>
  <si>
    <t>ІП "Альфа Консалтінг"</t>
  </si>
  <si>
    <t>г.Киев, ул.Р.Окипной,3</t>
  </si>
  <si>
    <t>ДТЕК "Київські електричні мережі"</t>
  </si>
  <si>
    <t>ФОП Воробьев А.Н.</t>
  </si>
  <si>
    <t>пгт.Коцюбинское, ул. Пономарева, 28а</t>
  </si>
  <si>
    <t>ПП "Обухівміськвторресурси"</t>
  </si>
  <si>
    <t>НВПФ "Казі-2"</t>
  </si>
  <si>
    <t>г.Киев, ул. Я.Колоса,2А</t>
  </si>
  <si>
    <t>г.Киев, ул. Сикорского,1А</t>
  </si>
  <si>
    <t>ТОВ "Ковальська -Житлосервіс"</t>
  </si>
  <si>
    <t>ФОП Пластун В.В.</t>
  </si>
  <si>
    <t>г.Киев, ул. Коновальца,44Б</t>
  </si>
  <si>
    <t>ТОВ "ОК "Комфорт"</t>
  </si>
  <si>
    <t>Тепловая энергия</t>
  </si>
  <si>
    <t>г.Ирпень, 10-я линия,1Б</t>
  </si>
  <si>
    <t>ТОВ "ТПВ Сервіс"</t>
  </si>
  <si>
    <t>ТОВ "ТЦ "Вайт Хауз"</t>
  </si>
  <si>
    <t xml:space="preserve">ТОВ "Київські електричні мережи" </t>
  </si>
  <si>
    <t>ПрАТ "Київобленерго"</t>
  </si>
  <si>
    <t>КП "Ирпеньводоканал"</t>
  </si>
  <si>
    <t>г.Бровары, ул. Шолом Алейхема,68</t>
  </si>
  <si>
    <t>ЧП "Броварижитлобуд"</t>
  </si>
  <si>
    <t>г.Киев, ул.Героев Сталинграда,65Б</t>
  </si>
  <si>
    <t>ОСББ "Кристалл-5"</t>
  </si>
  <si>
    <t>г.Киев, ул.Антоновича,115Д</t>
  </si>
  <si>
    <t>КП "Володимирський ринок"</t>
  </si>
  <si>
    <t>Услуги охраны</t>
  </si>
  <si>
    <t>Стоянка а/транспорта</t>
  </si>
  <si>
    <t>ООО "Варяг"</t>
  </si>
  <si>
    <t>п.г.т. Тарасовка, вул. Братьев Чмилив, 3А</t>
  </si>
  <si>
    <t>ТОВ "Житлоекономія"</t>
  </si>
  <si>
    <t>г.Киев, ул.Светлая,3Д</t>
  </si>
  <si>
    <t>ОК "ОБК Схидна Брама"</t>
  </si>
  <si>
    <t>Поточный ремонт</t>
  </si>
  <si>
    <t>г. Киев, ул. Шолом- Алейхема, 10А</t>
  </si>
  <si>
    <t>Обс. вн. ВС</t>
  </si>
  <si>
    <t>г. Киев. пр. Ватутина, 11а</t>
  </si>
  <si>
    <t>ТОВ "Сіметра"</t>
  </si>
  <si>
    <t>г.Обухов, ул. Каштановая, 6/1б</t>
  </si>
  <si>
    <t>Уборка помещения</t>
  </si>
  <si>
    <t>г.Киев, ул. Челябинская, 15А</t>
  </si>
  <si>
    <t>ТОВ "Нива В"</t>
  </si>
  <si>
    <t>г.Ирпень, ул. Соборная, 1г</t>
  </si>
  <si>
    <t>ПП "Мікс Лтд"</t>
  </si>
  <si>
    <t>ТОВ "Фреш Лтд"</t>
  </si>
  <si>
    <t>г.Киев, ул. Бориспольская, 32А</t>
  </si>
  <si>
    <t>ТОВ "ТВК "Бориспільська"</t>
  </si>
  <si>
    <t>г.Ирпень, ул. Тургеневская, 50б</t>
  </si>
  <si>
    <t>ОСББ "Лемонграсс"</t>
  </si>
  <si>
    <t>ТОВ "Київська Обласна ЕК"</t>
  </si>
  <si>
    <t>г.Киев, ул. Ветряные горы, 21/7</t>
  </si>
  <si>
    <t>ПАТ АК "Київводоканал"                   ФОП Бондарчук</t>
  </si>
  <si>
    <t>г.Киев, ул. В.Гавела, 18, ТК "Отрадненский"</t>
  </si>
  <si>
    <t>ТОВ "ТК"Борщагівський"</t>
  </si>
  <si>
    <t>смт Глеваха, ул. Ботаническая, 34</t>
  </si>
  <si>
    <t>КП "Добробут"</t>
  </si>
  <si>
    <t>ПП "ЛОГРО"</t>
  </si>
  <si>
    <t>Уборка прилегающей</t>
  </si>
  <si>
    <t>Канализация</t>
  </si>
  <si>
    <t>п.г.т. Софиевская Борщаговка, ул. Чубинского, 8В</t>
  </si>
  <si>
    <t>ООО "ЖЭК "София Киевская"</t>
  </si>
  <si>
    <t>г. Киев, вул. Данченко, 30</t>
  </si>
  <si>
    <t>ОСББ "Данченко, 30"</t>
  </si>
  <si>
    <t>г. Киев, вул. Радистов, 14</t>
  </si>
  <si>
    <t>ТОВ «Управляюча компанія «Лісова»</t>
  </si>
  <si>
    <t>п.г.т. Макаров, вул. Шляхетская, 5 ТЦ "Рубин"</t>
  </si>
  <si>
    <t>ФОП Євтушенко О.В.</t>
  </si>
  <si>
    <t>г. Гостомель, ул. Чкалова, 2</t>
  </si>
  <si>
    <t>г. Киев, ул. Селянская, 1</t>
  </si>
  <si>
    <t>ФОП Онищенко В.В.</t>
  </si>
  <si>
    <t>г. Киев, ул. Закревского, 47</t>
  </si>
  <si>
    <t>ПП "Константа Київ"</t>
  </si>
  <si>
    <t>г. Бровары, ул. Киевская, 95</t>
  </si>
  <si>
    <t>ТОВ "Славутич"</t>
  </si>
  <si>
    <t>п.г.т. Софиевская Борщаговка, ул. Соборная 105/7</t>
  </si>
  <si>
    <t>г. Киев, ул. О.Пчилки, 7а</t>
  </si>
  <si>
    <t>АТ «ЗНВКІФ «Лоудстар»</t>
  </si>
  <si>
    <t>п.г.т. Буча, ул. Олексы Тихого, 4</t>
  </si>
  <si>
    <t>г. Киев, пр. Воздухофлотский, 19/1</t>
  </si>
  <si>
    <t>ПАТ “АКП-ІБ”</t>
  </si>
  <si>
    <t>г. Чернигов, ул. Всехсвятская, 5</t>
  </si>
  <si>
    <t xml:space="preserve">КП «АТП-2528» </t>
  </si>
  <si>
    <t>ТОВ "МПН"</t>
  </si>
  <si>
    <t>г. Киев, ул. Межевая, 26</t>
  </si>
  <si>
    <t>ПП "Ярослав"</t>
  </si>
  <si>
    <t>Б.Церковь. Ул. Метрофанова,8</t>
  </si>
  <si>
    <t>c. Гора, ул. Центральная, 20А.</t>
  </si>
  <si>
    <t>ТОВ "Терракот ЮА"</t>
  </si>
  <si>
    <t>М19</t>
  </si>
  <si>
    <t>М21</t>
  </si>
  <si>
    <t>М26</t>
  </si>
  <si>
    <t>М30</t>
  </si>
  <si>
    <t>М16</t>
  </si>
  <si>
    <t xml:space="preserve">М23 </t>
  </si>
  <si>
    <t xml:space="preserve">М29 </t>
  </si>
  <si>
    <t xml:space="preserve">М38 </t>
  </si>
  <si>
    <t>Подразделение</t>
  </si>
  <si>
    <t xml:space="preserve">М1/1 </t>
  </si>
  <si>
    <t>г.Житомир. Пр.Мира,15</t>
  </si>
  <si>
    <t>I</t>
  </si>
  <si>
    <t xml:space="preserve">М2 </t>
  </si>
  <si>
    <t>м. Київ, вул. Володимирська, 73/77</t>
  </si>
  <si>
    <t>ІІ</t>
  </si>
  <si>
    <t xml:space="preserve">М3 </t>
  </si>
  <si>
    <t xml:space="preserve">М4/1 </t>
  </si>
  <si>
    <t>смт. Коцюбинское, ул.Пономарева, 28а</t>
  </si>
  <si>
    <t xml:space="preserve">М5 </t>
  </si>
  <si>
    <t>г.Киев, ул.Я.Коласа, 2А</t>
  </si>
  <si>
    <t xml:space="preserve">М6 </t>
  </si>
  <si>
    <t xml:space="preserve">М7 </t>
  </si>
  <si>
    <t xml:space="preserve">М8 </t>
  </si>
  <si>
    <t xml:space="preserve">М9 </t>
  </si>
  <si>
    <t xml:space="preserve">М10 </t>
  </si>
  <si>
    <t>М11</t>
  </si>
  <si>
    <t xml:space="preserve">М12 </t>
  </si>
  <si>
    <t xml:space="preserve">М13/1 </t>
  </si>
  <si>
    <t>пгт Тарасовка, ул. Братьев Чмылив, 3а</t>
  </si>
  <si>
    <t xml:space="preserve">М14 </t>
  </si>
  <si>
    <t xml:space="preserve">М15 </t>
  </si>
  <si>
    <t>г.Киев, ул.Шолом-Алейхема, 10а</t>
  </si>
  <si>
    <t>г.Киев. пр. Ватутина, 11а</t>
  </si>
  <si>
    <t xml:space="preserve">М17 </t>
  </si>
  <si>
    <t xml:space="preserve">М18 </t>
  </si>
  <si>
    <t xml:space="preserve">М20 </t>
  </si>
  <si>
    <t xml:space="preserve">М22 </t>
  </si>
  <si>
    <t>г.Киев, б-р В.Гавела,18</t>
  </si>
  <si>
    <t xml:space="preserve">М24/1 </t>
  </si>
  <si>
    <t>с.Глеваха, ул. Ботаническая, 34</t>
  </si>
  <si>
    <t xml:space="preserve">М25 </t>
  </si>
  <si>
    <t>с.С.Борщаговка, ул. П.Чубинского, 8в</t>
  </si>
  <si>
    <t xml:space="preserve">М26 </t>
  </si>
  <si>
    <t>г.Киев, ул. Данченко, 30</t>
  </si>
  <si>
    <t xml:space="preserve">М27 </t>
  </si>
  <si>
    <t>г.Киев, ул. Радистов, 14</t>
  </si>
  <si>
    <t xml:space="preserve">М28  </t>
  </si>
  <si>
    <t>г.Киев, ул. Селянская, 1</t>
  </si>
  <si>
    <t xml:space="preserve">М31 </t>
  </si>
  <si>
    <t xml:space="preserve">М32 </t>
  </si>
  <si>
    <t>г.Киев, ул. Закревского, 47</t>
  </si>
  <si>
    <t xml:space="preserve">М33 </t>
  </si>
  <si>
    <t>г.Бровары, ул. Киевская, 95</t>
  </si>
  <si>
    <t xml:space="preserve">М34 </t>
  </si>
  <si>
    <t>с.С.Борщаговка, ул. Соборная, 105/7</t>
  </si>
  <si>
    <t xml:space="preserve">М35 </t>
  </si>
  <si>
    <t xml:space="preserve"> М36 </t>
  </si>
  <si>
    <t>пгт.Буча, В.Тихого, 4 ЖК "Континент"</t>
  </si>
  <si>
    <t xml:space="preserve">М37 </t>
  </si>
  <si>
    <t>г.Киев, пр.Воздухофлотский, 19/1-А</t>
  </si>
  <si>
    <t xml:space="preserve">М39 </t>
  </si>
  <si>
    <t>М40</t>
  </si>
  <si>
    <t>ТОВ ""БІГ ЕНЕРГОРЕСУРС""</t>
  </si>
  <si>
    <t>ФОП Вафін В.О. / ФОП Мількевич</t>
  </si>
  <si>
    <t>М43</t>
  </si>
  <si>
    <t>Боярка ул.Бульварная2/50</t>
  </si>
  <si>
    <t>Стрігальов Максим Михайлович</t>
  </si>
  <si>
    <t>М42</t>
  </si>
  <si>
    <t>ПАТ АК "Київводоканал"                   ТОВ Легион 2015</t>
  </si>
  <si>
    <t>ПАТ АК "Київводоканал"                            ТОВ Легион 2015</t>
  </si>
  <si>
    <t>146 983,46</t>
  </si>
  <si>
    <t>4 960,76</t>
  </si>
  <si>
    <t>10 014,00</t>
  </si>
  <si>
    <t>ТОВ "КОНТИНЕНТ БУЧА СЕРВІС"</t>
  </si>
  <si>
    <t>1 373,92</t>
  </si>
  <si>
    <t>1 208,50</t>
  </si>
  <si>
    <t>1 422,01</t>
  </si>
  <si>
    <t>Распределение</t>
  </si>
  <si>
    <t>1091.08</t>
  </si>
  <si>
    <t>ФОП Ковальова Л.В. НАЛІЧНІ</t>
  </si>
  <si>
    <t xml:space="preserve">ХВ </t>
  </si>
  <si>
    <t>768.72</t>
  </si>
  <si>
    <t>2682.91</t>
  </si>
  <si>
    <t>0.940</t>
  </si>
  <si>
    <t>Абонентське обсуговування</t>
  </si>
  <si>
    <t>Столбец1</t>
  </si>
  <si>
    <t>80 259,79</t>
  </si>
  <si>
    <t>ТОВ "КИЇВСЬКI ЕНЕРГЕТИЧНI ПОСЛУГИ"</t>
  </si>
  <si>
    <t>грудень 2022</t>
  </si>
  <si>
    <t>січень 2023</t>
  </si>
  <si>
    <t>лютий 2023</t>
  </si>
  <si>
    <t>березень 2023</t>
  </si>
  <si>
    <t>«ДТЕК КИЇВСЬКІ ЕЛЕКТРОМЕРЕЖІ»</t>
  </si>
  <si>
    <t>60 358,58</t>
  </si>
  <si>
    <t>КП "Боярка -Водоканал"</t>
  </si>
  <si>
    <t>НДС</t>
  </si>
  <si>
    <t>835.56</t>
  </si>
  <si>
    <t>55 608.70</t>
  </si>
  <si>
    <t>1 294,27</t>
  </si>
  <si>
    <t>1 322,12</t>
  </si>
  <si>
    <t>1 481,46</t>
  </si>
  <si>
    <t>1 432,49</t>
  </si>
  <si>
    <t>1 383,67</t>
  </si>
  <si>
    <t>35 533,66</t>
  </si>
  <si>
    <t>03344065</t>
  </si>
  <si>
    <t>Послуга із забезпечення технічної</t>
  </si>
  <si>
    <t>9274.13</t>
  </si>
  <si>
    <t>00039002</t>
  </si>
  <si>
    <t>109 716,26</t>
  </si>
  <si>
    <t>01565129</t>
  </si>
  <si>
    <t>квітень 2023</t>
  </si>
  <si>
    <t>03327629</t>
  </si>
  <si>
    <t>01565112</t>
  </si>
  <si>
    <t>ЕКОСЕРВІС ГРУП-ТБО ТОВ</t>
  </si>
  <si>
    <t>2 913,33</t>
  </si>
  <si>
    <t>1'393,91</t>
  </si>
  <si>
    <t>Автозаводська,27</t>
  </si>
  <si>
    <t>68 030,67</t>
  </si>
  <si>
    <t>68 830,03</t>
  </si>
  <si>
    <t>3 790,93</t>
  </si>
  <si>
    <t>03362471</t>
  </si>
  <si>
    <t>Бюджет 10%</t>
  </si>
  <si>
    <t xml:space="preserve">Факт </t>
  </si>
  <si>
    <t>ФОП ЧАХОЯН ГАЙК ЕДВАРДОВИЧ</t>
  </si>
  <si>
    <t>1 851,86</t>
  </si>
  <si>
    <t>1 819,58</t>
  </si>
  <si>
    <t>2 055,08</t>
  </si>
  <si>
    <t>1 730,27</t>
  </si>
  <si>
    <t>2 607,61</t>
  </si>
  <si>
    <t>1 581,78</t>
  </si>
  <si>
    <t>1 002,67</t>
  </si>
  <si>
    <t>План</t>
  </si>
  <si>
    <r>
      <t>Категория</t>
    </r>
    <r>
      <rPr>
        <b/>
        <sz val="9"/>
        <color indexed="8"/>
        <rFont val="Calibri Light"/>
        <family val="1"/>
        <charset val="204"/>
        <scheme val="major"/>
      </rPr>
      <t xml:space="preserve">                                      I- прямые                              ІІ - компенсация</t>
    </r>
  </si>
  <si>
    <t>Время роботы</t>
  </si>
  <si>
    <t>Площадь обьекта м2</t>
  </si>
  <si>
    <t>Площадь ТЗ м2</t>
  </si>
  <si>
    <t>Факт январь, 2022 кВт</t>
  </si>
  <si>
    <t>Факт январь, 2023 кВт</t>
  </si>
  <si>
    <t>Факт март, 2022 кВт</t>
  </si>
  <si>
    <t>Факт март, 2023 кВт</t>
  </si>
  <si>
    <t>день</t>
  </si>
  <si>
    <t>лI</t>
  </si>
  <si>
    <t>рI</t>
  </si>
  <si>
    <t>Факт декабрь 2022 кВт</t>
  </si>
  <si>
    <t>Факт февраль, 2023 кВт</t>
  </si>
  <si>
    <t>Факт апрель, 2023 кВт</t>
  </si>
  <si>
    <t>Факт     май , 2023 кВт</t>
  </si>
  <si>
    <t>Факт июнь , 2023 кВт</t>
  </si>
  <si>
    <t>Факт      июль , 2023 кВт</t>
  </si>
  <si>
    <t>Факт август, 2023 кВт</t>
  </si>
  <si>
    <t>Факт сентябрь, 2023 кВт</t>
  </si>
  <si>
    <t>Факт октябрь, 2023 кВт</t>
  </si>
  <si>
    <t>Факт ноябрь, 2023кВт</t>
  </si>
  <si>
    <t>Факт декабрь, 2023кВт</t>
  </si>
  <si>
    <t>Б.Церковь. Ул. Сквирское шоссе</t>
  </si>
  <si>
    <t>М41</t>
  </si>
  <si>
    <t>Факт февраль, 2022 кВт</t>
  </si>
  <si>
    <t>Факт апрель, 2022 кВт</t>
  </si>
  <si>
    <t>Факт     май , 2022 кВт</t>
  </si>
  <si>
    <t>Факт июнь , 2022 кВт</t>
  </si>
  <si>
    <t>Факт      июль , 2022 кВт</t>
  </si>
  <si>
    <t>Факт сентябрь, 2022 кВт</t>
  </si>
  <si>
    <t>Факт август, 2022 кВт</t>
  </si>
  <si>
    <t>Факт октябрь, 2022 кВт</t>
  </si>
  <si>
    <t>Факт ноябрь, 2022кВт</t>
  </si>
  <si>
    <t>Факт январь, 2021кВт</t>
  </si>
  <si>
    <t>Факт февраль, 2021 кВт</t>
  </si>
  <si>
    <t>Факт март, 2021 кВт</t>
  </si>
  <si>
    <t>Факт апрель, 2021 кВт</t>
  </si>
  <si>
    <t>Факт     май , 2021 кВт</t>
  </si>
  <si>
    <t>Факт июнь , 2021 кВт</t>
  </si>
  <si>
    <t>Факт      июль , 2021 кВт</t>
  </si>
  <si>
    <t>Факт сентябрь, 2021 кВт</t>
  </si>
  <si>
    <t>Факт октябрь, 2021 кВт</t>
  </si>
  <si>
    <t>Факт ноябрь, 2021кВт</t>
  </si>
  <si>
    <t>Факт декабрь 2021 кВт</t>
  </si>
  <si>
    <t>Факт ноябрь, 2020кВт</t>
  </si>
  <si>
    <t>Факт декабрь 2020 кВт</t>
  </si>
  <si>
    <t>1102.94</t>
  </si>
  <si>
    <t>1 692,90</t>
  </si>
  <si>
    <t>1 785,17</t>
  </si>
  <si>
    <t>1 525,16</t>
  </si>
  <si>
    <t>2 395,73</t>
  </si>
  <si>
    <t>2 183,15</t>
  </si>
  <si>
    <t>Б.Церковь. Соборная</t>
  </si>
  <si>
    <t>Футурі</t>
  </si>
  <si>
    <t>травень 2023</t>
  </si>
  <si>
    <t>червень 2023</t>
  </si>
  <si>
    <t xml:space="preserve"> М1/1      </t>
  </si>
  <si>
    <t xml:space="preserve">М2  </t>
  </si>
  <si>
    <t xml:space="preserve">М3  </t>
  </si>
  <si>
    <t xml:space="preserve"> М5  </t>
  </si>
  <si>
    <t>М7</t>
  </si>
  <si>
    <t>М9</t>
  </si>
  <si>
    <t xml:space="preserve"> М11/1</t>
  </si>
  <si>
    <t xml:space="preserve"> М12  </t>
  </si>
  <si>
    <t>М13/1</t>
  </si>
  <si>
    <t xml:space="preserve"> М14</t>
  </si>
  <si>
    <t xml:space="preserve"> М15   </t>
  </si>
  <si>
    <t xml:space="preserve">М16 </t>
  </si>
  <si>
    <t xml:space="preserve"> М18 </t>
  </si>
  <si>
    <t xml:space="preserve">М19    </t>
  </si>
  <si>
    <t xml:space="preserve">М21 </t>
  </si>
  <si>
    <t xml:space="preserve">М23   </t>
  </si>
  <si>
    <t xml:space="preserve"> М24/1</t>
  </si>
  <si>
    <t xml:space="preserve"> М25</t>
  </si>
  <si>
    <t xml:space="preserve">М28 </t>
  </si>
  <si>
    <t xml:space="preserve"> М32   </t>
  </si>
  <si>
    <t>М33</t>
  </si>
  <si>
    <t xml:space="preserve"> М34</t>
  </si>
  <si>
    <t xml:space="preserve"> М35 </t>
  </si>
  <si>
    <t xml:space="preserve">М36 </t>
  </si>
  <si>
    <t xml:space="preserve"> М37</t>
  </si>
  <si>
    <t xml:space="preserve"> М38</t>
  </si>
  <si>
    <t xml:space="preserve">М39   </t>
  </si>
  <si>
    <t xml:space="preserve"> М40</t>
  </si>
  <si>
    <t xml:space="preserve"> М42  </t>
  </si>
  <si>
    <t xml:space="preserve">М43 </t>
  </si>
  <si>
    <t>1 367,28</t>
  </si>
  <si>
    <t>Липень 2023</t>
  </si>
  <si>
    <t>Серпень 2023</t>
  </si>
  <si>
    <t>18754.75</t>
  </si>
  <si>
    <t>Экспл. Расходы( техн. обслуг. внутр.-будин. мереж )</t>
  </si>
  <si>
    <t>89 200,44</t>
  </si>
  <si>
    <t>3 399,43</t>
  </si>
  <si>
    <t>ЯСНО "КИЇВСЬКІ ЕНЕРГЕТИЧНІ ПОСЛУГИ"</t>
  </si>
  <si>
    <t>1002.67</t>
  </si>
  <si>
    <t>КОЕК+ розпод</t>
  </si>
  <si>
    <t>КОЕК універсал</t>
  </si>
  <si>
    <t>Житлоекономія</t>
  </si>
  <si>
    <t>ЕНЕРГУМ</t>
  </si>
  <si>
    <t>ЯСНО</t>
  </si>
  <si>
    <t>127 665,74</t>
  </si>
  <si>
    <t>7 222,40</t>
  </si>
  <si>
    <t>7 789,39</t>
  </si>
  <si>
    <t>5 204,10</t>
  </si>
  <si>
    <t>221 398,51</t>
  </si>
  <si>
    <t>Розподіл</t>
  </si>
  <si>
    <t>2 176,07</t>
  </si>
  <si>
    <t>95 000</t>
  </si>
  <si>
    <t>80 000</t>
  </si>
  <si>
    <t>86 823,47</t>
  </si>
  <si>
    <t>180 218,61</t>
  </si>
  <si>
    <t>62 430,99</t>
  </si>
  <si>
    <t>60 616,10</t>
  </si>
  <si>
    <t>185 192,35</t>
  </si>
  <si>
    <t>180 505,80</t>
  </si>
  <si>
    <t>2 720,81</t>
  </si>
  <si>
    <t>34 412,40</t>
  </si>
  <si>
    <t>27204/5-09 від 21.12.2022</t>
  </si>
  <si>
    <t>24791/5-10 від 26.03.2021</t>
  </si>
  <si>
    <t>КОЕК</t>
  </si>
  <si>
    <t>ДТЕК региональн</t>
  </si>
  <si>
    <t>1 545,68</t>
  </si>
  <si>
    <t>1 476,04</t>
  </si>
  <si>
    <t>868.98</t>
  </si>
  <si>
    <r>
      <t xml:space="preserve">ФОП Заєнчик В.Г./ </t>
    </r>
    <r>
      <rPr>
        <b/>
        <sz val="11"/>
        <rFont val="Arial Narrow"/>
        <family val="2"/>
        <charset val="204"/>
      </rPr>
      <t xml:space="preserve">ФОП Тацька </t>
    </r>
  </si>
  <si>
    <r>
      <t xml:space="preserve">2791700311 / </t>
    </r>
    <r>
      <rPr>
        <b/>
        <sz val="11"/>
        <rFont val="Arial Narrow"/>
        <family val="2"/>
        <charset val="204"/>
      </rPr>
      <t>1994718823</t>
    </r>
  </si>
  <si>
    <t>92 499,48</t>
  </si>
  <si>
    <t>1 687,28</t>
  </si>
  <si>
    <t>2 166,12</t>
  </si>
  <si>
    <t>1 891,99</t>
  </si>
  <si>
    <t>2 586,88</t>
  </si>
  <si>
    <t>1 115,62</t>
  </si>
  <si>
    <t>2 240,89</t>
  </si>
  <si>
    <t>2 950,96</t>
  </si>
  <si>
    <t>6 923,52</t>
  </si>
  <si>
    <t>4 466,45</t>
  </si>
  <si>
    <t>2 347,16</t>
  </si>
  <si>
    <t>109 361,34</t>
  </si>
  <si>
    <t>ТОВ ТОЛК</t>
  </si>
  <si>
    <t>Аванс несплачувався перехід на нового постачальника</t>
  </si>
  <si>
    <t>2 033,00</t>
  </si>
  <si>
    <t>2 275,88</t>
  </si>
  <si>
    <t>1 472,59</t>
  </si>
  <si>
    <t>2 087,53</t>
  </si>
  <si>
    <t>1 980,15</t>
  </si>
  <si>
    <t>1 830,90</t>
  </si>
  <si>
    <t>21 000</t>
  </si>
  <si>
    <t>9 403,41</t>
  </si>
  <si>
    <t>92 201,00</t>
  </si>
  <si>
    <t>48 983,82</t>
  </si>
  <si>
    <t>Обслуговування ТП</t>
  </si>
  <si>
    <t>ПП "ЕНЕРГОРЕМОНТ"</t>
  </si>
  <si>
    <t>275 067,72</t>
  </si>
  <si>
    <t>МЗК</t>
  </si>
  <si>
    <t>М17/1</t>
  </si>
  <si>
    <t>Факт январь, 2024 кВт</t>
  </si>
  <si>
    <t>Факт февраль, 2024 кВт</t>
  </si>
  <si>
    <t>р</t>
  </si>
  <si>
    <t>л</t>
  </si>
  <si>
    <t>РІДО ГРУП</t>
  </si>
  <si>
    <t>Легіон 2015</t>
  </si>
  <si>
    <t>Споживання за рік 2023</t>
  </si>
  <si>
    <t>Факт март, 2024 кВт</t>
  </si>
  <si>
    <t>Факт апрель, 2024 кВт</t>
  </si>
  <si>
    <t>Факт     май , 2024 кВт</t>
  </si>
  <si>
    <t>Факт июнь , 2024 кВт</t>
  </si>
  <si>
    <t>Факт      июль , 2024 кВт</t>
  </si>
  <si>
    <t>Факт август, 2024 кВт</t>
  </si>
  <si>
    <t>Факт сентябрь, 2024 кВт</t>
  </si>
  <si>
    <t>Факт октябрь, 2024 кВт</t>
  </si>
  <si>
    <t>Факт ноябрь, 2024 кВт</t>
  </si>
  <si>
    <t>Факт декабрь, 2024 кВт</t>
  </si>
  <si>
    <t>г.Киев,Автозаводська,27</t>
  </si>
  <si>
    <t>Борисполь, Головатого 64</t>
  </si>
  <si>
    <t>Вересень 2023</t>
  </si>
  <si>
    <t>Жовтень 2023</t>
  </si>
  <si>
    <t>Листопад 2023</t>
  </si>
  <si>
    <t>Грудень 2023</t>
  </si>
  <si>
    <t>Січень 2024</t>
  </si>
  <si>
    <t>Лютий 2024</t>
  </si>
  <si>
    <t>Березень 2024</t>
  </si>
  <si>
    <t>Квітень 2024</t>
  </si>
  <si>
    <t>Травень 2024</t>
  </si>
  <si>
    <t>червень 2024</t>
  </si>
  <si>
    <t>Липень 2024</t>
  </si>
  <si>
    <t>ТОЛК</t>
  </si>
  <si>
    <t>ясно+</t>
  </si>
  <si>
    <t>112 625,82</t>
  </si>
  <si>
    <t>291 444,30</t>
  </si>
  <si>
    <t>123 653,62</t>
  </si>
  <si>
    <t>248 536,13</t>
  </si>
  <si>
    <t>141 957,82</t>
  </si>
  <si>
    <t>ТРАШ</t>
  </si>
  <si>
    <t>1 800,00</t>
  </si>
  <si>
    <t>2 800,00</t>
  </si>
  <si>
    <t>1546.49</t>
  </si>
  <si>
    <t>02.2024 постачальник ТОВ ТОЛК</t>
  </si>
  <si>
    <t>128 434,97</t>
  </si>
  <si>
    <t>161 248,54</t>
  </si>
  <si>
    <t>110 710,14</t>
  </si>
  <si>
    <t>305 296,48</t>
  </si>
  <si>
    <t>118 487,48</t>
  </si>
  <si>
    <t>125 064,66</t>
  </si>
  <si>
    <t>КЕП</t>
  </si>
  <si>
    <t>ТОВ "ГТ РІТЕЙЛ"</t>
  </si>
  <si>
    <t>8 938,37</t>
  </si>
  <si>
    <t>5 006,88</t>
  </si>
  <si>
    <t>1 036,09</t>
  </si>
  <si>
    <t>28 776,97</t>
  </si>
  <si>
    <t>17 384,99</t>
  </si>
  <si>
    <t>2 583,85</t>
  </si>
  <si>
    <t>2 467,94</t>
  </si>
  <si>
    <t>4 889,40</t>
  </si>
  <si>
    <t>ЯСНО+</t>
  </si>
  <si>
    <t>Б.Церковь. Соборная,223</t>
  </si>
  <si>
    <t>Борисполь. Вул.Головатого,64</t>
  </si>
  <si>
    <t>Тис кВт/год</t>
  </si>
  <si>
    <t>2 041,81</t>
  </si>
  <si>
    <t>969.25</t>
  </si>
  <si>
    <t>ТОВ "Елітжитлобуд - Інвест"</t>
  </si>
  <si>
    <t>РЕНТ ЛАЙН КОМПАНІ</t>
  </si>
  <si>
    <t>Доочистка</t>
  </si>
  <si>
    <t>7 658,35</t>
  </si>
  <si>
    <t>9 209,74</t>
  </si>
  <si>
    <t>169 350</t>
  </si>
  <si>
    <t>203 220</t>
  </si>
  <si>
    <t>120 089,42</t>
  </si>
  <si>
    <t>316 024,80</t>
  </si>
  <si>
    <t>28539,46+</t>
  </si>
  <si>
    <t>28 539,46+</t>
  </si>
  <si>
    <t>2 077,98</t>
  </si>
  <si>
    <t>Серпень 2024</t>
  </si>
  <si>
    <t>Вересен 2024</t>
  </si>
  <si>
    <t>Жовтень 2024</t>
  </si>
  <si>
    <t>Листопад 2024</t>
  </si>
  <si>
    <t>Грудень 2024</t>
  </si>
  <si>
    <t>4706.47</t>
  </si>
  <si>
    <t>11644.76</t>
  </si>
  <si>
    <t>1 372,51</t>
  </si>
  <si>
    <t>1 449,82</t>
  </si>
  <si>
    <t>2 532,98</t>
  </si>
  <si>
    <t>510 714,72</t>
  </si>
  <si>
    <t>470 233,44</t>
  </si>
  <si>
    <t>445 420,80</t>
  </si>
  <si>
    <t>10 438,414</t>
  </si>
  <si>
    <t>2 230,54</t>
  </si>
  <si>
    <t>ФОП Бондарчук В.В. Киевводоканал</t>
  </si>
  <si>
    <t>о/р 7-2776</t>
  </si>
  <si>
    <t>М22</t>
  </si>
  <si>
    <t>Договор №10896/5-10СА від 16.11.2018р.</t>
  </si>
  <si>
    <t>ФОП Ковальова Л.В. Киевводоканал</t>
  </si>
  <si>
    <t>о/р 8-1833</t>
  </si>
  <si>
    <t>М5</t>
  </si>
  <si>
    <t>Договор №03789/5-09СА від 04.04.2016р.</t>
  </si>
  <si>
    <t>ФОП Тришапко С.Д. Киевводоканал</t>
  </si>
  <si>
    <t xml:space="preserve"> о/р 5-1374</t>
  </si>
  <si>
    <t>М10</t>
  </si>
  <si>
    <t>договор №10890/5-05 від 20.11.2012р.</t>
  </si>
  <si>
    <t>Legion2015</t>
  </si>
  <si>
    <t>пароль</t>
  </si>
  <si>
    <t>Legion2015 (Pass11!!)</t>
  </si>
  <si>
    <t>Логин Киевоблэнерго (М28)</t>
  </si>
  <si>
    <t>RidoGroup</t>
  </si>
  <si>
    <t>Логин Киевская областная ЕК (М28)</t>
  </si>
  <si>
    <t>Логин Киевводоканал (М30)</t>
  </si>
  <si>
    <t>Логин Киевводоканал (М15)</t>
  </si>
  <si>
    <t>Логин ДТЕК КИЇВСЬКІ РЕГІОНАЛЬНІ МЕРЕЖІ(М8 М21)</t>
  </si>
  <si>
    <t>ЛЕГІОН</t>
  </si>
  <si>
    <t>762-РЕ</t>
  </si>
  <si>
    <r>
      <t xml:space="preserve">АТ"ЖИТОМЕРОБЛЕНЕРГО" ЖИТОМИРСЬКИЙ РЕМ               </t>
    </r>
    <r>
      <rPr>
        <b/>
        <sz val="11"/>
        <color rgb="FF000000"/>
        <rFont val="Calibri"/>
        <family val="2"/>
        <charset val="204"/>
      </rPr>
      <t>М1/1  г.Житомир. Пр.Мира,15</t>
    </r>
  </si>
  <si>
    <t>РІДО</t>
  </si>
  <si>
    <r>
      <t xml:space="preserve">ДТЕК КИЇВСЬКІ РЕГІОНАЛЬНІ МЕРЕЖІ                                   </t>
    </r>
    <r>
      <rPr>
        <b/>
        <sz val="11"/>
        <color rgb="FF000000"/>
        <rFont val="Calibri"/>
        <family val="2"/>
        <charset val="204"/>
      </rPr>
      <t xml:space="preserve">  М40'Б.Церковь. Ул. Метрофанова,8                                             М41'Б.Церковь. Ул. Сквирское шоссе, 223 /223 -А</t>
    </r>
  </si>
  <si>
    <t>Логин</t>
  </si>
  <si>
    <t>РИДО</t>
  </si>
  <si>
    <t>№10-000217</t>
  </si>
  <si>
    <t>№10-000218</t>
  </si>
  <si>
    <r>
      <t xml:space="preserve">ДТЕК КИЇВСКИЕ СЕТИ  </t>
    </r>
    <r>
      <rPr>
        <b/>
        <sz val="11"/>
        <color rgb="FF000000"/>
        <rFont val="Calibri"/>
        <family val="2"/>
        <charset val="204"/>
      </rPr>
      <t>М26,М11</t>
    </r>
  </si>
  <si>
    <r>
      <t xml:space="preserve"> Киевэнерго ЛЕГИОН 2015                                                                     </t>
    </r>
    <r>
      <rPr>
        <b/>
        <sz val="11"/>
        <color rgb="FF000000"/>
        <rFont val="Calibri"/>
        <family val="2"/>
        <charset val="204"/>
      </rPr>
      <t>М3-ул.Р.Окипной,3 ;              М5-ул.Я.Коласа, 2А;                 М6-ул. Сикорского,1А;      М10- ул.Героев Сталинграда,65Б;                    М12 - ул.Антоновича,115Д; М15-ул.Шолом-Алейхема, 10а;  М20-ул. Бориспольская, 32А, М22-ул. Ветряные горы, 21/7;   М37</t>
    </r>
    <r>
      <rPr>
        <sz val="11"/>
        <color rgb="FF000000"/>
        <rFont val="Calibri"/>
        <family val="2"/>
        <charset val="204"/>
      </rPr>
      <t>-</t>
    </r>
    <r>
      <rPr>
        <b/>
        <sz val="11"/>
        <color rgb="FF000000"/>
        <rFont val="Calibri"/>
        <family val="2"/>
        <charset val="204"/>
      </rPr>
      <t>пр.Воздухофлотский, 19/1-А</t>
    </r>
  </si>
  <si>
    <t>ТОЛК Україна М24;М40;М41;М17/1</t>
  </si>
  <si>
    <r>
      <t xml:space="preserve">ДТЕК КИЇВСЬКІ РЕГІОНАЛЬНІ МЕРЕЖІ                                        </t>
    </r>
    <r>
      <rPr>
        <b/>
        <sz val="11"/>
        <color rgb="FF000000"/>
        <rFont val="Calibri"/>
        <family val="2"/>
        <charset val="204"/>
      </rPr>
      <t xml:space="preserve">   М17/1 'Борисполь, Головатого 64</t>
    </r>
  </si>
  <si>
    <r>
      <t xml:space="preserve">ДТЕК КИЇВСЬКІ РЕГІОНАЛЬНІ МЕРЕЖІ                                          </t>
    </r>
    <r>
      <rPr>
        <b/>
        <sz val="11"/>
        <color rgb="FF000000"/>
        <rFont val="Calibri"/>
        <family val="2"/>
        <charset val="204"/>
      </rPr>
      <t xml:space="preserve">  'М24 с.Глеваха, ул. Ботаническая, 34</t>
    </r>
    <r>
      <rPr>
        <sz val="11"/>
        <color rgb="FF000000"/>
        <rFont val="Calibri"/>
        <family val="2"/>
        <charset val="204"/>
      </rPr>
      <t xml:space="preserve"> ТП 566</t>
    </r>
  </si>
  <si>
    <r>
      <t xml:space="preserve">ДТЕК КИЇВСЬКІ РЕГІОНАЛЬНІ МЕРЕЖІ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  М43 Боярка ул.Бульварная2/50)                                                                        М25 'с.С.Борщаговка, ул. П.Чубинского, 8в      </t>
    </r>
    <r>
      <rPr>
        <sz val="11"/>
        <color rgb="FF000000"/>
        <rFont val="Calibri"/>
        <family val="2"/>
        <charset val="204"/>
      </rPr>
      <t xml:space="preserve">      </t>
    </r>
  </si>
  <si>
    <r>
      <t xml:space="preserve">ДТЕК КИЇВСЬКІ РЕГІОНАЛЬНІ МЕРЕЖІ                                                      </t>
    </r>
    <r>
      <rPr>
        <b/>
        <sz val="11"/>
        <color rgb="FF000000"/>
        <rFont val="Calibri"/>
        <family val="2"/>
        <charset val="204"/>
      </rPr>
      <t>(М34) п.г.т. Софиевская Борщаговка, ул. Соборная 105/7</t>
    </r>
  </si>
  <si>
    <r>
      <t xml:space="preserve">ДТЕК КИЇВСЬКІ РЕГІОНАЛЬНІ МЕРЕЖІ                                         </t>
    </r>
    <r>
      <rPr>
        <b/>
        <sz val="11"/>
        <color rgb="FF000000"/>
        <rFont val="Calibri"/>
        <family val="2"/>
        <charset val="204"/>
      </rPr>
      <t xml:space="preserve"> М8г.Ирпень, 10-я линия,1Б ;                                        М21'г.Ирпень, ул. Тургеневская, 50б</t>
    </r>
  </si>
  <si>
    <t>ТОЛК Україна М1/1;М8;М21;М34;М43;М25</t>
  </si>
  <si>
    <t>Логин Киевская областная ЕК (М8М21)</t>
  </si>
  <si>
    <t>186 088,56</t>
  </si>
  <si>
    <t>17893.51</t>
  </si>
  <si>
    <t>1 140,66</t>
  </si>
  <si>
    <t>М34</t>
  </si>
  <si>
    <t>109 076,68</t>
  </si>
  <si>
    <t>138 724,20</t>
  </si>
  <si>
    <t>1 955,00</t>
  </si>
  <si>
    <t>902.40</t>
  </si>
  <si>
    <t>Черніговобленерго</t>
  </si>
  <si>
    <t>Комерційний облік АСКОЕ</t>
  </si>
  <si>
    <t>26442.28</t>
  </si>
  <si>
    <t>5 804,47</t>
  </si>
  <si>
    <t xml:space="preserve"> від 26.03.2021</t>
  </si>
  <si>
    <t>24791/5-10</t>
  </si>
  <si>
    <t>208 109,10</t>
  </si>
  <si>
    <t>121 590,78</t>
  </si>
  <si>
    <t>КОМЕРЦІЙНИЙ ОБЛІК</t>
  </si>
  <si>
    <t>463 370,40</t>
  </si>
  <si>
    <t>Аварійна Сервісна Компанія</t>
  </si>
  <si>
    <t>Аналізи,чистка, утилізація</t>
  </si>
  <si>
    <t>42776352</t>
  </si>
  <si>
    <t>129 974,28</t>
  </si>
  <si>
    <t>242 285,70</t>
  </si>
  <si>
    <t>М25</t>
  </si>
  <si>
    <t>М38</t>
  </si>
  <si>
    <t xml:space="preserve"> спостереження за пожежною
сигналізацією</t>
  </si>
  <si>
    <t>890 714,88</t>
  </si>
  <si>
    <t>28172.28</t>
  </si>
  <si>
    <t>107 420,42</t>
  </si>
  <si>
    <t xml:space="preserve">ФОП Харченко </t>
  </si>
  <si>
    <r>
      <rPr>
        <b/>
        <sz val="11"/>
        <rFont val="Arial Narrow"/>
        <family val="2"/>
        <charset val="204"/>
      </rPr>
      <t>2791700311</t>
    </r>
    <r>
      <rPr>
        <sz val="11"/>
        <rFont val="Arial Narrow"/>
        <family val="2"/>
        <charset val="204"/>
      </rPr>
      <t xml:space="preserve"> / 1994718823</t>
    </r>
  </si>
  <si>
    <t>Послуга із забезпечення тех. Можл пост ее 7%</t>
  </si>
  <si>
    <t>Послуга із забезпечення тех. Можл пост води 7%+3%</t>
  </si>
  <si>
    <t>Предыдущий период</t>
  </si>
  <si>
    <t>август</t>
  </si>
  <si>
    <t>Мощность по договору</t>
  </si>
  <si>
    <t>Дата счета</t>
  </si>
  <si>
    <t>Срок оплаты</t>
  </si>
  <si>
    <t>АВГУСТ 2021г.</t>
  </si>
  <si>
    <t>Реально</t>
  </si>
  <si>
    <t>Бюджет</t>
  </si>
  <si>
    <t>Аренда</t>
  </si>
  <si>
    <t xml:space="preserve">Магазин М1/1       "Пчелка маркет" </t>
  </si>
  <si>
    <t>128,3 кВт/ч</t>
  </si>
  <si>
    <t xml:space="preserve">Магазин М2        "Пчелка маркет" </t>
  </si>
  <si>
    <t>43 кВт/ч</t>
  </si>
  <si>
    <t xml:space="preserve"> </t>
  </si>
  <si>
    <t xml:space="preserve">Магазин М3            "Пчелка маркет" </t>
  </si>
  <si>
    <t>100 кВт/ч</t>
  </si>
  <si>
    <t xml:space="preserve">ТОВ "Київські електричні мережи"  </t>
  </si>
  <si>
    <t>Магазин М4/1            "Пчелка маркет"</t>
  </si>
  <si>
    <t>50 кВт/ч</t>
  </si>
  <si>
    <t xml:space="preserve">Магазин М5          "Пчелка маркет" </t>
  </si>
  <si>
    <t>84,3 кВт/ч (не меньше 70</t>
  </si>
  <si>
    <t xml:space="preserve">ТОВ "Київські електричні мережи"    </t>
  </si>
  <si>
    <t>ФОП Ковальова Л.В.</t>
  </si>
  <si>
    <t>Магазин М6           "Пчелка маркет"</t>
  </si>
  <si>
    <t>2*132,4 кВт</t>
  </si>
  <si>
    <t xml:space="preserve">Магазин М7        "Пчелка маркет" </t>
  </si>
  <si>
    <t>75 кВт/ч</t>
  </si>
  <si>
    <t>Обслуживание сетей</t>
  </si>
  <si>
    <t xml:space="preserve">Магазин М8        "Пчелка маркет" </t>
  </si>
  <si>
    <t>140 кВт/ч (не меньше 105)</t>
  </si>
  <si>
    <t xml:space="preserve">Магазин М9        "Пчелка маркет" </t>
  </si>
  <si>
    <t xml:space="preserve">Магазин М10     "Пчелка маркет" </t>
  </si>
  <si>
    <t>10 кВт/ч (не меньше 100)</t>
  </si>
  <si>
    <t xml:space="preserve">Магазин М12     "Пчелка маркет" </t>
  </si>
  <si>
    <t>120 кВт/ч</t>
  </si>
  <si>
    <t>Магазин М13/1 "Пчелка маркет"</t>
  </si>
  <si>
    <t xml:space="preserve">Магазин М14     "Пчелка маркет" </t>
  </si>
  <si>
    <t>80 кВт/ч</t>
  </si>
  <si>
    <t xml:space="preserve">Магазин М15     "Пчелка маркет" </t>
  </si>
  <si>
    <t>147,3 кВт/ч</t>
  </si>
  <si>
    <t xml:space="preserve">Магазин М16     "Пчелка маркет" </t>
  </si>
  <si>
    <t>Магазин М17     "Пчелка маркет"</t>
  </si>
  <si>
    <t>Магазин М18     "Пчелка маркет"</t>
  </si>
  <si>
    <t>Магазин М19     "Пчелка маркет"</t>
  </si>
  <si>
    <t>Магазин М20     "Пчелка маркет"</t>
  </si>
  <si>
    <t>26,9 кВт/ч</t>
  </si>
  <si>
    <t xml:space="preserve">ТОВ "Київські електричні мережи"   </t>
  </si>
  <si>
    <t>Магазин М21     "Пчелка маркет"</t>
  </si>
  <si>
    <t>99 кВт/ч</t>
  </si>
  <si>
    <t>Магазин М22     "Пчелка маркет"</t>
  </si>
  <si>
    <t>Не меньше 15 кВт/ч(в договоре до 45)</t>
  </si>
  <si>
    <t>Магазин М23     "Пчелка маркет"</t>
  </si>
  <si>
    <t>200 кВт/ч</t>
  </si>
  <si>
    <t>Магазин М24/1 "Пчелка маркет"</t>
  </si>
  <si>
    <t>Магазин М25     "Пчелка маркет"</t>
  </si>
  <si>
    <t>Магазин М26      "Пчелка маркет"</t>
  </si>
  <si>
    <t>71,5 кВт/ч</t>
  </si>
  <si>
    <t>Магазин М27      "Пчелка маркет"</t>
  </si>
  <si>
    <t>Магазин М28      "Пчелка маркет"</t>
  </si>
  <si>
    <t>Магазин М29          "Сити маркет"</t>
  </si>
  <si>
    <t xml:space="preserve">Магазин М30     "Пчелка маркет" </t>
  </si>
  <si>
    <t>49 кВт/ч</t>
  </si>
  <si>
    <t>Магазин М32     "Пчелка маркет"</t>
  </si>
  <si>
    <t>37 кВт/ч минимум(при согласовании до 100 кВт/ч</t>
  </si>
  <si>
    <t>Магазин М33     "Пчелка маркет"</t>
  </si>
  <si>
    <t>ФОП Хоменко О.М.</t>
  </si>
  <si>
    <t>Магазин М34     "Пчелка маркет"</t>
  </si>
  <si>
    <t>ТОВ "Петрівський квартал"</t>
  </si>
  <si>
    <t>Магазин М35     "Пчелка маркет"</t>
  </si>
  <si>
    <t>130 кВт/ч</t>
  </si>
  <si>
    <t>АКЦІОНЕРНЕ ТОВАРИСТВО "ЗАКРИТИЙ НЕДИВЕРСИФІКОВАНИЙ  ВЕНЧУРНИЙ КОРПОРАТИВНИЙ ІНВЕСТИЦІЙНИЙ ФОНД "ЛОУДСТАР"</t>
  </si>
  <si>
    <t>Магазин М36     "Пчелка маркет"</t>
  </si>
  <si>
    <t>ТОВ "Крамар Еко"</t>
  </si>
  <si>
    <t>150 кВт/ч</t>
  </si>
  <si>
    <t>ТОВ "Комфорт сервіс Приірпіння"</t>
  </si>
  <si>
    <t>ФОП Заєнчик В.Г.</t>
  </si>
  <si>
    <t>Магазин М37     "Пчелка маркет"</t>
  </si>
  <si>
    <t>248,9 кВт/ч</t>
  </si>
  <si>
    <t>ТОВ "Київські електричні мережи"</t>
  </si>
  <si>
    <t>Магазин М38     "Пчелка маркет"</t>
  </si>
  <si>
    <t>180 кВт/ч</t>
  </si>
  <si>
    <t>Магазин М39     "Пчелка маркет"</t>
  </si>
  <si>
    <t>Магазин М40     "Пчелка маркет"</t>
  </si>
  <si>
    <t>ТОВ "РЕНТ ЛАЙН КОМПАНІ"</t>
  </si>
  <si>
    <t>Магазин М42     "Пчелка маркет"</t>
  </si>
  <si>
    <t>110 кВт/ч</t>
  </si>
  <si>
    <t>Магазин М43     "Пчелка маркет"</t>
  </si>
  <si>
    <t>ПЛАНОВЫЕ ПЛАТЕЖИ</t>
  </si>
  <si>
    <t>ОБСЛУЖИВАНИЕ ПОЖАРНОЙ СИГНАЛИЗАЦИИ</t>
  </si>
  <si>
    <t>ОБЪЕКТ</t>
  </si>
  <si>
    <t>КОНТРАГЕНТ</t>
  </si>
  <si>
    <t>ЮРИДИЧЕСКОЕ ЛИЦО</t>
  </si>
  <si>
    <t>НОМЕР И ДАТА СЧЕТА</t>
  </si>
  <si>
    <t>НАИМЕНОВАНИЕ (ВИД) РАБОТЫ (УСЛУГИ)</t>
  </si>
  <si>
    <t>Сумма (бюджет)</t>
  </si>
  <si>
    <t>Сумма (общая)</t>
  </si>
  <si>
    <t>М2</t>
  </si>
  <si>
    <t>ООО "Венбест"</t>
  </si>
  <si>
    <t>ООО "Легион 2015"</t>
  </si>
  <si>
    <t>№ВБ000004950 от 01.01.2022г.</t>
  </si>
  <si>
    <t>Обслуживание пожарной сигнализации в январе 2022г.</t>
  </si>
  <si>
    <t>М3</t>
  </si>
  <si>
    <t>М4/1</t>
  </si>
  <si>
    <t>М6</t>
  </si>
  <si>
    <t>М12</t>
  </si>
  <si>
    <t>М14</t>
  </si>
  <si>
    <t>М15</t>
  </si>
  <si>
    <t>М17</t>
  </si>
  <si>
    <t>М18</t>
  </si>
  <si>
    <t>М20</t>
  </si>
  <si>
    <t>М23</t>
  </si>
  <si>
    <t>М37</t>
  </si>
  <si>
    <t>ООО "Ридо Груп"</t>
  </si>
  <si>
    <t>№ВБ000004036 от 01.01.2022г.</t>
  </si>
  <si>
    <t>М24/1</t>
  </si>
  <si>
    <t>М27</t>
  </si>
  <si>
    <t>М28</t>
  </si>
  <si>
    <t>М32</t>
  </si>
  <si>
    <t>М36</t>
  </si>
  <si>
    <t>М35</t>
  </si>
  <si>
    <t>М29</t>
  </si>
  <si>
    <t>М39</t>
  </si>
  <si>
    <t>РЕМОНТ ПОЖАРНОЙ СИГНАЛИЗАЦИИ</t>
  </si>
  <si>
    <t>ОБСЛУЖИВАНИЕ ГРУЗОВЫХ И НОЖНИЧНЫХ ПОДЪЕМНИКОВ</t>
  </si>
  <si>
    <t xml:space="preserve">ООО "Производственное объединение "Битек" </t>
  </si>
  <si>
    <t xml:space="preserve">№350 від 20.12.2021       </t>
  </si>
  <si>
    <t>Техническое обслуживание подъемников (ноябрь  2021г.)</t>
  </si>
  <si>
    <t>М8</t>
  </si>
  <si>
    <t xml:space="preserve"> №324від 26.11.2021</t>
  </si>
  <si>
    <t>Техническое обслуживание подъемников (декабрь 2021г.)</t>
  </si>
  <si>
    <t>РЕМОНТ ГРУЗОВЫХ И НОЖНИЧНЫХ ПОДЪЕМНИКОВ</t>
  </si>
  <si>
    <t>№296 от 05.11.2021</t>
  </si>
  <si>
    <t>Замена троса</t>
  </si>
  <si>
    <t>М1/1</t>
  </si>
  <si>
    <t>№331 от 26.11.2021</t>
  </si>
  <si>
    <t>Диагностика подъемника</t>
  </si>
  <si>
    <t>КОМПЛЕКСНОЕ ОБСЛУЖИВАНИЕ МАГАЗИНА</t>
  </si>
  <si>
    <t>ООО "Астра"</t>
  </si>
  <si>
    <t>№2649 от 20.12.2021г.</t>
  </si>
  <si>
    <t>ТО в декабре 2021г.</t>
  </si>
  <si>
    <t>ОБСЛУЖИВАНИЕ ТЕХНОЛОГИЧЕСКОГО ОБОРУДОВАНИЯ</t>
  </si>
  <si>
    <t>ООО "Сорс Плюс"</t>
  </si>
  <si>
    <t>№1935 от 30.11.2021г.</t>
  </si>
  <si>
    <t>ТО технологического оборудования в сентябре 2021г.</t>
  </si>
  <si>
    <t>М6ПЦ</t>
  </si>
  <si>
    <t>№1149 от 31.05.2021г.</t>
  </si>
  <si>
    <t>М29 МЦ</t>
  </si>
  <si>
    <t>М29 РЦ</t>
  </si>
  <si>
    <t>М29 ПЦ</t>
  </si>
  <si>
    <t>М29 ПАБ</t>
  </si>
  <si>
    <t>М23 КЦ</t>
  </si>
  <si>
    <t>ООО "Митвиркунг"</t>
  </si>
  <si>
    <t>№НФ-000007504 от 29.10.2021</t>
  </si>
  <si>
    <t>ТО технологического оборудования за октябрь 2021г.</t>
  </si>
  <si>
    <t>М23 ПЦ</t>
  </si>
  <si>
    <t>ООО "Родолс"</t>
  </si>
  <si>
    <t>№170 от 30.12.2021г.</t>
  </si>
  <si>
    <t>Сервисное обслуживание в Декабрь 2021г.</t>
  </si>
  <si>
    <t>№172 от 30.12.2021г.</t>
  </si>
  <si>
    <t>М38 ПЦ</t>
  </si>
  <si>
    <t>№173 от 30.12.2021г.</t>
  </si>
  <si>
    <t>М34ПЦ</t>
  </si>
  <si>
    <t>№171 от 30.12.2021</t>
  </si>
  <si>
    <t xml:space="preserve">ООО "Роял Аквасервис" </t>
  </si>
  <si>
    <t>№13 от 24.01.2022</t>
  </si>
  <si>
    <t>ТО морского аквариума для устриц</t>
  </si>
  <si>
    <t>№14 от 24.01.2022</t>
  </si>
  <si>
    <t xml:space="preserve">№131 від 24.11.2021                </t>
  </si>
  <si>
    <t>Сервисное обслуживание аквариума в ноябре 2021</t>
  </si>
  <si>
    <t>РЕМОНТ ТЕХНОЛОГИЧЕСКОГО ОБОРУДОВАНИЯ</t>
  </si>
  <si>
    <t>ФОП Гелюх Максим Олександрович</t>
  </si>
  <si>
    <t>№ 96 від  28.12.2021</t>
  </si>
  <si>
    <t>Ремонт ролети</t>
  </si>
  <si>
    <t>№11 от 04.01.2022</t>
  </si>
  <si>
    <t>Ремонт пароконвектомата</t>
  </si>
  <si>
    <t>№10  от 04.01.2022</t>
  </si>
  <si>
    <t>Ремонт пицепечи</t>
  </si>
  <si>
    <t>№12  от 04.01.2022</t>
  </si>
  <si>
    <t>Ремонт гриля</t>
  </si>
  <si>
    <t>№124 от 29.09.2021г.</t>
  </si>
  <si>
    <t>Сервисное обслуживание сентябрь</t>
  </si>
  <si>
    <t>№135 от 28.10.2021г.</t>
  </si>
  <si>
    <t>Сервисное обслуживание октябрь</t>
  </si>
  <si>
    <t>№136 от 29.10.2021г.</t>
  </si>
  <si>
    <t>№169 от 30.12.2021г.</t>
  </si>
  <si>
    <t>Монтаж уплотнителя на ростойку</t>
  </si>
  <si>
    <t>M38 РЦ</t>
  </si>
  <si>
    <t>ТОВ «Астра»</t>
  </si>
  <si>
    <t>№2713 від 29.12.2021</t>
  </si>
  <si>
    <t xml:space="preserve">Обслуживание аквариума </t>
  </si>
  <si>
    <t>№12 от 04.01.2022</t>
  </si>
  <si>
    <t>№10 от 04.01.2022</t>
  </si>
  <si>
    <t>№6 от 19.01.2022г.</t>
  </si>
  <si>
    <t>Ремонт тестоделителя</t>
  </si>
  <si>
    <t>№7 от 19.01.2022г.</t>
  </si>
  <si>
    <t>Ремонт миксера</t>
  </si>
  <si>
    <t>№3 от 17.01.2022г.</t>
  </si>
  <si>
    <t>Ремонт планетарного миксера</t>
  </si>
  <si>
    <t xml:space="preserve">ТОВ " МАРЕСТО УРАЇНА" </t>
  </si>
  <si>
    <t>№1-22 ОТ 29.01.2022</t>
  </si>
  <si>
    <t>Венчик для миксера</t>
  </si>
  <si>
    <t>№1-23 от 29.01.2022</t>
  </si>
  <si>
    <t>ТОВ " ОРГСКЛО ПОЛІМЕР"</t>
  </si>
  <si>
    <t>№15 от 31.01.2022</t>
  </si>
  <si>
    <t>Оргскло</t>
  </si>
  <si>
    <t>№НФ-000007552 от 20.10.2021</t>
  </si>
  <si>
    <t>М23 мц</t>
  </si>
  <si>
    <t>№НФ-000005921 от 01.09.2021</t>
  </si>
  <si>
    <t>Ремонт масажера для м'яса</t>
  </si>
  <si>
    <t>№НФ-000005920 от 01.09.2021</t>
  </si>
  <si>
    <t>Ремонт инектора</t>
  </si>
  <si>
    <t>№НФ-000005915 от 01.09.2021</t>
  </si>
  <si>
    <t>№НФ-000005913 от 01.09.2021</t>
  </si>
  <si>
    <t>№1835 от 29.11.2021</t>
  </si>
  <si>
    <t>Ремонт НТ бонету</t>
  </si>
  <si>
    <t>№1913 от 03.12.2021</t>
  </si>
  <si>
    <t>Ремонт тестороскаточной машины</t>
  </si>
  <si>
    <t>№1914 от 03.12.2021</t>
  </si>
  <si>
    <t>Ремонт оборудования для переделки сухарей</t>
  </si>
  <si>
    <t>№1915 от 03.12.2021</t>
  </si>
  <si>
    <t>№1923 от 03.12.2021</t>
  </si>
  <si>
    <t>Ремонт вакууматора</t>
  </si>
  <si>
    <t>№1830 от 29.11.2021</t>
  </si>
  <si>
    <t>Ремонт СТ регала</t>
  </si>
  <si>
    <t>№1829 от 29.11.2021</t>
  </si>
  <si>
    <t>Замена компресора в автономном молочном регале</t>
  </si>
  <si>
    <t>№1920  от 03.12.2021</t>
  </si>
  <si>
    <t>Ремонт картофеличистки</t>
  </si>
  <si>
    <t>№1919  от 03.12.2021</t>
  </si>
  <si>
    <t>Ремонт коптилки</t>
  </si>
  <si>
    <t>№1918  от 03.12.2021</t>
  </si>
  <si>
    <t>№1886  от 02.12.2021</t>
  </si>
  <si>
    <t>№1889  от 02.12.2021</t>
  </si>
  <si>
    <t>№147 від 24.11.2021</t>
  </si>
  <si>
    <t>Сервисное обс. Ноябрь</t>
  </si>
  <si>
    <t>№124 от 08.11.2021</t>
  </si>
  <si>
    <t>Обслуживание аквариума</t>
  </si>
  <si>
    <t>ООО "МАРЕСТО УКРАЇНА"</t>
  </si>
  <si>
    <t>№1-329  от 21.12.2021</t>
  </si>
  <si>
    <t>Ремонт кутера ( замена крышки)</t>
  </si>
  <si>
    <t>№131 от 24.11.2021</t>
  </si>
  <si>
    <t>Обслуживание аквариума листопад</t>
  </si>
  <si>
    <t>№1743 от 25.11.2021</t>
  </si>
  <si>
    <t>Ремонт коптильной, замена ТРВ</t>
  </si>
  <si>
    <t>№1742 от 25.11.2021</t>
  </si>
  <si>
    <t>Ремонт коптильной, замена компресора</t>
  </si>
  <si>
    <t>ТОВ "БМ ДИСТРИБУШН 2.0"</t>
  </si>
  <si>
    <t>№12482 30.11.2021</t>
  </si>
  <si>
    <t>Вал гнучкий КТ-S51 (рыбочистка)</t>
  </si>
  <si>
    <t>№141 от 25.11.2021</t>
  </si>
  <si>
    <t>№140 от 06.12.2021</t>
  </si>
  <si>
    <t>M38</t>
  </si>
  <si>
    <t>№2523 від 30.11.2021</t>
  </si>
  <si>
    <t>Ремонт оборудования</t>
  </si>
  <si>
    <t>№143 от 22.11.2021г.</t>
  </si>
  <si>
    <t>Монтаж уплотнителя на печку  Domino</t>
  </si>
  <si>
    <t>№144 от 22.11.2021г.</t>
  </si>
  <si>
    <t>ОБСЛУЖИВАНИЕ СИСТЕМ ВЕНТИЛЯЦИИ И КОНДИЦИОНИРОВАНИЯ</t>
  </si>
  <si>
    <t>№1324 от 30.09.2021г.</t>
  </si>
  <si>
    <t>ТО вентиляционного оборудования и кондиционирования в сентябре 2021г.</t>
  </si>
  <si>
    <t>№1327 от 30.09.2021г.</t>
  </si>
  <si>
    <t>РЕМОНТ СИСТЕМ ВЕНТИЛЯЦИИ И КОНДИЦИОНИРОВАНИЯ</t>
  </si>
  <si>
    <t>ОБСЛУЖИВАНИЕ ХОЛОДИЛЬНОГО ОБОРУДОВАНИЯ</t>
  </si>
  <si>
    <t>ООО "Ралко сервис"</t>
  </si>
  <si>
    <t>№1140 от 31.08.2021г.</t>
  </si>
  <si>
    <t>ТО холодильного оборудования в сентябре 2021г.</t>
  </si>
  <si>
    <t>№1303 от 30.09.2021г.</t>
  </si>
  <si>
    <t>№1326 от 30.09.2021г.</t>
  </si>
  <si>
    <t>ЧП "Хладоюг Сервис"</t>
  </si>
  <si>
    <t>№ХС-000620 від 30.06.2021</t>
  </si>
  <si>
    <t>ТО холодильного оборудования в июне 2021г.</t>
  </si>
  <si>
    <t>№ХС-000621 від 30.06.2021</t>
  </si>
  <si>
    <t>ООО "Рефконтракт"</t>
  </si>
  <si>
    <t>№930/7 от 30.09.2021г.</t>
  </si>
  <si>
    <t>РЕМОНТ ХОЛОДИЛЬНОГО ОБОРУДОВАНИЯ</t>
  </si>
  <si>
    <t>№1304 от 30.09.2021</t>
  </si>
  <si>
    <t>Ремонт регала</t>
  </si>
  <si>
    <t>ОБСЛУЖИВАНИЕ СИСТЕМЫ КАНАЛИЗАЦИИ И ЖИРОУЛОВИТЕЛЕЙ</t>
  </si>
  <si>
    <t>ООО "Вестерн-Биз"</t>
  </si>
  <si>
    <t>№647 от 02.12.2021</t>
  </si>
  <si>
    <t xml:space="preserve">Плановая чистка жироуловителей (2шт.) </t>
  </si>
  <si>
    <t>№596 от 03.11.2021г.</t>
  </si>
  <si>
    <t>Плановая чистка жироуловителей (2шт.)</t>
  </si>
  <si>
    <t>№624 от 22.11.2021г.</t>
  </si>
  <si>
    <t>Плановая чистка жироуловителей (2шт.) и канализации</t>
  </si>
  <si>
    <t xml:space="preserve">Плановая чистка жироуловителей (7шт.) </t>
  </si>
  <si>
    <t>№671 от 20.12.2021</t>
  </si>
  <si>
    <t>Плановая чистка жироуловителей (7шт.)</t>
  </si>
  <si>
    <t>Плановая чистка жироуловителей (7шт.) и канализации</t>
  </si>
  <si>
    <t>№569 от 19.10.2021</t>
  </si>
  <si>
    <t>Плановая чистка жироуловителей (1шт.) и канализации</t>
  </si>
  <si>
    <t>№532 від 24.09.2021</t>
  </si>
  <si>
    <t>Плановая чистка жироуловителей (4шт.) и канализации</t>
  </si>
  <si>
    <t>№633 від 29.11.2021</t>
  </si>
  <si>
    <t>Плановая чистка  стационарного жироуловителя (1шт.)</t>
  </si>
  <si>
    <t>№17 от 17.01.2022</t>
  </si>
  <si>
    <t>Плановая чистка жироуловителей (3шт.)</t>
  </si>
  <si>
    <t>№512 от 20.09.2021</t>
  </si>
  <si>
    <t>Плановая чистка жироуловителей (3шт.) и канализации</t>
  </si>
  <si>
    <t>М23 МЦ</t>
  </si>
  <si>
    <t>Плановая чистка жироуловителей (2шт)</t>
  </si>
  <si>
    <t>Плановая чистка жироуловителей (1шт.)</t>
  </si>
  <si>
    <t>Плановая чистка  стационарного жироуловителя (2шт.)</t>
  </si>
  <si>
    <t>№660 от 14.12.2021г.</t>
  </si>
  <si>
    <t>Плановая чистка жироуловителей (8 шт.) и канализации</t>
  </si>
  <si>
    <t>№665 от 14.12.2021г.</t>
  </si>
  <si>
    <t>Плановая чистка жироуловителей (9 шт.)</t>
  </si>
  <si>
    <t>АВАРИЙНАЯ ЧИСТКА СИСТЕМЫ КАНАЛИЗАЦИИ</t>
  </si>
  <si>
    <t>№18 от 17.01.2022</t>
  </si>
  <si>
    <t>Аварийная чистка канализации</t>
  </si>
  <si>
    <t>Профілактична чистка каналізації</t>
  </si>
  <si>
    <t>ООО " Стет билдинг"</t>
  </si>
  <si>
    <t>№3 от 19.01.2022</t>
  </si>
  <si>
    <t>Оформление технической документации (паспорт водного хозяйства)</t>
  </si>
  <si>
    <t>М37 офис</t>
  </si>
  <si>
    <t>ООО" ТРАСТОН"</t>
  </si>
  <si>
    <t>№3 от 14.01.2022</t>
  </si>
  <si>
    <t>ТО дизель генератора</t>
  </si>
  <si>
    <t>ТОВ «Монтах тех сервис»</t>
  </si>
  <si>
    <t>№4132 от 06.10.2021</t>
  </si>
  <si>
    <t>Прочистка канализационной системы</t>
  </si>
  <si>
    <t>№585 від 25.10.2021</t>
  </si>
  <si>
    <t>Аварийная чистка канализации коптильни</t>
  </si>
  <si>
    <t>№671 від 20.12.2021</t>
  </si>
  <si>
    <t>ТОВ «Аварійно-сервісна компанія»</t>
  </si>
  <si>
    <t>№1729 від 28.10.2021</t>
  </si>
  <si>
    <t>ТОВ «НВО «Аспект-еко»</t>
  </si>
  <si>
    <t>№720 від 28.10.2021</t>
  </si>
  <si>
    <t>Гідрохімічні аналізи стічних вод</t>
  </si>
  <si>
    <t>№618 от 10.11.2021</t>
  </si>
  <si>
    <t>№619 от 15.11.2021</t>
  </si>
  <si>
    <t>№665 от 14.12.2021</t>
  </si>
  <si>
    <t>ПРОЕЗД ТЕХНИЧЕСКОГО ОТДЕЛА</t>
  </si>
  <si>
    <t>ПРЕДСТАВИТЕЛЬ ТЕХНИЧЕСКОГО ОТДЕЛА</t>
  </si>
  <si>
    <t>Инженер по обслуживанию оборудования Черноусов А.И.</t>
  </si>
  <si>
    <t>Инженер по обслуживанию оборудования Щелчков А.И.</t>
  </si>
  <si>
    <t>Инженер по техническому надзору Ломакин И.А.</t>
  </si>
  <si>
    <t>ТЕКУЩИЕ ПЛАТЕЖИ</t>
  </si>
  <si>
    <t>ЗАКУПКИ, РЕМОНТ, УСЛУГИ</t>
  </si>
  <si>
    <t>ТОВ «Інвестолл»</t>
  </si>
  <si>
    <t>№СФ-0000872 від 22.12.2021</t>
  </si>
  <si>
    <t>Ремкоплект для воріт секційних</t>
  </si>
  <si>
    <t>ТОВ "АКМЕЛАЙТКИЕВ"</t>
  </si>
  <si>
    <t>№1 ОТ 06.01.2022</t>
  </si>
  <si>
    <t>Фотолюминисцентные планы эвакуации</t>
  </si>
  <si>
    <t>№3 ОТ 10.01.2022</t>
  </si>
  <si>
    <t>Легион</t>
  </si>
  <si>
    <t>ТОВ " УКРПОЖБЕЗПЕКА"</t>
  </si>
  <si>
    <t>№369 ОТ 13.12.2021</t>
  </si>
  <si>
    <t>Экспертная оценка пожарного состояния помещений</t>
  </si>
  <si>
    <t>М29 мц</t>
  </si>
  <si>
    <t>ТОВ "ВП "РОЗФУД"</t>
  </si>
  <si>
    <t>№СФ-006 ОТ 14.01.2022</t>
  </si>
  <si>
    <t>Датчик уровня поплавковый</t>
  </si>
  <si>
    <t>ФОП Мацкевич Н.Г.</t>
  </si>
  <si>
    <t>№8 ОТ 21.01.2022</t>
  </si>
  <si>
    <t>Монтаж светильников</t>
  </si>
  <si>
    <t>№2 ОТ 20.01.2022</t>
  </si>
  <si>
    <t>Демонтаж и монтаж дверей, установка фурнитуры</t>
  </si>
  <si>
    <t>№4 ОТ 20.01.2022</t>
  </si>
  <si>
    <t>Ремонт перил в тз</t>
  </si>
  <si>
    <t>ООО "ХОНЕСТ ГРУП"</t>
  </si>
  <si>
    <t>№33 от 21.01.2022</t>
  </si>
  <si>
    <t>Тен -блок 9кВт</t>
  </si>
  <si>
    <t>№6 від 20.01.2022</t>
  </si>
  <si>
    <t>Ремонт двенри в ХК</t>
  </si>
  <si>
    <t>№5 від 20.01.2022</t>
  </si>
  <si>
    <t>№3 від 20.01.2022</t>
  </si>
  <si>
    <t xml:space="preserve">Ремонт Входной двенри </t>
  </si>
  <si>
    <t>ФОП Бондарюк Константин Юриевич</t>
  </si>
  <si>
    <t>№2 від 12.01.2022</t>
  </si>
  <si>
    <t>Ремон рокл</t>
  </si>
  <si>
    <t>ООО "ТК ПОЖСОЮЗ"</t>
  </si>
  <si>
    <t>№1036 від 20.01.2022</t>
  </si>
  <si>
    <t>Закупка огнетушителей</t>
  </si>
  <si>
    <t>№СФ-0000015 від 14.01.2022</t>
  </si>
  <si>
    <t>Ремкоплект для роллеты</t>
  </si>
  <si>
    <t>№СФ-0000010 від 18.01.2022</t>
  </si>
  <si>
    <t>Ремкоплект для ворот секционных</t>
  </si>
  <si>
    <t>ТОВ «Роял аква сервис»</t>
  </si>
  <si>
    <t>№90 от 17.09.2021</t>
  </si>
  <si>
    <t>Ремонт охладителя для аквариума</t>
  </si>
  <si>
    <t>ТОВ «Максі-пром»</t>
  </si>
  <si>
    <t>№112 від 01.12.2021</t>
  </si>
  <si>
    <t>Оренда контейнерів 15шт</t>
  </si>
  <si>
    <t>ТОВ «Компанія АГ-плюс»</t>
  </si>
  <si>
    <t>№СФ-0000082 від 20.09.2021</t>
  </si>
  <si>
    <t>Ремонт карниза на входной группе</t>
  </si>
  <si>
    <t>Департамент екологічного нагляду</t>
  </si>
  <si>
    <t>Р/ф №15/ВУ-Ф-08/251-08-2021 від 06.10.2021</t>
  </si>
  <si>
    <t>Штраф за відсутні умови на водовідведення</t>
  </si>
  <si>
    <t>ТОВ «НВО Екосот»</t>
  </si>
  <si>
    <t>№РК052653 от 20.09.2021</t>
  </si>
  <si>
    <t>Сервисное обслуживание фильтра для воды</t>
  </si>
  <si>
    <t>№РК052634 от 20.09.2021</t>
  </si>
  <si>
    <t>Картриджи для фильтра воды</t>
  </si>
  <si>
    <t>ТОВ «Сінкел»</t>
  </si>
  <si>
    <t>№132 від 16.09.2021</t>
  </si>
  <si>
    <t>Шинопровод для трекового освещения</t>
  </si>
  <si>
    <t>ТОВ «СКАЙ КОНСТРАКШН»</t>
  </si>
  <si>
    <t>№473 от 05.10.2021</t>
  </si>
  <si>
    <t>Замочки для дверей в туалеты</t>
  </si>
  <si>
    <t>№52 від 08.11.2021</t>
  </si>
  <si>
    <t>Косметический ремонт</t>
  </si>
  <si>
    <t>Офис Т.С.</t>
  </si>
  <si>
    <t>ФОП Радзьоха А. М.</t>
  </si>
  <si>
    <t>№0921к від 18.10.2021</t>
  </si>
  <si>
    <t>Компенсація витрат на офіс технічної служби</t>
  </si>
  <si>
    <t>М30, М35</t>
  </si>
  <si>
    <t>ТОВ «Оргскло полімер»</t>
  </si>
  <si>
    <t>№245 від 26.10.2021</t>
  </si>
  <si>
    <t>Оргстекло для перегородок</t>
  </si>
  <si>
    <t>ФОП Бобонич А.М.</t>
  </si>
  <si>
    <t>№1004 від 07.10.2021</t>
  </si>
  <si>
    <t>Замена электродвигателя с платой управления автоматических дверей</t>
  </si>
  <si>
    <t>№1005 від 07.10.2021</t>
  </si>
  <si>
    <t>Замена зубчатого ремня автоматических дверей</t>
  </si>
  <si>
    <t>№СФ-0000820 від 8.12.2021</t>
  </si>
  <si>
    <t>№48 від 20.10.2021</t>
  </si>
  <si>
    <t>Изготовление и замена разбитого стеклопакета</t>
  </si>
  <si>
    <t>№53 від 08.11.2021</t>
  </si>
  <si>
    <t>Косметический ремонт (доп. Работы)</t>
  </si>
  <si>
    <t>№44 від 18.10.2021</t>
  </si>
  <si>
    <t>Замена плитки</t>
  </si>
  <si>
    <t>№45 від 18.10.2021</t>
  </si>
  <si>
    <t>Демонтаж входных металопластиковых дверей</t>
  </si>
  <si>
    <t>Демонтаж  металопластиковой перегородки, монтаж, регулировка</t>
  </si>
  <si>
    <t>№55 від 09.11.2021</t>
  </si>
  <si>
    <t>Замена разбитого стеклопакета</t>
  </si>
  <si>
    <t>№56 від 09.11.2021</t>
  </si>
  <si>
    <t>№57 від 09.11.2021</t>
  </si>
  <si>
    <t>ФОП Авраменко В.В.</t>
  </si>
  <si>
    <t>№66 від 13.10.2021</t>
  </si>
  <si>
    <t>Работа грузчиков</t>
  </si>
  <si>
    <t>ТОВ «Керхер»</t>
  </si>
  <si>
    <t>CAS-1553563-X8Z8-1 от 13.11.2021</t>
  </si>
  <si>
    <t>Ремонт мойки высокого давления</t>
  </si>
  <si>
    <t>МЦ23</t>
  </si>
  <si>
    <t>№60 від 23.11.2021</t>
  </si>
  <si>
    <t>Косметический ремонт мясной цех</t>
  </si>
  <si>
    <t>№59 від 23.11.2021</t>
  </si>
  <si>
    <t>Монтаж нержавейки на стену</t>
  </si>
  <si>
    <t>М-23</t>
  </si>
  <si>
    <t>№61 от 25.11.2021</t>
  </si>
  <si>
    <t>Ремонт вх. Двери</t>
  </si>
  <si>
    <t>ТОВ "ОРГСКЛО ПОЛІМЕР"</t>
  </si>
  <si>
    <t>№271 ОТ 10.12.2021</t>
  </si>
  <si>
    <t>Изделия с оргстекла</t>
  </si>
  <si>
    <t>ЗАКУПКИ ДЛЯ РЕМОНТА ТЕХНИЧЕСКОЙ СЛУЖБОЙ</t>
  </si>
  <si>
    <t>ПРЕДСТАВИТЕЛЬ ТЕХНИЧЕСКОЙ СЛУЖБЫ</t>
  </si>
  <si>
    <t>ДОКУМЕНТ</t>
  </si>
  <si>
    <t>СЛУЖЕБНАЯ ЗАПИСКА</t>
  </si>
  <si>
    <t>Главный инженер Дорош А.С.</t>
  </si>
  <si>
    <t>Служебная записка от 09.09.2021</t>
  </si>
  <si>
    <t xml:space="preserve">Оплата за водоснабжение магазина ФОП Ковальова </t>
  </si>
  <si>
    <t>Оплата за водоснабжение магазина ФОП Тришапко</t>
  </si>
  <si>
    <t>Оплата за водоснабжение магазина ФОП Бондарчук</t>
  </si>
  <si>
    <t>Оплата за водоснабжение магазина ФОП Онищенко</t>
  </si>
  <si>
    <t>Служебная записка</t>
  </si>
  <si>
    <t>Оплата за водоснабжение магазина «Белое сухое» ФОП Смирнова</t>
  </si>
  <si>
    <t>Оплата за электроэнергию магазина «Белое сухое» ФОП Зиньковская</t>
  </si>
  <si>
    <t>ПОДРАЗДЕЛЕНИЕ</t>
  </si>
  <si>
    <t>ВСЕГО:</t>
  </si>
  <si>
    <t>ПЕРИОД</t>
  </si>
  <si>
    <t>Ноябрь</t>
  </si>
  <si>
    <t>октябрь</t>
  </si>
  <si>
    <t>Коммунальные платежи</t>
  </si>
  <si>
    <t>Техническое обслуживание подъемников</t>
  </si>
  <si>
    <t>Обслуживание системы пожарной сигнализации</t>
  </si>
  <si>
    <t>Обслуживание системы канализации и жироуловителей</t>
  </si>
  <si>
    <t>ИТОГО:</t>
  </si>
  <si>
    <t>Текущие ремонтные расходы (Э, ВК, общестрой, проезд)</t>
  </si>
  <si>
    <t>Плановые рем. работы (услуги, ремонт, инструмент)</t>
  </si>
  <si>
    <t>Ремонт грузовых и ножничных подъемников</t>
  </si>
  <si>
    <t>Техническое обслуживание технологического оборудования</t>
  </si>
  <si>
    <t>Аварийный ремонт технол. оборудования</t>
  </si>
  <si>
    <t>Охрана труда, пожарная безопасность</t>
  </si>
  <si>
    <t>ЗВІТ ПРО ПОКАЗНИКИ ЛІЧИЛЬНИКІВ ЗА СЕРПЕНЬ 2021р.</t>
  </si>
  <si>
    <t>Назва споживача:</t>
  </si>
  <si>
    <t>ТОВ "ЛЕГІОН 2015"</t>
  </si>
  <si>
    <t>Адреса споживача:</t>
  </si>
  <si>
    <t>м.Бровари, вул. Шолом-Алейхема, 68б</t>
  </si>
  <si>
    <t>Постачальник:</t>
  </si>
  <si>
    <t>ПП "Броварижитлобуд"</t>
  </si>
  <si>
    <t>№пп</t>
  </si>
  <si>
    <t>Розташування</t>
  </si>
  <si>
    <t>Місто споживання (адреса)</t>
  </si>
  <si>
    <t>Субспоживач</t>
  </si>
  <si>
    <t>№ лічильника</t>
  </si>
  <si>
    <t>Вид енергоносія</t>
  </si>
  <si>
    <t>Коефіцієнт трансформації</t>
  </si>
  <si>
    <t>Показники лічильника</t>
  </si>
  <si>
    <t>Споживання, кВт/год, м3</t>
  </si>
  <si>
    <t>Дата зняття</t>
  </si>
  <si>
    <t>Показники</t>
  </si>
  <si>
    <t>Електрощит</t>
  </si>
  <si>
    <t>Магазин              "Пчелка маркет"</t>
  </si>
  <si>
    <t>NIK 2303L APK1 №8044352</t>
  </si>
  <si>
    <t>Активна е/е</t>
  </si>
  <si>
    <t>Реактивна е/е</t>
  </si>
  <si>
    <t>Водомірний вузол</t>
  </si>
  <si>
    <t>HIDROTECH E-T 1,5-U №102287506</t>
  </si>
  <si>
    <t>Водопостачання</t>
  </si>
  <si>
    <t>м.Обухів, вул. Каштанова, 6/1б</t>
  </si>
  <si>
    <t>ФОП Вафін В.О.</t>
  </si>
  <si>
    <t>Коефіцієнт втрат у лініях</t>
  </si>
  <si>
    <t>Споживання заг., кВт/год, м3</t>
  </si>
  <si>
    <t>NIK 2301 АТ.0000.0.11 №10457424</t>
  </si>
  <si>
    <t>HIDROTECH Е-Т 1,5-U №213489</t>
  </si>
  <si>
    <t>м.Київ, б-р В.Гавела, 18</t>
  </si>
  <si>
    <t>М1/1 ЭЛЕКТРОСНАБЖЕНИЕ</t>
  </si>
  <si>
    <t>М1/1 ВОДОСНАБЖЕНИЕ</t>
  </si>
  <si>
    <t>ТОВ "ТК "Борщагівський"</t>
  </si>
  <si>
    <t>грн.</t>
  </si>
  <si>
    <t>М1/1_ПЦ</t>
  </si>
  <si>
    <t>NIK 2303 ART.1200.MC.11 №9034322</t>
  </si>
  <si>
    <t>М1/1_МЦ</t>
  </si>
  <si>
    <t>NIK 2303 ART.1000.M.11 №9071742</t>
  </si>
  <si>
    <t>NOVATOR ЛК-15Х №8013786</t>
  </si>
  <si>
    <t>СЧЕТ НА ОПЛАТУ</t>
  </si>
  <si>
    <t>М23 ЭЛЕКТРОСНАБЖЕНИЕ</t>
  </si>
  <si>
    <t>М23 ВОДОСНАБЖЕНИЕ</t>
  </si>
  <si>
    <t>М29 ЭЛЕКТРОСНАБЖЕНИЕ</t>
  </si>
  <si>
    <t>М29 ВОДОСНАБЖЕНИЕ</t>
  </si>
  <si>
    <t>М6 ВОДОСНАБЖЕНИЕ</t>
  </si>
  <si>
    <t>М6 ЭКСПЛУАТАЦИЯ ПОДВАЛ</t>
  </si>
  <si>
    <t>М37 ВОДОСНАБЖЕНИЕ</t>
  </si>
  <si>
    <t>М38 ЭЛЕКТРОСНАБЖЕНИЕ</t>
  </si>
  <si>
    <t>М38 ЭЛЕКТРОСНАБЖЕНИЕ И ВОДОСНАБЖЕНИЕ</t>
  </si>
  <si>
    <t>М23ПЦ</t>
  </si>
  <si>
    <t>М29ПЦ</t>
  </si>
  <si>
    <t>М37 ОФ.</t>
  </si>
  <si>
    <t>М23КЦ</t>
  </si>
  <si>
    <t>М29МЦ</t>
  </si>
  <si>
    <t>М38 РЦ</t>
  </si>
  <si>
    <t>М23МЦ</t>
  </si>
  <si>
    <t>М29КРЦ</t>
  </si>
  <si>
    <t>М38 МЦ</t>
  </si>
  <si>
    <t>М29ПАБ</t>
  </si>
  <si>
    <t>М38 ВОДОСНАБЖЕНИЕ</t>
  </si>
  <si>
    <t>ДАННЫЕ НА ОПЛАТУ</t>
  </si>
  <si>
    <t>М8 М19 М21 ВОДОСНАБЖЕНИЕ</t>
  </si>
  <si>
    <t>м3</t>
  </si>
  <si>
    <t>М38ПЦ</t>
  </si>
  <si>
    <t>М38РЦ</t>
  </si>
  <si>
    <t>М38МЦ</t>
  </si>
  <si>
    <t>П р е д о п л а т а</t>
  </si>
  <si>
    <t>АКТИВНАЯ ЭЛЕКТРОЭНЕРГИЯ (ИСХ.СЧЕТ)</t>
  </si>
  <si>
    <t>АКТИВНАЯ ЭЛЕКТРОЭНЕРГИЯ (СЧЕТ)</t>
  </si>
  <si>
    <t>РЕАКТИВНАЯ ЭЛЕКТРОЭНЕРГИЯ</t>
  </si>
  <si>
    <t>РЕАКТИВНАЯ ЭЛЕКТРОЭНЕРГИЯ (CЧЕТ)</t>
  </si>
  <si>
    <t>АКТИВНАЯ ЭЛЕКТРОЭНЕРГИЯ (АКТ)</t>
  </si>
  <si>
    <t>ЭЛЕКТРОСНАБЖЕНИЕ ЛЕГИОН 2015</t>
  </si>
  <si>
    <t>кВт.</t>
  </si>
  <si>
    <t>кВа</t>
  </si>
  <si>
    <t>М37ОФ.</t>
  </si>
  <si>
    <t>Сумма по счету</t>
  </si>
  <si>
    <t>Коэфф. перерасчета</t>
  </si>
  <si>
    <t>ЭЛЕКТРОСНАБЖЕНИЕ РИДО ГРУПП</t>
  </si>
  <si>
    <t>Специфікація до акту наданих послуг  за июль   2022 р.</t>
  </si>
  <si>
    <t>Товариство з обмеженою відповідальністю  "ЕКО-ГРІНКО"</t>
  </si>
  <si>
    <t>ЧП "ОБУХОВГОРВТОРСЫРЬЕ"</t>
  </si>
  <si>
    <t>ТОВАРИСТВО З ОБМЕЖЕНОЮ ВІДПОВІДАЛЬНІСТЮ "ЛЕГІОН 2015"</t>
  </si>
  <si>
    <t>ТОВАРИСТВО З ОБМЕЖЕНОЮ ВІДПОВІДАЛЬНІСТЮ "РІДО ГРУП"</t>
  </si>
  <si>
    <t>Сумма рахунку</t>
  </si>
  <si>
    <t>ціна за контейнер</t>
  </si>
  <si>
    <t>Адреса</t>
  </si>
  <si>
    <t>Кільк.</t>
  </si>
  <si>
    <t>Ціна</t>
  </si>
  <si>
    <t>Сума, грн.</t>
  </si>
  <si>
    <t>Адрес магазина</t>
  </si>
  <si>
    <t>Кол-во</t>
  </si>
  <si>
    <t>Ед.изм.</t>
  </si>
  <si>
    <t>Кол-во контейнеров</t>
  </si>
  <si>
    <t>Ед.измерения</t>
  </si>
  <si>
    <t>Киев,ул.Бориспольская,32а</t>
  </si>
  <si>
    <t>Бровары Шолом-Алейхема,68</t>
  </si>
  <si>
    <t>шт</t>
  </si>
  <si>
    <t>Киев,ул. Челябинская,15а</t>
  </si>
  <si>
    <t>Вацлава Гавела 18</t>
  </si>
  <si>
    <t>М13</t>
  </si>
  <si>
    <t>Киев,ул. Шолом-Алейхема,10а</t>
  </si>
  <si>
    <t>Ветряные Горы 21/7</t>
  </si>
  <si>
    <t>Киев,пр-т Ватутина,11а</t>
  </si>
  <si>
    <t>Ирпень, Тургеневская 50</t>
  </si>
  <si>
    <t>Киев, ул. Сикорского,1а</t>
  </si>
  <si>
    <t>Обухов, Каштановая 6/1Б</t>
  </si>
  <si>
    <t>Киев,ул.Я.Колоса,2а</t>
  </si>
  <si>
    <t>Боярка, Бульварная,2/50</t>
  </si>
  <si>
    <t>Киев,ул. Светлая,3д</t>
  </si>
  <si>
    <t>смт.Коцюбинское, Пономарева,28А</t>
  </si>
  <si>
    <t>Киев,ул.Владимирская,73/77</t>
  </si>
  <si>
    <t>Киев,ул. Р.Окипной,3</t>
  </si>
  <si>
    <t>Киев,ул Коновальца,44б</t>
  </si>
  <si>
    <t>Итого:</t>
  </si>
  <si>
    <t>Киев, пр-т. Героев Сталинграда,65б</t>
  </si>
  <si>
    <t>Расчет суммы к оплате:</t>
  </si>
  <si>
    <t>м.Ірпінь Соборна, 1-Г</t>
  </si>
  <si>
    <t>1 евроконтейнер 1,1м3</t>
  </si>
  <si>
    <t>Киев, Воздухофлотский пр. 19/1А</t>
  </si>
  <si>
    <t>Сумма к оплате :</t>
  </si>
  <si>
    <t>Святопетровское, ул. Соборная, 105/7</t>
  </si>
  <si>
    <t>ВСЬОГО:</t>
  </si>
  <si>
    <r>
      <t xml:space="preserve">200 </t>
    </r>
    <r>
      <rPr>
        <sz val="14"/>
        <color rgb="FF000000"/>
        <rFont val="Arial Narrow"/>
        <family val="2"/>
        <charset val="204"/>
      </rPr>
      <t>кВт/ч</t>
    </r>
  </si>
  <si>
    <r>
      <t>М</t>
    </r>
    <r>
      <rPr>
        <b/>
        <vertAlign val="superscript"/>
        <sz val="10"/>
        <color rgb="FF000000"/>
        <rFont val="Arial Narrow"/>
        <family val="2"/>
        <charset val="204"/>
      </rPr>
      <t>3</t>
    </r>
  </si>
  <si>
    <t>28776.97</t>
  </si>
  <si>
    <t>28542/5-09 від 05.06.2024</t>
  </si>
  <si>
    <t>Січень 2025</t>
  </si>
  <si>
    <t>Лютий 2025</t>
  </si>
  <si>
    <t>Березень 2025</t>
  </si>
  <si>
    <t>Квітень 2025</t>
  </si>
  <si>
    <t>Травень 2025</t>
  </si>
  <si>
    <t>23 000</t>
  </si>
  <si>
    <t>Экспл. Расходы (прибир терет)</t>
  </si>
  <si>
    <t>359 026,50</t>
  </si>
  <si>
    <t>Потужність Холодильних установок</t>
  </si>
  <si>
    <t>19,5  кВт/ч</t>
  </si>
  <si>
    <t>10,67  кВт/ч</t>
  </si>
  <si>
    <t>червень 2025</t>
  </si>
  <si>
    <t>Липень 2025</t>
  </si>
  <si>
    <t>Серпень 2025</t>
  </si>
  <si>
    <t>Вересен 2025</t>
  </si>
  <si>
    <t>Жовтень 2025</t>
  </si>
  <si>
    <t>Листопад 2025</t>
  </si>
  <si>
    <t>Грудень 2025</t>
  </si>
  <si>
    <t>КП "БУЧАСЕРВІС"</t>
  </si>
  <si>
    <t>25689882</t>
  </si>
  <si>
    <t>1 647,64</t>
  </si>
  <si>
    <t>11 664</t>
  </si>
  <si>
    <t>МПН</t>
  </si>
  <si>
    <t>9.316390</t>
  </si>
  <si>
    <t>182 386,80</t>
  </si>
  <si>
    <t>М9_1</t>
  </si>
  <si>
    <t>ФОП Підгорна Лариса Петрівна</t>
  </si>
  <si>
    <t>ОСББ"Проспект Миру 15</t>
  </si>
  <si>
    <t>4 000,00</t>
  </si>
  <si>
    <t>1 580,42</t>
  </si>
  <si>
    <t>606 138,28</t>
  </si>
  <si>
    <t>4 016,83</t>
  </si>
  <si>
    <t>РЦ</t>
  </si>
  <si>
    <t>Білогородка, Аграрна 1</t>
  </si>
  <si>
    <t xml:space="preserve">ТОВ "Сервіс-Енергія ЛТД" </t>
  </si>
  <si>
    <t>«ДТЕК КИЇВСЬКІ РЕГІОНАЛЬНІ ЕЛЕКТРОМЕРЕЖІ»</t>
  </si>
  <si>
    <t>1814.27</t>
  </si>
  <si>
    <t>133 167,20</t>
  </si>
  <si>
    <t>1565129</t>
  </si>
  <si>
    <t>1 440,00</t>
  </si>
  <si>
    <t>16 569,92</t>
  </si>
  <si>
    <t>620 620,56</t>
  </si>
  <si>
    <t>812 214,78</t>
  </si>
  <si>
    <t>10 076,95</t>
  </si>
  <si>
    <t>833 042,09</t>
  </si>
  <si>
    <t>741 507,52</t>
  </si>
  <si>
    <t>3 796,14</t>
  </si>
  <si>
    <t>1 600,00</t>
  </si>
  <si>
    <t>3 668,56</t>
  </si>
  <si>
    <t>г.Киев, ул.Ідзиковських сім ї</t>
  </si>
  <si>
    <t>Січень 2026</t>
  </si>
  <si>
    <t>Лютий 2026</t>
  </si>
  <si>
    <t>Грудень 2026</t>
  </si>
  <si>
    <t>Листопад 2026</t>
  </si>
  <si>
    <t>Жовтень 2026</t>
  </si>
  <si>
    <t>Вересен 2026</t>
  </si>
  <si>
    <t>Серпень 2026</t>
  </si>
  <si>
    <t>Липень 2026</t>
  </si>
  <si>
    <t>червень 2026</t>
  </si>
  <si>
    <t>Травень 2026</t>
  </si>
  <si>
    <t>Квітень 2026</t>
  </si>
  <si>
    <t>Березень 2026</t>
  </si>
  <si>
    <t>Втрати</t>
  </si>
  <si>
    <t>6 202,51</t>
  </si>
  <si>
    <t>М31</t>
  </si>
  <si>
    <t>г.Житомир, Вітрука,19</t>
  </si>
  <si>
    <t>4 131,96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</si>
</sst>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_-;\-* #,##0.00_-;_-* &quot;-&quot;??_-;_-@_-"/>
    <numFmt numFmtId="164" formatCode="0.0000"/>
    <numFmt numFmtId="165" formatCode="0.000"/>
    <numFmt numFmtId="166" formatCode="_-* #,##0.00_-;\-* #,##0.00_-;_-* \-??_-;_-@_-"/>
    <numFmt numFmtId="167" formatCode="\ * #,##0.00\ [$₴-422]\ ;\-* #,##0.00\ [$₴-422]\ ;\ * \-#\ [$₴-422]\ ;\ @\ "/>
    <numFmt numFmtId="168" formatCode="[$-419]dd/mm/yyyy"/>
    <numFmt numFmtId="169" formatCode="0.0"/>
  </numFmts>
  <fonts count="65"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sz val="8"/>
      <name val="Arial"/>
      <family val="2"/>
      <charset val="204"/>
    </font>
    <font>
      <sz val="14"/>
      <color rgb="FF000000"/>
      <name val="Arial Narrow"/>
      <family val="2"/>
      <charset val="204"/>
    </font>
    <font>
      <sz val="11"/>
      <name val="Arial Narrow"/>
      <family val="2"/>
      <charset val="204"/>
    </font>
    <font>
      <sz val="11"/>
      <color rgb="FF000000"/>
      <name val="Arial Narrow"/>
      <family val="2"/>
      <charset val="204"/>
    </font>
    <font>
      <sz val="10"/>
      <name val="Arial Narrow"/>
      <family val="2"/>
      <charset val="204"/>
    </font>
    <font>
      <b/>
      <sz val="11"/>
      <color rgb="FF000000"/>
      <name val="Arial Narrow"/>
      <family val="2"/>
      <charset val="204"/>
    </font>
    <font>
      <u/>
      <sz val="11"/>
      <name val="Arial Narrow"/>
      <family val="2"/>
      <charset val="204"/>
    </font>
    <font>
      <b/>
      <sz val="10"/>
      <name val="Arial Narrow"/>
      <family val="2"/>
      <charset val="204"/>
    </font>
    <font>
      <b/>
      <sz val="11"/>
      <name val="Arial Narrow"/>
      <family val="2"/>
      <charset val="204"/>
    </font>
    <font>
      <b/>
      <sz val="10"/>
      <color rgb="FF7030A0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11"/>
      <color rgb="FFFF0000"/>
      <name val="Arial Narrow"/>
      <family val="2"/>
      <charset val="204"/>
    </font>
    <font>
      <sz val="10"/>
      <color rgb="FF000000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theme="1"/>
      <name val="Calibri Light"/>
      <family val="1"/>
      <charset val="204"/>
      <scheme val="major"/>
    </font>
    <font>
      <b/>
      <sz val="9"/>
      <color theme="1"/>
      <name val="Calibri Light"/>
      <family val="1"/>
      <charset val="204"/>
      <scheme val="major"/>
    </font>
    <font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color rgb="FF000000"/>
      <name val="Arial"/>
      <family val="2"/>
      <charset val="204"/>
    </font>
    <font>
      <b/>
      <sz val="10"/>
      <color theme="1"/>
      <name val="Arial Narrow"/>
      <family val="2"/>
      <charset val="204"/>
    </font>
    <font>
      <sz val="8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9"/>
      <color rgb="FF000000"/>
      <name val="Arial"/>
      <family val="2"/>
      <charset val="204"/>
    </font>
    <font>
      <sz val="11"/>
      <color theme="1"/>
      <name val="Calibri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indexed="8"/>
      <name val="Calibri Light"/>
      <family val="1"/>
      <charset val="204"/>
      <scheme val="major"/>
    </font>
    <font>
      <b/>
      <sz val="9"/>
      <color rgb="FF0033CC"/>
      <name val="Calibri Light"/>
      <family val="1"/>
      <charset val="204"/>
      <scheme val="major"/>
    </font>
    <font>
      <sz val="9"/>
      <name val="Calibri Light"/>
      <family val="1"/>
      <charset val="204"/>
      <scheme val="major"/>
    </font>
    <font>
      <sz val="9"/>
      <color theme="9"/>
      <name val="Calibri Light"/>
      <family val="1"/>
      <charset val="204"/>
      <scheme val="major"/>
    </font>
    <font>
      <b/>
      <sz val="9"/>
      <color rgb="FFFF0000"/>
      <name val="Calibri Light"/>
      <family val="1"/>
      <charset val="204"/>
      <scheme val="major"/>
    </font>
    <font>
      <b/>
      <sz val="10"/>
      <color rgb="FF000000"/>
      <name val="Aptos Narrow"/>
      <family val="2"/>
    </font>
    <font>
      <sz val="10"/>
      <color rgb="FF000000"/>
      <name val="Times New Roman"/>
      <family val="1"/>
      <charset val="204"/>
    </font>
    <font>
      <sz val="8"/>
      <name val="Arial"/>
      <family val="2"/>
    </font>
    <font>
      <b/>
      <sz val="10"/>
      <color rgb="FF000000"/>
      <name val="Times New Roman"/>
      <family val="1"/>
      <charset val="204"/>
    </font>
    <font>
      <sz val="8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Calibri"/>
      <family val="2"/>
      <charset val="1"/>
    </font>
    <font>
      <b/>
      <sz val="9"/>
      <color rgb="FF000000"/>
      <name val="Arial Narrow"/>
      <family val="2"/>
      <charset val="204"/>
    </font>
    <font>
      <sz val="12"/>
      <color rgb="FF000000"/>
      <name val="Arial"/>
      <family val="2"/>
      <charset val="204"/>
    </font>
    <font>
      <b/>
      <sz val="14"/>
      <name val="Arial Narrow"/>
      <family val="2"/>
      <charset val="204"/>
    </font>
    <font>
      <b/>
      <sz val="14"/>
      <color rgb="FF000000"/>
      <name val="Arial Narrow"/>
      <family val="2"/>
      <charset val="204"/>
    </font>
    <font>
      <b/>
      <sz val="14"/>
      <color rgb="FFFF0000"/>
      <name val="Arial Narrow"/>
      <family val="2"/>
      <charset val="204"/>
    </font>
    <font>
      <b/>
      <sz val="12"/>
      <color rgb="FF000000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rgb="FF000000"/>
      <name val="Arial"/>
      <family val="2"/>
      <charset val="1"/>
    </font>
    <font>
      <b/>
      <sz val="12"/>
      <color rgb="FFFF0000"/>
      <name val="Arial Narrow"/>
      <family val="2"/>
      <charset val="204"/>
    </font>
    <font>
      <b/>
      <vertAlign val="superscript"/>
      <sz val="10"/>
      <color rgb="FF000000"/>
      <name val="Arial Narrow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color rgb="FF00000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FFFFFF"/>
        <bgColor rgb="FFFFFFD7"/>
      </patternFill>
    </fill>
    <fill>
      <patternFill patternType="solid">
        <fgColor rgb="FFFF0000"/>
        <bgColor rgb="FFC00000"/>
      </patternFill>
    </fill>
    <fill>
      <patternFill patternType="solid">
        <fgColor theme="9"/>
        <bgColor rgb="FFFFFFD7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D7"/>
      </patternFill>
    </fill>
    <fill>
      <patternFill patternType="solid">
        <fgColor theme="0"/>
        <bgColor rgb="FFC00000"/>
      </patternFill>
    </fill>
    <fill>
      <patternFill patternType="solid">
        <fgColor theme="9"/>
        <bgColor rgb="FF92D050"/>
      </patternFill>
    </fill>
    <fill>
      <patternFill patternType="solid">
        <fgColor rgb="FFFF0000"/>
        <bgColor rgb="FFFFFFD7"/>
      </patternFill>
    </fill>
    <fill>
      <patternFill patternType="solid">
        <fgColor rgb="FFFF000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C00000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FFFFD7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FFD7"/>
      </patternFill>
    </fill>
    <fill>
      <patternFill patternType="solid">
        <fgColor theme="9" tint="0.59999389629810485"/>
        <bgColor rgb="FFC00000"/>
      </patternFill>
    </fill>
    <fill>
      <patternFill patternType="solid">
        <fgColor theme="4"/>
        <bgColor rgb="FFFFFFD7"/>
      </patternFill>
    </fill>
    <fill>
      <patternFill patternType="solid">
        <fgColor theme="4" tint="0.59999389629810485"/>
        <bgColor rgb="FFFFFFD7"/>
      </patternFill>
    </fill>
    <fill>
      <patternFill patternType="solid">
        <fgColor theme="7"/>
        <bgColor rgb="FF92D050"/>
      </patternFill>
    </fill>
    <fill>
      <patternFill patternType="solid">
        <fgColor theme="7"/>
        <bgColor rgb="FFC00000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D7"/>
      </patternFill>
    </fill>
    <fill>
      <patternFill patternType="solid">
        <fgColor theme="4"/>
        <bgColor indexed="64"/>
      </patternFill>
    </fill>
    <fill>
      <patternFill patternType="solid">
        <fgColor theme="5"/>
        <bgColor rgb="FFFFFFD7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rgb="FFFFFFD7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9D9D9"/>
        <bgColor rgb="FFC5E0B4"/>
      </patternFill>
    </fill>
    <fill>
      <patternFill patternType="solid">
        <fgColor theme="5"/>
        <bgColor rgb="FF92D050"/>
      </patternFill>
    </fill>
    <fill>
      <patternFill patternType="solid">
        <fgColor theme="0"/>
        <bgColor rgb="FFC5E0B4"/>
      </patternFill>
    </fill>
    <fill>
      <patternFill patternType="solid">
        <fgColor rgb="FFFF0000"/>
        <bgColor rgb="FFC5E0B4"/>
      </patternFill>
    </fill>
    <fill>
      <patternFill patternType="solid">
        <fgColor theme="0"/>
        <bgColor rgb="FFFF00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AD47"/>
        <bgColor rgb="FF92D050"/>
      </patternFill>
    </fill>
    <fill>
      <patternFill patternType="solid">
        <fgColor rgb="FF92D050"/>
        <bgColor rgb="FF81D41A"/>
      </patternFill>
    </fill>
    <fill>
      <patternFill patternType="solid">
        <fgColor rgb="FFBFBFBF"/>
        <bgColor rgb="FFAFABAB"/>
      </patternFill>
    </fill>
    <fill>
      <patternFill patternType="solid">
        <fgColor rgb="FFAFABAB"/>
        <bgColor rgb="FFBFBFBF"/>
      </patternFill>
    </fill>
    <fill>
      <patternFill patternType="solid">
        <fgColor rgb="FF81D41A"/>
        <bgColor rgb="FF92D050"/>
      </patternFill>
    </fill>
    <fill>
      <patternFill patternType="solid">
        <fgColor rgb="FFFFFFD7"/>
        <bgColor rgb="FFFFFFFF"/>
      </patternFill>
    </fill>
    <fill>
      <patternFill patternType="solid">
        <fgColor theme="0" tint="-0.249977111117893"/>
        <bgColor rgb="FFFFFFD7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rgb="FFFFFFD7"/>
      </patternFill>
    </fill>
  </fills>
  <borders count="10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71">
    <xf numFmtId="0" fontId="0" fillId="0" borderId="0"/>
    <xf numFmtId="0" fontId="3" fillId="2" borderId="1" applyProtection="0">
      <alignment vertical="center"/>
    </xf>
    <xf numFmtId="0" fontId="3" fillId="2" borderId="1" applyProtection="0">
      <alignment vertical="center"/>
    </xf>
    <xf numFmtId="0" fontId="3" fillId="2" borderId="1" applyProtection="0">
      <alignment horizontal="left" vertical="center" indent="1"/>
    </xf>
    <xf numFmtId="0" fontId="3" fillId="2" borderId="1" applyProtection="0">
      <alignment horizontal="left" vertical="center" indent="1"/>
    </xf>
    <xf numFmtId="0" fontId="3" fillId="2" borderId="1" applyProtection="0">
      <alignment horizontal="left" vertical="center" indent="1"/>
    </xf>
    <xf numFmtId="0" fontId="3" fillId="2" borderId="1" applyProtection="0">
      <alignment horizontal="left" vertical="center" indent="1"/>
    </xf>
    <xf numFmtId="0" fontId="3" fillId="2" borderId="1" applyProtection="0">
      <alignment horizontal="left" vertical="center" indent="1"/>
    </xf>
    <xf numFmtId="0" fontId="3" fillId="2" borderId="1" applyProtection="0">
      <alignment horizontal="left" vertical="center" indent="1"/>
    </xf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8" fillId="0" borderId="0"/>
    <xf numFmtId="0" fontId="4" fillId="0" borderId="0">
      <alignment horizontal="left"/>
    </xf>
    <xf numFmtId="0" fontId="2" fillId="0" borderId="0"/>
    <xf numFmtId="0" fontId="42" fillId="0" borderId="0"/>
    <xf numFmtId="4" fontId="43" fillId="36" borderId="35" applyNumberFormat="0" applyProtection="0">
      <alignment horizontal="left" vertical="center" indent="1"/>
    </xf>
    <xf numFmtId="4" fontId="43" fillId="37" borderId="35" applyNumberFormat="0" applyProtection="0">
      <alignment horizontal="left" vertical="center" indent="1"/>
    </xf>
    <xf numFmtId="0" fontId="1" fillId="0" borderId="0"/>
    <xf numFmtId="0" fontId="1" fillId="0" borderId="0"/>
    <xf numFmtId="4" fontId="43" fillId="36" borderId="33" applyNumberFormat="0" applyProtection="0">
      <alignment horizontal="left" vertical="center" indent="1"/>
    </xf>
    <xf numFmtId="4" fontId="43" fillId="37" borderId="33" applyNumberFormat="0" applyProtection="0">
      <alignment horizontal="left" vertical="center" indent="1"/>
    </xf>
    <xf numFmtId="4" fontId="43" fillId="37" borderId="33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4" fontId="43" fillId="36" borderId="34" applyNumberFormat="0" applyProtection="0">
      <alignment horizontal="left" vertical="center" indent="1"/>
    </xf>
    <xf numFmtId="4" fontId="43" fillId="37" borderId="34" applyNumberFormat="0" applyProtection="0">
      <alignment horizontal="left" vertical="center" indent="1"/>
    </xf>
    <xf numFmtId="4" fontId="43" fillId="37" borderId="34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4" fontId="43" fillId="37" borderId="35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4" fontId="43" fillId="36" borderId="36" applyNumberFormat="0" applyProtection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43" fillId="36" borderId="36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4" fontId="43" fillId="36" borderId="36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4" fontId="43" fillId="37" borderId="36" applyNumberFormat="0" applyProtection="0">
      <alignment horizontal="left" vertical="center" indent="1"/>
    </xf>
    <xf numFmtId="0" fontId="46" fillId="0" borderId="0"/>
    <xf numFmtId="43" fontId="46" fillId="0" borderId="0" applyFont="0" applyFill="0" applyBorder="0" applyAlignment="0" applyProtection="0"/>
    <xf numFmtId="0" fontId="48" fillId="0" borderId="0"/>
    <xf numFmtId="166" fontId="48" fillId="0" borderId="0" applyBorder="0" applyProtection="0"/>
    <xf numFmtId="43" fontId="22" fillId="0" borderId="0" applyFont="0" applyFill="0" applyBorder="0" applyAlignment="0" applyProtection="0"/>
    <xf numFmtId="0" fontId="27" fillId="0" borderId="0"/>
    <xf numFmtId="0" fontId="64" fillId="0" borderId="0"/>
  </cellStyleXfs>
  <cellXfs count="1924">
    <xf numFmtId="0" fontId="0" fillId="0" borderId="0" xfId="0"/>
    <xf numFmtId="0" fontId="6" fillId="2" borderId="12" xfId="0" applyFont="1" applyFill="1" applyBorder="1" applyAlignment="1">
      <alignment vertical="center"/>
    </xf>
    <xf numFmtId="164" fontId="14" fillId="2" borderId="17" xfId="0" applyNumberFormat="1" applyFont="1" applyFill="1" applyBorder="1" applyAlignment="1">
      <alignment horizontal="center"/>
    </xf>
    <xf numFmtId="164" fontId="13" fillId="2" borderId="5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2" fontId="14" fillId="7" borderId="14" xfId="0" applyNumberFormat="1" applyFont="1" applyFill="1" applyBorder="1" applyAlignment="1">
      <alignment horizontal="center"/>
    </xf>
    <xf numFmtId="2" fontId="14" fillId="7" borderId="4" xfId="0" applyNumberFormat="1" applyFont="1" applyFill="1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0" fillId="12" borderId="0" xfId="0" applyFill="1"/>
    <xf numFmtId="0" fontId="25" fillId="2" borderId="29" xfId="7" applyFont="1" applyBorder="1" applyAlignment="1">
      <alignment vertical="center"/>
    </xf>
    <xf numFmtId="0" fontId="25" fillId="2" borderId="29" xfId="7" quotePrefix="1" applyFont="1" applyBorder="1" applyAlignment="1">
      <alignment horizontal="left" vertical="center"/>
    </xf>
    <xf numFmtId="0" fontId="26" fillId="2" borderId="29" xfId="7" applyFont="1" applyBorder="1" applyAlignment="1">
      <alignment horizontal="center" vertical="center"/>
    </xf>
    <xf numFmtId="0" fontId="0" fillId="0" borderId="29" xfId="0" applyBorder="1"/>
    <xf numFmtId="2" fontId="14" fillId="7" borderId="18" xfId="0" applyNumberFormat="1" applyFont="1" applyFill="1" applyBorder="1" applyAlignment="1">
      <alignment horizontal="center"/>
    </xf>
    <xf numFmtId="2" fontId="14" fillId="4" borderId="4" xfId="0" applyNumberFormat="1" applyFont="1" applyFill="1" applyBorder="1" applyAlignment="1">
      <alignment horizontal="center"/>
    </xf>
    <xf numFmtId="2" fontId="14" fillId="9" borderId="1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vertical="center"/>
    </xf>
    <xf numFmtId="0" fontId="6" fillId="10" borderId="15" xfId="0" applyFont="1" applyFill="1" applyBorder="1" applyAlignment="1">
      <alignment vertical="center"/>
    </xf>
    <xf numFmtId="0" fontId="6" fillId="7" borderId="9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7" borderId="22" xfId="0" applyFont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2" fontId="14" fillId="6" borderId="14" xfId="0" applyNumberFormat="1" applyFont="1" applyFill="1" applyBorder="1" applyAlignment="1">
      <alignment horizontal="center"/>
    </xf>
    <xf numFmtId="164" fontId="14" fillId="2" borderId="22" xfId="0" applyNumberFormat="1" applyFont="1" applyFill="1" applyBorder="1" applyAlignment="1">
      <alignment horizontal="center"/>
    </xf>
    <xf numFmtId="0" fontId="14" fillId="12" borderId="22" xfId="0" applyFont="1" applyFill="1" applyBorder="1" applyAlignment="1">
      <alignment horizontal="center"/>
    </xf>
    <xf numFmtId="2" fontId="14" fillId="12" borderId="22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vertical="center"/>
    </xf>
    <xf numFmtId="2" fontId="18" fillId="7" borderId="14" xfId="0" applyNumberFormat="1" applyFont="1" applyFill="1" applyBorder="1" applyAlignment="1">
      <alignment horizontal="center"/>
    </xf>
    <xf numFmtId="2" fontId="14" fillId="14" borderId="14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2" fontId="14" fillId="12" borderId="29" xfId="0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left" vertical="center" wrapText="1"/>
    </xf>
    <xf numFmtId="164" fontId="14" fillId="2" borderId="29" xfId="0" applyNumberFormat="1" applyFont="1" applyFill="1" applyBorder="1" applyAlignment="1">
      <alignment horizontal="center"/>
    </xf>
    <xf numFmtId="164" fontId="14" fillId="2" borderId="26" xfId="0" applyNumberFormat="1" applyFont="1" applyFill="1" applyBorder="1" applyAlignment="1">
      <alignment horizontal="center"/>
    </xf>
    <xf numFmtId="2" fontId="14" fillId="12" borderId="5" xfId="0" applyNumberFormat="1" applyFont="1" applyFill="1" applyBorder="1" applyAlignment="1">
      <alignment horizontal="center"/>
    </xf>
    <xf numFmtId="2" fontId="14" fillId="12" borderId="4" xfId="0" applyNumberFormat="1" applyFont="1" applyFill="1" applyBorder="1" applyAlignment="1">
      <alignment horizontal="center"/>
    </xf>
    <xf numFmtId="0" fontId="11" fillId="7" borderId="29" xfId="0" applyFont="1" applyFill="1" applyBorder="1" applyAlignment="1">
      <alignment horizontal="center" vertical="center" wrapText="1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12" borderId="29" xfId="0" applyNumberFormat="1" applyFont="1" applyFill="1" applyBorder="1" applyAlignment="1">
      <alignment horizontal="center" vertical="center" wrapText="1"/>
    </xf>
    <xf numFmtId="0" fontId="11" fillId="6" borderId="29" xfId="0" applyFont="1" applyFill="1" applyBorder="1" applyAlignment="1">
      <alignment horizontal="center" vertical="center" wrapText="1"/>
    </xf>
    <xf numFmtId="2" fontId="11" fillId="9" borderId="29" xfId="0" applyNumberFormat="1" applyFont="1" applyFill="1" applyBorder="1" applyAlignment="1">
      <alignment horizontal="center" vertical="center" wrapText="1"/>
    </xf>
    <xf numFmtId="2" fontId="11" fillId="6" borderId="29" xfId="0" applyNumberFormat="1" applyFont="1" applyFill="1" applyBorder="1" applyAlignment="1">
      <alignment horizontal="center" vertical="center" wrapText="1"/>
    </xf>
    <xf numFmtId="2" fontId="14" fillId="7" borderId="29" xfId="0" applyNumberFormat="1" applyFont="1" applyFill="1" applyBorder="1" applyAlignment="1">
      <alignment horizontal="center"/>
    </xf>
    <xf numFmtId="0" fontId="14" fillId="7" borderId="29" xfId="0" applyFont="1" applyFill="1" applyBorder="1" applyAlignment="1">
      <alignment horizontal="center"/>
    </xf>
    <xf numFmtId="2" fontId="14" fillId="6" borderId="29" xfId="0" applyNumberFormat="1" applyFont="1" applyFill="1" applyBorder="1" applyAlignment="1">
      <alignment horizontal="center"/>
    </xf>
    <xf numFmtId="0" fontId="0" fillId="12" borderId="29" xfId="0" applyFill="1" applyBorder="1" applyAlignment="1">
      <alignment horizontal="left" vertical="top"/>
    </xf>
    <xf numFmtId="2" fontId="14" fillId="12" borderId="29" xfId="0" applyNumberFormat="1" applyFont="1" applyFill="1" applyBorder="1" applyAlignment="1">
      <alignment horizontal="center" vertical="top"/>
    </xf>
    <xf numFmtId="2" fontId="11" fillId="6" borderId="29" xfId="0" applyNumberFormat="1" applyFont="1" applyFill="1" applyBorder="1" applyAlignment="1">
      <alignment horizontal="center"/>
    </xf>
    <xf numFmtId="0" fontId="14" fillId="6" borderId="29" xfId="0" applyFont="1" applyFill="1" applyBorder="1" applyAlignment="1">
      <alignment horizontal="center"/>
    </xf>
    <xf numFmtId="4" fontId="14" fillId="6" borderId="29" xfId="0" applyNumberFormat="1" applyFont="1" applyFill="1" applyBorder="1" applyAlignment="1">
      <alignment horizontal="center"/>
    </xf>
    <xf numFmtId="2" fontId="14" fillId="8" borderId="29" xfId="0" applyNumberFormat="1" applyFont="1" applyFill="1" applyBorder="1" applyAlignment="1">
      <alignment horizontal="center"/>
    </xf>
    <xf numFmtId="2" fontId="30" fillId="14" borderId="29" xfId="0" applyNumberFormat="1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2" fontId="18" fillId="7" borderId="29" xfId="0" applyNumberFormat="1" applyFont="1" applyFill="1" applyBorder="1" applyAlignment="1">
      <alignment horizontal="center"/>
    </xf>
    <xf numFmtId="165" fontId="14" fillId="6" borderId="29" xfId="0" applyNumberFormat="1" applyFont="1" applyFill="1" applyBorder="1" applyAlignment="1">
      <alignment horizontal="center"/>
    </xf>
    <xf numFmtId="2" fontId="14" fillId="9" borderId="29" xfId="0" applyNumberFormat="1" applyFont="1" applyFill="1" applyBorder="1" applyAlignment="1">
      <alignment horizontal="center"/>
    </xf>
    <xf numFmtId="0" fontId="14" fillId="9" borderId="29" xfId="0" applyFont="1" applyFill="1" applyBorder="1" applyAlignment="1">
      <alignment horizontal="center"/>
    </xf>
    <xf numFmtId="1" fontId="14" fillId="6" borderId="29" xfId="0" applyNumberFormat="1" applyFont="1" applyFill="1" applyBorder="1" applyAlignment="1">
      <alignment horizontal="center"/>
    </xf>
    <xf numFmtId="4" fontId="14" fillId="7" borderId="29" xfId="0" applyNumberFormat="1" applyFont="1" applyFill="1" applyBorder="1" applyAlignment="1">
      <alignment horizontal="center"/>
    </xf>
    <xf numFmtId="0" fontId="29" fillId="12" borderId="29" xfId="0" applyFont="1" applyFill="1" applyBorder="1"/>
    <xf numFmtId="0" fontId="14" fillId="4" borderId="29" xfId="0" applyFont="1" applyFill="1" applyBorder="1" applyAlignment="1">
      <alignment horizontal="center"/>
    </xf>
    <xf numFmtId="2" fontId="11" fillId="7" borderId="29" xfId="0" applyNumberFormat="1" applyFont="1" applyFill="1" applyBorder="1" applyAlignment="1">
      <alignment horizontal="center"/>
    </xf>
    <xf numFmtId="0" fontId="11" fillId="7" borderId="29" xfId="0" applyFont="1" applyFill="1" applyBorder="1" applyAlignment="1">
      <alignment horizontal="center"/>
    </xf>
    <xf numFmtId="0" fontId="14" fillId="8" borderId="29" xfId="0" applyFont="1" applyFill="1" applyBorder="1" applyAlignment="1">
      <alignment horizontal="center"/>
    </xf>
    <xf numFmtId="1" fontId="14" fillId="12" borderId="29" xfId="0" applyNumberFormat="1" applyFont="1" applyFill="1" applyBorder="1" applyAlignment="1">
      <alignment horizontal="right" vertical="top" shrinkToFit="1"/>
    </xf>
    <xf numFmtId="4" fontId="14" fillId="12" borderId="29" xfId="0" applyNumberFormat="1" applyFont="1" applyFill="1" applyBorder="1" applyAlignment="1">
      <alignment horizontal="right" vertical="top" shrinkToFit="1"/>
    </xf>
    <xf numFmtId="2" fontId="5" fillId="7" borderId="29" xfId="0" applyNumberFormat="1" applyFont="1" applyFill="1" applyBorder="1" applyAlignment="1">
      <alignment horizontal="center"/>
    </xf>
    <xf numFmtId="2" fontId="14" fillId="13" borderId="29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 vertical="center" wrapText="1"/>
    </xf>
    <xf numFmtId="2" fontId="11" fillId="7" borderId="17" xfId="0" applyNumberFormat="1" applyFont="1" applyFill="1" applyBorder="1" applyAlignment="1">
      <alignment horizontal="center" vertical="center" wrapText="1"/>
    </xf>
    <xf numFmtId="2" fontId="11" fillId="12" borderId="14" xfId="0" applyNumberFormat="1" applyFont="1" applyFill="1" applyBorder="1" applyAlignment="1">
      <alignment horizontal="center" vertical="center" wrapText="1"/>
    </xf>
    <xf numFmtId="2" fontId="11" fillId="9" borderId="14" xfId="0" applyNumberFormat="1" applyFont="1" applyFill="1" applyBorder="1" applyAlignment="1">
      <alignment horizontal="center" vertical="center" wrapText="1"/>
    </xf>
    <xf numFmtId="2" fontId="14" fillId="12" borderId="14" xfId="0" applyNumberFormat="1" applyFont="1" applyFill="1" applyBorder="1" applyAlignment="1">
      <alignment horizontal="center"/>
    </xf>
    <xf numFmtId="2" fontId="5" fillId="7" borderId="14" xfId="0" applyNumberFormat="1" applyFont="1" applyFill="1" applyBorder="1" applyAlignment="1">
      <alignment horizontal="center"/>
    </xf>
    <xf numFmtId="2" fontId="14" fillId="13" borderId="14" xfId="0" applyNumberFormat="1" applyFont="1" applyFill="1" applyBorder="1" applyAlignment="1">
      <alignment horizontal="center"/>
    </xf>
    <xf numFmtId="164" fontId="11" fillId="2" borderId="29" xfId="0" applyNumberFormat="1" applyFont="1" applyFill="1" applyBorder="1" applyAlignment="1">
      <alignment vertical="center" wrapText="1"/>
    </xf>
    <xf numFmtId="164" fontId="11" fillId="2" borderId="29" xfId="0" applyNumberFormat="1" applyFont="1" applyFill="1" applyBorder="1" applyAlignment="1">
      <alignment horizontal="center" vertical="center" wrapText="1"/>
    </xf>
    <xf numFmtId="164" fontId="13" fillId="7" borderId="29" xfId="0" applyNumberFormat="1" applyFont="1" applyFill="1" applyBorder="1" applyAlignment="1">
      <alignment horizontal="center" vertical="center" wrapText="1"/>
    </xf>
    <xf numFmtId="164" fontId="13" fillId="2" borderId="29" xfId="0" applyNumberFormat="1" applyFont="1" applyFill="1" applyBorder="1" applyAlignment="1">
      <alignment horizontal="center"/>
    </xf>
    <xf numFmtId="164" fontId="14" fillId="8" borderId="29" xfId="0" applyNumberFormat="1" applyFont="1" applyFill="1" applyBorder="1" applyAlignment="1">
      <alignment horizontal="center"/>
    </xf>
    <xf numFmtId="164" fontId="13" fillId="8" borderId="29" xfId="0" applyNumberFormat="1" applyFont="1" applyFill="1" applyBorder="1" applyAlignment="1">
      <alignment horizontal="center"/>
    </xf>
    <xf numFmtId="164" fontId="18" fillId="2" borderId="29" xfId="0" applyNumberFormat="1" applyFont="1" applyFill="1" applyBorder="1" applyAlignment="1">
      <alignment horizontal="center"/>
    </xf>
    <xf numFmtId="164" fontId="14" fillId="10" borderId="29" xfId="0" applyNumberFormat="1" applyFont="1" applyFill="1" applyBorder="1" applyAlignment="1">
      <alignment horizontal="center"/>
    </xf>
    <xf numFmtId="164" fontId="14" fillId="7" borderId="29" xfId="0" applyNumberFormat="1" applyFont="1" applyFill="1" applyBorder="1" applyAlignment="1">
      <alignment horizontal="center"/>
    </xf>
    <xf numFmtId="164" fontId="13" fillId="7" borderId="29" xfId="0" applyNumberFormat="1" applyFont="1" applyFill="1" applyBorder="1" applyAlignment="1">
      <alignment horizontal="center"/>
    </xf>
    <xf numFmtId="165" fontId="13" fillId="10" borderId="29" xfId="0" applyNumberFormat="1" applyFont="1" applyFill="1" applyBorder="1" applyAlignment="1">
      <alignment horizontal="center"/>
    </xf>
    <xf numFmtId="164" fontId="11" fillId="2" borderId="2" xfId="0" applyNumberFormat="1" applyFont="1" applyFill="1" applyBorder="1" applyAlignment="1">
      <alignment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7" borderId="13" xfId="0" applyNumberFormat="1" applyFont="1" applyFill="1" applyBorder="1" applyAlignment="1">
      <alignment horizontal="center" vertical="center" wrapText="1"/>
    </xf>
    <xf numFmtId="164" fontId="14" fillId="2" borderId="13" xfId="0" applyNumberFormat="1" applyFont="1" applyFill="1" applyBorder="1" applyAlignment="1">
      <alignment horizontal="center"/>
    </xf>
    <xf numFmtId="164" fontId="13" fillId="2" borderId="13" xfId="0" applyNumberFormat="1" applyFont="1" applyFill="1" applyBorder="1" applyAlignment="1">
      <alignment horizontal="center"/>
    </xf>
    <xf numFmtId="164" fontId="14" fillId="8" borderId="13" xfId="0" applyNumberFormat="1" applyFont="1" applyFill="1" applyBorder="1" applyAlignment="1">
      <alignment horizontal="center"/>
    </xf>
    <xf numFmtId="164" fontId="13" fillId="8" borderId="13" xfId="0" applyNumberFormat="1" applyFont="1" applyFill="1" applyBorder="1" applyAlignment="1">
      <alignment horizontal="center"/>
    </xf>
    <xf numFmtId="164" fontId="18" fillId="2" borderId="13" xfId="0" applyNumberFormat="1" applyFont="1" applyFill="1" applyBorder="1" applyAlignment="1">
      <alignment horizontal="center"/>
    </xf>
    <xf numFmtId="164" fontId="14" fillId="10" borderId="13" xfId="0" applyNumberFormat="1" applyFont="1" applyFill="1" applyBorder="1" applyAlignment="1">
      <alignment horizontal="center"/>
    </xf>
    <xf numFmtId="164" fontId="14" fillId="7" borderId="13" xfId="0" applyNumberFormat="1" applyFont="1" applyFill="1" applyBorder="1" applyAlignment="1">
      <alignment horizontal="center"/>
    </xf>
    <xf numFmtId="164" fontId="13" fillId="7" borderId="13" xfId="0" applyNumberFormat="1" applyFont="1" applyFill="1" applyBorder="1" applyAlignment="1">
      <alignment horizontal="center"/>
    </xf>
    <xf numFmtId="165" fontId="13" fillId="10" borderId="13" xfId="0" applyNumberFormat="1" applyFont="1" applyFill="1" applyBorder="1" applyAlignment="1">
      <alignment horizontal="center"/>
    </xf>
    <xf numFmtId="164" fontId="14" fillId="2" borderId="3" xfId="0" applyNumberFormat="1" applyFont="1" applyFill="1" applyBorder="1" applyAlignment="1">
      <alignment horizontal="center"/>
    </xf>
    <xf numFmtId="164" fontId="11" fillId="2" borderId="26" xfId="0" applyNumberFormat="1" applyFont="1" applyFill="1" applyBorder="1" applyAlignment="1">
      <alignment horizontal="center" vertical="center" wrapText="1"/>
    </xf>
    <xf numFmtId="164" fontId="13" fillId="7" borderId="26" xfId="0" applyNumberFormat="1" applyFont="1" applyFill="1" applyBorder="1" applyAlignment="1">
      <alignment horizontal="center" vertical="center" wrapText="1"/>
    </xf>
    <xf numFmtId="164" fontId="13" fillId="2" borderId="26" xfId="0" applyNumberFormat="1" applyFont="1" applyFill="1" applyBorder="1" applyAlignment="1">
      <alignment horizontal="center"/>
    </xf>
    <xf numFmtId="164" fontId="14" fillId="8" borderId="26" xfId="0" applyNumberFormat="1" applyFont="1" applyFill="1" applyBorder="1" applyAlignment="1">
      <alignment horizontal="center"/>
    </xf>
    <xf numFmtId="164" fontId="13" fillId="8" borderId="26" xfId="0" applyNumberFormat="1" applyFont="1" applyFill="1" applyBorder="1" applyAlignment="1">
      <alignment horizontal="center"/>
    </xf>
    <xf numFmtId="164" fontId="18" fillId="2" borderId="26" xfId="0" applyNumberFormat="1" applyFont="1" applyFill="1" applyBorder="1" applyAlignment="1">
      <alignment horizontal="center"/>
    </xf>
    <xf numFmtId="164" fontId="14" fillId="10" borderId="26" xfId="0" applyNumberFormat="1" applyFont="1" applyFill="1" applyBorder="1" applyAlignment="1">
      <alignment horizontal="center"/>
    </xf>
    <xf numFmtId="164" fontId="14" fillId="7" borderId="26" xfId="0" applyNumberFormat="1" applyFont="1" applyFill="1" applyBorder="1" applyAlignment="1">
      <alignment horizontal="center"/>
    </xf>
    <xf numFmtId="164" fontId="13" fillId="7" borderId="26" xfId="0" applyNumberFormat="1" applyFont="1" applyFill="1" applyBorder="1" applyAlignment="1">
      <alignment horizontal="center"/>
    </xf>
    <xf numFmtId="165" fontId="13" fillId="10" borderId="26" xfId="0" applyNumberFormat="1" applyFont="1" applyFill="1" applyBorder="1" applyAlignment="1">
      <alignment horizontal="center"/>
    </xf>
    <xf numFmtId="164" fontId="14" fillId="2" borderId="30" xfId="0" applyNumberFormat="1" applyFont="1" applyFill="1" applyBorder="1" applyAlignment="1">
      <alignment horizontal="center"/>
    </xf>
    <xf numFmtId="0" fontId="11" fillId="9" borderId="29" xfId="0" applyFont="1" applyFill="1" applyBorder="1" applyAlignment="1">
      <alignment horizontal="center" vertical="center" wrapText="1"/>
    </xf>
    <xf numFmtId="2" fontId="11" fillId="4" borderId="29" xfId="0" applyNumberFormat="1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 wrapText="1"/>
    </xf>
    <xf numFmtId="2" fontId="11" fillId="13" borderId="29" xfId="0" applyNumberFormat="1" applyFont="1" applyFill="1" applyBorder="1" applyAlignment="1">
      <alignment horizontal="center" vertical="center" wrapText="1"/>
    </xf>
    <xf numFmtId="2" fontId="14" fillId="4" borderId="29" xfId="0" applyNumberFormat="1" applyFont="1" applyFill="1" applyBorder="1" applyAlignment="1">
      <alignment horizontal="center"/>
    </xf>
    <xf numFmtId="2" fontId="11" fillId="9" borderId="29" xfId="0" applyNumberFormat="1" applyFont="1" applyFill="1" applyBorder="1" applyAlignment="1">
      <alignment horizontal="center"/>
    </xf>
    <xf numFmtId="2" fontId="14" fillId="14" borderId="29" xfId="0" applyNumberFormat="1" applyFont="1" applyFill="1" applyBorder="1" applyAlignment="1">
      <alignment horizontal="center"/>
    </xf>
    <xf numFmtId="4" fontId="14" fillId="9" borderId="29" xfId="0" applyNumberFormat="1" applyFont="1" applyFill="1" applyBorder="1" applyAlignment="1">
      <alignment horizontal="center"/>
    </xf>
    <xf numFmtId="0" fontId="14" fillId="14" borderId="29" xfId="0" applyFont="1" applyFill="1" applyBorder="1" applyAlignment="1">
      <alignment horizontal="center"/>
    </xf>
    <xf numFmtId="0" fontId="30" fillId="14" borderId="29" xfId="0" applyFont="1" applyFill="1" applyBorder="1" applyAlignment="1">
      <alignment horizontal="center"/>
    </xf>
    <xf numFmtId="4" fontId="14" fillId="4" borderId="29" xfId="0" applyNumberFormat="1" applyFont="1" applyFill="1" applyBorder="1" applyAlignment="1">
      <alignment horizontal="center"/>
    </xf>
    <xf numFmtId="2" fontId="11" fillId="13" borderId="14" xfId="0" applyNumberFormat="1" applyFont="1" applyFill="1" applyBorder="1" applyAlignment="1">
      <alignment horizontal="center" vertical="center" wrapText="1"/>
    </xf>
    <xf numFmtId="2" fontId="14" fillId="4" borderId="14" xfId="0" applyNumberFormat="1" applyFont="1" applyFill="1" applyBorder="1" applyAlignment="1">
      <alignment horizontal="center"/>
    </xf>
    <xf numFmtId="0" fontId="0" fillId="13" borderId="29" xfId="0" applyFill="1" applyBorder="1" applyAlignment="1">
      <alignment horizontal="left" vertical="top"/>
    </xf>
    <xf numFmtId="2" fontId="14" fillId="13" borderId="29" xfId="0" applyNumberFormat="1" applyFont="1" applyFill="1" applyBorder="1" applyAlignment="1">
      <alignment horizontal="center" vertical="top"/>
    </xf>
    <xf numFmtId="0" fontId="11" fillId="9" borderId="29" xfId="0" applyFont="1" applyFill="1" applyBorder="1" applyAlignment="1">
      <alignment horizontal="center"/>
    </xf>
    <xf numFmtId="165" fontId="14" fillId="9" borderId="29" xfId="0" applyNumberFormat="1" applyFont="1" applyFill="1" applyBorder="1" applyAlignment="1">
      <alignment horizontal="center"/>
    </xf>
    <xf numFmtId="1" fontId="14" fillId="9" borderId="29" xfId="0" applyNumberFormat="1" applyFont="1" applyFill="1" applyBorder="1" applyAlignment="1">
      <alignment horizontal="center"/>
    </xf>
    <xf numFmtId="0" fontId="29" fillId="13" borderId="29" xfId="0" applyFont="1" applyFill="1" applyBorder="1"/>
    <xf numFmtId="2" fontId="11" fillId="4" borderId="29" xfId="0" applyNumberFormat="1" applyFont="1" applyFill="1" applyBorder="1" applyAlignment="1">
      <alignment horizontal="center"/>
    </xf>
    <xf numFmtId="0" fontId="11" fillId="4" borderId="29" xfId="0" applyFont="1" applyFill="1" applyBorder="1" applyAlignment="1">
      <alignment horizontal="center"/>
    </xf>
    <xf numFmtId="1" fontId="14" fillId="13" borderId="29" xfId="0" applyNumberFormat="1" applyFont="1" applyFill="1" applyBorder="1" applyAlignment="1">
      <alignment horizontal="right" vertical="top" shrinkToFit="1"/>
    </xf>
    <xf numFmtId="4" fontId="14" fillId="13" borderId="29" xfId="0" applyNumberFormat="1" applyFont="1" applyFill="1" applyBorder="1" applyAlignment="1">
      <alignment horizontal="right" vertical="top" shrinkToFit="1"/>
    </xf>
    <xf numFmtId="0" fontId="0" fillId="13" borderId="14" xfId="0" applyFill="1" applyBorder="1" applyAlignment="1">
      <alignment horizontal="left" vertical="top"/>
    </xf>
    <xf numFmtId="0" fontId="29" fillId="13" borderId="14" xfId="0" applyFont="1" applyFill="1" applyBorder="1"/>
    <xf numFmtId="0" fontId="30" fillId="4" borderId="29" xfId="0" applyFont="1" applyFill="1" applyBorder="1" applyAlignment="1">
      <alignment horizontal="center"/>
    </xf>
    <xf numFmtId="4" fontId="30" fillId="4" borderId="29" xfId="0" applyNumberFormat="1" applyFont="1" applyFill="1" applyBorder="1" applyAlignment="1">
      <alignment horizontal="center"/>
    </xf>
    <xf numFmtId="2" fontId="30" fillId="13" borderId="29" xfId="0" applyNumberFormat="1" applyFont="1" applyFill="1" applyBorder="1" applyAlignment="1">
      <alignment horizontal="center"/>
    </xf>
    <xf numFmtId="2" fontId="30" fillId="13" borderId="14" xfId="0" applyNumberFormat="1" applyFont="1" applyFill="1" applyBorder="1" applyAlignment="1">
      <alignment horizontal="center"/>
    </xf>
    <xf numFmtId="17" fontId="12" fillId="0" borderId="29" xfId="0" applyNumberFormat="1" applyFont="1" applyBorder="1" applyAlignment="1">
      <alignment vertical="center" wrapText="1"/>
    </xf>
    <xf numFmtId="0" fontId="5" fillId="0" borderId="29" xfId="0" applyFont="1" applyBorder="1"/>
    <xf numFmtId="0" fontId="17" fillId="0" borderId="29" xfId="0" applyFont="1" applyBorder="1"/>
    <xf numFmtId="2" fontId="30" fillId="4" borderId="29" xfId="0" applyNumberFormat="1" applyFont="1" applyFill="1" applyBorder="1" applyAlignment="1">
      <alignment horizontal="center"/>
    </xf>
    <xf numFmtId="164" fontId="8" fillId="2" borderId="25" xfId="0" applyNumberFormat="1" applyFont="1" applyFill="1" applyBorder="1" applyAlignment="1">
      <alignment vertical="center" wrapText="1"/>
    </xf>
    <xf numFmtId="0" fontId="8" fillId="7" borderId="8" xfId="0" applyFont="1" applyFill="1" applyBorder="1" applyAlignment="1">
      <alignment horizontal="center" vertical="center" wrapText="1"/>
    </xf>
    <xf numFmtId="2" fontId="8" fillId="7" borderId="8" xfId="0" applyNumberFormat="1" applyFont="1" applyFill="1" applyBorder="1" applyAlignment="1">
      <alignment horizontal="center" vertical="center" wrapText="1"/>
    </xf>
    <xf numFmtId="2" fontId="8" fillId="7" borderId="11" xfId="0" applyNumberFormat="1" applyFont="1" applyFill="1" applyBorder="1" applyAlignment="1">
      <alignment horizontal="center" vertical="center" wrapText="1"/>
    </xf>
    <xf numFmtId="164" fontId="11" fillId="2" borderId="2" xfId="0" applyNumberFormat="1" applyFont="1" applyFill="1" applyBorder="1" applyAlignment="1">
      <alignment horizontal="center" vertical="center" wrapText="1"/>
    </xf>
    <xf numFmtId="2" fontId="11" fillId="12" borderId="17" xfId="0" applyNumberFormat="1" applyFont="1" applyFill="1" applyBorder="1" applyAlignment="1">
      <alignment horizontal="center" vertical="center" wrapText="1"/>
    </xf>
    <xf numFmtId="2" fontId="11" fillId="12" borderId="18" xfId="0" applyNumberFormat="1" applyFont="1" applyFill="1" applyBorder="1" applyAlignment="1">
      <alignment horizontal="center" vertical="center" wrapText="1"/>
    </xf>
    <xf numFmtId="164" fontId="14" fillId="2" borderId="2" xfId="0" applyNumberFormat="1" applyFont="1" applyFill="1" applyBorder="1" applyAlignment="1">
      <alignment horizontal="center"/>
    </xf>
    <xf numFmtId="2" fontId="14" fillId="7" borderId="17" xfId="0" applyNumberFormat="1" applyFont="1" applyFill="1" applyBorder="1" applyAlignment="1">
      <alignment horizontal="center"/>
    </xf>
    <xf numFmtId="2" fontId="14" fillId="12" borderId="17" xfId="0" applyNumberFormat="1" applyFont="1" applyFill="1" applyBorder="1" applyAlignment="1">
      <alignment horizontal="center"/>
    </xf>
    <xf numFmtId="2" fontId="14" fillId="12" borderId="18" xfId="0" applyNumberFormat="1" applyFont="1" applyFill="1" applyBorder="1" applyAlignment="1">
      <alignment horizontal="center"/>
    </xf>
    <xf numFmtId="164" fontId="13" fillId="2" borderId="3" xfId="0" applyNumberFormat="1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164" fontId="13" fillId="10" borderId="3" xfId="0" applyNumberFormat="1" applyFont="1" applyFill="1" applyBorder="1" applyAlignment="1">
      <alignment horizontal="center"/>
    </xf>
    <xf numFmtId="2" fontId="14" fillId="4" borderId="5" xfId="0" applyNumberFormat="1" applyFont="1" applyFill="1" applyBorder="1" applyAlignment="1">
      <alignment horizontal="center"/>
    </xf>
    <xf numFmtId="164" fontId="14" fillId="7" borderId="3" xfId="0" applyNumberFormat="1" applyFont="1" applyFill="1" applyBorder="1" applyAlignment="1">
      <alignment horizontal="center"/>
    </xf>
    <xf numFmtId="2" fontId="14" fillId="8" borderId="5" xfId="0" applyNumberFormat="1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2" fontId="14" fillId="8" borderId="4" xfId="0" applyNumberFormat="1" applyFont="1" applyFill="1" applyBorder="1" applyAlignment="1">
      <alignment horizontal="center"/>
    </xf>
    <xf numFmtId="2" fontId="14" fillId="7" borderId="5" xfId="0" applyNumberFormat="1" applyFont="1" applyFill="1" applyBorder="1" applyAlignment="1">
      <alignment horizontal="center"/>
    </xf>
    <xf numFmtId="164" fontId="13" fillId="7" borderId="3" xfId="0" applyNumberFormat="1" applyFont="1" applyFill="1" applyBorder="1" applyAlignment="1">
      <alignment horizontal="center"/>
    </xf>
    <xf numFmtId="2" fontId="14" fillId="13" borderId="5" xfId="0" applyNumberFormat="1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4" fontId="14" fillId="9" borderId="5" xfId="0" applyNumberFormat="1" applyFont="1" applyFill="1" applyBorder="1" applyAlignment="1">
      <alignment horizontal="center"/>
    </xf>
    <xf numFmtId="2" fontId="14" fillId="13" borderId="4" xfId="0" applyNumberFormat="1" applyFont="1" applyFill="1" applyBorder="1" applyAlignment="1">
      <alignment horizontal="center"/>
    </xf>
    <xf numFmtId="2" fontId="14" fillId="9" borderId="5" xfId="0" applyNumberFormat="1" applyFont="1" applyFill="1" applyBorder="1" applyAlignment="1">
      <alignment horizontal="center"/>
    </xf>
    <xf numFmtId="0" fontId="16" fillId="7" borderId="5" xfId="0" applyFont="1" applyFill="1" applyBorder="1" applyAlignment="1">
      <alignment horizontal="center"/>
    </xf>
    <xf numFmtId="2" fontId="14" fillId="6" borderId="5" xfId="0" applyNumberFormat="1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164" fontId="13" fillId="8" borderId="3" xfId="0" applyNumberFormat="1" applyFont="1" applyFill="1" applyBorder="1" applyAlignment="1">
      <alignment horizontal="center"/>
    </xf>
    <xf numFmtId="164" fontId="13" fillId="2" borderId="3" xfId="0" applyNumberFormat="1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2" fontId="11" fillId="9" borderId="5" xfId="0" applyNumberFormat="1" applyFont="1" applyFill="1" applyBorder="1" applyAlignment="1">
      <alignment horizontal="center" vertical="center" wrapText="1"/>
    </xf>
    <xf numFmtId="2" fontId="11" fillId="13" borderId="5" xfId="0" applyNumberFormat="1" applyFont="1" applyFill="1" applyBorder="1" applyAlignment="1">
      <alignment horizontal="center" vertical="center" wrapText="1"/>
    </xf>
    <xf numFmtId="2" fontId="11" fillId="13" borderId="4" xfId="0" applyNumberFormat="1" applyFont="1" applyFill="1" applyBorder="1" applyAlignment="1">
      <alignment horizontal="center" vertical="center" wrapText="1"/>
    </xf>
    <xf numFmtId="49" fontId="8" fillId="2" borderId="10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164" fontId="14" fillId="2" borderId="19" xfId="0" applyNumberFormat="1" applyFont="1" applyFill="1" applyBorder="1" applyAlignment="1">
      <alignment horizontal="center"/>
    </xf>
    <xf numFmtId="2" fontId="14" fillId="7" borderId="22" xfId="0" applyNumberFormat="1" applyFont="1" applyFill="1" applyBorder="1" applyAlignment="1">
      <alignment horizontal="center"/>
    </xf>
    <xf numFmtId="164" fontId="14" fillId="8" borderId="19" xfId="0" applyNumberFormat="1" applyFont="1" applyFill="1" applyBorder="1" applyAlignment="1">
      <alignment horizontal="center"/>
    </xf>
    <xf numFmtId="2" fontId="14" fillId="8" borderId="22" xfId="0" applyNumberFormat="1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2" fontId="14" fillId="9" borderId="22" xfId="0" applyNumberFormat="1" applyFont="1" applyFill="1" applyBorder="1" applyAlignment="1">
      <alignment horizontal="center"/>
    </xf>
    <xf numFmtId="0" fontId="14" fillId="9" borderId="22" xfId="0" applyFont="1" applyFill="1" applyBorder="1" applyAlignment="1">
      <alignment horizontal="center"/>
    </xf>
    <xf numFmtId="2" fontId="14" fillId="4" borderId="22" xfId="0" applyNumberFormat="1" applyFont="1" applyFill="1" applyBorder="1" applyAlignment="1">
      <alignment horizontal="center"/>
    </xf>
    <xf numFmtId="164" fontId="14" fillId="7" borderId="19" xfId="0" applyNumberFormat="1" applyFont="1" applyFill="1" applyBorder="1" applyAlignment="1">
      <alignment horizontal="center"/>
    </xf>
    <xf numFmtId="2" fontId="14" fillId="12" borderId="20" xfId="0" applyNumberFormat="1" applyFont="1" applyFill="1" applyBorder="1" applyAlignment="1">
      <alignment horizontal="center"/>
    </xf>
    <xf numFmtId="164" fontId="14" fillId="2" borderId="27" xfId="0" applyNumberFormat="1" applyFont="1" applyFill="1" applyBorder="1" applyAlignment="1">
      <alignment horizontal="center"/>
    </xf>
    <xf numFmtId="164" fontId="14" fillId="2" borderId="28" xfId="0" applyNumberFormat="1" applyFont="1" applyFill="1" applyBorder="1" applyAlignment="1">
      <alignment horizontal="center"/>
    </xf>
    <xf numFmtId="164" fontId="13" fillId="2" borderId="30" xfId="0" applyNumberFormat="1" applyFont="1" applyFill="1" applyBorder="1" applyAlignment="1">
      <alignment horizontal="center"/>
    </xf>
    <xf numFmtId="164" fontId="14" fillId="7" borderId="27" xfId="0" applyNumberFormat="1" applyFont="1" applyFill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2" borderId="29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vertical="center"/>
    </xf>
    <xf numFmtId="0" fontId="32" fillId="0" borderId="29" xfId="0" applyFont="1" applyBorder="1"/>
    <xf numFmtId="0" fontId="6" fillId="0" borderId="29" xfId="0" applyFont="1" applyBorder="1" applyAlignment="1">
      <alignment horizontal="center" vertical="center" wrapText="1"/>
    </xf>
    <xf numFmtId="0" fontId="6" fillId="2" borderId="29" xfId="0" applyFont="1" applyFill="1" applyBorder="1" applyAlignment="1">
      <alignment vertical="center"/>
    </xf>
    <xf numFmtId="0" fontId="15" fillId="2" borderId="29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/>
    </xf>
    <xf numFmtId="0" fontId="6" fillId="8" borderId="29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left" vertical="center" wrapText="1"/>
    </xf>
    <xf numFmtId="0" fontId="6" fillId="8" borderId="29" xfId="0" applyFont="1" applyFill="1" applyBorder="1" applyAlignment="1">
      <alignment vertical="center"/>
    </xf>
    <xf numFmtId="0" fontId="6" fillId="8" borderId="29" xfId="0" applyFont="1" applyFill="1" applyBorder="1" applyAlignment="1">
      <alignment horizontal="left" vertical="center" wrapText="1"/>
    </xf>
    <xf numFmtId="0" fontId="15" fillId="8" borderId="29" xfId="0" applyFont="1" applyFill="1" applyBorder="1" applyAlignment="1">
      <alignment vertical="center"/>
    </xf>
    <xf numFmtId="0" fontId="15" fillId="8" borderId="29" xfId="0" applyFont="1" applyFill="1" applyBorder="1" applyAlignment="1">
      <alignment horizontal="left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vertical="center"/>
    </xf>
    <xf numFmtId="0" fontId="21" fillId="0" borderId="29" xfId="0" applyFont="1" applyBorder="1"/>
    <xf numFmtId="0" fontId="6" fillId="5" borderId="29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left" vertical="center" wrapText="1"/>
    </xf>
    <xf numFmtId="0" fontId="6" fillId="10" borderId="29" xfId="0" applyFont="1" applyFill="1" applyBorder="1" applyAlignment="1">
      <alignment vertical="center"/>
    </xf>
    <xf numFmtId="0" fontId="6" fillId="7" borderId="29" xfId="0" applyFont="1" applyFill="1" applyBorder="1" applyAlignment="1">
      <alignment vertical="center"/>
    </xf>
    <xf numFmtId="0" fontId="7" fillId="0" borderId="29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6" fillId="12" borderId="29" xfId="0" applyFont="1" applyFill="1" applyBorder="1" applyAlignment="1">
      <alignment horizontal="center" vertical="center" wrapText="1"/>
    </xf>
    <xf numFmtId="0" fontId="5" fillId="12" borderId="29" xfId="0" applyFont="1" applyFill="1" applyBorder="1"/>
    <xf numFmtId="0" fontId="17" fillId="2" borderId="29" xfId="0" applyFont="1" applyFill="1" applyBorder="1" applyAlignment="1">
      <alignment horizontal="left"/>
    </xf>
    <xf numFmtId="0" fontId="17" fillId="2" borderId="29" xfId="0" applyFont="1" applyFill="1" applyBorder="1"/>
    <xf numFmtId="164" fontId="17" fillId="2" borderId="29" xfId="0" applyNumberFormat="1" applyFont="1" applyFill="1" applyBorder="1" applyAlignment="1">
      <alignment horizontal="center"/>
    </xf>
    <xf numFmtId="0" fontId="17" fillId="7" borderId="29" xfId="0" applyFont="1" applyFill="1" applyBorder="1" applyAlignment="1">
      <alignment horizontal="center"/>
    </xf>
    <xf numFmtId="2" fontId="17" fillId="7" borderId="29" xfId="0" applyNumberFormat="1" applyFont="1" applyFill="1" applyBorder="1" applyAlignment="1">
      <alignment horizontal="center"/>
    </xf>
    <xf numFmtId="0" fontId="5" fillId="2" borderId="29" xfId="0" applyFont="1" applyFill="1" applyBorder="1" applyAlignment="1">
      <alignment horizontal="left"/>
    </xf>
    <xf numFmtId="0" fontId="5" fillId="2" borderId="29" xfId="0" applyFont="1" applyFill="1" applyBorder="1"/>
    <xf numFmtId="164" fontId="5" fillId="2" borderId="29" xfId="0" applyNumberFormat="1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/>
    </xf>
    <xf numFmtId="164" fontId="8" fillId="2" borderId="8" xfId="0" applyNumberFormat="1" applyFont="1" applyFill="1" applyBorder="1" applyAlignment="1">
      <alignment vertical="center" wrapText="1"/>
    </xf>
    <xf numFmtId="0" fontId="0" fillId="0" borderId="8" xfId="0" applyBorder="1"/>
    <xf numFmtId="0" fontId="0" fillId="0" borderId="22" xfId="0" applyBorder="1"/>
    <xf numFmtId="0" fontId="6" fillId="0" borderId="2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vertical="center"/>
    </xf>
    <xf numFmtId="164" fontId="11" fillId="2" borderId="17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6" fillId="0" borderId="1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/>
    </xf>
    <xf numFmtId="164" fontId="13" fillId="2" borderId="5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2" fontId="11" fillId="6" borderId="5" xfId="0" applyNumberFormat="1" applyFont="1" applyFill="1" applyBorder="1" applyAlignment="1">
      <alignment horizontal="center" vertical="center" wrapText="1"/>
    </xf>
    <xf numFmtId="2" fontId="11" fillId="12" borderId="5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6" fillId="0" borderId="19" xfId="0" applyFont="1" applyBorder="1" applyAlignment="1">
      <alignment horizontal="center" vertical="center" wrapText="1"/>
    </xf>
    <xf numFmtId="0" fontId="6" fillId="8" borderId="22" xfId="0" applyFont="1" applyFill="1" applyBorder="1" applyAlignment="1">
      <alignment horizontal="center" vertical="center" wrapText="1"/>
    </xf>
    <xf numFmtId="0" fontId="6" fillId="8" borderId="22" xfId="0" applyFont="1" applyFill="1" applyBorder="1" applyAlignment="1">
      <alignment vertical="center"/>
    </xf>
    <xf numFmtId="164" fontId="14" fillId="8" borderId="22" xfId="0" applyNumberFormat="1" applyFont="1" applyFill="1" applyBorder="1" applyAlignment="1">
      <alignment horizontal="center"/>
    </xf>
    <xf numFmtId="0" fontId="6" fillId="8" borderId="19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164" fontId="13" fillId="8" borderId="5" xfId="0" applyNumberFormat="1" applyFont="1" applyFill="1" applyBorder="1" applyAlignment="1">
      <alignment horizontal="center"/>
    </xf>
    <xf numFmtId="2" fontId="14" fillId="6" borderId="22" xfId="0" applyNumberFormat="1" applyFont="1" applyFill="1" applyBorder="1" applyAlignment="1">
      <alignment horizontal="center"/>
    </xf>
    <xf numFmtId="0" fontId="14" fillId="6" borderId="22" xfId="0" applyFont="1" applyFill="1" applyBorder="1" applyAlignment="1">
      <alignment horizontal="center"/>
    </xf>
    <xf numFmtId="0" fontId="15" fillId="0" borderId="13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 vertical="center" wrapText="1"/>
    </xf>
    <xf numFmtId="0" fontId="6" fillId="7" borderId="22" xfId="0" applyFont="1" applyFill="1" applyBorder="1" applyAlignment="1">
      <alignment vertical="center"/>
    </xf>
    <xf numFmtId="164" fontId="14" fillId="7" borderId="22" xfId="0" applyNumberFormat="1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vertical="center"/>
    </xf>
    <xf numFmtId="164" fontId="13" fillId="7" borderId="5" xfId="0" applyNumberFormat="1" applyFont="1" applyFill="1" applyBorder="1" applyAlignment="1">
      <alignment horizontal="center"/>
    </xf>
    <xf numFmtId="4" fontId="14" fillId="6" borderId="5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4" fontId="14" fillId="2" borderId="5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12" borderId="22" xfId="0" applyFont="1" applyFill="1" applyBorder="1" applyAlignment="1">
      <alignment horizontal="center" vertical="center" wrapText="1"/>
    </xf>
    <xf numFmtId="0" fontId="6" fillId="12" borderId="19" xfId="0" applyFont="1" applyFill="1" applyBorder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/>
    </xf>
    <xf numFmtId="164" fontId="14" fillId="7" borderId="5" xfId="0" applyNumberFormat="1" applyFont="1" applyFill="1" applyBorder="1" applyAlignment="1">
      <alignment horizontal="center"/>
    </xf>
    <xf numFmtId="0" fontId="6" fillId="10" borderId="22" xfId="0" applyFont="1" applyFill="1" applyBorder="1" applyAlignment="1">
      <alignment horizontal="left" vertical="center" wrapText="1"/>
    </xf>
    <xf numFmtId="0" fontId="6" fillId="10" borderId="22" xfId="0" applyFont="1" applyFill="1" applyBorder="1" applyAlignment="1">
      <alignment vertical="center"/>
    </xf>
    <xf numFmtId="164" fontId="14" fillId="10" borderId="22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vertical="center"/>
    </xf>
    <xf numFmtId="164" fontId="13" fillId="10" borderId="5" xfId="0" applyNumberFormat="1" applyFont="1" applyFill="1" applyBorder="1" applyAlignment="1">
      <alignment horizontal="center"/>
    </xf>
    <xf numFmtId="0" fontId="6" fillId="0" borderId="22" xfId="0" quotePrefix="1" applyFont="1" applyBorder="1" applyAlignment="1">
      <alignment horizontal="center" vertical="center" wrapText="1"/>
    </xf>
    <xf numFmtId="0" fontId="9" fillId="2" borderId="9" xfId="0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0" fontId="6" fillId="8" borderId="15" xfId="0" applyFont="1" applyFill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6" fillId="10" borderId="21" xfId="0" applyFont="1" applyFill="1" applyBorder="1" applyAlignment="1">
      <alignment vertical="center"/>
    </xf>
    <xf numFmtId="0" fontId="17" fillId="2" borderId="9" xfId="0" applyFont="1" applyFill="1" applyBorder="1"/>
    <xf numFmtId="0" fontId="5" fillId="2" borderId="9" xfId="0" applyFont="1" applyFill="1" applyBorder="1"/>
    <xf numFmtId="164" fontId="11" fillId="2" borderId="28" xfId="0" applyNumberFormat="1" applyFont="1" applyFill="1" applyBorder="1" applyAlignment="1">
      <alignment horizontal="center" vertical="center" wrapText="1"/>
    </xf>
    <xf numFmtId="164" fontId="13" fillId="2" borderId="30" xfId="0" applyNumberFormat="1" applyFont="1" applyFill="1" applyBorder="1" applyAlignment="1">
      <alignment horizontal="center" vertical="center" wrapText="1"/>
    </xf>
    <xf numFmtId="164" fontId="14" fillId="8" borderId="27" xfId="0" applyNumberFormat="1" applyFont="1" applyFill="1" applyBorder="1" applyAlignment="1">
      <alignment horizontal="center"/>
    </xf>
    <xf numFmtId="164" fontId="13" fillId="8" borderId="30" xfId="0" applyNumberFormat="1" applyFont="1" applyFill="1" applyBorder="1" applyAlignment="1">
      <alignment horizontal="center"/>
    </xf>
    <xf numFmtId="164" fontId="13" fillId="7" borderId="30" xfId="0" applyNumberFormat="1" applyFont="1" applyFill="1" applyBorder="1" applyAlignment="1">
      <alignment horizontal="center"/>
    </xf>
    <xf numFmtId="164" fontId="14" fillId="7" borderId="30" xfId="0" applyNumberFormat="1" applyFont="1" applyFill="1" applyBorder="1" applyAlignment="1">
      <alignment horizontal="center"/>
    </xf>
    <xf numFmtId="164" fontId="14" fillId="10" borderId="27" xfId="0" applyNumberFormat="1" applyFont="1" applyFill="1" applyBorder="1" applyAlignment="1">
      <alignment horizontal="center"/>
    </xf>
    <xf numFmtId="164" fontId="13" fillId="10" borderId="30" xfId="0" applyNumberFormat="1" applyFont="1" applyFill="1" applyBorder="1" applyAlignment="1">
      <alignment horizontal="center"/>
    </xf>
    <xf numFmtId="0" fontId="5" fillId="0" borderId="26" xfId="0" applyFont="1" applyBorder="1"/>
    <xf numFmtId="164" fontId="17" fillId="2" borderId="26" xfId="0" applyNumberFormat="1" applyFont="1" applyFill="1" applyBorder="1" applyAlignment="1">
      <alignment horizontal="center"/>
    </xf>
    <xf numFmtId="164" fontId="5" fillId="2" borderId="26" xfId="0" applyNumberFormat="1" applyFont="1" applyFill="1" applyBorder="1" applyAlignment="1">
      <alignment horizontal="center"/>
    </xf>
    <xf numFmtId="2" fontId="14" fillId="7" borderId="20" xfId="0" applyNumberFormat="1" applyFont="1" applyFill="1" applyBorder="1" applyAlignment="1">
      <alignment horizontal="center"/>
    </xf>
    <xf numFmtId="2" fontId="14" fillId="8" borderId="20" xfId="0" applyNumberFormat="1" applyFont="1" applyFill="1" applyBorder="1" applyAlignment="1">
      <alignment horizontal="center"/>
    </xf>
    <xf numFmtId="2" fontId="14" fillId="4" borderId="20" xfId="0" applyNumberFormat="1" applyFont="1" applyFill="1" applyBorder="1" applyAlignment="1">
      <alignment horizontal="center"/>
    </xf>
    <xf numFmtId="164" fontId="14" fillId="10" borderId="19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164" fontId="17" fillId="2" borderId="13" xfId="0" applyNumberFormat="1" applyFont="1" applyFill="1" applyBorder="1" applyAlignment="1">
      <alignment horizontal="center"/>
    </xf>
    <xf numFmtId="2" fontId="17" fillId="7" borderId="14" xfId="0" applyNumberFormat="1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center"/>
    </xf>
    <xf numFmtId="164" fontId="8" fillId="2" borderId="10" xfId="0" applyNumberFormat="1" applyFont="1" applyFill="1" applyBorder="1" applyAlignment="1">
      <alignment vertical="center" wrapText="1"/>
    </xf>
    <xf numFmtId="0" fontId="5" fillId="0" borderId="13" xfId="0" applyFont="1" applyBorder="1"/>
    <xf numFmtId="0" fontId="5" fillId="12" borderId="14" xfId="0" applyFont="1" applyFill="1" applyBorder="1"/>
    <xf numFmtId="0" fontId="0" fillId="12" borderId="29" xfId="0" applyFill="1" applyBorder="1"/>
    <xf numFmtId="0" fontId="33" fillId="13" borderId="29" xfId="0" applyFont="1" applyFill="1" applyBorder="1"/>
    <xf numFmtId="164" fontId="14" fillId="4" borderId="13" xfId="0" applyNumberFormat="1" applyFont="1" applyFill="1" applyBorder="1" applyAlignment="1">
      <alignment horizontal="center"/>
    </xf>
    <xf numFmtId="164" fontId="13" fillId="4" borderId="13" xfId="0" applyNumberFormat="1" applyFont="1" applyFill="1" applyBorder="1" applyAlignment="1">
      <alignment horizontal="center"/>
    </xf>
    <xf numFmtId="2" fontId="14" fillId="14" borderId="5" xfId="0" applyNumberFormat="1" applyFont="1" applyFill="1" applyBorder="1" applyAlignment="1">
      <alignment horizontal="center"/>
    </xf>
    <xf numFmtId="0" fontId="14" fillId="14" borderId="5" xfId="0" applyFont="1" applyFill="1" applyBorder="1" applyAlignment="1">
      <alignment horizontal="center"/>
    </xf>
    <xf numFmtId="2" fontId="14" fillId="14" borderId="4" xfId="0" applyNumberFormat="1" applyFont="1" applyFill="1" applyBorder="1" applyAlignment="1">
      <alignment horizontal="center"/>
    </xf>
    <xf numFmtId="2" fontId="30" fillId="14" borderId="5" xfId="0" applyNumberFormat="1" applyFont="1" applyFill="1" applyBorder="1" applyAlignment="1">
      <alignment horizontal="center"/>
    </xf>
    <xf numFmtId="4" fontId="29" fillId="13" borderId="29" xfId="0" applyNumberFormat="1" applyFont="1" applyFill="1" applyBorder="1"/>
    <xf numFmtId="2" fontId="14" fillId="19" borderId="29" xfId="0" applyNumberFormat="1" applyFont="1" applyFill="1" applyBorder="1" applyAlignment="1">
      <alignment horizontal="center"/>
    </xf>
    <xf numFmtId="2" fontId="14" fillId="19" borderId="14" xfId="0" applyNumberFormat="1" applyFont="1" applyFill="1" applyBorder="1" applyAlignment="1">
      <alignment horizontal="center"/>
    </xf>
    <xf numFmtId="0" fontId="6" fillId="16" borderId="29" xfId="0" applyFont="1" applyFill="1" applyBorder="1" applyAlignment="1">
      <alignment vertical="center"/>
    </xf>
    <xf numFmtId="2" fontId="14" fillId="7" borderId="8" xfId="0" applyNumberFormat="1" applyFont="1" applyFill="1" applyBorder="1" applyAlignment="1">
      <alignment horizontal="center"/>
    </xf>
    <xf numFmtId="0" fontId="16" fillId="7" borderId="29" xfId="0" applyFont="1" applyFill="1" applyBorder="1" applyAlignment="1">
      <alignment horizontal="center"/>
    </xf>
    <xf numFmtId="0" fontId="0" fillId="12" borderId="5" xfId="0" applyFill="1" applyBorder="1"/>
    <xf numFmtId="0" fontId="6" fillId="20" borderId="5" xfId="0" applyFont="1" applyFill="1" applyBorder="1" applyAlignment="1">
      <alignment horizontal="left" vertical="center" wrapText="1"/>
    </xf>
    <xf numFmtId="0" fontId="6" fillId="20" borderId="5" xfId="0" applyFont="1" applyFill="1" applyBorder="1" applyAlignment="1">
      <alignment vertical="center"/>
    </xf>
    <xf numFmtId="0" fontId="6" fillId="11" borderId="10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left" vertical="center" wrapText="1"/>
    </xf>
    <xf numFmtId="0" fontId="6" fillId="7" borderId="8" xfId="0" applyFont="1" applyFill="1" applyBorder="1" applyAlignment="1">
      <alignment vertical="center"/>
    </xf>
    <xf numFmtId="164" fontId="13" fillId="7" borderId="10" xfId="0" applyNumberFormat="1" applyFont="1" applyFill="1" applyBorder="1" applyAlignment="1">
      <alignment horizontal="center"/>
    </xf>
    <xf numFmtId="2" fontId="14" fillId="12" borderId="8" xfId="0" applyNumberFormat="1" applyFont="1" applyFill="1" applyBorder="1" applyAlignment="1">
      <alignment horizontal="center"/>
    </xf>
    <xf numFmtId="2" fontId="14" fillId="12" borderId="11" xfId="0" applyNumberFormat="1" applyFont="1" applyFill="1" applyBorder="1" applyAlignment="1">
      <alignment horizontal="center"/>
    </xf>
    <xf numFmtId="0" fontId="35" fillId="13" borderId="29" xfId="0" applyFont="1" applyFill="1" applyBorder="1" applyAlignment="1">
      <alignment horizontal="center"/>
    </xf>
    <xf numFmtId="0" fontId="35" fillId="13" borderId="0" xfId="0" applyFont="1" applyFill="1"/>
    <xf numFmtId="4" fontId="34" fillId="13" borderId="5" xfId="0" applyNumberFormat="1" applyFont="1" applyFill="1" applyBorder="1"/>
    <xf numFmtId="2" fontId="5" fillId="4" borderId="29" xfId="0" applyNumberFormat="1" applyFont="1" applyFill="1" applyBorder="1" applyAlignment="1">
      <alignment horizontal="center"/>
    </xf>
    <xf numFmtId="2" fontId="5" fillId="4" borderId="14" xfId="0" applyNumberFormat="1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 wrapText="1"/>
    </xf>
    <xf numFmtId="0" fontId="6" fillId="21" borderId="5" xfId="0" applyFont="1" applyFill="1" applyBorder="1" applyAlignment="1">
      <alignment horizontal="left" vertical="center" wrapText="1"/>
    </xf>
    <xf numFmtId="0" fontId="6" fillId="21" borderId="5" xfId="0" applyFont="1" applyFill="1" applyBorder="1" applyAlignment="1">
      <alignment vertical="center"/>
    </xf>
    <xf numFmtId="49" fontId="6" fillId="0" borderId="29" xfId="0" applyNumberFormat="1" applyFont="1" applyBorder="1" applyAlignment="1">
      <alignment horizontal="center" vertical="center" wrapText="1"/>
    </xf>
    <xf numFmtId="4" fontId="14" fillId="4" borderId="5" xfId="0" applyNumberFormat="1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2" fontId="14" fillId="17" borderId="29" xfId="0" applyNumberFormat="1" applyFont="1" applyFill="1" applyBorder="1" applyAlignment="1">
      <alignment horizontal="center"/>
    </xf>
    <xf numFmtId="0" fontId="29" fillId="13" borderId="0" xfId="0" applyFont="1" applyFill="1"/>
    <xf numFmtId="2" fontId="14" fillId="4" borderId="17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/>
    </xf>
    <xf numFmtId="2" fontId="14" fillId="4" borderId="18" xfId="0" applyNumberFormat="1" applyFont="1" applyFill="1" applyBorder="1" applyAlignment="1">
      <alignment horizontal="center"/>
    </xf>
    <xf numFmtId="164" fontId="13" fillId="2" borderId="28" xfId="0" applyNumberFormat="1" applyFont="1" applyFill="1" applyBorder="1" applyAlignment="1">
      <alignment horizontal="center"/>
    </xf>
    <xf numFmtId="164" fontId="13" fillId="2" borderId="17" xfId="0" applyNumberFormat="1" applyFont="1" applyFill="1" applyBorder="1" applyAlignment="1">
      <alignment horizontal="center"/>
    </xf>
    <xf numFmtId="2" fontId="14" fillId="14" borderId="22" xfId="0" applyNumberFormat="1" applyFont="1" applyFill="1" applyBorder="1" applyAlignment="1">
      <alignment horizontal="center"/>
    </xf>
    <xf numFmtId="0" fontId="14" fillId="4" borderId="22" xfId="0" applyFont="1" applyFill="1" applyBorder="1" applyAlignment="1">
      <alignment horizontal="center"/>
    </xf>
    <xf numFmtId="0" fontId="14" fillId="14" borderId="22" xfId="0" applyFont="1" applyFill="1" applyBorder="1" applyAlignment="1">
      <alignment horizontal="center"/>
    </xf>
    <xf numFmtId="2" fontId="11" fillId="4" borderId="17" xfId="0" applyNumberFormat="1" applyFont="1" applyFill="1" applyBorder="1" applyAlignment="1">
      <alignment horizontal="center" vertical="center" wrapText="1"/>
    </xf>
    <xf numFmtId="2" fontId="11" fillId="15" borderId="17" xfId="0" applyNumberFormat="1" applyFont="1" applyFill="1" applyBorder="1" applyAlignment="1">
      <alignment horizontal="center" vertical="center" wrapText="1"/>
    </xf>
    <xf numFmtId="2" fontId="14" fillId="15" borderId="22" xfId="0" applyNumberFormat="1" applyFont="1" applyFill="1" applyBorder="1" applyAlignment="1">
      <alignment horizontal="center"/>
    </xf>
    <xf numFmtId="2" fontId="14" fillId="17" borderId="22" xfId="0" applyNumberFormat="1" applyFont="1" applyFill="1" applyBorder="1" applyAlignment="1">
      <alignment horizontal="center"/>
    </xf>
    <xf numFmtId="164" fontId="13" fillId="7" borderId="22" xfId="0" applyNumberFormat="1" applyFont="1" applyFill="1" applyBorder="1" applyAlignment="1">
      <alignment horizontal="center"/>
    </xf>
    <xf numFmtId="0" fontId="16" fillId="7" borderId="22" xfId="0" applyFont="1" applyFill="1" applyBorder="1" applyAlignment="1">
      <alignment horizontal="center"/>
    </xf>
    <xf numFmtId="2" fontId="11" fillId="17" borderId="22" xfId="0" applyNumberFormat="1" applyFont="1" applyFill="1" applyBorder="1" applyAlignment="1">
      <alignment horizontal="center" vertical="center" wrapText="1"/>
    </xf>
    <xf numFmtId="0" fontId="5" fillId="12" borderId="22" xfId="0" applyFont="1" applyFill="1" applyBorder="1"/>
    <xf numFmtId="0" fontId="0" fillId="12" borderId="22" xfId="0" applyFill="1" applyBorder="1"/>
    <xf numFmtId="0" fontId="16" fillId="4" borderId="5" xfId="0" applyFont="1" applyFill="1" applyBorder="1" applyAlignment="1">
      <alignment horizontal="center"/>
    </xf>
    <xf numFmtId="0" fontId="29" fillId="13" borderId="16" xfId="0" applyFont="1" applyFill="1" applyBorder="1"/>
    <xf numFmtId="0" fontId="6" fillId="7" borderId="2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2" fontId="14" fillId="22" borderId="29" xfId="0" applyNumberFormat="1" applyFont="1" applyFill="1" applyBorder="1" applyAlignment="1">
      <alignment horizontal="center"/>
    </xf>
    <xf numFmtId="2" fontId="14" fillId="18" borderId="29" xfId="0" applyNumberFormat="1" applyFont="1" applyFill="1" applyBorder="1" applyAlignment="1">
      <alignment horizontal="center"/>
    </xf>
    <xf numFmtId="2" fontId="14" fillId="18" borderId="5" xfId="0" applyNumberFormat="1" applyFont="1" applyFill="1" applyBorder="1" applyAlignment="1">
      <alignment horizontal="center"/>
    </xf>
    <xf numFmtId="2" fontId="14" fillId="23" borderId="29" xfId="0" applyNumberFormat="1" applyFont="1" applyFill="1" applyBorder="1" applyAlignment="1">
      <alignment horizontal="center"/>
    </xf>
    <xf numFmtId="2" fontId="14" fillId="17" borderId="5" xfId="0" applyNumberFormat="1" applyFont="1" applyFill="1" applyBorder="1" applyAlignment="1">
      <alignment horizontal="center"/>
    </xf>
    <xf numFmtId="49" fontId="15" fillId="8" borderId="5" xfId="0" applyNumberFormat="1" applyFont="1" applyFill="1" applyBorder="1" applyAlignment="1">
      <alignment horizontal="center" vertical="center" wrapText="1"/>
    </xf>
    <xf numFmtId="49" fontId="15" fillId="12" borderId="5" xfId="0" applyNumberFormat="1" applyFont="1" applyFill="1" applyBorder="1" applyAlignment="1">
      <alignment horizontal="center" vertical="center" wrapText="1"/>
    </xf>
    <xf numFmtId="2" fontId="11" fillId="15" borderId="6" xfId="0" applyNumberFormat="1" applyFont="1" applyFill="1" applyBorder="1" applyAlignment="1">
      <alignment horizontal="center" vertical="center" wrapText="1"/>
    </xf>
    <xf numFmtId="2" fontId="11" fillId="24" borderId="29" xfId="0" applyNumberFormat="1" applyFont="1" applyFill="1" applyBorder="1" applyAlignment="1">
      <alignment horizontal="center" vertical="center" wrapText="1"/>
    </xf>
    <xf numFmtId="2" fontId="14" fillId="25" borderId="29" xfId="0" applyNumberFormat="1" applyFont="1" applyFill="1" applyBorder="1" applyAlignment="1">
      <alignment horizontal="center"/>
    </xf>
    <xf numFmtId="164" fontId="13" fillId="4" borderId="29" xfId="0" applyNumberFormat="1" applyFont="1" applyFill="1" applyBorder="1" applyAlignment="1">
      <alignment horizontal="center"/>
    </xf>
    <xf numFmtId="164" fontId="14" fillId="4" borderId="29" xfId="0" applyNumberFormat="1" applyFont="1" applyFill="1" applyBorder="1" applyAlignment="1">
      <alignment horizontal="center"/>
    </xf>
    <xf numFmtId="2" fontId="14" fillId="26" borderId="22" xfId="0" applyNumberFormat="1" applyFont="1" applyFill="1" applyBorder="1" applyAlignment="1">
      <alignment horizontal="center"/>
    </xf>
    <xf numFmtId="2" fontId="14" fillId="16" borderId="29" xfId="0" applyNumberFormat="1" applyFont="1" applyFill="1" applyBorder="1" applyAlignment="1">
      <alignment horizontal="center"/>
    </xf>
    <xf numFmtId="0" fontId="16" fillId="27" borderId="29" xfId="0" applyFont="1" applyFill="1" applyBorder="1" applyAlignment="1">
      <alignment horizontal="center"/>
    </xf>
    <xf numFmtId="2" fontId="14" fillId="28" borderId="29" xfId="0" applyNumberFormat="1" applyFont="1" applyFill="1" applyBorder="1" applyAlignment="1">
      <alignment horizontal="center"/>
    </xf>
    <xf numFmtId="2" fontId="14" fillId="29" borderId="29" xfId="0" applyNumberFormat="1" applyFont="1" applyFill="1" applyBorder="1" applyAlignment="1">
      <alignment horizontal="center" vertical="top"/>
    </xf>
    <xf numFmtId="165" fontId="14" fillId="28" borderId="29" xfId="0" applyNumberFormat="1" applyFont="1" applyFill="1" applyBorder="1" applyAlignment="1">
      <alignment horizontal="center"/>
    </xf>
    <xf numFmtId="1" fontId="14" fillId="28" borderId="29" xfId="0" applyNumberFormat="1" applyFont="1" applyFill="1" applyBorder="1" applyAlignment="1">
      <alignment horizontal="center"/>
    </xf>
    <xf numFmtId="4" fontId="14" fillId="28" borderId="29" xfId="0" applyNumberFormat="1" applyFont="1" applyFill="1" applyBorder="1" applyAlignment="1">
      <alignment horizontal="center"/>
    </xf>
    <xf numFmtId="1" fontId="14" fillId="29" borderId="29" xfId="0" applyNumberFormat="1" applyFont="1" applyFill="1" applyBorder="1" applyAlignment="1">
      <alignment horizontal="right" vertical="top" shrinkToFit="1"/>
    </xf>
    <xf numFmtId="4" fontId="14" fillId="29" borderId="29" xfId="0" applyNumberFormat="1" applyFont="1" applyFill="1" applyBorder="1" applyAlignment="1">
      <alignment horizontal="right" vertical="top" shrinkToFit="1"/>
    </xf>
    <xf numFmtId="0" fontId="0" fillId="29" borderId="29" xfId="0" applyFill="1" applyBorder="1" applyAlignment="1">
      <alignment horizontal="left" vertical="top"/>
    </xf>
    <xf numFmtId="0" fontId="11" fillId="28" borderId="29" xfId="0" applyFont="1" applyFill="1" applyBorder="1" applyAlignment="1">
      <alignment horizontal="center" vertical="center" wrapText="1"/>
    </xf>
    <xf numFmtId="2" fontId="11" fillId="16" borderId="29" xfId="0" applyNumberFormat="1" applyFont="1" applyFill="1" applyBorder="1" applyAlignment="1">
      <alignment horizontal="center" vertical="center" wrapText="1"/>
    </xf>
    <xf numFmtId="2" fontId="14" fillId="30" borderId="29" xfId="0" applyNumberFormat="1" applyFont="1" applyFill="1" applyBorder="1" applyAlignment="1">
      <alignment horizontal="center"/>
    </xf>
    <xf numFmtId="2" fontId="11" fillId="29" borderId="29" xfId="0" applyNumberFormat="1" applyFont="1" applyFill="1" applyBorder="1" applyAlignment="1">
      <alignment horizontal="center" vertical="center" wrapText="1"/>
    </xf>
    <xf numFmtId="0" fontId="0" fillId="13" borderId="5" xfId="0" applyFill="1" applyBorder="1"/>
    <xf numFmtId="0" fontId="5" fillId="27" borderId="29" xfId="0" applyFont="1" applyFill="1" applyBorder="1" applyAlignment="1">
      <alignment horizontal="center"/>
    </xf>
    <xf numFmtId="0" fontId="14" fillId="27" borderId="29" xfId="0" applyFont="1" applyFill="1" applyBorder="1" applyAlignment="1">
      <alignment horizontal="center"/>
    </xf>
    <xf numFmtId="2" fontId="14" fillId="15" borderId="29" xfId="0" applyNumberFormat="1" applyFont="1" applyFill="1" applyBorder="1" applyAlignment="1">
      <alignment horizontal="center"/>
    </xf>
    <xf numFmtId="0" fontId="32" fillId="13" borderId="5" xfId="0" applyFont="1" applyFill="1" applyBorder="1"/>
    <xf numFmtId="2" fontId="14" fillId="13" borderId="22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2" fontId="14" fillId="25" borderId="8" xfId="0" applyNumberFormat="1" applyFont="1" applyFill="1" applyBorder="1" applyAlignment="1">
      <alignment horizontal="center"/>
    </xf>
    <xf numFmtId="2" fontId="14" fillId="26" borderId="24" xfId="0" applyNumberFormat="1" applyFont="1" applyFill="1" applyBorder="1" applyAlignment="1">
      <alignment horizontal="center"/>
    </xf>
    <xf numFmtId="2" fontId="16" fillId="0" borderId="22" xfId="0" applyNumberFormat="1" applyFont="1" applyBorder="1"/>
    <xf numFmtId="0" fontId="18" fillId="7" borderId="31" xfId="0" applyFont="1" applyFill="1" applyBorder="1" applyAlignment="1">
      <alignment horizontal="center"/>
    </xf>
    <xf numFmtId="2" fontId="18" fillId="0" borderId="23" xfId="0" applyNumberFormat="1" applyFont="1" applyBorder="1"/>
    <xf numFmtId="17" fontId="12" fillId="12" borderId="29" xfId="0" applyNumberFormat="1" applyFont="1" applyFill="1" applyBorder="1" applyAlignment="1">
      <alignment vertical="center" wrapText="1"/>
    </xf>
    <xf numFmtId="0" fontId="26" fillId="2" borderId="29" xfId="5" applyFont="1" applyBorder="1" applyAlignment="1">
      <alignment horizontal="center" vertical="center" wrapText="1"/>
    </xf>
    <xf numFmtId="0" fontId="26" fillId="2" borderId="29" xfId="5" applyFont="1" applyBorder="1" applyAlignment="1">
      <alignment horizontal="center" vertical="center"/>
    </xf>
    <xf numFmtId="3" fontId="37" fillId="31" borderId="29" xfId="5" applyNumberFormat="1" applyFont="1" applyFill="1" applyBorder="1" applyAlignment="1">
      <alignment horizontal="center" vertical="center" wrapText="1"/>
    </xf>
    <xf numFmtId="1" fontId="26" fillId="32" borderId="29" xfId="7" applyNumberFormat="1" applyFont="1" applyFill="1" applyBorder="1" applyAlignment="1">
      <alignment horizontal="center" vertical="center" wrapText="1"/>
    </xf>
    <xf numFmtId="1" fontId="26" fillId="33" borderId="29" xfId="7" applyNumberFormat="1" applyFont="1" applyFill="1" applyBorder="1" applyAlignment="1">
      <alignment horizontal="center" vertical="center" wrapText="1"/>
    </xf>
    <xf numFmtId="1" fontId="26" fillId="33" borderId="29" xfId="5" applyNumberFormat="1" applyFont="1" applyFill="1" applyBorder="1" applyAlignment="1">
      <alignment horizontal="center" vertical="center" wrapText="1"/>
    </xf>
    <xf numFmtId="0" fontId="25" fillId="31" borderId="29" xfId="7" applyFont="1" applyFill="1" applyBorder="1" applyAlignment="1">
      <alignment horizontal="center" vertical="center"/>
    </xf>
    <xf numFmtId="1" fontId="25" fillId="32" borderId="29" xfId="0" applyNumberFormat="1" applyFont="1" applyFill="1" applyBorder="1"/>
    <xf numFmtId="1" fontId="25" fillId="33" borderId="29" xfId="0" applyNumberFormat="1" applyFont="1" applyFill="1" applyBorder="1"/>
    <xf numFmtId="0" fontId="25" fillId="2" borderId="29" xfId="7" applyFont="1" applyBorder="1" applyAlignment="1">
      <alignment horizontal="left" vertical="center"/>
    </xf>
    <xf numFmtId="0" fontId="25" fillId="29" borderId="29" xfId="7" applyFont="1" applyFill="1" applyBorder="1" applyAlignment="1">
      <alignment vertical="center"/>
    </xf>
    <xf numFmtId="0" fontId="25" fillId="29" borderId="29" xfId="7" applyFont="1" applyFill="1" applyBorder="1" applyAlignment="1">
      <alignment horizontal="left" vertical="center"/>
    </xf>
    <xf numFmtId="0" fontId="26" fillId="29" borderId="29" xfId="7" applyFont="1" applyFill="1" applyBorder="1" applyAlignment="1">
      <alignment horizontal="center" vertical="center"/>
    </xf>
    <xf numFmtId="0" fontId="38" fillId="29" borderId="29" xfId="7" applyFont="1" applyFill="1" applyBorder="1" applyAlignment="1">
      <alignment vertical="center"/>
    </xf>
    <xf numFmtId="0" fontId="25" fillId="5" borderId="29" xfId="7" applyFont="1" applyFill="1" applyBorder="1" applyAlignment="1">
      <alignment horizontal="center" vertical="center"/>
    </xf>
    <xf numFmtId="1" fontId="25" fillId="5" borderId="29" xfId="0" applyNumberFormat="1" applyFont="1" applyFill="1" applyBorder="1"/>
    <xf numFmtId="0" fontId="39" fillId="29" borderId="29" xfId="7" applyFont="1" applyFill="1" applyBorder="1" applyAlignment="1">
      <alignment vertical="center"/>
    </xf>
    <xf numFmtId="4" fontId="25" fillId="31" borderId="29" xfId="7" applyNumberFormat="1" applyFont="1" applyFill="1" applyBorder="1" applyAlignment="1">
      <alignment horizontal="center" vertical="center"/>
    </xf>
    <xf numFmtId="0" fontId="25" fillId="29" borderId="29" xfId="7" quotePrefix="1" applyFont="1" applyFill="1" applyBorder="1" applyAlignment="1">
      <alignment horizontal="left" vertical="center"/>
    </xf>
    <xf numFmtId="0" fontId="25" fillId="5" borderId="29" xfId="7" quotePrefix="1" applyFont="1" applyFill="1" applyBorder="1" applyAlignment="1">
      <alignment horizontal="left" vertical="center"/>
    </xf>
    <xf numFmtId="0" fontId="26" fillId="5" borderId="29" xfId="7" applyFont="1" applyFill="1" applyBorder="1" applyAlignment="1">
      <alignment horizontal="center" vertical="center"/>
    </xf>
    <xf numFmtId="0" fontId="25" fillId="5" borderId="29" xfId="7" applyFont="1" applyFill="1" applyBorder="1" applyAlignment="1">
      <alignment vertical="center"/>
    </xf>
    <xf numFmtId="4" fontId="25" fillId="5" borderId="29" xfId="7" applyNumberFormat="1" applyFont="1" applyFill="1" applyBorder="1" applyAlignment="1">
      <alignment horizontal="center" vertical="center"/>
    </xf>
    <xf numFmtId="1" fontId="25" fillId="5" borderId="29" xfId="7" quotePrefix="1" applyNumberFormat="1" applyFont="1" applyFill="1" applyBorder="1" applyAlignment="1">
      <alignment vertical="center"/>
    </xf>
    <xf numFmtId="165" fontId="25" fillId="33" borderId="29" xfId="0" applyNumberFormat="1" applyFont="1" applyFill="1" applyBorder="1"/>
    <xf numFmtId="1" fontId="25" fillId="31" borderId="29" xfId="7" applyNumberFormat="1" applyFont="1" applyFill="1" applyBorder="1" applyAlignment="1">
      <alignment horizontal="center" vertical="center"/>
    </xf>
    <xf numFmtId="0" fontId="25" fillId="10" borderId="29" xfId="7" applyFont="1" applyFill="1" applyBorder="1" applyAlignment="1">
      <alignment vertical="center"/>
    </xf>
    <xf numFmtId="0" fontId="25" fillId="10" borderId="29" xfId="7" quotePrefix="1" applyFont="1" applyFill="1" applyBorder="1" applyAlignment="1">
      <alignment horizontal="left" vertical="center"/>
    </xf>
    <xf numFmtId="0" fontId="26" fillId="10" borderId="29" xfId="7" applyFont="1" applyFill="1" applyBorder="1" applyAlignment="1">
      <alignment horizontal="center" vertical="center"/>
    </xf>
    <xf numFmtId="0" fontId="26" fillId="12" borderId="29" xfId="7" applyFont="1" applyFill="1" applyBorder="1" applyAlignment="1">
      <alignment horizontal="center" vertical="center"/>
    </xf>
    <xf numFmtId="0" fontId="25" fillId="2" borderId="32" xfId="7" applyFont="1" applyBorder="1" applyAlignment="1">
      <alignment vertical="center"/>
    </xf>
    <xf numFmtId="0" fontId="25" fillId="2" borderId="32" xfId="7" quotePrefix="1" applyFont="1" applyBorder="1" applyAlignment="1">
      <alignment horizontal="left" vertical="center"/>
    </xf>
    <xf numFmtId="0" fontId="26" fillId="2" borderId="32" xfId="7" applyFont="1" applyBorder="1" applyAlignment="1">
      <alignment horizontal="center" vertical="center"/>
    </xf>
    <xf numFmtId="0" fontId="25" fillId="31" borderId="32" xfId="7" applyFont="1" applyFill="1" applyBorder="1" applyAlignment="1">
      <alignment horizontal="center" vertical="center"/>
    </xf>
    <xf numFmtId="1" fontId="25" fillId="32" borderId="32" xfId="0" applyNumberFormat="1" applyFont="1" applyFill="1" applyBorder="1"/>
    <xf numFmtId="1" fontId="25" fillId="33" borderId="32" xfId="0" applyNumberFormat="1" applyFont="1" applyFill="1" applyBorder="1"/>
    <xf numFmtId="1" fontId="25" fillId="15" borderId="29" xfId="0" applyNumberFormat="1" applyFont="1" applyFill="1" applyBorder="1"/>
    <xf numFmtId="0" fontId="26" fillId="2" borderId="29" xfId="7" applyFont="1" applyBorder="1" applyAlignment="1">
      <alignment vertical="center"/>
    </xf>
    <xf numFmtId="0" fontId="40" fillId="2" borderId="29" xfId="7" applyFont="1" applyBorder="1" applyAlignment="1">
      <alignment horizontal="left" vertical="center"/>
    </xf>
    <xf numFmtId="0" fontId="26" fillId="31" borderId="29" xfId="7" applyFont="1" applyFill="1" applyBorder="1" applyAlignment="1">
      <alignment horizontal="center" vertical="center"/>
    </xf>
    <xf numFmtId="1" fontId="26" fillId="32" borderId="29" xfId="0" applyNumberFormat="1" applyFont="1" applyFill="1" applyBorder="1"/>
    <xf numFmtId="1" fontId="26" fillId="33" borderId="29" xfId="0" applyNumberFormat="1" applyFont="1" applyFill="1" applyBorder="1"/>
    <xf numFmtId="0" fontId="32" fillId="0" borderId="0" xfId="0" applyFont="1"/>
    <xf numFmtId="3" fontId="37" fillId="32" borderId="32" xfId="5" applyNumberFormat="1" applyFont="1" applyFill="1" applyBorder="1" applyAlignment="1">
      <alignment horizontal="center" vertical="center" wrapText="1"/>
    </xf>
    <xf numFmtId="0" fontId="26" fillId="32" borderId="32" xfId="7" applyFont="1" applyFill="1" applyBorder="1" applyAlignment="1">
      <alignment horizontal="center" vertical="center"/>
    </xf>
    <xf numFmtId="0" fontId="25" fillId="32" borderId="32" xfId="7" applyFont="1" applyFill="1" applyBorder="1" applyAlignment="1">
      <alignment horizontal="center" vertical="center"/>
    </xf>
    <xf numFmtId="4" fontId="25" fillId="32" borderId="32" xfId="7" applyNumberFormat="1" applyFont="1" applyFill="1" applyBorder="1" applyAlignment="1">
      <alignment horizontal="center" vertical="center"/>
    </xf>
    <xf numFmtId="0" fontId="0" fillId="32" borderId="0" xfId="0" applyFill="1"/>
    <xf numFmtId="1" fontId="26" fillId="32" borderId="32" xfId="7" applyNumberFormat="1" applyFont="1" applyFill="1" applyBorder="1" applyAlignment="1">
      <alignment horizontal="center" vertical="center" wrapText="1"/>
    </xf>
    <xf numFmtId="1" fontId="26" fillId="32" borderId="32" xfId="0" applyNumberFormat="1" applyFont="1" applyFill="1" applyBorder="1"/>
    <xf numFmtId="1" fontId="25" fillId="32" borderId="32" xfId="7" quotePrefix="1" applyNumberFormat="1" applyFont="1" applyFill="1" applyBorder="1" applyAlignment="1">
      <alignment vertical="center"/>
    </xf>
    <xf numFmtId="165" fontId="25" fillId="32" borderId="32" xfId="0" applyNumberFormat="1" applyFont="1" applyFill="1" applyBorder="1"/>
    <xf numFmtId="1" fontId="26" fillId="32" borderId="32" xfId="5" applyNumberFormat="1" applyFont="1" applyFill="1" applyBorder="1" applyAlignment="1">
      <alignment horizontal="center" vertical="center" wrapText="1"/>
    </xf>
    <xf numFmtId="0" fontId="0" fillId="34" borderId="0" xfId="0" applyFill="1"/>
    <xf numFmtId="1" fontId="26" fillId="34" borderId="32" xfId="0" applyNumberFormat="1" applyFont="1" applyFill="1" applyBorder="1"/>
    <xf numFmtId="1" fontId="25" fillId="34" borderId="32" xfId="0" applyNumberFormat="1" applyFont="1" applyFill="1" applyBorder="1"/>
    <xf numFmtId="1" fontId="25" fillId="34" borderId="32" xfId="7" quotePrefix="1" applyNumberFormat="1" applyFont="1" applyFill="1" applyBorder="1" applyAlignment="1">
      <alignment vertical="center"/>
    </xf>
    <xf numFmtId="1" fontId="26" fillId="35" borderId="32" xfId="7" applyNumberFormat="1" applyFont="1" applyFill="1" applyBorder="1" applyAlignment="1">
      <alignment horizontal="center" vertical="center" wrapText="1"/>
    </xf>
    <xf numFmtId="1" fontId="26" fillId="35" borderId="32" xfId="0" applyNumberFormat="1" applyFont="1" applyFill="1" applyBorder="1"/>
    <xf numFmtId="1" fontId="25" fillId="35" borderId="32" xfId="0" applyNumberFormat="1" applyFont="1" applyFill="1" applyBorder="1"/>
    <xf numFmtId="1" fontId="25" fillId="35" borderId="32" xfId="7" quotePrefix="1" applyNumberFormat="1" applyFont="1" applyFill="1" applyBorder="1" applyAlignment="1">
      <alignment vertical="center"/>
    </xf>
    <xf numFmtId="0" fontId="0" fillId="35" borderId="0" xfId="0" applyFill="1"/>
    <xf numFmtId="3" fontId="37" fillId="35" borderId="32" xfId="5" applyNumberFormat="1" applyFont="1" applyFill="1" applyBorder="1" applyAlignment="1">
      <alignment horizontal="center" vertical="center" wrapText="1"/>
    </xf>
    <xf numFmtId="0" fontId="26" fillId="35" borderId="32" xfId="7" applyFont="1" applyFill="1" applyBorder="1" applyAlignment="1">
      <alignment horizontal="center" vertical="center"/>
    </xf>
    <xf numFmtId="0" fontId="25" fillId="35" borderId="32" xfId="7" applyFont="1" applyFill="1" applyBorder="1" applyAlignment="1">
      <alignment horizontal="center" vertical="center"/>
    </xf>
    <xf numFmtId="4" fontId="25" fillId="35" borderId="32" xfId="7" applyNumberFormat="1" applyFont="1" applyFill="1" applyBorder="1" applyAlignment="1">
      <alignment horizontal="center" vertical="center"/>
    </xf>
    <xf numFmtId="165" fontId="25" fillId="35" borderId="32" xfId="0" applyNumberFormat="1" applyFont="1" applyFill="1" applyBorder="1"/>
    <xf numFmtId="1" fontId="26" fillId="35" borderId="32" xfId="5" applyNumberFormat="1" applyFont="1" applyFill="1" applyBorder="1" applyAlignment="1">
      <alignment horizontal="center" vertical="center" wrapText="1"/>
    </xf>
    <xf numFmtId="1" fontId="26" fillId="35" borderId="29" xfId="7" applyNumberFormat="1" applyFont="1" applyFill="1" applyBorder="1" applyAlignment="1">
      <alignment horizontal="center" vertical="center" wrapText="1"/>
    </xf>
    <xf numFmtId="1" fontId="26" fillId="34" borderId="32" xfId="5" applyNumberFormat="1" applyFont="1" applyFill="1" applyBorder="1" applyAlignment="1">
      <alignment horizontal="center" vertical="center" wrapText="1"/>
    </xf>
    <xf numFmtId="165" fontId="25" fillId="34" borderId="32" xfId="0" applyNumberFormat="1" applyFont="1" applyFill="1" applyBorder="1"/>
    <xf numFmtId="0" fontId="29" fillId="13" borderId="5" xfId="0" applyFont="1" applyFill="1" applyBorder="1"/>
    <xf numFmtId="2" fontId="11" fillId="28" borderId="29" xfId="0" applyNumberFormat="1" applyFont="1" applyFill="1" applyBorder="1" applyAlignment="1">
      <alignment horizontal="center"/>
    </xf>
    <xf numFmtId="0" fontId="0" fillId="0" borderId="24" xfId="0" applyBorder="1"/>
    <xf numFmtId="0" fontId="29" fillId="12" borderId="0" xfId="0" applyFont="1" applyFill="1"/>
    <xf numFmtId="0" fontId="41" fillId="13" borderId="5" xfId="0" applyFont="1" applyFill="1" applyBorder="1"/>
    <xf numFmtId="2" fontId="14" fillId="29" borderId="29" xfId="0" applyNumberFormat="1" applyFont="1" applyFill="1" applyBorder="1" applyAlignment="1">
      <alignment horizontal="center"/>
    </xf>
    <xf numFmtId="2" fontId="14" fillId="13" borderId="17" xfId="0" applyNumberFormat="1" applyFont="1" applyFill="1" applyBorder="1" applyAlignment="1">
      <alignment horizontal="center"/>
    </xf>
    <xf numFmtId="0" fontId="29" fillId="29" borderId="0" xfId="0" applyFont="1" applyFill="1"/>
    <xf numFmtId="2" fontId="11" fillId="4" borderId="9" xfId="0" applyNumberFormat="1" applyFont="1" applyFill="1" applyBorder="1" applyAlignment="1">
      <alignment horizontal="center"/>
    </xf>
    <xf numFmtId="2" fontId="14" fillId="13" borderId="26" xfId="0" applyNumberFormat="1" applyFont="1" applyFill="1" applyBorder="1" applyAlignment="1">
      <alignment horizontal="center"/>
    </xf>
    <xf numFmtId="0" fontId="14" fillId="4" borderId="8" xfId="0" applyFont="1" applyFill="1" applyBorder="1" applyAlignment="1">
      <alignment horizontal="center"/>
    </xf>
    <xf numFmtId="0" fontId="35" fillId="13" borderId="32" xfId="0" applyFont="1" applyFill="1" applyBorder="1" applyAlignment="1">
      <alignment horizontal="right" vertical="center" wrapText="1"/>
    </xf>
    <xf numFmtId="0" fontId="0" fillId="29" borderId="0" xfId="0" applyFill="1"/>
    <xf numFmtId="0" fontId="16" fillId="16" borderId="29" xfId="0" applyFont="1" applyFill="1" applyBorder="1" applyAlignment="1">
      <alignment horizontal="center"/>
    </xf>
    <xf numFmtId="0" fontId="6" fillId="0" borderId="32" xfId="0" applyFont="1" applyBorder="1" applyAlignment="1">
      <alignment horizontal="center" vertical="center" wrapText="1"/>
    </xf>
    <xf numFmtId="3" fontId="25" fillId="32" borderId="32" xfId="7" applyNumberFormat="1" applyFont="1" applyFill="1" applyBorder="1" applyAlignment="1">
      <alignment horizontal="center" vertical="center"/>
    </xf>
    <xf numFmtId="0" fontId="14" fillId="16" borderId="29" xfId="0" applyFont="1" applyFill="1" applyBorder="1" applyAlignment="1">
      <alignment horizontal="center"/>
    </xf>
    <xf numFmtId="4" fontId="27" fillId="13" borderId="0" xfId="0" applyNumberFormat="1" applyFont="1" applyFill="1"/>
    <xf numFmtId="4" fontId="14" fillId="16" borderId="29" xfId="0" applyNumberFormat="1" applyFont="1" applyFill="1" applyBorder="1" applyAlignment="1">
      <alignment horizontal="center"/>
    </xf>
    <xf numFmtId="4" fontId="29" fillId="29" borderId="0" xfId="0" applyNumberFormat="1" applyFont="1" applyFill="1"/>
    <xf numFmtId="2" fontId="14" fillId="13" borderId="32" xfId="0" applyNumberFormat="1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49" fontId="15" fillId="2" borderId="30" xfId="0" applyNumberFormat="1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7" borderId="38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0" fillId="13" borderId="0" xfId="0" applyFill="1" applyAlignment="1">
      <alignment horizontal="left" vertical="top"/>
    </xf>
    <xf numFmtId="0" fontId="16" fillId="9" borderId="29" xfId="0" applyFont="1" applyFill="1" applyBorder="1" applyAlignment="1">
      <alignment horizontal="center" vertical="center"/>
    </xf>
    <xf numFmtId="4" fontId="16" fillId="9" borderId="29" xfId="0" applyNumberFormat="1" applyFon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2" fontId="14" fillId="4" borderId="15" xfId="0" applyNumberFormat="1" applyFont="1" applyFill="1" applyBorder="1" applyAlignment="1">
      <alignment horizontal="center"/>
    </xf>
    <xf numFmtId="2" fontId="14" fillId="4" borderId="30" xfId="0" applyNumberFormat="1" applyFont="1" applyFill="1" applyBorder="1" applyAlignment="1">
      <alignment horizontal="center"/>
    </xf>
    <xf numFmtId="2" fontId="14" fillId="4" borderId="26" xfId="0" applyNumberFormat="1" applyFont="1" applyFill="1" applyBorder="1" applyAlignment="1">
      <alignment horizontal="center"/>
    </xf>
    <xf numFmtId="2" fontId="14" fillId="16" borderId="22" xfId="0" applyNumberFormat="1" applyFont="1" applyFill="1" applyBorder="1" applyAlignment="1">
      <alignment horizontal="center"/>
    </xf>
    <xf numFmtId="2" fontId="14" fillId="28" borderId="22" xfId="0" applyNumberFormat="1" applyFont="1" applyFill="1" applyBorder="1" applyAlignment="1">
      <alignment horizontal="center"/>
    </xf>
    <xf numFmtId="2" fontId="14" fillId="28" borderId="32" xfId="0" applyNumberFormat="1" applyFont="1" applyFill="1" applyBorder="1" applyAlignment="1">
      <alignment horizontal="center"/>
    </xf>
    <xf numFmtId="0" fontId="44" fillId="29" borderId="32" xfId="0" applyFont="1" applyFill="1" applyBorder="1" applyAlignment="1">
      <alignment horizontal="left" vertical="top"/>
    </xf>
    <xf numFmtId="0" fontId="29" fillId="13" borderId="40" xfId="0" applyFont="1" applyFill="1" applyBorder="1"/>
    <xf numFmtId="2" fontId="14" fillId="4" borderId="8" xfId="0" applyNumberFormat="1" applyFont="1" applyFill="1" applyBorder="1" applyAlignment="1">
      <alignment horizontal="center"/>
    </xf>
    <xf numFmtId="0" fontId="14" fillId="16" borderId="5" xfId="0" applyFont="1" applyFill="1" applyBorder="1" applyAlignment="1">
      <alignment horizontal="center"/>
    </xf>
    <xf numFmtId="2" fontId="14" fillId="29" borderId="5" xfId="0" applyNumberFormat="1" applyFont="1" applyFill="1" applyBorder="1" applyAlignment="1">
      <alignment horizontal="center"/>
    </xf>
    <xf numFmtId="0" fontId="29" fillId="13" borderId="32" xfId="0" applyFont="1" applyFill="1" applyBorder="1"/>
    <xf numFmtId="3" fontId="14" fillId="16" borderId="29" xfId="0" applyNumberFormat="1" applyFont="1" applyFill="1" applyBorder="1" applyAlignment="1">
      <alignment horizontal="center"/>
    </xf>
    <xf numFmtId="0" fontId="45" fillId="13" borderId="0" xfId="0" applyFont="1" applyFill="1"/>
    <xf numFmtId="2" fontId="14" fillId="6" borderId="29" xfId="0" applyNumberFormat="1" applyFont="1" applyFill="1" applyBorder="1" applyAlignment="1">
      <alignment horizontal="center" vertical="center" wrapText="1"/>
    </xf>
    <xf numFmtId="164" fontId="14" fillId="16" borderId="29" xfId="0" applyNumberFormat="1" applyFont="1" applyFill="1" applyBorder="1" applyAlignment="1">
      <alignment horizontal="center"/>
    </xf>
    <xf numFmtId="2" fontId="11" fillId="28" borderId="29" xfId="0" applyNumberFormat="1" applyFont="1" applyFill="1" applyBorder="1" applyAlignment="1">
      <alignment horizontal="center" vertical="center" wrapText="1"/>
    </xf>
    <xf numFmtId="0" fontId="11" fillId="16" borderId="29" xfId="0" applyFont="1" applyFill="1" applyBorder="1" applyAlignment="1">
      <alignment horizontal="center" vertical="center" wrapText="1"/>
    </xf>
    <xf numFmtId="2" fontId="30" fillId="8" borderId="29" xfId="0" applyNumberFormat="1" applyFont="1" applyFill="1" applyBorder="1" applyAlignment="1">
      <alignment horizontal="center"/>
    </xf>
    <xf numFmtId="0" fontId="35" fillId="13" borderId="29" xfId="0" applyFont="1" applyFill="1" applyBorder="1"/>
    <xf numFmtId="0" fontId="0" fillId="29" borderId="0" xfId="0" applyFill="1" applyAlignment="1">
      <alignment horizontal="left" vertical="top"/>
    </xf>
    <xf numFmtId="0" fontId="14" fillId="7" borderId="40" xfId="0" applyFont="1" applyFill="1" applyBorder="1" applyAlignment="1">
      <alignment horizontal="center"/>
    </xf>
    <xf numFmtId="0" fontId="29" fillId="13" borderId="32" xfId="0" applyFont="1" applyFill="1" applyBorder="1" applyAlignment="1">
      <alignment vertical="center" wrapText="1"/>
    </xf>
    <xf numFmtId="2" fontId="14" fillId="13" borderId="32" xfId="0" applyNumberFormat="1" applyFont="1" applyFill="1" applyBorder="1" applyAlignment="1">
      <alignment horizontal="center"/>
    </xf>
    <xf numFmtId="164" fontId="13" fillId="4" borderId="29" xfId="0" applyNumberFormat="1" applyFont="1" applyFill="1" applyBorder="1" applyAlignment="1">
      <alignment horizontal="center" vertical="center" wrapText="1"/>
    </xf>
    <xf numFmtId="164" fontId="13" fillId="4" borderId="5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vertical="center"/>
    </xf>
    <xf numFmtId="0" fontId="14" fillId="7" borderId="32" xfId="0" applyFont="1" applyFill="1" applyBorder="1" applyAlignment="1">
      <alignment horizontal="center"/>
    </xf>
    <xf numFmtId="2" fontId="14" fillId="7" borderId="32" xfId="0" applyNumberFormat="1" applyFont="1" applyFill="1" applyBorder="1" applyAlignment="1">
      <alignment horizontal="center"/>
    </xf>
    <xf numFmtId="2" fontId="14" fillId="12" borderId="32" xfId="0" applyNumberFormat="1" applyFont="1" applyFill="1" applyBorder="1" applyAlignment="1">
      <alignment horizontal="center"/>
    </xf>
    <xf numFmtId="1" fontId="26" fillId="38" borderId="29" xfId="7" applyNumberFormat="1" applyFont="1" applyFill="1" applyBorder="1" applyAlignment="1">
      <alignment horizontal="center" vertical="center" wrapText="1"/>
    </xf>
    <xf numFmtId="1" fontId="26" fillId="38" borderId="32" xfId="0" applyNumberFormat="1" applyFont="1" applyFill="1" applyBorder="1"/>
    <xf numFmtId="1" fontId="25" fillId="38" borderId="32" xfId="0" applyNumberFormat="1" applyFont="1" applyFill="1" applyBorder="1"/>
    <xf numFmtId="1" fontId="25" fillId="38" borderId="32" xfId="7" quotePrefix="1" applyNumberFormat="1" applyFont="1" applyFill="1" applyBorder="1" applyAlignment="1">
      <alignment vertical="center"/>
    </xf>
    <xf numFmtId="0" fontId="0" fillId="38" borderId="0" xfId="0" applyFill="1"/>
    <xf numFmtId="0" fontId="0" fillId="0" borderId="32" xfId="0" applyBorder="1"/>
    <xf numFmtId="0" fontId="0" fillId="12" borderId="32" xfId="0" applyFill="1" applyBorder="1"/>
    <xf numFmtId="0" fontId="0" fillId="0" borderId="0" xfId="0" applyAlignment="1">
      <alignment wrapText="1"/>
    </xf>
    <xf numFmtId="1" fontId="32" fillId="0" borderId="0" xfId="0" applyNumberFormat="1" applyFont="1"/>
    <xf numFmtId="1" fontId="0" fillId="0" borderId="0" xfId="0" applyNumberFormat="1"/>
    <xf numFmtId="1" fontId="26" fillId="26" borderId="32" xfId="7" applyNumberFormat="1" applyFont="1" applyFill="1" applyBorder="1" applyAlignment="1">
      <alignment horizontal="center" vertical="center" wrapText="1"/>
    </xf>
    <xf numFmtId="1" fontId="26" fillId="26" borderId="32" xfId="0" applyNumberFormat="1" applyFont="1" applyFill="1" applyBorder="1"/>
    <xf numFmtId="1" fontId="25" fillId="26" borderId="32" xfId="0" applyNumberFormat="1" applyFont="1" applyFill="1" applyBorder="1"/>
    <xf numFmtId="1" fontId="25" fillId="26" borderId="32" xfId="7" quotePrefix="1" applyNumberFormat="1" applyFont="1" applyFill="1" applyBorder="1" applyAlignment="1">
      <alignment vertical="center"/>
    </xf>
    <xf numFmtId="165" fontId="25" fillId="26" borderId="32" xfId="0" applyNumberFormat="1" applyFont="1" applyFill="1" applyBorder="1"/>
    <xf numFmtId="1" fontId="26" fillId="26" borderId="32" xfId="5" applyNumberFormat="1" applyFont="1" applyFill="1" applyBorder="1" applyAlignment="1">
      <alignment horizontal="center" vertical="center" wrapText="1"/>
    </xf>
    <xf numFmtId="49" fontId="12" fillId="2" borderId="18" xfId="0" applyNumberFormat="1" applyFont="1" applyFill="1" applyBorder="1" applyAlignment="1">
      <alignment horizontal="center" vertical="center" wrapText="1"/>
    </xf>
    <xf numFmtId="164" fontId="12" fillId="2" borderId="2" xfId="0" applyNumberFormat="1" applyFont="1" applyFill="1" applyBorder="1" applyAlignment="1">
      <alignment vertical="center" wrapText="1"/>
    </xf>
    <xf numFmtId="0" fontId="12" fillId="7" borderId="17" xfId="0" applyFont="1" applyFill="1" applyBorder="1" applyAlignment="1">
      <alignment horizontal="center" vertical="center" wrapText="1"/>
    </xf>
    <xf numFmtId="2" fontId="12" fillId="7" borderId="17" xfId="0" applyNumberFormat="1" applyFont="1" applyFill="1" applyBorder="1" applyAlignment="1">
      <alignment horizontal="center" vertical="center" wrapText="1"/>
    </xf>
    <xf numFmtId="17" fontId="12" fillId="7" borderId="18" xfId="0" applyNumberFormat="1" applyFont="1" applyFill="1" applyBorder="1" applyAlignment="1">
      <alignment horizontal="center" vertical="center" wrapText="1"/>
    </xf>
    <xf numFmtId="164" fontId="12" fillId="2" borderId="26" xfId="0" applyNumberFormat="1" applyFont="1" applyFill="1" applyBorder="1" applyAlignment="1">
      <alignment vertical="center" wrapText="1"/>
    </xf>
    <xf numFmtId="0" fontId="12" fillId="7" borderId="29" xfId="0" applyFont="1" applyFill="1" applyBorder="1" applyAlignment="1">
      <alignment horizontal="center" vertical="center" wrapText="1"/>
    </xf>
    <xf numFmtId="2" fontId="12" fillId="7" borderId="29" xfId="0" applyNumberFormat="1" applyFont="1" applyFill="1" applyBorder="1" applyAlignment="1">
      <alignment horizontal="center" vertical="center" wrapText="1"/>
    </xf>
    <xf numFmtId="17" fontId="12" fillId="7" borderId="29" xfId="0" applyNumberFormat="1" applyFont="1" applyFill="1" applyBorder="1" applyAlignment="1">
      <alignment horizontal="center" vertical="center" wrapText="1"/>
    </xf>
    <xf numFmtId="164" fontId="12" fillId="2" borderId="29" xfId="0" applyNumberFormat="1" applyFont="1" applyFill="1" applyBorder="1" applyAlignment="1">
      <alignment vertical="center" wrapText="1"/>
    </xf>
    <xf numFmtId="0" fontId="25" fillId="16" borderId="29" xfId="7" applyFont="1" applyFill="1" applyBorder="1" applyAlignment="1">
      <alignment vertical="center"/>
    </xf>
    <xf numFmtId="0" fontId="38" fillId="39" borderId="29" xfId="7" applyFont="1" applyFill="1" applyBorder="1" applyAlignment="1">
      <alignment vertical="center"/>
    </xf>
    <xf numFmtId="0" fontId="38" fillId="39" borderId="29" xfId="7" applyFont="1" applyFill="1" applyBorder="1" applyAlignment="1">
      <alignment horizontal="left" vertical="center"/>
    </xf>
    <xf numFmtId="0" fontId="25" fillId="39" borderId="29" xfId="7" applyFont="1" applyFill="1" applyBorder="1" applyAlignment="1">
      <alignment vertical="center"/>
    </xf>
    <xf numFmtId="0" fontId="25" fillId="40" borderId="29" xfId="7" quotePrefix="1" applyFont="1" applyFill="1" applyBorder="1" applyAlignment="1">
      <alignment horizontal="left" vertical="center"/>
    </xf>
    <xf numFmtId="0" fontId="26" fillId="40" borderId="29" xfId="7" applyFont="1" applyFill="1" applyBorder="1" applyAlignment="1">
      <alignment horizontal="center" vertical="center"/>
    </xf>
    <xf numFmtId="0" fontId="25" fillId="16" borderId="29" xfId="7" applyFont="1" applyFill="1" applyBorder="1" applyAlignment="1">
      <alignment horizontal="left" vertical="center"/>
    </xf>
    <xf numFmtId="0" fontId="26" fillId="16" borderId="29" xfId="7" applyFont="1" applyFill="1" applyBorder="1" applyAlignment="1">
      <alignment horizontal="center" vertical="center"/>
    </xf>
    <xf numFmtId="0" fontId="25" fillId="16" borderId="29" xfId="7" quotePrefix="1" applyFont="1" applyFill="1" applyBorder="1" applyAlignment="1">
      <alignment horizontal="left" vertical="center"/>
    </xf>
    <xf numFmtId="0" fontId="40" fillId="16" borderId="29" xfId="7" applyFont="1" applyFill="1" applyBorder="1" applyAlignment="1">
      <alignment horizontal="center" vertical="center"/>
    </xf>
    <xf numFmtId="4" fontId="29" fillId="29" borderId="29" xfId="0" applyNumberFormat="1" applyFont="1" applyFill="1" applyBorder="1"/>
    <xf numFmtId="0" fontId="6" fillId="13" borderId="19" xfId="0" applyFont="1" applyFill="1" applyBorder="1" applyAlignment="1">
      <alignment horizontal="center" vertical="center" wrapText="1"/>
    </xf>
    <xf numFmtId="3" fontId="14" fillId="4" borderId="29" xfId="0" applyNumberFormat="1" applyFont="1" applyFill="1" applyBorder="1" applyAlignment="1">
      <alignment horizontal="center"/>
    </xf>
    <xf numFmtId="2" fontId="14" fillId="16" borderId="5" xfId="0" applyNumberFormat="1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12" borderId="32" xfId="0" applyFont="1" applyFill="1" applyBorder="1" applyAlignment="1">
      <alignment horizontal="center" vertical="center" wrapText="1"/>
    </xf>
    <xf numFmtId="164" fontId="13" fillId="2" borderId="32" xfId="0" applyNumberFormat="1" applyFont="1" applyFill="1" applyBorder="1" applyAlignment="1">
      <alignment horizontal="center"/>
    </xf>
    <xf numFmtId="0" fontId="14" fillId="9" borderId="32" xfId="0" applyFont="1" applyFill="1" applyBorder="1" applyAlignment="1">
      <alignment horizontal="center"/>
    </xf>
    <xf numFmtId="2" fontId="14" fillId="9" borderId="32" xfId="0" applyNumberFormat="1" applyFont="1" applyFill="1" applyBorder="1" applyAlignment="1">
      <alignment horizontal="center"/>
    </xf>
    <xf numFmtId="4" fontId="34" fillId="13" borderId="32" xfId="0" applyNumberFormat="1" applyFont="1" applyFill="1" applyBorder="1"/>
    <xf numFmtId="0" fontId="14" fillId="6" borderId="32" xfId="0" applyFont="1" applyFill="1" applyBorder="1" applyAlignment="1">
      <alignment horizontal="center"/>
    </xf>
    <xf numFmtId="2" fontId="14" fillId="6" borderId="3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2" fontId="14" fillId="15" borderId="17" xfId="0" applyNumberFormat="1" applyFont="1" applyFill="1" applyBorder="1" applyAlignment="1">
      <alignment horizontal="center"/>
    </xf>
    <xf numFmtId="0" fontId="6" fillId="2" borderId="42" xfId="0" applyFont="1" applyFill="1" applyBorder="1" applyAlignment="1">
      <alignment vertical="center"/>
    </xf>
    <xf numFmtId="4" fontId="14" fillId="9" borderId="32" xfId="0" applyNumberFormat="1" applyFont="1" applyFill="1" applyBorder="1" applyAlignment="1">
      <alignment horizontal="center"/>
    </xf>
    <xf numFmtId="164" fontId="13" fillId="2" borderId="43" xfId="0" applyNumberFormat="1" applyFont="1" applyFill="1" applyBorder="1" applyAlignment="1">
      <alignment horizontal="center"/>
    </xf>
    <xf numFmtId="2" fontId="11" fillId="24" borderId="32" xfId="0" applyNumberFormat="1" applyFont="1" applyFill="1" applyBorder="1" applyAlignment="1">
      <alignment horizontal="center" vertical="center" wrapText="1"/>
    </xf>
    <xf numFmtId="4" fontId="14" fillId="6" borderId="32" xfId="0" applyNumberFormat="1" applyFont="1" applyFill="1" applyBorder="1" applyAlignment="1">
      <alignment horizontal="center"/>
    </xf>
    <xf numFmtId="2" fontId="14" fillId="4" borderId="32" xfId="0" applyNumberFormat="1" applyFont="1" applyFill="1" applyBorder="1" applyAlignment="1">
      <alignment horizontal="center"/>
    </xf>
    <xf numFmtId="164" fontId="14" fillId="2" borderId="43" xfId="0" applyNumberFormat="1" applyFont="1" applyFill="1" applyBorder="1" applyAlignment="1">
      <alignment horizontal="center"/>
    </xf>
    <xf numFmtId="164" fontId="14" fillId="2" borderId="32" xfId="0" applyNumberFormat="1" applyFont="1" applyFill="1" applyBorder="1" applyAlignment="1">
      <alignment horizontal="center"/>
    </xf>
    <xf numFmtId="2" fontId="5" fillId="4" borderId="32" xfId="0" applyNumberFormat="1" applyFont="1" applyFill="1" applyBorder="1" applyAlignment="1">
      <alignment horizontal="center"/>
    </xf>
    <xf numFmtId="0" fontId="6" fillId="7" borderId="32" xfId="0" applyFont="1" applyFill="1" applyBorder="1" applyAlignment="1">
      <alignment horizontal="left" vertical="center" wrapText="1"/>
    </xf>
    <xf numFmtId="0" fontId="6" fillId="7" borderId="32" xfId="0" applyFont="1" applyFill="1" applyBorder="1" applyAlignment="1">
      <alignment vertical="center"/>
    </xf>
    <xf numFmtId="0" fontId="6" fillId="7" borderId="42" xfId="0" applyFont="1" applyFill="1" applyBorder="1" applyAlignment="1">
      <alignment vertical="center"/>
    </xf>
    <xf numFmtId="164" fontId="14" fillId="7" borderId="43" xfId="0" applyNumberFormat="1" applyFont="1" applyFill="1" applyBorder="1" applyAlignment="1">
      <alignment horizontal="center"/>
    </xf>
    <xf numFmtId="164" fontId="14" fillId="7" borderId="32" xfId="0" applyNumberFormat="1" applyFont="1" applyFill="1" applyBorder="1" applyAlignment="1">
      <alignment horizontal="center"/>
    </xf>
    <xf numFmtId="0" fontId="6" fillId="12" borderId="2" xfId="0" applyFont="1" applyFill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/>
    </xf>
    <xf numFmtId="0" fontId="14" fillId="9" borderId="17" xfId="0" applyFont="1" applyFill="1" applyBorder="1" applyAlignment="1">
      <alignment horizontal="center"/>
    </xf>
    <xf numFmtId="2" fontId="14" fillId="9" borderId="17" xfId="0" applyNumberFormat="1" applyFont="1" applyFill="1" applyBorder="1" applyAlignment="1">
      <alignment horizontal="center"/>
    </xf>
    <xf numFmtId="4" fontId="34" fillId="13" borderId="17" xfId="0" applyNumberFormat="1" applyFont="1" applyFill="1" applyBorder="1"/>
    <xf numFmtId="0" fontId="14" fillId="6" borderId="17" xfId="0" applyFont="1" applyFill="1" applyBorder="1" applyAlignment="1">
      <alignment horizontal="center"/>
    </xf>
    <xf numFmtId="2" fontId="14" fillId="6" borderId="17" xfId="0" applyNumberFormat="1" applyFont="1" applyFill="1" applyBorder="1" applyAlignment="1">
      <alignment horizontal="center"/>
    </xf>
    <xf numFmtId="0" fontId="0" fillId="0" borderId="28" xfId="0" applyBorder="1"/>
    <xf numFmtId="0" fontId="0" fillId="0" borderId="43" xfId="0" applyBorder="1"/>
    <xf numFmtId="0" fontId="0" fillId="0" borderId="30" xfId="0" applyBorder="1"/>
    <xf numFmtId="0" fontId="0" fillId="0" borderId="27" xfId="0" applyBorder="1"/>
    <xf numFmtId="0" fontId="0" fillId="12" borderId="30" xfId="0" applyFill="1" applyBorder="1"/>
    <xf numFmtId="0" fontId="21" fillId="0" borderId="43" xfId="0" applyFont="1" applyBorder="1"/>
    <xf numFmtId="0" fontId="0" fillId="12" borderId="43" xfId="0" applyFill="1" applyBorder="1"/>
    <xf numFmtId="0" fontId="0" fillId="12" borderId="27" xfId="0" applyFill="1" applyBorder="1"/>
    <xf numFmtId="0" fontId="0" fillId="0" borderId="25" xfId="0" applyBorder="1"/>
    <xf numFmtId="0" fontId="0" fillId="0" borderId="44" xfId="0" applyBorder="1"/>
    <xf numFmtId="0" fontId="0" fillId="0" borderId="41" xfId="0" applyBorder="1"/>
    <xf numFmtId="0" fontId="0" fillId="12" borderId="41" xfId="0" applyFill="1" applyBorder="1"/>
    <xf numFmtId="0" fontId="0" fillId="0" borderId="16" xfId="0" applyBorder="1"/>
    <xf numFmtId="0" fontId="0" fillId="0" borderId="45" xfId="0" applyBorder="1"/>
    <xf numFmtId="0" fontId="25" fillId="16" borderId="32" xfId="7" applyFont="1" applyFill="1" applyBorder="1" applyAlignment="1">
      <alignment vertical="center"/>
    </xf>
    <xf numFmtId="0" fontId="25" fillId="16" borderId="32" xfId="7" quotePrefix="1" applyFont="1" applyFill="1" applyBorder="1" applyAlignment="1">
      <alignment horizontal="left" vertical="center"/>
    </xf>
    <xf numFmtId="0" fontId="35" fillId="13" borderId="5" xfId="0" applyFont="1" applyFill="1" applyBorder="1"/>
    <xf numFmtId="0" fontId="6" fillId="13" borderId="13" xfId="0" applyFont="1" applyFill="1" applyBorder="1" applyAlignment="1">
      <alignment horizontal="center" vertical="center" wrapText="1"/>
    </xf>
    <xf numFmtId="0" fontId="0" fillId="15" borderId="28" xfId="0" applyFill="1" applyBorder="1"/>
    <xf numFmtId="0" fontId="0" fillId="13" borderId="27" xfId="0" applyFill="1" applyBorder="1"/>
    <xf numFmtId="0" fontId="14" fillId="28" borderId="32" xfId="0" applyFont="1" applyFill="1" applyBorder="1" applyAlignment="1">
      <alignment horizontal="center"/>
    </xf>
    <xf numFmtId="0" fontId="14" fillId="10" borderId="5" xfId="0" applyFont="1" applyFill="1" applyBorder="1" applyAlignment="1">
      <alignment horizontal="center"/>
    </xf>
    <xf numFmtId="2" fontId="14" fillId="5" borderId="5" xfId="0" applyNumberFormat="1" applyFont="1" applyFill="1" applyBorder="1" applyAlignment="1">
      <alignment horizontal="center"/>
    </xf>
    <xf numFmtId="3" fontId="14" fillId="28" borderId="32" xfId="0" applyNumberFormat="1" applyFont="1" applyFill="1" applyBorder="1" applyAlignment="1">
      <alignment horizontal="center"/>
    </xf>
    <xf numFmtId="1" fontId="14" fillId="30" borderId="29" xfId="0" applyNumberFormat="1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vertical="center"/>
    </xf>
    <xf numFmtId="0" fontId="6" fillId="10" borderId="12" xfId="0" applyFont="1" applyFill="1" applyBorder="1" applyAlignment="1">
      <alignment vertical="center"/>
    </xf>
    <xf numFmtId="164" fontId="13" fillId="10" borderId="10" xfId="0" applyNumberFormat="1" applyFont="1" applyFill="1" applyBorder="1" applyAlignment="1">
      <alignment horizontal="center"/>
    </xf>
    <xf numFmtId="0" fontId="14" fillId="7" borderId="8" xfId="0" applyFont="1" applyFill="1" applyBorder="1" applyAlignment="1">
      <alignment horizontal="center"/>
    </xf>
    <xf numFmtId="164" fontId="13" fillId="10" borderId="25" xfId="0" applyNumberFormat="1" applyFont="1" applyFill="1" applyBorder="1" applyAlignment="1">
      <alignment horizontal="center"/>
    </xf>
    <xf numFmtId="164" fontId="13" fillId="10" borderId="8" xfId="0" applyNumberFormat="1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4" fontId="14" fillId="4" borderId="32" xfId="0" applyNumberFormat="1" applyFont="1" applyFill="1" applyBorder="1" applyAlignment="1">
      <alignment horizontal="center"/>
    </xf>
    <xf numFmtId="0" fontId="14" fillId="16" borderId="32" xfId="0" applyFont="1" applyFill="1" applyBorder="1" applyAlignment="1">
      <alignment horizontal="center"/>
    </xf>
    <xf numFmtId="4" fontId="14" fillId="16" borderId="3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13" xfId="0" applyBorder="1"/>
    <xf numFmtId="0" fontId="0" fillId="0" borderId="3" xfId="0" applyBorder="1"/>
    <xf numFmtId="0" fontId="21" fillId="0" borderId="0" xfId="0" applyFont="1"/>
    <xf numFmtId="0" fontId="32" fillId="0" borderId="0" xfId="0" applyFont="1" applyAlignment="1">
      <alignment horizontal="center"/>
    </xf>
    <xf numFmtId="0" fontId="0" fillId="0" borderId="31" xfId="0" applyBorder="1" applyAlignment="1">
      <alignment vertical="center"/>
    </xf>
    <xf numFmtId="0" fontId="32" fillId="0" borderId="4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32" fillId="0" borderId="23" xfId="0" applyFont="1" applyBorder="1" applyAlignment="1">
      <alignment vertical="center"/>
    </xf>
    <xf numFmtId="164" fontId="13" fillId="2" borderId="48" xfId="0" applyNumberFormat="1" applyFont="1" applyFill="1" applyBorder="1" applyAlignment="1">
      <alignment horizontal="center"/>
    </xf>
    <xf numFmtId="4" fontId="14" fillId="4" borderId="46" xfId="0" applyNumberFormat="1" applyFont="1" applyFill="1" applyBorder="1" applyAlignment="1">
      <alignment horizontal="center"/>
    </xf>
    <xf numFmtId="2" fontId="14" fillId="13" borderId="46" xfId="0" applyNumberFormat="1" applyFont="1" applyFill="1" applyBorder="1" applyAlignment="1">
      <alignment horizontal="center"/>
    </xf>
    <xf numFmtId="2" fontId="14" fillId="13" borderId="49" xfId="0" applyNumberFormat="1" applyFont="1" applyFill="1" applyBorder="1" applyAlignment="1">
      <alignment horizontal="center"/>
    </xf>
    <xf numFmtId="164" fontId="13" fillId="2" borderId="25" xfId="0" applyNumberFormat="1" applyFont="1" applyFill="1" applyBorder="1" applyAlignment="1">
      <alignment horizontal="center"/>
    </xf>
    <xf numFmtId="2" fontId="11" fillId="24" borderId="46" xfId="0" applyNumberFormat="1" applyFont="1" applyFill="1" applyBorder="1" applyAlignment="1">
      <alignment horizontal="center" vertical="center" wrapText="1"/>
    </xf>
    <xf numFmtId="164" fontId="13" fillId="2" borderId="46" xfId="0" applyNumberFormat="1" applyFont="1" applyFill="1" applyBorder="1" applyAlignment="1">
      <alignment horizontal="center"/>
    </xf>
    <xf numFmtId="0" fontId="29" fillId="13" borderId="24" xfId="0" applyFont="1" applyFill="1" applyBorder="1" applyAlignment="1">
      <alignment vertical="center" wrapText="1"/>
    </xf>
    <xf numFmtId="4" fontId="14" fillId="7" borderId="46" xfId="0" applyNumberFormat="1" applyFont="1" applyFill="1" applyBorder="1" applyAlignment="1">
      <alignment horizontal="center"/>
    </xf>
    <xf numFmtId="2" fontId="14" fillId="12" borderId="46" xfId="0" applyNumberFormat="1" applyFont="1" applyFill="1" applyBorder="1" applyAlignment="1">
      <alignment horizontal="center"/>
    </xf>
    <xf numFmtId="0" fontId="0" fillId="0" borderId="46" xfId="0" applyBorder="1"/>
    <xf numFmtId="0" fontId="6" fillId="0" borderId="43" xfId="0" applyFont="1" applyBorder="1" applyAlignment="1">
      <alignment horizontal="center" vertical="center" wrapText="1"/>
    </xf>
    <xf numFmtId="4" fontId="14" fillId="7" borderId="32" xfId="0" applyNumberFormat="1" applyFont="1" applyFill="1" applyBorder="1" applyAlignment="1">
      <alignment horizontal="center"/>
    </xf>
    <xf numFmtId="2" fontId="14" fillId="16" borderId="29" xfId="0" applyNumberFormat="1" applyFont="1" applyFill="1" applyBorder="1" applyAlignment="1">
      <alignment horizontal="center" wrapText="1"/>
    </xf>
    <xf numFmtId="3" fontId="14" fillId="16" borderId="32" xfId="0" applyNumberFormat="1" applyFont="1" applyFill="1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27" fillId="13" borderId="0" xfId="0" applyFont="1" applyFill="1"/>
    <xf numFmtId="0" fontId="47" fillId="13" borderId="5" xfId="0" applyFont="1" applyFill="1" applyBorder="1"/>
    <xf numFmtId="4" fontId="16" fillId="16" borderId="29" xfId="0" applyNumberFormat="1" applyFont="1" applyFill="1" applyBorder="1" applyAlignment="1">
      <alignment horizontal="center"/>
    </xf>
    <xf numFmtId="164" fontId="13" fillId="4" borderId="5" xfId="0" applyNumberFormat="1" applyFont="1" applyFill="1" applyBorder="1" applyAlignment="1">
      <alignment horizontal="center"/>
    </xf>
    <xf numFmtId="2" fontId="14" fillId="7" borderId="46" xfId="0" applyNumberFormat="1" applyFont="1" applyFill="1" applyBorder="1" applyAlignment="1">
      <alignment horizontal="center"/>
    </xf>
    <xf numFmtId="164" fontId="14" fillId="2" borderId="48" xfId="0" applyNumberFormat="1" applyFont="1" applyFill="1" applyBorder="1" applyAlignment="1">
      <alignment horizontal="center"/>
    </xf>
    <xf numFmtId="2" fontId="14" fillId="4" borderId="46" xfId="0" applyNumberFormat="1" applyFont="1" applyFill="1" applyBorder="1" applyAlignment="1">
      <alignment horizontal="center"/>
    </xf>
    <xf numFmtId="164" fontId="14" fillId="2" borderId="25" xfId="0" applyNumberFormat="1" applyFont="1" applyFill="1" applyBorder="1" applyAlignment="1">
      <alignment horizontal="center"/>
    </xf>
    <xf numFmtId="164" fontId="14" fillId="2" borderId="46" xfId="0" applyNumberFormat="1" applyFont="1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4" fontId="14" fillId="28" borderId="32" xfId="0" applyNumberFormat="1" applyFont="1" applyFill="1" applyBorder="1" applyAlignment="1">
      <alignment horizontal="center"/>
    </xf>
    <xf numFmtId="2" fontId="0" fillId="0" borderId="22" xfId="0" applyNumberFormat="1" applyBorder="1"/>
    <xf numFmtId="164" fontId="14" fillId="8" borderId="48" xfId="0" applyNumberFormat="1" applyFont="1" applyFill="1" applyBorder="1" applyAlignment="1">
      <alignment horizontal="center"/>
    </xf>
    <xf numFmtId="2" fontId="14" fillId="14" borderId="46" xfId="0" applyNumberFormat="1" applyFont="1" applyFill="1" applyBorder="1" applyAlignment="1">
      <alignment horizontal="center"/>
    </xf>
    <xf numFmtId="2" fontId="14" fillId="14" borderId="49" xfId="0" applyNumberFormat="1" applyFont="1" applyFill="1" applyBorder="1" applyAlignment="1">
      <alignment horizontal="center"/>
    </xf>
    <xf numFmtId="164" fontId="14" fillId="8" borderId="25" xfId="0" applyNumberFormat="1" applyFont="1" applyFill="1" applyBorder="1" applyAlignment="1">
      <alignment horizontal="center"/>
    </xf>
    <xf numFmtId="164" fontId="14" fillId="8" borderId="46" xfId="0" applyNumberFormat="1" applyFont="1" applyFill="1" applyBorder="1" applyAlignment="1">
      <alignment horizontal="center"/>
    </xf>
    <xf numFmtId="2" fontId="14" fillId="30" borderId="46" xfId="0" applyNumberFormat="1" applyFont="1" applyFill="1" applyBorder="1" applyAlignment="1">
      <alignment horizontal="center"/>
    </xf>
    <xf numFmtId="4" fontId="14" fillId="16" borderId="46" xfId="0" applyNumberFormat="1" applyFont="1" applyFill="1" applyBorder="1" applyAlignment="1">
      <alignment horizontal="center"/>
    </xf>
    <xf numFmtId="2" fontId="14" fillId="8" borderId="46" xfId="0" applyNumberFormat="1" applyFont="1" applyFill="1" applyBorder="1" applyAlignment="1">
      <alignment horizontal="center"/>
    </xf>
    <xf numFmtId="0" fontId="6" fillId="8" borderId="43" xfId="0" applyFont="1" applyFill="1" applyBorder="1" applyAlignment="1">
      <alignment horizontal="center" vertical="center" wrapText="1"/>
    </xf>
    <xf numFmtId="0" fontId="6" fillId="27" borderId="32" xfId="0" applyFont="1" applyFill="1" applyBorder="1" applyAlignment="1">
      <alignment horizontal="left" vertical="center" wrapText="1"/>
    </xf>
    <xf numFmtId="0" fontId="6" fillId="27" borderId="32" xfId="0" applyFont="1" applyFill="1" applyBorder="1" applyAlignment="1">
      <alignment vertical="center"/>
    </xf>
    <xf numFmtId="2" fontId="14" fillId="14" borderId="32" xfId="0" applyNumberFormat="1" applyFont="1" applyFill="1" applyBorder="1" applyAlignment="1">
      <alignment horizontal="center"/>
    </xf>
    <xf numFmtId="0" fontId="29" fillId="12" borderId="5" xfId="0" applyFont="1" applyFill="1" applyBorder="1"/>
    <xf numFmtId="0" fontId="0" fillId="0" borderId="54" xfId="0" applyBorder="1"/>
    <xf numFmtId="0" fontId="0" fillId="0" borderId="31" xfId="0" applyBorder="1"/>
    <xf numFmtId="0" fontId="6" fillId="0" borderId="55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left" vertical="center" wrapText="1"/>
    </xf>
    <xf numFmtId="0" fontId="6" fillId="2" borderId="51" xfId="0" applyFont="1" applyFill="1" applyBorder="1" applyAlignment="1">
      <alignment vertical="center"/>
    </xf>
    <xf numFmtId="164" fontId="13" fillId="2" borderId="50" xfId="0" applyNumberFormat="1" applyFont="1" applyFill="1" applyBorder="1" applyAlignment="1">
      <alignment horizontal="center"/>
    </xf>
    <xf numFmtId="2" fontId="14" fillId="7" borderId="51" xfId="0" applyNumberFormat="1" applyFont="1" applyFill="1" applyBorder="1" applyAlignment="1">
      <alignment horizontal="center"/>
    </xf>
    <xf numFmtId="2" fontId="14" fillId="12" borderId="51" xfId="0" applyNumberFormat="1" applyFont="1" applyFill="1" applyBorder="1" applyAlignment="1">
      <alignment horizontal="center"/>
    </xf>
    <xf numFmtId="2" fontId="14" fillId="12" borderId="52" xfId="0" applyNumberFormat="1" applyFont="1" applyFill="1" applyBorder="1" applyAlignment="1">
      <alignment horizontal="center"/>
    </xf>
    <xf numFmtId="2" fontId="14" fillId="9" borderId="51" xfId="0" applyNumberFormat="1" applyFont="1" applyFill="1" applyBorder="1" applyAlignment="1">
      <alignment horizontal="center"/>
    </xf>
    <xf numFmtId="2" fontId="14" fillId="13" borderId="51" xfId="0" applyNumberFormat="1" applyFont="1" applyFill="1" applyBorder="1" applyAlignment="1">
      <alignment horizontal="center"/>
    </xf>
    <xf numFmtId="2" fontId="14" fillId="13" borderId="52" xfId="0" applyNumberFormat="1" applyFont="1" applyFill="1" applyBorder="1" applyAlignment="1">
      <alignment horizontal="center"/>
    </xf>
    <xf numFmtId="164" fontId="13" fillId="2" borderId="55" xfId="0" applyNumberFormat="1" applyFont="1" applyFill="1" applyBorder="1" applyAlignment="1">
      <alignment horizontal="center"/>
    </xf>
    <xf numFmtId="164" fontId="13" fillId="2" borderId="51" xfId="0" applyNumberFormat="1" applyFont="1" applyFill="1" applyBorder="1" applyAlignment="1">
      <alignment horizontal="center"/>
    </xf>
    <xf numFmtId="164" fontId="13" fillId="7" borderId="51" xfId="0" applyNumberFormat="1" applyFont="1" applyFill="1" applyBorder="1" applyAlignment="1">
      <alignment horizontal="center"/>
    </xf>
    <xf numFmtId="2" fontId="14" fillId="6" borderId="51" xfId="0" applyNumberFormat="1" applyFont="1" applyFill="1" applyBorder="1" applyAlignment="1">
      <alignment horizontal="center"/>
    </xf>
    <xf numFmtId="49" fontId="6" fillId="0" borderId="51" xfId="0" applyNumberFormat="1" applyFont="1" applyBorder="1" applyAlignment="1">
      <alignment horizontal="center" vertical="center" wrapText="1"/>
    </xf>
    <xf numFmtId="4" fontId="14" fillId="7" borderId="51" xfId="0" applyNumberFormat="1" applyFont="1" applyFill="1" applyBorder="1" applyAlignment="1">
      <alignment horizontal="center"/>
    </xf>
    <xf numFmtId="0" fontId="14" fillId="9" borderId="51" xfId="0" applyFont="1" applyFill="1" applyBorder="1" applyAlignment="1">
      <alignment horizontal="center"/>
    </xf>
    <xf numFmtId="0" fontId="14" fillId="6" borderId="51" xfId="0" applyFont="1" applyFill="1" applyBorder="1" applyAlignment="1">
      <alignment horizontal="center"/>
    </xf>
    <xf numFmtId="4" fontId="14" fillId="9" borderId="51" xfId="0" applyNumberFormat="1" applyFont="1" applyFill="1" applyBorder="1" applyAlignment="1">
      <alignment horizontal="center"/>
    </xf>
    <xf numFmtId="0" fontId="29" fillId="13" borderId="51" xfId="0" applyFont="1" applyFill="1" applyBorder="1"/>
    <xf numFmtId="0" fontId="14" fillId="28" borderId="29" xfId="0" applyFont="1" applyFill="1" applyBorder="1" applyAlignment="1">
      <alignment horizontal="center"/>
    </xf>
    <xf numFmtId="164" fontId="14" fillId="4" borderId="46" xfId="0" applyNumberFormat="1" applyFont="1" applyFill="1" applyBorder="1" applyAlignment="1">
      <alignment horizontal="center"/>
    </xf>
    <xf numFmtId="0" fontId="14" fillId="4" borderId="46" xfId="0" applyFont="1" applyFill="1" applyBorder="1" applyAlignment="1">
      <alignment horizontal="center"/>
    </xf>
    <xf numFmtId="164" fontId="14" fillId="7" borderId="46" xfId="0" applyNumberFormat="1" applyFont="1" applyFill="1" applyBorder="1" applyAlignment="1">
      <alignment horizontal="center"/>
    </xf>
    <xf numFmtId="0" fontId="5" fillId="27" borderId="46" xfId="0" applyFont="1" applyFill="1" applyBorder="1" applyAlignment="1">
      <alignment horizontal="center"/>
    </xf>
    <xf numFmtId="0" fontId="14" fillId="27" borderId="46" xfId="0" applyFont="1" applyFill="1" applyBorder="1" applyAlignment="1">
      <alignment horizontal="center"/>
    </xf>
    <xf numFmtId="2" fontId="14" fillId="15" borderId="46" xfId="0" applyNumberFormat="1" applyFont="1" applyFill="1" applyBorder="1" applyAlignment="1">
      <alignment horizontal="center"/>
    </xf>
    <xf numFmtId="2" fontId="14" fillId="17" borderId="46" xfId="0" applyNumberFormat="1" applyFont="1" applyFill="1" applyBorder="1" applyAlignment="1">
      <alignment horizontal="center"/>
    </xf>
    <xf numFmtId="0" fontId="14" fillId="7" borderId="46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left" wrapText="1"/>
    </xf>
    <xf numFmtId="3" fontId="11" fillId="28" borderId="29" xfId="0" applyNumberFormat="1" applyFont="1" applyFill="1" applyBorder="1" applyAlignment="1">
      <alignment horizontal="center" vertical="center" wrapText="1"/>
    </xf>
    <xf numFmtId="0" fontId="6" fillId="15" borderId="32" xfId="0" applyFont="1" applyFill="1" applyBorder="1" applyAlignment="1">
      <alignment horizontal="center" vertical="center" wrapText="1"/>
    </xf>
    <xf numFmtId="0" fontId="0" fillId="13" borderId="46" xfId="0" applyFill="1" applyBorder="1"/>
    <xf numFmtId="0" fontId="49" fillId="13" borderId="0" xfId="0" applyFont="1" applyFill="1"/>
    <xf numFmtId="4" fontId="14" fillId="7" borderId="5" xfId="0" applyNumberFormat="1" applyFont="1" applyFill="1" applyBorder="1" applyAlignment="1">
      <alignment horizontal="center"/>
    </xf>
    <xf numFmtId="2" fontId="14" fillId="5" borderId="29" xfId="0" applyNumberFormat="1" applyFont="1" applyFill="1" applyBorder="1" applyAlignment="1">
      <alignment horizontal="center"/>
    </xf>
    <xf numFmtId="0" fontId="50" fillId="0" borderId="40" xfId="0" applyFont="1" applyBorder="1"/>
    <xf numFmtId="0" fontId="50" fillId="0" borderId="32" xfId="0" applyFont="1" applyBorder="1"/>
    <xf numFmtId="4" fontId="14" fillId="14" borderId="29" xfId="0" applyNumberFormat="1" applyFont="1" applyFill="1" applyBorder="1" applyAlignment="1">
      <alignment horizontal="center"/>
    </xf>
    <xf numFmtId="2" fontId="14" fillId="4" borderId="11" xfId="0" applyNumberFormat="1" applyFont="1" applyFill="1" applyBorder="1" applyAlignment="1">
      <alignment horizontal="center"/>
    </xf>
    <xf numFmtId="0" fontId="6" fillId="0" borderId="64" xfId="0" applyFont="1" applyBorder="1" applyAlignment="1">
      <alignment horizontal="center" vertical="center" wrapText="1"/>
    </xf>
    <xf numFmtId="0" fontId="6" fillId="2" borderId="64" xfId="0" applyFont="1" applyFill="1" applyBorder="1" applyAlignment="1">
      <alignment horizontal="left" vertical="center" wrapText="1"/>
    </xf>
    <xf numFmtId="2" fontId="14" fillId="7" borderId="64" xfId="0" applyNumberFormat="1" applyFont="1" applyFill="1" applyBorder="1" applyAlignment="1">
      <alignment horizontal="center"/>
    </xf>
    <xf numFmtId="2" fontId="14" fillId="12" borderId="64" xfId="0" applyNumberFormat="1" applyFont="1" applyFill="1" applyBorder="1" applyAlignment="1">
      <alignment horizontal="center"/>
    </xf>
    <xf numFmtId="0" fontId="6" fillId="2" borderId="64" xfId="0" applyFont="1" applyFill="1" applyBorder="1" applyAlignment="1">
      <alignment vertical="center"/>
    </xf>
    <xf numFmtId="164" fontId="13" fillId="2" borderId="10" xfId="0" applyNumberFormat="1" applyFont="1" applyFill="1" applyBorder="1" applyAlignment="1">
      <alignment horizontal="center"/>
    </xf>
    <xf numFmtId="164" fontId="13" fillId="2" borderId="8" xfId="0" applyNumberFormat="1" applyFont="1" applyFill="1" applyBorder="1" applyAlignment="1">
      <alignment horizontal="center"/>
    </xf>
    <xf numFmtId="2" fontId="11" fillId="15" borderId="22" xfId="0" applyNumberFormat="1" applyFont="1" applyFill="1" applyBorder="1" applyAlignment="1">
      <alignment horizontal="center" vertical="center" wrapText="1"/>
    </xf>
    <xf numFmtId="0" fontId="0" fillId="0" borderId="64" xfId="0" applyBorder="1"/>
    <xf numFmtId="164" fontId="13" fillId="2" borderId="64" xfId="0" applyNumberFormat="1" applyFont="1" applyFill="1" applyBorder="1" applyAlignment="1">
      <alignment horizontal="center"/>
    </xf>
    <xf numFmtId="2" fontId="14" fillId="4" borderId="64" xfId="0" applyNumberFormat="1" applyFont="1" applyFill="1" applyBorder="1" applyAlignment="1">
      <alignment horizontal="center"/>
    </xf>
    <xf numFmtId="164" fontId="14" fillId="2" borderId="64" xfId="0" applyNumberFormat="1" applyFont="1" applyFill="1" applyBorder="1" applyAlignment="1">
      <alignment horizontal="center"/>
    </xf>
    <xf numFmtId="2" fontId="11" fillId="24" borderId="64" xfId="0" applyNumberFormat="1" applyFont="1" applyFill="1" applyBorder="1" applyAlignment="1">
      <alignment horizontal="center" vertical="center" wrapText="1"/>
    </xf>
    <xf numFmtId="2" fontId="14" fillId="9" borderId="64" xfId="0" applyNumberFormat="1" applyFont="1" applyFill="1" applyBorder="1" applyAlignment="1">
      <alignment horizontal="center"/>
    </xf>
    <xf numFmtId="0" fontId="29" fillId="13" borderId="64" xfId="0" applyFont="1" applyFill="1" applyBorder="1"/>
    <xf numFmtId="2" fontId="14" fillId="6" borderId="64" xfId="0" applyNumberFormat="1" applyFont="1" applyFill="1" applyBorder="1" applyAlignment="1">
      <alignment horizontal="center"/>
    </xf>
    <xf numFmtId="0" fontId="14" fillId="9" borderId="64" xfId="0" applyFont="1" applyFill="1" applyBorder="1" applyAlignment="1">
      <alignment horizontal="center"/>
    </xf>
    <xf numFmtId="0" fontId="14" fillId="6" borderId="64" xfId="0" applyFont="1" applyFill="1" applyBorder="1" applyAlignment="1">
      <alignment horizontal="center"/>
    </xf>
    <xf numFmtId="0" fontId="0" fillId="0" borderId="63" xfId="0" applyBorder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2" fontId="51" fillId="7" borderId="0" xfId="0" applyNumberFormat="1" applyFont="1" applyFill="1" applyAlignment="1">
      <alignment horizontal="center" vertical="center" wrapText="1"/>
    </xf>
    <xf numFmtId="2" fontId="51" fillId="2" borderId="0" xfId="0" applyNumberFormat="1" applyFont="1" applyFill="1" applyAlignment="1">
      <alignment horizontal="center" vertical="center" wrapText="1"/>
    </xf>
    <xf numFmtId="2" fontId="5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2" fontId="8" fillId="7" borderId="5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/>
    <xf numFmtId="167" fontId="7" fillId="0" borderId="0" xfId="0" applyNumberFormat="1" applyFont="1"/>
    <xf numFmtId="0" fontId="6" fillId="0" borderId="50" xfId="0" applyFont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 wrapText="1"/>
    </xf>
    <xf numFmtId="0" fontId="8" fillId="2" borderId="69" xfId="0" applyFont="1" applyFill="1" applyBorder="1" applyAlignment="1">
      <alignment horizontal="center" vertical="center" wrapText="1"/>
    </xf>
    <xf numFmtId="0" fontId="8" fillId="7" borderId="67" xfId="0" applyFont="1" applyFill="1" applyBorder="1" applyAlignment="1">
      <alignment horizontal="center" vertical="center" wrapText="1"/>
    </xf>
    <xf numFmtId="0" fontId="8" fillId="7" borderId="68" xfId="0" applyFont="1" applyFill="1" applyBorder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 wrapText="1"/>
    </xf>
    <xf numFmtId="0" fontId="8" fillId="2" borderId="72" xfId="0" applyFont="1" applyFill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11" fillId="2" borderId="69" xfId="0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 vertical="center" wrapText="1"/>
    </xf>
    <xf numFmtId="0" fontId="11" fillId="7" borderId="67" xfId="0" applyFont="1" applyFill="1" applyBorder="1" applyAlignment="1">
      <alignment horizontal="center" vertical="center" wrapText="1"/>
    </xf>
    <xf numFmtId="2" fontId="11" fillId="7" borderId="68" xfId="0" applyNumberFormat="1" applyFont="1" applyFill="1" applyBorder="1" applyAlignment="1">
      <alignment horizontal="center" vertical="center" wrapText="1"/>
    </xf>
    <xf numFmtId="2" fontId="11" fillId="12" borderId="57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164" fontId="11" fillId="2" borderId="73" xfId="0" applyNumberFormat="1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2" fontId="11" fillId="7" borderId="12" xfId="0" applyNumberFormat="1" applyFont="1" applyFill="1" applyBorder="1" applyAlignment="1">
      <alignment horizontal="center" vertical="center" wrapText="1"/>
    </xf>
    <xf numFmtId="2" fontId="11" fillId="12" borderId="74" xfId="0" applyNumberFormat="1" applyFont="1" applyFill="1" applyBorder="1" applyAlignment="1">
      <alignment horizontal="center" vertical="center" wrapText="1"/>
    </xf>
    <xf numFmtId="164" fontId="13" fillId="7" borderId="73" xfId="0" applyNumberFormat="1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2" fontId="11" fillId="4" borderId="12" xfId="0" applyNumberFormat="1" applyFont="1" applyFill="1" applyBorder="1" applyAlignment="1">
      <alignment horizontal="center" vertical="center" wrapText="1"/>
    </xf>
    <xf numFmtId="2" fontId="11" fillId="9" borderId="74" xfId="0" applyNumberFormat="1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1" fillId="2" borderId="66" xfId="0" applyFont="1" applyFill="1" applyBorder="1" applyAlignment="1">
      <alignment horizontal="center" vertical="center" wrapText="1"/>
    </xf>
    <xf numFmtId="164" fontId="11" fillId="2" borderId="75" xfId="0" applyNumberFormat="1" applyFont="1" applyFill="1" applyBorder="1" applyAlignment="1">
      <alignment horizontal="center" vertical="center" wrapText="1"/>
    </xf>
    <xf numFmtId="0" fontId="11" fillId="4" borderId="63" xfId="0" applyFont="1" applyFill="1" applyBorder="1" applyAlignment="1">
      <alignment horizontal="center" vertical="center" wrapText="1"/>
    </xf>
    <xf numFmtId="2" fontId="11" fillId="9" borderId="9" xfId="0" applyNumberFormat="1" applyFont="1" applyFill="1" applyBorder="1" applyAlignment="1">
      <alignment horizontal="center" vertical="center" wrapText="1"/>
    </xf>
    <xf numFmtId="2" fontId="11" fillId="12" borderId="70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64" fontId="13" fillId="2" borderId="76" xfId="0" applyNumberFormat="1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2" fontId="11" fillId="9" borderId="65" xfId="0" applyNumberFormat="1" applyFont="1" applyFill="1" applyBorder="1" applyAlignment="1">
      <alignment horizontal="center" vertical="center" wrapText="1"/>
    </xf>
    <xf numFmtId="2" fontId="11" fillId="12" borderId="39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164" fontId="14" fillId="2" borderId="77" xfId="0" applyNumberFormat="1" applyFont="1" applyFill="1" applyBorder="1" applyAlignment="1">
      <alignment horizontal="center"/>
    </xf>
    <xf numFmtId="2" fontId="14" fillId="7" borderId="2" xfId="0" applyNumberFormat="1" applyFont="1" applyFill="1" applyBorder="1" applyAlignment="1">
      <alignment horizontal="center"/>
    </xf>
    <xf numFmtId="2" fontId="14" fillId="7" borderId="7" xfId="0" applyNumberFormat="1" applyFont="1" applyFill="1" applyBorder="1" applyAlignment="1">
      <alignment horizontal="center"/>
    </xf>
    <xf numFmtId="2" fontId="14" fillId="7" borderId="37" xfId="0" applyNumberFormat="1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4" fillId="2" borderId="63" xfId="0" applyFont="1" applyFill="1" applyBorder="1" applyAlignment="1">
      <alignment horizontal="center"/>
    </xf>
    <xf numFmtId="0" fontId="14" fillId="2" borderId="66" xfId="0" applyFont="1" applyFill="1" applyBorder="1" applyAlignment="1">
      <alignment horizontal="center"/>
    </xf>
    <xf numFmtId="164" fontId="14" fillId="2" borderId="75" xfId="0" applyNumberFormat="1" applyFont="1" applyFill="1" applyBorder="1" applyAlignment="1">
      <alignment horizontal="center"/>
    </xf>
    <xf numFmtId="2" fontId="14" fillId="4" borderId="63" xfId="0" applyNumberFormat="1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2" fontId="14" fillId="7" borderId="70" xfId="0" applyNumberFormat="1" applyFont="1" applyFill="1" applyBorder="1" applyAlignment="1">
      <alignment horizontal="center"/>
    </xf>
    <xf numFmtId="164" fontId="13" fillId="2" borderId="75" xfId="0" applyNumberFormat="1" applyFont="1" applyFill="1" applyBorder="1" applyAlignment="1">
      <alignment horizontal="center"/>
    </xf>
    <xf numFmtId="0" fontId="14" fillId="2" borderId="10" xfId="0" applyFont="1" applyFill="1" applyBorder="1" applyAlignment="1">
      <alignment horizontal="center"/>
    </xf>
    <xf numFmtId="0" fontId="14" fillId="2" borderId="11" xfId="0" applyFont="1" applyFill="1" applyBorder="1" applyAlignment="1">
      <alignment horizontal="center"/>
    </xf>
    <xf numFmtId="164" fontId="14" fillId="2" borderId="73" xfId="0" applyNumberFormat="1" applyFont="1" applyFill="1" applyBorder="1" applyAlignment="1">
      <alignment horizontal="center"/>
    </xf>
    <xf numFmtId="2" fontId="14" fillId="4" borderId="10" xfId="0" applyNumberFormat="1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2" fontId="14" fillId="7" borderId="74" xfId="0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164" fontId="13" fillId="2" borderId="76" xfId="0" applyNumberFormat="1" applyFont="1" applyFill="1" applyBorder="1" applyAlignment="1">
      <alignment horizontal="center"/>
    </xf>
    <xf numFmtId="2" fontId="14" fillId="4" borderId="3" xfId="0" applyNumberFormat="1" applyFont="1" applyFill="1" applyBorder="1" applyAlignment="1">
      <alignment horizontal="center"/>
    </xf>
    <xf numFmtId="0" fontId="14" fillId="4" borderId="65" xfId="0" applyFont="1" applyFill="1" applyBorder="1" applyAlignment="1">
      <alignment horizontal="center"/>
    </xf>
    <xf numFmtId="2" fontId="14" fillId="7" borderId="39" xfId="0" applyNumberFormat="1" applyFont="1" applyFill="1" applyBorder="1" applyAlignment="1">
      <alignment horizontal="center"/>
    </xf>
    <xf numFmtId="2" fontId="14" fillId="12" borderId="37" xfId="0" applyNumberFormat="1" applyFont="1" applyFill="1" applyBorder="1" applyAlignment="1">
      <alignment horizontal="center"/>
    </xf>
    <xf numFmtId="2" fontId="14" fillId="9" borderId="63" xfId="0" applyNumberFormat="1" applyFont="1" applyFill="1" applyBorder="1" applyAlignment="1">
      <alignment horizontal="center"/>
    </xf>
    <xf numFmtId="2" fontId="14" fillId="9" borderId="9" xfId="0" applyNumberFormat="1" applyFont="1" applyFill="1" applyBorder="1" applyAlignment="1">
      <alignment horizontal="center"/>
    </xf>
    <xf numFmtId="2" fontId="14" fillId="12" borderId="70" xfId="0" applyNumberFormat="1" applyFont="1" applyFill="1" applyBorder="1" applyAlignment="1">
      <alignment horizontal="center"/>
    </xf>
    <xf numFmtId="2" fontId="14" fillId="7" borderId="63" xfId="0" applyNumberFormat="1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2" fontId="14" fillId="12" borderId="39" xfId="0" applyNumberFormat="1" applyFont="1" applyFill="1" applyBorder="1" applyAlignment="1">
      <alignment horizontal="center"/>
    </xf>
    <xf numFmtId="164" fontId="13" fillId="2" borderId="73" xfId="0" applyNumberFormat="1" applyFont="1" applyFill="1" applyBorder="1" applyAlignment="1">
      <alignment horizontal="center"/>
    </xf>
    <xf numFmtId="2" fontId="14" fillId="9" borderId="10" xfId="0" applyNumberFormat="1" applyFont="1" applyFill="1" applyBorder="1" applyAlignment="1">
      <alignment horizontal="center"/>
    </xf>
    <xf numFmtId="2" fontId="14" fillId="9" borderId="12" xfId="0" applyNumberFormat="1" applyFont="1" applyFill="1" applyBorder="1" applyAlignment="1">
      <alignment horizontal="center"/>
    </xf>
    <xf numFmtId="164" fontId="14" fillId="2" borderId="79" xfId="0" applyNumberFormat="1" applyFont="1" applyFill="1" applyBorder="1" applyAlignment="1">
      <alignment horizontal="center"/>
    </xf>
    <xf numFmtId="164" fontId="13" fillId="2" borderId="80" xfId="0" applyNumberFormat="1" applyFont="1" applyFill="1" applyBorder="1" applyAlignment="1">
      <alignment horizontal="center"/>
    </xf>
    <xf numFmtId="2" fontId="14" fillId="13" borderId="56" xfId="0" applyNumberFormat="1" applyFont="1" applyFill="1" applyBorder="1" applyAlignment="1">
      <alignment horizontal="center" vertical="top"/>
    </xf>
    <xf numFmtId="164" fontId="14" fillId="2" borderId="80" xfId="0" applyNumberFormat="1" applyFont="1" applyFill="1" applyBorder="1" applyAlignment="1">
      <alignment horizontal="center"/>
    </xf>
    <xf numFmtId="2" fontId="11" fillId="9" borderId="66" xfId="0" applyNumberFormat="1" applyFont="1" applyFill="1" applyBorder="1" applyAlignment="1">
      <alignment horizontal="center"/>
    </xf>
    <xf numFmtId="164" fontId="13" fillId="2" borderId="81" xfId="0" applyNumberFormat="1" applyFont="1" applyFill="1" applyBorder="1" applyAlignment="1">
      <alignment horizontal="center"/>
    </xf>
    <xf numFmtId="2" fontId="14" fillId="7" borderId="3" xfId="0" applyNumberFormat="1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164" fontId="14" fillId="2" borderId="37" xfId="0" applyNumberFormat="1" applyFont="1" applyFill="1" applyBorder="1" applyAlignment="1">
      <alignment horizontal="center"/>
    </xf>
    <xf numFmtId="2" fontId="14" fillId="7" borderId="28" xfId="0" applyNumberFormat="1" applyFont="1" applyFill="1" applyBorder="1" applyAlignment="1">
      <alignment horizontal="center"/>
    </xf>
    <xf numFmtId="0" fontId="18" fillId="6" borderId="9" xfId="0" applyFont="1" applyFill="1" applyBorder="1" applyAlignment="1">
      <alignment horizontal="center"/>
    </xf>
    <xf numFmtId="164" fontId="14" fillId="2" borderId="70" xfId="0" applyNumberFormat="1" applyFont="1" applyFill="1" applyBorder="1" applyAlignment="1">
      <alignment horizontal="center"/>
    </xf>
    <xf numFmtId="0" fontId="14" fillId="9" borderId="26" xfId="0" applyFont="1" applyFill="1" applyBorder="1" applyAlignment="1">
      <alignment horizontal="center"/>
    </xf>
    <xf numFmtId="4" fontId="14" fillId="9" borderId="9" xfId="0" applyNumberFormat="1" applyFont="1" applyFill="1" applyBorder="1" applyAlignment="1">
      <alignment horizontal="center"/>
    </xf>
    <xf numFmtId="0" fontId="14" fillId="6" borderId="26" xfId="0" applyFont="1" applyFill="1" applyBorder="1" applyAlignment="1">
      <alignment horizontal="center"/>
    </xf>
    <xf numFmtId="4" fontId="14" fillId="6" borderId="9" xfId="0" applyNumberFormat="1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164" fontId="13" fillId="2" borderId="70" xfId="0" applyNumberFormat="1" applyFont="1" applyFill="1" applyBorder="1" applyAlignment="1">
      <alignment horizontal="center"/>
    </xf>
    <xf numFmtId="2" fontId="14" fillId="6" borderId="75" xfId="0" applyNumberFormat="1" applyFont="1" applyFill="1" applyBorder="1" applyAlignment="1">
      <alignment horizontal="center"/>
    </xf>
    <xf numFmtId="2" fontId="14" fillId="6" borderId="9" xfId="0" applyNumberFormat="1" applyFont="1" applyFill="1" applyBorder="1" applyAlignment="1">
      <alignment horizontal="center"/>
    </xf>
    <xf numFmtId="2" fontId="14" fillId="7" borderId="26" xfId="0" applyNumberFormat="1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164" fontId="13" fillId="2" borderId="39" xfId="0" applyNumberFormat="1" applyFont="1" applyFill="1" applyBorder="1" applyAlignment="1">
      <alignment horizontal="center"/>
    </xf>
    <xf numFmtId="2" fontId="14" fillId="7" borderId="25" xfId="0" applyNumberFormat="1" applyFont="1" applyFill="1" applyBorder="1" applyAlignment="1">
      <alignment horizontal="center"/>
    </xf>
    <xf numFmtId="2" fontId="14" fillId="4" borderId="12" xfId="0" applyNumberFormat="1" applyFont="1" applyFill="1" applyBorder="1" applyAlignment="1">
      <alignment horizontal="center"/>
    </xf>
    <xf numFmtId="2" fontId="14" fillId="2" borderId="63" xfId="0" applyNumberFormat="1" applyFont="1" applyFill="1" applyBorder="1" applyAlignment="1">
      <alignment horizontal="center"/>
    </xf>
    <xf numFmtId="2" fontId="14" fillId="2" borderId="66" xfId="0" applyNumberFormat="1" applyFont="1" applyFill="1" applyBorder="1" applyAlignment="1">
      <alignment horizontal="center"/>
    </xf>
    <xf numFmtId="0" fontId="14" fillId="9" borderId="63" xfId="0" applyFont="1" applyFill="1" applyBorder="1" applyAlignment="1">
      <alignment horizontal="center"/>
    </xf>
    <xf numFmtId="0" fontId="14" fillId="9" borderId="9" xfId="0" applyFont="1" applyFill="1" applyBorder="1" applyAlignment="1">
      <alignment horizontal="center"/>
    </xf>
    <xf numFmtId="2" fontId="14" fillId="7" borderId="9" xfId="0" applyNumberFormat="1" applyFont="1" applyFill="1" applyBorder="1" applyAlignment="1">
      <alignment horizontal="center"/>
    </xf>
    <xf numFmtId="2" fontId="14" fillId="8" borderId="2" xfId="0" applyNumberFormat="1" applyFont="1" applyFill="1" applyBorder="1" applyAlignment="1">
      <alignment horizontal="center"/>
    </xf>
    <xf numFmtId="2" fontId="14" fillId="8" borderId="18" xfId="0" applyNumberFormat="1" applyFont="1" applyFill="1" applyBorder="1" applyAlignment="1">
      <alignment horizontal="center"/>
    </xf>
    <xf numFmtId="164" fontId="14" fillId="8" borderId="77" xfId="0" applyNumberFormat="1" applyFont="1" applyFill="1" applyBorder="1" applyAlignment="1">
      <alignment horizontal="center"/>
    </xf>
    <xf numFmtId="2" fontId="14" fillId="8" borderId="7" xfId="0" applyNumberFormat="1" applyFont="1" applyFill="1" applyBorder="1" applyAlignment="1">
      <alignment horizontal="center"/>
    </xf>
    <xf numFmtId="2" fontId="14" fillId="8" borderId="37" xfId="0" applyNumberFormat="1" applyFont="1" applyFill="1" applyBorder="1" applyAlignment="1">
      <alignment horizontal="center"/>
    </xf>
    <xf numFmtId="0" fontId="14" fillId="3" borderId="63" xfId="0" applyFont="1" applyFill="1" applyBorder="1" applyAlignment="1">
      <alignment horizontal="center"/>
    </xf>
    <xf numFmtId="0" fontId="14" fillId="3" borderId="66" xfId="0" applyFont="1" applyFill="1" applyBorder="1" applyAlignment="1">
      <alignment horizontal="center"/>
    </xf>
    <xf numFmtId="164" fontId="14" fillId="3" borderId="75" xfId="0" applyNumberFormat="1" applyFont="1" applyFill="1" applyBorder="1" applyAlignment="1">
      <alignment horizontal="center"/>
    </xf>
    <xf numFmtId="2" fontId="14" fillId="8" borderId="63" xfId="0" applyNumberFormat="1" applyFont="1" applyFill="1" applyBorder="1" applyAlignment="1">
      <alignment horizontal="center"/>
    </xf>
    <xf numFmtId="2" fontId="14" fillId="8" borderId="9" xfId="0" applyNumberFormat="1" applyFont="1" applyFill="1" applyBorder="1" applyAlignment="1">
      <alignment horizontal="center"/>
    </xf>
    <xf numFmtId="2" fontId="14" fillId="8" borderId="70" xfId="0" applyNumberFormat="1" applyFont="1" applyFill="1" applyBorder="1" applyAlignment="1">
      <alignment horizontal="center"/>
    </xf>
    <xf numFmtId="164" fontId="13" fillId="3" borderId="75" xfId="0" applyNumberFormat="1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14" fillId="3" borderId="11" xfId="0" applyFont="1" applyFill="1" applyBorder="1" applyAlignment="1">
      <alignment horizontal="center"/>
    </xf>
    <xf numFmtId="164" fontId="13" fillId="3" borderId="73" xfId="0" applyNumberFormat="1" applyFont="1" applyFill="1" applyBorder="1" applyAlignment="1">
      <alignment horizontal="center"/>
    </xf>
    <xf numFmtId="2" fontId="14" fillId="8" borderId="10" xfId="0" applyNumberFormat="1" applyFont="1" applyFill="1" applyBorder="1" applyAlignment="1">
      <alignment horizontal="center"/>
    </xf>
    <xf numFmtId="2" fontId="14" fillId="8" borderId="65" xfId="0" applyNumberFormat="1" applyFont="1" applyFill="1" applyBorder="1" applyAlignment="1">
      <alignment horizontal="center"/>
    </xf>
    <xf numFmtId="2" fontId="14" fillId="8" borderId="74" xfId="0" applyNumberFormat="1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1" fillId="9" borderId="63" xfId="0" applyFont="1" applyFill="1" applyBorder="1" applyAlignment="1">
      <alignment horizontal="center"/>
    </xf>
    <xf numFmtId="0" fontId="11" fillId="9" borderId="9" xfId="0" applyFont="1" applyFill="1" applyBorder="1" applyAlignment="1">
      <alignment horizontal="center"/>
    </xf>
    <xf numFmtId="2" fontId="14" fillId="7" borderId="66" xfId="0" applyNumberFormat="1" applyFont="1" applyFill="1" applyBorder="1" applyAlignment="1">
      <alignment horizontal="center"/>
    </xf>
    <xf numFmtId="2" fontId="14" fillId="9" borderId="80" xfId="0" applyNumberFormat="1" applyFont="1" applyFill="1" applyBorder="1" applyAlignment="1">
      <alignment horizontal="center"/>
    </xf>
    <xf numFmtId="2" fontId="14" fillId="9" borderId="66" xfId="0" applyNumberFormat="1" applyFont="1" applyFill="1" applyBorder="1" applyAlignment="1">
      <alignment horizontal="center"/>
    </xf>
    <xf numFmtId="2" fontId="14" fillId="9" borderId="11" xfId="0" applyNumberFormat="1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2" fontId="14" fillId="2" borderId="2" xfId="0" applyNumberFormat="1" applyFont="1" applyFill="1" applyBorder="1" applyAlignment="1">
      <alignment horizontal="center"/>
    </xf>
    <xf numFmtId="2" fontId="14" fillId="9" borderId="2" xfId="0" applyNumberFormat="1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/>
    </xf>
    <xf numFmtId="2" fontId="14" fillId="4" borderId="9" xfId="0" applyNumberFormat="1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4" fillId="7" borderId="12" xfId="0" applyFont="1" applyFill="1" applyBorder="1" applyAlignment="1">
      <alignment horizontal="center"/>
    </xf>
    <xf numFmtId="2" fontId="14" fillId="12" borderId="74" xfId="0" applyNumberFormat="1" applyFont="1" applyFill="1" applyBorder="1" applyAlignment="1">
      <alignment horizontal="center"/>
    </xf>
    <xf numFmtId="165" fontId="14" fillId="9" borderId="9" xfId="0" applyNumberFormat="1" applyFont="1" applyFill="1" applyBorder="1" applyAlignment="1">
      <alignment horizontal="center"/>
    </xf>
    <xf numFmtId="0" fontId="14" fillId="7" borderId="9" xfId="0" applyFont="1" applyFill="1" applyBorder="1" applyAlignment="1">
      <alignment horizontal="center"/>
    </xf>
    <xf numFmtId="2" fontId="14" fillId="6" borderId="10" xfId="0" applyNumberFormat="1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4" fillId="7" borderId="63" xfId="0" applyFont="1" applyFill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9" borderId="10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4" fontId="14" fillId="7" borderId="77" xfId="0" applyNumberFormat="1" applyFont="1" applyFill="1" applyBorder="1" applyAlignment="1">
      <alignment horizontal="center"/>
    </xf>
    <xf numFmtId="0" fontId="14" fillId="7" borderId="66" xfId="0" applyFont="1" applyFill="1" applyBorder="1" applyAlignment="1">
      <alignment horizontal="center"/>
    </xf>
    <xf numFmtId="164" fontId="14" fillId="7" borderId="75" xfId="0" applyNumberFormat="1" applyFont="1" applyFill="1" applyBorder="1" applyAlignment="1">
      <alignment horizontal="center"/>
    </xf>
    <xf numFmtId="164" fontId="13" fillId="7" borderId="75" xfId="0" applyNumberFormat="1" applyFont="1" applyFill="1" applyBorder="1" applyAlignment="1">
      <alignment horizontal="center"/>
    </xf>
    <xf numFmtId="2" fontId="14" fillId="6" borderId="63" xfId="0" applyNumberFormat="1" applyFont="1" applyFill="1" applyBorder="1" applyAlignment="1">
      <alignment horizontal="center"/>
    </xf>
    <xf numFmtId="2" fontId="14" fillId="7" borderId="10" xfId="0" applyNumberFormat="1" applyFont="1" applyFill="1" applyBorder="1" applyAlignment="1">
      <alignment horizontal="center"/>
    </xf>
    <xf numFmtId="2" fontId="14" fillId="7" borderId="11" xfId="0" applyNumberFormat="1" applyFont="1" applyFill="1" applyBorder="1" applyAlignment="1">
      <alignment horizontal="center"/>
    </xf>
    <xf numFmtId="164" fontId="13" fillId="7" borderId="73" xfId="0" applyNumberFormat="1" applyFont="1" applyFill="1" applyBorder="1" applyAlignment="1">
      <alignment horizontal="center"/>
    </xf>
    <xf numFmtId="2" fontId="14" fillId="7" borderId="12" xfId="0" applyNumberFormat="1" applyFont="1" applyFill="1" applyBorder="1" applyAlignment="1">
      <alignment horizontal="center"/>
    </xf>
    <xf numFmtId="0" fontId="14" fillId="7" borderId="11" xfId="0" applyFont="1" applyFill="1" applyBorder="1" applyAlignment="1">
      <alignment horizontal="center"/>
    </xf>
    <xf numFmtId="2" fontId="14" fillId="42" borderId="9" xfId="0" applyNumberFormat="1" applyFont="1" applyFill="1" applyBorder="1" applyAlignment="1">
      <alignment horizontal="center"/>
    </xf>
    <xf numFmtId="2" fontId="18" fillId="2" borderId="66" xfId="0" applyNumberFormat="1" applyFont="1" applyFill="1" applyBorder="1" applyAlignment="1">
      <alignment horizontal="center"/>
    </xf>
    <xf numFmtId="2" fontId="14" fillId="9" borderId="70" xfId="0" applyNumberFormat="1" applyFont="1" applyFill="1" applyBorder="1" applyAlignment="1">
      <alignment horizontal="center"/>
    </xf>
    <xf numFmtId="1" fontId="14" fillId="9" borderId="75" xfId="0" applyNumberFormat="1" applyFont="1" applyFill="1" applyBorder="1" applyAlignment="1">
      <alignment horizontal="center"/>
    </xf>
    <xf numFmtId="164" fontId="14" fillId="2" borderId="74" xfId="0" applyNumberFormat="1" applyFont="1" applyFill="1" applyBorder="1" applyAlignment="1">
      <alignment horizontal="center"/>
    </xf>
    <xf numFmtId="2" fontId="14" fillId="7" borderId="73" xfId="0" applyNumberFormat="1" applyFont="1" applyFill="1" applyBorder="1" applyAlignment="1">
      <alignment horizontal="center"/>
    </xf>
    <xf numFmtId="0" fontId="14" fillId="2" borderId="17" xfId="0" applyFont="1" applyFill="1" applyBorder="1" applyAlignment="1">
      <alignment horizontal="center"/>
    </xf>
    <xf numFmtId="164" fontId="14" fillId="2" borderId="18" xfId="0" applyNumberFormat="1" applyFont="1" applyFill="1" applyBorder="1" applyAlignment="1">
      <alignment horizontal="center"/>
    </xf>
    <xf numFmtId="2" fontId="14" fillId="12" borderId="82" xfId="0" applyNumberFormat="1" applyFont="1" applyFill="1" applyBorder="1" applyAlignment="1">
      <alignment horizontal="center"/>
    </xf>
    <xf numFmtId="0" fontId="14" fillId="2" borderId="64" xfId="0" applyFont="1" applyFill="1" applyBorder="1" applyAlignment="1">
      <alignment horizontal="center"/>
    </xf>
    <xf numFmtId="164" fontId="14" fillId="2" borderId="66" xfId="0" applyNumberFormat="1" applyFont="1" applyFill="1" applyBorder="1" applyAlignment="1">
      <alignment horizontal="center"/>
    </xf>
    <xf numFmtId="0" fontId="14" fillId="6" borderId="63" xfId="0" applyFont="1" applyFill="1" applyBorder="1" applyAlignment="1">
      <alignment horizontal="center"/>
    </xf>
    <xf numFmtId="2" fontId="14" fillId="12" borderId="83" xfId="0" applyNumberFormat="1" applyFont="1" applyFill="1" applyBorder="1" applyAlignment="1">
      <alignment horizontal="center"/>
    </xf>
    <xf numFmtId="0" fontId="5" fillId="2" borderId="63" xfId="0" applyFont="1" applyFill="1" applyBorder="1" applyAlignment="1">
      <alignment horizontal="center"/>
    </xf>
    <xf numFmtId="0" fontId="5" fillId="2" borderId="64" xfId="0" applyFont="1" applyFill="1" applyBorder="1" applyAlignment="1">
      <alignment horizontal="center"/>
    </xf>
    <xf numFmtId="164" fontId="13" fillId="2" borderId="66" xfId="0" applyNumberFormat="1" applyFont="1" applyFill="1" applyBorder="1" applyAlignment="1">
      <alignment horizontal="center"/>
    </xf>
    <xf numFmtId="4" fontId="14" fillId="9" borderId="63" xfId="0" applyNumberFormat="1" applyFont="1" applyFill="1" applyBorder="1" applyAlignment="1">
      <alignment horizontal="center"/>
    </xf>
    <xf numFmtId="4" fontId="14" fillId="9" borderId="66" xfId="0" applyNumberFormat="1" applyFont="1" applyFill="1" applyBorder="1" applyAlignment="1">
      <alignment horizontal="center"/>
    </xf>
    <xf numFmtId="2" fontId="14" fillId="12" borderId="84" xfId="0" applyNumberFormat="1" applyFont="1" applyFill="1" applyBorder="1" applyAlignment="1">
      <alignment horizontal="center"/>
    </xf>
    <xf numFmtId="2" fontId="14" fillId="2" borderId="3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164" fontId="13" fillId="7" borderId="4" xfId="0" applyNumberFormat="1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4" fontId="14" fillId="9" borderId="4" xfId="0" applyNumberFormat="1" applyFont="1" applyFill="1" applyBorder="1" applyAlignment="1">
      <alignment horizontal="center"/>
    </xf>
    <xf numFmtId="2" fontId="14" fillId="12" borderId="85" xfId="0" applyNumberFormat="1" applyFont="1" applyFill="1" applyBorder="1" applyAlignment="1">
      <alignment horizontal="center"/>
    </xf>
    <xf numFmtId="0" fontId="14" fillId="2" borderId="19" xfId="0" applyFont="1" applyFill="1" applyBorder="1" applyAlignment="1">
      <alignment horizontal="center"/>
    </xf>
    <xf numFmtId="0" fontId="14" fillId="2" borderId="20" xfId="0" applyFont="1" applyFill="1" applyBorder="1" applyAlignment="1">
      <alignment horizontal="center"/>
    </xf>
    <xf numFmtId="164" fontId="14" fillId="2" borderId="44" xfId="0" applyNumberFormat="1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4" fontId="14" fillId="7" borderId="20" xfId="0" applyNumberFormat="1" applyFont="1" applyFill="1" applyBorder="1" applyAlignment="1">
      <alignment horizontal="center"/>
    </xf>
    <xf numFmtId="2" fontId="14" fillId="12" borderId="54" xfId="0" applyNumberFormat="1" applyFont="1" applyFill="1" applyBorder="1" applyAlignment="1">
      <alignment horizontal="center"/>
    </xf>
    <xf numFmtId="4" fontId="14" fillId="6" borderId="66" xfId="0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center"/>
    </xf>
    <xf numFmtId="0" fontId="14" fillId="6" borderId="9" xfId="0" applyFont="1" applyFill="1" applyBorder="1" applyAlignment="1">
      <alignment horizontal="center"/>
    </xf>
    <xf numFmtId="4" fontId="14" fillId="2" borderId="66" xfId="0" applyNumberFormat="1" applyFont="1" applyFill="1" applyBorder="1" applyAlignment="1">
      <alignment horizontal="center"/>
    </xf>
    <xf numFmtId="2" fontId="14" fillId="2" borderId="12" xfId="0" applyNumberFormat="1" applyFont="1" applyFill="1" applyBorder="1" applyAlignment="1">
      <alignment horizontal="center"/>
    </xf>
    <xf numFmtId="164" fontId="13" fillId="7" borderId="70" xfId="0" applyNumberFormat="1" applyFont="1" applyFill="1" applyBorder="1" applyAlignment="1">
      <alignment horizontal="center"/>
    </xf>
    <xf numFmtId="2" fontId="14" fillId="4" borderId="75" xfId="0" applyNumberFormat="1" applyFont="1" applyFill="1" applyBorder="1" applyAlignment="1">
      <alignment horizontal="center"/>
    </xf>
    <xf numFmtId="0" fontId="14" fillId="7" borderId="7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/>
    </xf>
    <xf numFmtId="1" fontId="14" fillId="6" borderId="63" xfId="0" applyNumberFormat="1" applyFont="1" applyFill="1" applyBorder="1" applyAlignment="1">
      <alignment horizontal="center"/>
    </xf>
    <xf numFmtId="1" fontId="14" fillId="6" borderId="10" xfId="0" applyNumberFormat="1" applyFont="1" applyFill="1" applyBorder="1" applyAlignment="1">
      <alignment horizontal="center"/>
    </xf>
    <xf numFmtId="2" fontId="14" fillId="6" borderId="12" xfId="0" applyNumberFormat="1" applyFont="1" applyFill="1" applyBorder="1" applyAlignment="1">
      <alignment horizontal="center"/>
    </xf>
    <xf numFmtId="2" fontId="11" fillId="7" borderId="63" xfId="0" applyNumberFormat="1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164" fontId="13" fillId="7" borderId="76" xfId="0" applyNumberFormat="1" applyFont="1" applyFill="1" applyBorder="1" applyAlignment="1">
      <alignment horizontal="center"/>
    </xf>
    <xf numFmtId="2" fontId="14" fillId="7" borderId="65" xfId="0" applyNumberFormat="1" applyFont="1" applyFill="1" applyBorder="1" applyAlignment="1">
      <alignment horizontal="center"/>
    </xf>
    <xf numFmtId="164" fontId="13" fillId="4" borderId="75" xfId="0" applyNumberFormat="1" applyFont="1" applyFill="1" applyBorder="1" applyAlignment="1">
      <alignment horizontal="center"/>
    </xf>
    <xf numFmtId="164" fontId="14" fillId="2" borderId="76" xfId="0" applyNumberFormat="1" applyFont="1" applyFill="1" applyBorder="1" applyAlignment="1">
      <alignment horizontal="center"/>
    </xf>
    <xf numFmtId="0" fontId="14" fillId="8" borderId="7" xfId="0" applyFont="1" applyFill="1" applyBorder="1" applyAlignment="1">
      <alignment horizontal="center"/>
    </xf>
    <xf numFmtId="2" fontId="0" fillId="7" borderId="0" xfId="0" applyNumberFormat="1" applyFill="1"/>
    <xf numFmtId="0" fontId="14" fillId="8" borderId="63" xfId="0" applyFont="1" applyFill="1" applyBorder="1" applyAlignment="1">
      <alignment horizontal="center"/>
    </xf>
    <xf numFmtId="0" fontId="14" fillId="8" borderId="9" xfId="0" applyFont="1" applyFill="1" applyBorder="1" applyAlignment="1">
      <alignment horizontal="center"/>
    </xf>
    <xf numFmtId="164" fontId="14" fillId="7" borderId="73" xfId="0" applyNumberFormat="1" applyFont="1" applyFill="1" applyBorder="1" applyAlignment="1">
      <alignment horizontal="center"/>
    </xf>
    <xf numFmtId="0" fontId="14" fillId="8" borderId="12" xfId="0" applyFont="1" applyFill="1" applyBorder="1" applyAlignment="1">
      <alignment horizontal="center"/>
    </xf>
    <xf numFmtId="1" fontId="14" fillId="13" borderId="86" xfId="0" applyNumberFormat="1" applyFont="1" applyFill="1" applyBorder="1" applyAlignment="1">
      <alignment horizontal="right" vertical="top" shrinkToFit="1"/>
    </xf>
    <xf numFmtId="4" fontId="14" fillId="13" borderId="86" xfId="0" applyNumberFormat="1" applyFont="1" applyFill="1" applyBorder="1" applyAlignment="1">
      <alignment horizontal="right" vertical="top" shrinkToFit="1"/>
    </xf>
    <xf numFmtId="0" fontId="14" fillId="7" borderId="65" xfId="0" applyFont="1" applyFill="1" applyBorder="1" applyAlignment="1">
      <alignment horizontal="center"/>
    </xf>
    <xf numFmtId="4" fontId="14" fillId="7" borderId="9" xfId="0" applyNumberFormat="1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164" fontId="14" fillId="10" borderId="77" xfId="0" applyNumberFormat="1" applyFont="1" applyFill="1" applyBorder="1" applyAlignment="1">
      <alignment horizontal="center"/>
    </xf>
    <xf numFmtId="0" fontId="14" fillId="10" borderId="63" xfId="0" applyFont="1" applyFill="1" applyBorder="1" applyAlignment="1">
      <alignment horizontal="center"/>
    </xf>
    <xf numFmtId="0" fontId="14" fillId="10" borderId="66" xfId="0" applyFont="1" applyFill="1" applyBorder="1" applyAlignment="1">
      <alignment horizontal="center"/>
    </xf>
    <xf numFmtId="165" fontId="13" fillId="10" borderId="75" xfId="0" applyNumberFormat="1" applyFont="1" applyFill="1" applyBorder="1" applyAlignment="1">
      <alignment horizontal="center"/>
    </xf>
    <xf numFmtId="164" fontId="14" fillId="10" borderId="75" xfId="0" applyNumberFormat="1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164" fontId="13" fillId="10" borderId="76" xfId="0" applyNumberFormat="1" applyFont="1" applyFill="1" applyBorder="1" applyAlignment="1">
      <alignment horizontal="center"/>
    </xf>
    <xf numFmtId="0" fontId="14" fillId="12" borderId="64" xfId="0" applyFont="1" applyFill="1" applyBorder="1" applyAlignment="1">
      <alignment horizontal="center"/>
    </xf>
    <xf numFmtId="0" fontId="9" fillId="2" borderId="64" xfId="0" applyFont="1" applyFill="1" applyBorder="1" applyAlignment="1">
      <alignment horizontal="center" vertical="center"/>
    </xf>
    <xf numFmtId="2" fontId="9" fillId="0" borderId="64" xfId="0" applyNumberFormat="1" applyFont="1" applyBorder="1" applyAlignment="1">
      <alignment horizontal="center" vertical="center"/>
    </xf>
    <xf numFmtId="0" fontId="52" fillId="0" borderId="64" xfId="0" applyFont="1" applyBorder="1" applyAlignment="1">
      <alignment horizont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2" fontId="14" fillId="7" borderId="0" xfId="0" applyNumberFormat="1" applyFont="1" applyFill="1" applyAlignment="1">
      <alignment horizontal="center"/>
    </xf>
    <xf numFmtId="2" fontId="14" fillId="2" borderId="0" xfId="0" applyNumberFormat="1" applyFont="1" applyFill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2" fillId="2" borderId="63" xfId="0" applyFont="1" applyFill="1" applyBorder="1" applyAlignment="1">
      <alignment horizontal="center" vertical="center"/>
    </xf>
    <xf numFmtId="2" fontId="17" fillId="2" borderId="64" xfId="0" applyNumberFormat="1" applyFont="1" applyFill="1" applyBorder="1" applyAlignment="1">
      <alignment horizontal="center" vertical="center"/>
    </xf>
    <xf numFmtId="2" fontId="17" fillId="47" borderId="64" xfId="0" applyNumberFormat="1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2" fontId="17" fillId="47" borderId="8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" fontId="17" fillId="2" borderId="17" xfId="0" applyNumberFormat="1" applyFont="1" applyFill="1" applyBorder="1" applyAlignment="1">
      <alignment horizontal="center" vertical="center"/>
    </xf>
    <xf numFmtId="2" fontId="17" fillId="47" borderId="17" xfId="0" applyNumberFormat="1" applyFont="1" applyFill="1" applyBorder="1" applyAlignment="1">
      <alignment horizontal="center" vertical="center"/>
    </xf>
    <xf numFmtId="2" fontId="17" fillId="2" borderId="22" xfId="0" applyNumberFormat="1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2" fontId="17" fillId="2" borderId="5" xfId="0" applyNumberFormat="1" applyFont="1" applyFill="1" applyBorder="1" applyAlignment="1">
      <alignment horizontal="center" vertical="center"/>
    </xf>
    <xf numFmtId="2" fontId="17" fillId="47" borderId="5" xfId="0" applyNumberFormat="1" applyFont="1" applyFill="1" applyBorder="1" applyAlignment="1">
      <alignment horizontal="center" vertical="center"/>
    </xf>
    <xf numFmtId="0" fontId="17" fillId="0" borderId="19" xfId="0" applyFont="1" applyBorder="1"/>
    <xf numFmtId="0" fontId="17" fillId="2" borderId="22" xfId="0" applyFont="1" applyFill="1" applyBorder="1"/>
    <xf numFmtId="0" fontId="17" fillId="0" borderId="63" xfId="0" applyFont="1" applyBorder="1"/>
    <xf numFmtId="0" fontId="17" fillId="2" borderId="64" xfId="0" applyFont="1" applyFill="1" applyBorder="1"/>
    <xf numFmtId="0" fontId="17" fillId="0" borderId="3" xfId="0" applyFont="1" applyBorder="1"/>
    <xf numFmtId="0" fontId="17" fillId="2" borderId="5" xfId="0" applyFont="1" applyFill="1" applyBorder="1"/>
    <xf numFmtId="2" fontId="6" fillId="2" borderId="22" xfId="0" applyNumberFormat="1" applyFont="1" applyFill="1" applyBorder="1" applyAlignment="1">
      <alignment horizontal="center" vertical="center"/>
    </xf>
    <xf numFmtId="2" fontId="6" fillId="48" borderId="22" xfId="0" applyNumberFormat="1" applyFont="1" applyFill="1" applyBorder="1" applyAlignment="1">
      <alignment horizontal="center" vertical="center"/>
    </xf>
    <xf numFmtId="2" fontId="6" fillId="48" borderId="64" xfId="0" applyNumberFormat="1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 wrapText="1"/>
    </xf>
    <xf numFmtId="2" fontId="6" fillId="2" borderId="24" xfId="0" applyNumberFormat="1" applyFont="1" applyFill="1" applyBorder="1" applyAlignment="1">
      <alignment horizontal="center" vertical="center"/>
    </xf>
    <xf numFmtId="2" fontId="6" fillId="48" borderId="8" xfId="0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/>
    </xf>
    <xf numFmtId="2" fontId="17" fillId="48" borderId="64" xfId="0" applyNumberFormat="1" applyFont="1" applyFill="1" applyBorder="1" applyAlignment="1">
      <alignment horizontal="center" vertical="center"/>
    </xf>
    <xf numFmtId="2" fontId="54" fillId="0" borderId="64" xfId="0" applyNumberFormat="1" applyFont="1" applyBorder="1" applyAlignment="1">
      <alignment horizontal="center" vertical="center"/>
    </xf>
    <xf numFmtId="0" fontId="54" fillId="0" borderId="19" xfId="0" applyFont="1" applyBorder="1" applyAlignment="1">
      <alignment horizontal="center"/>
    </xf>
    <xf numFmtId="2" fontId="17" fillId="2" borderId="22" xfId="0" applyNumberFormat="1" applyFont="1" applyFill="1" applyBorder="1" applyAlignment="1">
      <alignment horizontal="center"/>
    </xf>
    <xf numFmtId="0" fontId="54" fillId="2" borderId="19" xfId="0" applyFont="1" applyFill="1" applyBorder="1" applyAlignment="1">
      <alignment horizontal="center"/>
    </xf>
    <xf numFmtId="2" fontId="17" fillId="2" borderId="64" xfId="0" applyNumberFormat="1" applyFont="1" applyFill="1" applyBorder="1" applyAlignment="1">
      <alignment horizontal="center"/>
    </xf>
    <xf numFmtId="2" fontId="17" fillId="2" borderId="5" xfId="0" applyNumberFormat="1" applyFont="1" applyFill="1" applyBorder="1" applyAlignment="1">
      <alignment horizontal="center"/>
    </xf>
    <xf numFmtId="0" fontId="54" fillId="2" borderId="87" xfId="0" applyFont="1" applyFill="1" applyBorder="1" applyAlignment="1">
      <alignment horizontal="center"/>
    </xf>
    <xf numFmtId="2" fontId="17" fillId="2" borderId="40" xfId="0" applyNumberFormat="1" applyFont="1" applyFill="1" applyBorder="1" applyAlignment="1">
      <alignment horizontal="center" vertical="center"/>
    </xf>
    <xf numFmtId="2" fontId="17" fillId="48" borderId="40" xfId="0" applyNumberFormat="1" applyFont="1" applyFill="1" applyBorder="1" applyAlignment="1">
      <alignment horizontal="center" vertical="center"/>
    </xf>
    <xf numFmtId="2" fontId="54" fillId="0" borderId="88" xfId="0" applyNumberFormat="1" applyFont="1" applyBorder="1" applyAlignment="1">
      <alignment horizontal="center" vertical="center"/>
    </xf>
    <xf numFmtId="2" fontId="17" fillId="2" borderId="17" xfId="0" applyNumberFormat="1" applyFont="1" applyFill="1" applyBorder="1" applyAlignment="1">
      <alignment horizontal="center"/>
    </xf>
    <xf numFmtId="2" fontId="6" fillId="2" borderId="17" xfId="0" applyNumberFormat="1" applyFont="1" applyFill="1" applyBorder="1" applyAlignment="1">
      <alignment horizontal="center" vertical="center"/>
    </xf>
    <xf numFmtId="2" fontId="6" fillId="2" borderId="64" xfId="0" applyNumberFormat="1" applyFont="1" applyFill="1" applyBorder="1" applyAlignment="1">
      <alignment horizontal="center" vertical="center"/>
    </xf>
    <xf numFmtId="2" fontId="55" fillId="2" borderId="64" xfId="0" applyNumberFormat="1" applyFont="1" applyFill="1" applyBorder="1" applyAlignment="1">
      <alignment horizontal="center"/>
    </xf>
    <xf numFmtId="2" fontId="6" fillId="2" borderId="5" xfId="0" applyNumberFormat="1" applyFont="1" applyFill="1" applyBorder="1" applyAlignment="1">
      <alignment horizontal="center" vertical="center"/>
    </xf>
    <xf numFmtId="2" fontId="17" fillId="2" borderId="8" xfId="0" applyNumberFormat="1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54" fillId="2" borderId="10" xfId="0" applyFont="1" applyFill="1" applyBorder="1" applyAlignment="1">
      <alignment horizontal="center"/>
    </xf>
    <xf numFmtId="2" fontId="17" fillId="2" borderId="8" xfId="0" applyNumberFormat="1" applyFont="1" applyFill="1" applyBorder="1" applyAlignment="1">
      <alignment horizontal="center"/>
    </xf>
    <xf numFmtId="0" fontId="54" fillId="2" borderId="37" xfId="0" applyFont="1" applyFill="1" applyBorder="1" applyAlignment="1">
      <alignment horizontal="center"/>
    </xf>
    <xf numFmtId="2" fontId="17" fillId="48" borderId="17" xfId="0" applyNumberFormat="1" applyFont="1" applyFill="1" applyBorder="1" applyAlignment="1">
      <alignment horizontal="center" vertical="center"/>
    </xf>
    <xf numFmtId="2" fontId="54" fillId="0" borderId="18" xfId="0" applyNumberFormat="1" applyFont="1" applyBorder="1" applyAlignment="1">
      <alignment horizontal="center"/>
    </xf>
    <xf numFmtId="0" fontId="54" fillId="2" borderId="70" xfId="0" applyFont="1" applyFill="1" applyBorder="1" applyAlignment="1">
      <alignment horizontal="center"/>
    </xf>
    <xf numFmtId="2" fontId="17" fillId="48" borderId="8" xfId="0" applyNumberFormat="1" applyFont="1" applyFill="1" applyBorder="1" applyAlignment="1">
      <alignment horizontal="center" vertical="center"/>
    </xf>
    <xf numFmtId="2" fontId="54" fillId="0" borderId="11" xfId="0" applyNumberFormat="1" applyFont="1" applyBorder="1" applyAlignment="1">
      <alignment horizontal="center"/>
    </xf>
    <xf numFmtId="2" fontId="54" fillId="48" borderId="64" xfId="0" applyNumberFormat="1" applyFont="1" applyFill="1" applyBorder="1" applyAlignment="1">
      <alignment horizontal="center"/>
    </xf>
    <xf numFmtId="0" fontId="17" fillId="2" borderId="89" xfId="0" applyFont="1" applyFill="1" applyBorder="1" applyAlignment="1">
      <alignment horizontal="left" vertical="center"/>
    </xf>
    <xf numFmtId="0" fontId="17" fillId="2" borderId="6" xfId="0" applyFont="1" applyFill="1" applyBorder="1" applyAlignment="1">
      <alignment horizontal="center" vertical="center"/>
    </xf>
    <xf numFmtId="168" fontId="17" fillId="2" borderId="9" xfId="0" applyNumberFormat="1" applyFont="1" applyFill="1" applyBorder="1" applyAlignment="1">
      <alignment horizontal="left"/>
    </xf>
    <xf numFmtId="168" fontId="17" fillId="2" borderId="75" xfId="0" applyNumberFormat="1" applyFont="1" applyFill="1" applyBorder="1" applyAlignment="1">
      <alignment horizontal="center"/>
    </xf>
    <xf numFmtId="168" fontId="17" fillId="2" borderId="26" xfId="0" applyNumberFormat="1" applyFont="1" applyFill="1" applyBorder="1" applyAlignment="1">
      <alignment horizontal="center"/>
    </xf>
    <xf numFmtId="2" fontId="17" fillId="48" borderId="64" xfId="0" applyNumberFormat="1" applyFont="1" applyFill="1" applyBorder="1" applyAlignment="1">
      <alignment horizontal="center"/>
    </xf>
    <xf numFmtId="0" fontId="54" fillId="2" borderId="39" xfId="0" applyFont="1" applyFill="1" applyBorder="1" applyAlignment="1">
      <alignment horizontal="center" vertical="center"/>
    </xf>
    <xf numFmtId="0" fontId="54" fillId="2" borderId="64" xfId="0" applyFont="1" applyFill="1" applyBorder="1" applyAlignment="1">
      <alignment horizontal="left" vertical="center"/>
    </xf>
    <xf numFmtId="0" fontId="17" fillId="2" borderId="64" xfId="0" applyFont="1" applyFill="1" applyBorder="1" applyAlignment="1">
      <alignment horizontal="left"/>
    </xf>
    <xf numFmtId="0" fontId="17" fillId="2" borderId="9" xfId="0" applyFont="1" applyFill="1" applyBorder="1" applyAlignment="1">
      <alignment horizontal="left" vertical="center"/>
    </xf>
    <xf numFmtId="0" fontId="17" fillId="2" borderId="75" xfId="0" applyFont="1" applyFill="1" applyBorder="1" applyAlignment="1">
      <alignment horizontal="left" vertical="center"/>
    </xf>
    <xf numFmtId="0" fontId="17" fillId="2" borderId="26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left"/>
    </xf>
    <xf numFmtId="0" fontId="17" fillId="2" borderId="75" xfId="0" applyFont="1" applyFill="1" applyBorder="1" applyAlignment="1">
      <alignment horizontal="left"/>
    </xf>
    <xf numFmtId="0" fontId="17" fillId="2" borderId="26" xfId="0" applyFont="1" applyFill="1" applyBorder="1" applyAlignment="1">
      <alignment horizontal="left"/>
    </xf>
    <xf numFmtId="0" fontId="17" fillId="7" borderId="75" xfId="0" applyFont="1" applyFill="1" applyBorder="1" applyAlignment="1">
      <alignment horizontal="left" vertical="center"/>
    </xf>
    <xf numFmtId="2" fontId="17" fillId="7" borderId="26" xfId="0" applyNumberFormat="1" applyFont="1" applyFill="1" applyBorder="1" applyAlignment="1">
      <alignment horizontal="left" vertical="center"/>
    </xf>
    <xf numFmtId="0" fontId="54" fillId="2" borderId="64" xfId="0" applyFont="1" applyFill="1" applyBorder="1" applyAlignment="1">
      <alignment horizontal="left"/>
    </xf>
    <xf numFmtId="0" fontId="17" fillId="7" borderId="75" xfId="0" applyFont="1" applyFill="1" applyBorder="1" applyAlignment="1">
      <alignment horizontal="left"/>
    </xf>
    <xf numFmtId="2" fontId="17" fillId="7" borderId="26" xfId="0" applyNumberFormat="1" applyFont="1" applyFill="1" applyBorder="1" applyAlignment="1">
      <alignment horizontal="left"/>
    </xf>
    <xf numFmtId="0" fontId="12" fillId="2" borderId="64" xfId="0" applyFont="1" applyFill="1" applyBorder="1" applyAlignment="1">
      <alignment horizontal="left" vertical="center"/>
    </xf>
    <xf numFmtId="2" fontId="17" fillId="2" borderId="24" xfId="0" applyNumberFormat="1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left" vertical="center"/>
    </xf>
    <xf numFmtId="0" fontId="54" fillId="0" borderId="87" xfId="0" applyFont="1" applyBorder="1" applyAlignment="1">
      <alignment horizontal="center" vertical="center"/>
    </xf>
    <xf numFmtId="0" fontId="56" fillId="0" borderId="63" xfId="0" applyFont="1" applyBorder="1" applyAlignment="1">
      <alignment horizontal="center" vertical="center"/>
    </xf>
    <xf numFmtId="2" fontId="55" fillId="2" borderId="64" xfId="0" applyNumberFormat="1" applyFont="1" applyFill="1" applyBorder="1" applyAlignment="1">
      <alignment horizontal="center" vertical="center"/>
    </xf>
    <xf numFmtId="2" fontId="55" fillId="47" borderId="64" xfId="0" applyNumberFormat="1" applyFont="1" applyFill="1" applyBorder="1" applyAlignment="1">
      <alignment horizontal="center" vertical="center"/>
    </xf>
    <xf numFmtId="2" fontId="55" fillId="2" borderId="9" xfId="0" applyNumberFormat="1" applyFont="1" applyFill="1" applyBorder="1" applyAlignment="1">
      <alignment horizontal="center" vertical="center"/>
    </xf>
    <xf numFmtId="2" fontId="55" fillId="47" borderId="9" xfId="0" applyNumberFormat="1" applyFont="1" applyFill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2" fontId="55" fillId="2" borderId="65" xfId="0" applyNumberFormat="1" applyFont="1" applyFill="1" applyBorder="1" applyAlignment="1">
      <alignment horizontal="center" vertical="center"/>
    </xf>
    <xf numFmtId="2" fontId="55" fillId="47" borderId="65" xfId="0" applyNumberFormat="1" applyFont="1" applyFill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2" fontId="55" fillId="2" borderId="7" xfId="0" applyNumberFormat="1" applyFont="1" applyFill="1" applyBorder="1" applyAlignment="1">
      <alignment horizontal="center" vertical="center"/>
    </xf>
    <xf numFmtId="2" fontId="55" fillId="47" borderId="7" xfId="0" applyNumberFormat="1" applyFont="1" applyFill="1" applyBorder="1" applyAlignment="1">
      <alignment horizontal="center" vertical="center"/>
    </xf>
    <xf numFmtId="0" fontId="56" fillId="0" borderId="3" xfId="0" applyFont="1" applyBorder="1" applyAlignment="1">
      <alignment horizontal="center" vertical="center"/>
    </xf>
    <xf numFmtId="2" fontId="55" fillId="2" borderId="90" xfId="0" applyNumberFormat="1" applyFont="1" applyFill="1" applyBorder="1" applyAlignment="1">
      <alignment horizontal="center" vertical="center"/>
    </xf>
    <xf numFmtId="2" fontId="55" fillId="47" borderId="90" xfId="0" applyNumberFormat="1" applyFont="1" applyFill="1" applyBorder="1" applyAlignment="1">
      <alignment horizontal="center" vertical="center"/>
    </xf>
    <xf numFmtId="0" fontId="54" fillId="0" borderId="63" xfId="0" applyFont="1" applyBorder="1" applyAlignment="1">
      <alignment horizontal="center" vertical="center"/>
    </xf>
    <xf numFmtId="0" fontId="17" fillId="47" borderId="64" xfId="0" applyFont="1" applyFill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4" fillId="0" borderId="2" xfId="0" applyFont="1" applyBorder="1" applyAlignment="1">
      <alignment horizontal="center" vertical="center"/>
    </xf>
    <xf numFmtId="2" fontId="7" fillId="47" borderId="7" xfId="0" applyNumberFormat="1" applyFont="1" applyFill="1" applyBorder="1" applyAlignment="1">
      <alignment horizontal="center" vertical="center"/>
    </xf>
    <xf numFmtId="2" fontId="7" fillId="47" borderId="9" xfId="0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2" fontId="7" fillId="47" borderId="65" xfId="0" applyNumberFormat="1" applyFont="1" applyFill="1" applyBorder="1" applyAlignment="1">
      <alignment horizontal="center" vertical="center"/>
    </xf>
    <xf numFmtId="0" fontId="56" fillId="0" borderId="19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47" borderId="7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47" borderId="9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47" borderId="12" xfId="0" applyFont="1" applyFill="1" applyBorder="1" applyAlignment="1">
      <alignment horizontal="center" vertical="center"/>
    </xf>
    <xf numFmtId="2" fontId="17" fillId="2" borderId="17" xfId="0" applyNumberFormat="1" applyFont="1" applyFill="1" applyBorder="1"/>
    <xf numFmtId="2" fontId="17" fillId="47" borderId="7" xfId="0" applyNumberFormat="1" applyFont="1" applyFill="1" applyBorder="1" applyAlignment="1">
      <alignment horizontal="center" vertical="center"/>
    </xf>
    <xf numFmtId="2" fontId="17" fillId="47" borderId="9" xfId="0" applyNumberFormat="1" applyFont="1" applyFill="1" applyBorder="1" applyAlignment="1">
      <alignment horizontal="center" vertical="center"/>
    </xf>
    <xf numFmtId="2" fontId="17" fillId="2" borderId="5" xfId="0" applyNumberFormat="1" applyFont="1" applyFill="1" applyBorder="1"/>
    <xf numFmtId="2" fontId="17" fillId="47" borderId="65" xfId="0" applyNumberFormat="1" applyFont="1" applyFill="1" applyBorder="1" applyAlignment="1">
      <alignment horizontal="center" vertical="center"/>
    </xf>
    <xf numFmtId="2" fontId="17" fillId="2" borderId="64" xfId="0" applyNumberFormat="1" applyFont="1" applyFill="1" applyBorder="1"/>
    <xf numFmtId="0" fontId="56" fillId="0" borderId="87" xfId="0" applyFont="1" applyBorder="1" applyAlignment="1">
      <alignment horizontal="center" vertical="center"/>
    </xf>
    <xf numFmtId="2" fontId="17" fillId="2" borderId="40" xfId="0" applyNumberFormat="1" applyFont="1" applyFill="1" applyBorder="1" applyAlignment="1">
      <alignment horizontal="center"/>
    </xf>
    <xf numFmtId="2" fontId="17" fillId="47" borderId="40" xfId="0" applyNumberFormat="1" applyFont="1" applyFill="1" applyBorder="1" applyAlignment="1">
      <alignment horizontal="center" vertical="center"/>
    </xf>
    <xf numFmtId="2" fontId="54" fillId="0" borderId="88" xfId="0" applyNumberFormat="1" applyFont="1" applyBorder="1"/>
    <xf numFmtId="0" fontId="56" fillId="0" borderId="19" xfId="0" applyFont="1" applyBorder="1" applyAlignment="1">
      <alignment horizontal="center"/>
    </xf>
    <xf numFmtId="0" fontId="17" fillId="2" borderId="22" xfId="0" applyFont="1" applyFill="1" applyBorder="1" applyAlignment="1">
      <alignment horizontal="center" vertical="center"/>
    </xf>
    <xf numFmtId="0" fontId="54" fillId="0" borderId="63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2" fontId="17" fillId="2" borderId="18" xfId="0" applyNumberFormat="1" applyFont="1" applyFill="1" applyBorder="1" applyAlignment="1">
      <alignment horizontal="center" vertical="center"/>
    </xf>
    <xf numFmtId="2" fontId="17" fillId="2" borderId="66" xfId="0" applyNumberFormat="1" applyFont="1" applyFill="1" applyBorder="1" applyAlignment="1">
      <alignment horizontal="center" vertical="center"/>
    </xf>
    <xf numFmtId="2" fontId="17" fillId="2" borderId="11" xfId="0" applyNumberFormat="1" applyFont="1" applyFill="1" applyBorder="1" applyAlignment="1">
      <alignment horizontal="center" vertical="center"/>
    </xf>
    <xf numFmtId="2" fontId="17" fillId="2" borderId="4" xfId="0" applyNumberFormat="1" applyFont="1" applyFill="1" applyBorder="1" applyAlignment="1">
      <alignment horizontal="center" vertical="center"/>
    </xf>
    <xf numFmtId="0" fontId="54" fillId="2" borderId="87" xfId="0" applyFont="1" applyFill="1" applyBorder="1" applyAlignment="1">
      <alignment horizontal="center" vertical="center"/>
    </xf>
    <xf numFmtId="2" fontId="17" fillId="2" borderId="24" xfId="0" applyNumberFormat="1" applyFont="1" applyFill="1" applyBorder="1" applyAlignment="1">
      <alignment horizontal="center"/>
    </xf>
    <xf numFmtId="2" fontId="17" fillId="2" borderId="92" xfId="0" applyNumberFormat="1" applyFont="1" applyFill="1" applyBorder="1" applyAlignment="1">
      <alignment horizontal="center" vertical="center"/>
    </xf>
    <xf numFmtId="0" fontId="54" fillId="48" borderId="63" xfId="0" applyFont="1" applyFill="1" applyBorder="1" applyAlignment="1">
      <alignment horizontal="center"/>
    </xf>
    <xf numFmtId="0" fontId="54" fillId="48" borderId="19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left" vertical="center"/>
    </xf>
    <xf numFmtId="0" fontId="17" fillId="48" borderId="21" xfId="0" applyFont="1" applyFill="1" applyBorder="1" applyAlignment="1">
      <alignment horizontal="left" vertical="center"/>
    </xf>
    <xf numFmtId="0" fontId="17" fillId="48" borderId="44" xfId="0" applyFont="1" applyFill="1" applyBorder="1" applyAlignment="1">
      <alignment horizontal="left" vertical="center"/>
    </xf>
    <xf numFmtId="0" fontId="17" fillId="48" borderId="27" xfId="0" applyFont="1" applyFill="1" applyBorder="1" applyAlignment="1">
      <alignment horizontal="left" vertical="center"/>
    </xf>
    <xf numFmtId="0" fontId="17" fillId="2" borderId="75" xfId="0" applyFont="1" applyFill="1" applyBorder="1" applyAlignment="1">
      <alignment horizontal="center" vertical="center"/>
    </xf>
    <xf numFmtId="0" fontId="17" fillId="7" borderId="75" xfId="0" applyFont="1" applyFill="1" applyBorder="1" applyAlignment="1">
      <alignment horizontal="center" vertical="center"/>
    </xf>
    <xf numFmtId="2" fontId="17" fillId="7" borderId="26" xfId="0" applyNumberFormat="1" applyFont="1" applyFill="1" applyBorder="1" applyAlignment="1">
      <alignment horizontal="center" vertical="center"/>
    </xf>
    <xf numFmtId="0" fontId="54" fillId="2" borderId="63" xfId="0" applyFont="1" applyFill="1" applyBorder="1" applyAlignment="1">
      <alignment horizontal="center"/>
    </xf>
    <xf numFmtId="0" fontId="17" fillId="2" borderId="12" xfId="0" applyFont="1" applyFill="1" applyBorder="1" applyAlignment="1">
      <alignment horizontal="left"/>
    </xf>
    <xf numFmtId="0" fontId="17" fillId="2" borderId="73" xfId="0" applyFont="1" applyFill="1" applyBorder="1" applyAlignment="1">
      <alignment horizontal="left"/>
    </xf>
    <xf numFmtId="0" fontId="17" fillId="2" borderId="25" xfId="0" applyFont="1" applyFill="1" applyBorder="1" applyAlignment="1">
      <alignment horizontal="left"/>
    </xf>
    <xf numFmtId="0" fontId="54" fillId="2" borderId="22" xfId="0" applyFont="1" applyFill="1" applyBorder="1" applyAlignment="1">
      <alignment horizontal="center"/>
    </xf>
    <xf numFmtId="0" fontId="54" fillId="2" borderId="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54" fillId="48" borderId="67" xfId="0" applyFont="1" applyFill="1" applyBorder="1" applyAlignment="1">
      <alignment horizontal="center" vertical="center"/>
    </xf>
    <xf numFmtId="0" fontId="54" fillId="48" borderId="64" xfId="0" applyFont="1" applyFill="1" applyBorder="1" applyAlignment="1">
      <alignment horizontal="center" vertical="center"/>
    </xf>
    <xf numFmtId="0" fontId="54" fillId="48" borderId="25" xfId="0" applyFont="1" applyFill="1" applyBorder="1" applyAlignment="1">
      <alignment horizontal="center" vertical="center"/>
    </xf>
    <xf numFmtId="0" fontId="55" fillId="48" borderId="9" xfId="0" applyFont="1" applyFill="1" applyBorder="1" applyAlignment="1">
      <alignment horizontal="left" vertical="center"/>
    </xf>
    <xf numFmtId="0" fontId="55" fillId="48" borderId="75" xfId="0" applyFont="1" applyFill="1" applyBorder="1" applyAlignment="1">
      <alignment horizontal="left" vertical="center"/>
    </xf>
    <xf numFmtId="0" fontId="55" fillId="48" borderId="26" xfId="0" applyFont="1" applyFill="1" applyBorder="1" applyAlignment="1">
      <alignment horizontal="left" vertical="center"/>
    </xf>
    <xf numFmtId="0" fontId="56" fillId="2" borderId="63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 vertical="center"/>
    </xf>
    <xf numFmtId="0" fontId="56" fillId="2" borderId="10" xfId="0" applyFont="1" applyFill="1" applyBorder="1" applyAlignment="1">
      <alignment horizontal="center"/>
    </xf>
    <xf numFmtId="0" fontId="17" fillId="0" borderId="3" xfId="0" applyFont="1" applyBorder="1" applyAlignment="1">
      <alignment vertical="center"/>
    </xf>
    <xf numFmtId="0" fontId="54" fillId="0" borderId="94" xfId="0" applyFont="1" applyBorder="1" applyAlignment="1">
      <alignment horizontal="center" vertical="center"/>
    </xf>
    <xf numFmtId="0" fontId="54" fillId="0" borderId="80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7" fillId="2" borderId="0" xfId="0" applyFont="1" applyFill="1" applyAlignment="1">
      <alignment horizontal="center"/>
    </xf>
    <xf numFmtId="164" fontId="17" fillId="2" borderId="0" xfId="0" applyNumberFormat="1" applyFont="1" applyFill="1" applyAlignment="1">
      <alignment horizontal="center"/>
    </xf>
    <xf numFmtId="0" fontId="17" fillId="7" borderId="0" xfId="0" applyFont="1" applyFill="1" applyAlignment="1">
      <alignment horizontal="center"/>
    </xf>
    <xf numFmtId="2" fontId="17" fillId="7" borderId="0" xfId="0" applyNumberFormat="1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2" borderId="17" xfId="0" applyFont="1" applyFill="1" applyBorder="1" applyAlignment="1">
      <alignment horizontal="left"/>
    </xf>
    <xf numFmtId="0" fontId="17" fillId="2" borderId="17" xfId="0" applyFont="1" applyFill="1" applyBorder="1" applyAlignment="1">
      <alignment horizontal="center"/>
    </xf>
    <xf numFmtId="164" fontId="17" fillId="2" borderId="17" xfId="0" applyNumberFormat="1" applyFont="1" applyFill="1" applyBorder="1" applyAlignment="1">
      <alignment horizontal="center"/>
    </xf>
    <xf numFmtId="0" fontId="17" fillId="7" borderId="17" xfId="0" applyFont="1" applyFill="1" applyBorder="1" applyAlignment="1">
      <alignment horizontal="center"/>
    </xf>
    <xf numFmtId="2" fontId="17" fillId="7" borderId="17" xfId="0" applyNumberFormat="1" applyFont="1" applyFill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164" fontId="17" fillId="2" borderId="64" xfId="0" applyNumberFormat="1" applyFont="1" applyFill="1" applyBorder="1" applyAlignment="1">
      <alignment horizontal="center"/>
    </xf>
    <xf numFmtId="0" fontId="17" fillId="7" borderId="64" xfId="0" applyFont="1" applyFill="1" applyBorder="1" applyAlignment="1">
      <alignment horizontal="center"/>
    </xf>
    <xf numFmtId="2" fontId="17" fillId="7" borderId="64" xfId="0" applyNumberFormat="1" applyFont="1" applyFill="1" applyBorder="1" applyAlignment="1">
      <alignment horizontal="center"/>
    </xf>
    <xf numFmtId="0" fontId="17" fillId="0" borderId="64" xfId="0" applyFont="1" applyBorder="1" applyAlignment="1">
      <alignment horizontal="center"/>
    </xf>
    <xf numFmtId="2" fontId="17" fillId="2" borderId="64" xfId="0" applyNumberFormat="1" applyFont="1" applyFill="1" applyBorder="1" applyAlignment="1">
      <alignment horizontal="left"/>
    </xf>
    <xf numFmtId="2" fontId="16" fillId="2" borderId="64" xfId="0" applyNumberFormat="1" applyFont="1" applyFill="1" applyBorder="1" applyAlignment="1">
      <alignment horizontal="center" vertical="center"/>
    </xf>
    <xf numFmtId="164" fontId="16" fillId="2" borderId="64" xfId="0" applyNumberFormat="1" applyFont="1" applyFill="1" applyBorder="1" applyAlignment="1">
      <alignment horizontal="center" vertical="center"/>
    </xf>
    <xf numFmtId="2" fontId="16" fillId="7" borderId="64" xfId="0" applyNumberFormat="1" applyFont="1" applyFill="1" applyBorder="1" applyAlignment="1">
      <alignment horizontal="center" vertical="center"/>
    </xf>
    <xf numFmtId="2" fontId="16" fillId="0" borderId="64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4" fillId="0" borderId="70" xfId="0" applyNumberFormat="1" applyFont="1" applyBorder="1" applyAlignment="1">
      <alignment horizontal="center" vertical="center"/>
    </xf>
    <xf numFmtId="0" fontId="16" fillId="2" borderId="64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horizontal="center" vertical="center"/>
    </xf>
    <xf numFmtId="0" fontId="16" fillId="0" borderId="6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left"/>
    </xf>
    <xf numFmtId="2" fontId="16" fillId="2" borderId="5" xfId="0" applyNumberFormat="1" applyFont="1" applyFill="1" applyBorder="1" applyAlignment="1">
      <alignment horizontal="center" vertical="center"/>
    </xf>
    <xf numFmtId="164" fontId="16" fillId="2" borderId="5" xfId="0" applyNumberFormat="1" applyFont="1" applyFill="1" applyBorder="1" applyAlignment="1">
      <alignment horizontal="center" vertical="center"/>
    </xf>
    <xf numFmtId="2" fontId="16" fillId="7" borderId="5" xfId="0" applyNumberFormat="1" applyFont="1" applyFill="1" applyBorder="1" applyAlignment="1">
      <alignment horizontal="center" vertical="center"/>
    </xf>
    <xf numFmtId="2" fontId="16" fillId="0" borderId="5" xfId="0" applyNumberFormat="1" applyFont="1" applyBorder="1" applyAlignment="1">
      <alignment horizontal="center" vertical="center"/>
    </xf>
    <xf numFmtId="2" fontId="18" fillId="0" borderId="39" xfId="0" applyNumberFormat="1" applyFont="1" applyBorder="1" applyAlignment="1">
      <alignment horizontal="center"/>
    </xf>
    <xf numFmtId="2" fontId="55" fillId="2" borderId="64" xfId="0" applyNumberFormat="1" applyFont="1" applyFill="1" applyBorder="1" applyAlignment="1">
      <alignment horizontal="left" vertical="center" wrapText="1"/>
    </xf>
    <xf numFmtId="2" fontId="14" fillId="0" borderId="70" xfId="0" applyNumberFormat="1" applyFont="1" applyBorder="1" applyAlignment="1">
      <alignment horizontal="center"/>
    </xf>
    <xf numFmtId="2" fontId="16" fillId="2" borderId="64" xfId="0" applyNumberFormat="1" applyFont="1" applyFill="1" applyBorder="1" applyAlignment="1">
      <alignment horizontal="left" vertical="center"/>
    </xf>
    <xf numFmtId="2" fontId="16" fillId="0" borderId="66" xfId="0" applyNumberFormat="1" applyFont="1" applyBorder="1" applyAlignment="1">
      <alignment horizontal="center"/>
    </xf>
    <xf numFmtId="2" fontId="18" fillId="0" borderId="23" xfId="0" applyNumberFormat="1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64" xfId="0" applyFont="1" applyBorder="1"/>
    <xf numFmtId="2" fontId="17" fillId="0" borderId="64" xfId="9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2" fontId="17" fillId="0" borderId="5" xfId="9" applyNumberFormat="1" applyFont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2" fontId="7" fillId="50" borderId="64" xfId="0" applyNumberFormat="1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2" fontId="7" fillId="0" borderId="64" xfId="0" applyNumberFormat="1" applyFont="1" applyBorder="1" applyAlignment="1">
      <alignment horizontal="center" vertical="center"/>
    </xf>
    <xf numFmtId="0" fontId="17" fillId="0" borderId="5" xfId="0" applyFont="1" applyBorder="1"/>
    <xf numFmtId="0" fontId="17" fillId="0" borderId="95" xfId="0" applyFont="1" applyBorder="1"/>
    <xf numFmtId="0" fontId="17" fillId="0" borderId="96" xfId="0" applyFont="1" applyBorder="1"/>
    <xf numFmtId="0" fontId="17" fillId="0" borderId="97" xfId="0" applyFont="1" applyBorder="1"/>
    <xf numFmtId="0" fontId="7" fillId="0" borderId="0" xfId="0" applyFont="1" applyAlignment="1">
      <alignment horizontal="center" vertical="center"/>
    </xf>
    <xf numFmtId="0" fontId="17" fillId="0" borderId="99" xfId="0" applyFont="1" applyBorder="1"/>
    <xf numFmtId="2" fontId="7" fillId="2" borderId="64" xfId="0" applyNumberFormat="1" applyFont="1" applyFill="1" applyBorder="1" applyAlignment="1">
      <alignment horizontal="left" vertical="center"/>
    </xf>
    <xf numFmtId="0" fontId="7" fillId="2" borderId="64" xfId="0" applyFont="1" applyFill="1" applyBorder="1" applyAlignment="1">
      <alignment horizontal="left" vertical="center"/>
    </xf>
    <xf numFmtId="2" fontId="7" fillId="2" borderId="64" xfId="0" applyNumberFormat="1" applyFont="1" applyFill="1" applyBorder="1" applyAlignment="1">
      <alignment horizontal="center" vertical="center"/>
    </xf>
    <xf numFmtId="164" fontId="7" fillId="2" borderId="64" xfId="0" applyNumberFormat="1" applyFont="1" applyFill="1" applyBorder="1" applyAlignment="1">
      <alignment horizontal="center" vertical="center"/>
    </xf>
    <xf numFmtId="2" fontId="7" fillId="7" borderId="64" xfId="0" applyNumberFormat="1" applyFont="1" applyFill="1" applyBorder="1" applyAlignment="1">
      <alignment horizontal="center" vertical="center"/>
    </xf>
    <xf numFmtId="0" fontId="7" fillId="7" borderId="64" xfId="0" applyFont="1" applyFill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2" fontId="7" fillId="51" borderId="98" xfId="0" applyNumberFormat="1" applyFont="1" applyFill="1" applyBorder="1" applyAlignment="1">
      <alignment horizontal="center" vertical="center"/>
    </xf>
    <xf numFmtId="2" fontId="7" fillId="0" borderId="98" xfId="0" applyNumberFormat="1" applyFont="1" applyBorder="1" applyAlignment="1">
      <alignment horizontal="center" vertical="center"/>
    </xf>
    <xf numFmtId="0" fontId="5" fillId="2" borderId="0" xfId="0" applyFont="1" applyFill="1"/>
    <xf numFmtId="0" fontId="5" fillId="0" borderId="0" xfId="0" applyFont="1" applyAlignment="1">
      <alignment horizontal="center" vertical="center"/>
    </xf>
    <xf numFmtId="0" fontId="17" fillId="0" borderId="100" xfId="0" applyFont="1" applyBorder="1"/>
    <xf numFmtId="0" fontId="17" fillId="0" borderId="101" xfId="0" applyFont="1" applyBorder="1"/>
    <xf numFmtId="0" fontId="17" fillId="0" borderId="102" xfId="0" applyFont="1" applyBorder="1"/>
    <xf numFmtId="2" fontId="7" fillId="51" borderId="64" xfId="0" applyNumberFormat="1" applyFont="1" applyFill="1" applyBorder="1" applyAlignment="1">
      <alignment horizontal="center" vertical="center"/>
    </xf>
    <xf numFmtId="0" fontId="7" fillId="2" borderId="63" xfId="0" applyFont="1" applyFill="1" applyBorder="1" applyAlignment="1">
      <alignment horizontal="left" vertical="center"/>
    </xf>
    <xf numFmtId="0" fontId="7" fillId="2" borderId="6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/>
    </xf>
    <xf numFmtId="2" fontId="7" fillId="2" borderId="5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64" fontId="7" fillId="2" borderId="63" xfId="0" applyNumberFormat="1" applyFont="1" applyFill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64" fontId="7" fillId="2" borderId="3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7" fillId="53" borderId="63" xfId="0" applyFont="1" applyFill="1" applyBorder="1" applyAlignment="1">
      <alignment horizontal="center" vertical="center"/>
    </xf>
    <xf numFmtId="2" fontId="7" fillId="53" borderId="64" xfId="0" applyNumberFormat="1" applyFont="1" applyFill="1" applyBorder="1" applyAlignment="1">
      <alignment horizontal="center" vertical="center"/>
    </xf>
    <xf numFmtId="0" fontId="7" fillId="53" borderId="64" xfId="0" applyFont="1" applyFill="1" applyBorder="1" applyAlignment="1">
      <alignment horizontal="center" vertical="center"/>
    </xf>
    <xf numFmtId="0" fontId="7" fillId="53" borderId="66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7" fillId="2" borderId="64" xfId="0" applyFont="1" applyFill="1" applyBorder="1" applyAlignment="1">
      <alignment horizontal="center"/>
    </xf>
    <xf numFmtId="0" fontId="9" fillId="2" borderId="64" xfId="0" applyFont="1" applyFill="1" applyBorder="1" applyAlignment="1">
      <alignment horizontal="center"/>
    </xf>
    <xf numFmtId="0" fontId="7" fillId="53" borderId="3" xfId="0" applyFont="1" applyFill="1" applyBorder="1" applyAlignment="1">
      <alignment horizontal="center" vertical="center"/>
    </xf>
    <xf numFmtId="2" fontId="7" fillId="53" borderId="5" xfId="0" applyNumberFormat="1" applyFont="1" applyFill="1" applyBorder="1" applyAlignment="1">
      <alignment horizontal="center" vertical="center"/>
    </xf>
    <xf numFmtId="0" fontId="7" fillId="53" borderId="5" xfId="0" applyFont="1" applyFill="1" applyBorder="1" applyAlignment="1">
      <alignment horizontal="center" vertical="center"/>
    </xf>
    <xf numFmtId="0" fontId="7" fillId="53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7" fillId="0" borderId="64" xfId="0" applyFont="1" applyBorder="1" applyAlignment="1">
      <alignment horizontal="center"/>
    </xf>
    <xf numFmtId="2" fontId="7" fillId="0" borderId="64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2" fontId="7" fillId="50" borderId="6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2" fontId="9" fillId="2" borderId="64" xfId="0" applyNumberFormat="1" applyFont="1" applyFill="1" applyBorder="1" applyAlignment="1">
      <alignment horizontal="center" vertical="center"/>
    </xf>
    <xf numFmtId="0" fontId="17" fillId="12" borderId="0" xfId="0" applyFont="1" applyFill="1"/>
    <xf numFmtId="0" fontId="7" fillId="7" borderId="0" xfId="0" applyFont="1" applyFill="1"/>
    <xf numFmtId="0" fontId="7" fillId="12" borderId="0" xfId="0" applyFont="1" applyFill="1" applyAlignment="1">
      <alignment horizontal="center" vertical="center"/>
    </xf>
    <xf numFmtId="0" fontId="7" fillId="12" borderId="0" xfId="0" applyFont="1" applyFill="1"/>
    <xf numFmtId="0" fontId="7" fillId="0" borderId="80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wrapText="1"/>
    </xf>
    <xf numFmtId="0" fontId="9" fillId="0" borderId="23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6" fillId="12" borderId="53" xfId="0" applyFont="1" applyFill="1" applyBorder="1" applyAlignment="1">
      <alignment wrapText="1"/>
    </xf>
    <xf numFmtId="0" fontId="9" fillId="12" borderId="23" xfId="0" applyFont="1" applyFill="1" applyBorder="1" applyAlignment="1">
      <alignment horizontal="center" vertical="center"/>
    </xf>
    <xf numFmtId="0" fontId="16" fillId="0" borderId="53" xfId="0" applyFont="1" applyBorder="1" applyAlignment="1">
      <alignment wrapText="1"/>
    </xf>
    <xf numFmtId="2" fontId="9" fillId="0" borderId="23" xfId="0" applyNumberFormat="1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2" borderId="64" xfId="0" applyFont="1" applyFill="1" applyBorder="1" applyAlignment="1">
      <alignment horizontal="left"/>
    </xf>
    <xf numFmtId="0" fontId="9" fillId="2" borderId="66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2" fontId="9" fillId="7" borderId="64" xfId="0" applyNumberFormat="1" applyFont="1" applyFill="1" applyBorder="1" applyAlignment="1">
      <alignment horizontal="center" vertical="center" wrapText="1"/>
    </xf>
    <xf numFmtId="0" fontId="9" fillId="2" borderId="66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6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7" fillId="0" borderId="44" xfId="0" applyFont="1" applyBorder="1" applyAlignment="1">
      <alignment wrapText="1"/>
    </xf>
    <xf numFmtId="0" fontId="7" fillId="0" borderId="63" xfId="0" applyFont="1" applyBorder="1" applyAlignment="1">
      <alignment horizontal="left" vertical="center"/>
    </xf>
    <xf numFmtId="2" fontId="9" fillId="54" borderId="64" xfId="0" applyNumberFormat="1" applyFont="1" applyFill="1" applyBorder="1" applyAlignment="1">
      <alignment horizontal="left" wrapText="1"/>
    </xf>
    <xf numFmtId="0" fontId="7" fillId="2" borderId="64" xfId="0" applyFont="1" applyFill="1" applyBorder="1" applyAlignment="1">
      <alignment horizontal="left" wrapText="1"/>
    </xf>
    <xf numFmtId="2" fontId="7" fillId="2" borderId="66" xfId="0" applyNumberFormat="1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 vertical="center"/>
    </xf>
    <xf numFmtId="0" fontId="9" fillId="7" borderId="64" xfId="0" applyFont="1" applyFill="1" applyBorder="1" applyAlignment="1">
      <alignment horizontal="center" vertical="center" wrapText="1"/>
    </xf>
    <xf numFmtId="2" fontId="7" fillId="7" borderId="64" xfId="0" applyNumberFormat="1" applyFont="1" applyFill="1" applyBorder="1" applyAlignment="1">
      <alignment horizontal="center" vertical="center" wrapText="1"/>
    </xf>
    <xf numFmtId="2" fontId="9" fillId="2" borderId="66" xfId="0" applyNumberFormat="1" applyFont="1" applyFill="1" applyBorder="1" applyAlignment="1">
      <alignment horizontal="center" vertical="center" wrapText="1"/>
    </xf>
    <xf numFmtId="0" fontId="9" fillId="55" borderId="64" xfId="0" applyFont="1" applyFill="1" applyBorder="1" applyAlignment="1">
      <alignment horizontal="center" vertical="center" wrapText="1"/>
    </xf>
    <xf numFmtId="0" fontId="7" fillId="0" borderId="64" xfId="0" applyFont="1" applyBorder="1" applyAlignment="1">
      <alignment horizontal="center" vertical="center" wrapText="1"/>
    </xf>
    <xf numFmtId="2" fontId="9" fillId="0" borderId="66" xfId="0" applyNumberFormat="1" applyFont="1" applyBorder="1" applyAlignment="1">
      <alignment horizontal="center" vertical="center" wrapText="1"/>
    </xf>
    <xf numFmtId="0" fontId="5" fillId="2" borderId="63" xfId="0" applyFont="1" applyFill="1" applyBorder="1"/>
    <xf numFmtId="0" fontId="5" fillId="7" borderId="64" xfId="0" applyFont="1" applyFill="1" applyBorder="1" applyAlignment="1">
      <alignment horizontal="center"/>
    </xf>
    <xf numFmtId="2" fontId="5" fillId="7" borderId="64" xfId="0" applyNumberFormat="1" applyFont="1" applyFill="1" applyBorder="1" applyAlignment="1">
      <alignment horizontal="center"/>
    </xf>
    <xf numFmtId="0" fontId="5" fillId="2" borderId="66" xfId="0" applyFont="1" applyFill="1" applyBorder="1"/>
    <xf numFmtId="0" fontId="9" fillId="57" borderId="64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7" fillId="0" borderId="60" xfId="0" applyFont="1" applyBorder="1" applyAlignment="1">
      <alignment horizontal="center"/>
    </xf>
    <xf numFmtId="0" fontId="9" fillId="55" borderId="24" xfId="0" applyFont="1" applyFill="1" applyBorder="1" applyAlignment="1">
      <alignment horizontal="center" vertical="center" wrapText="1"/>
    </xf>
    <xf numFmtId="2" fontId="9" fillId="0" borderId="20" xfId="0" applyNumberFormat="1" applyFont="1" applyBorder="1" applyAlignment="1">
      <alignment horizontal="center" vertical="center" wrapText="1"/>
    </xf>
    <xf numFmtId="0" fontId="7" fillId="2" borderId="80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 wrapText="1"/>
    </xf>
    <xf numFmtId="2" fontId="7" fillId="7" borderId="26" xfId="0" applyNumberFormat="1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169" fontId="7" fillId="7" borderId="64" xfId="0" applyNumberFormat="1" applyFont="1" applyFill="1" applyBorder="1" applyAlignment="1">
      <alignment horizontal="center" vertical="center" wrapText="1"/>
    </xf>
    <xf numFmtId="169" fontId="9" fillId="0" borderId="64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2" fontId="9" fillId="2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2" fontId="9" fillId="0" borderId="4" xfId="0" applyNumberFormat="1" applyFont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left"/>
    </xf>
    <xf numFmtId="2" fontId="54" fillId="2" borderId="4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0" fontId="6" fillId="2" borderId="64" xfId="0" applyFont="1" applyFill="1" applyBorder="1" applyAlignment="1">
      <alignment horizontal="left" vertical="center" wrapText="1"/>
    </xf>
    <xf numFmtId="2" fontId="14" fillId="9" borderId="46" xfId="0" applyNumberFormat="1" applyFont="1" applyFill="1" applyBorder="1" applyAlignment="1">
      <alignment horizontal="center"/>
    </xf>
    <xf numFmtId="0" fontId="14" fillId="9" borderId="46" xfId="0" applyFont="1" applyFill="1" applyBorder="1" applyAlignment="1">
      <alignment horizontal="center"/>
    </xf>
    <xf numFmtId="0" fontId="14" fillId="6" borderId="46" xfId="0" applyFont="1" applyFill="1" applyBorder="1" applyAlignment="1">
      <alignment horizontal="center"/>
    </xf>
    <xf numFmtId="2" fontId="14" fillId="28" borderId="46" xfId="0" applyNumberFormat="1" applyFont="1" applyFill="1" applyBorder="1" applyAlignment="1">
      <alignment horizontal="center"/>
    </xf>
    <xf numFmtId="4" fontId="14" fillId="28" borderId="46" xfId="0" applyNumberFormat="1" applyFont="1" applyFill="1" applyBorder="1" applyAlignment="1">
      <alignment horizontal="center"/>
    </xf>
    <xf numFmtId="0" fontId="14" fillId="28" borderId="46" xfId="0" applyFont="1" applyFill="1" applyBorder="1" applyAlignment="1">
      <alignment horizontal="center"/>
    </xf>
    <xf numFmtId="2" fontId="14" fillId="6" borderId="46" xfId="0" applyNumberFormat="1" applyFont="1" applyFill="1" applyBorder="1" applyAlignment="1">
      <alignment horizontal="center"/>
    </xf>
    <xf numFmtId="164" fontId="13" fillId="2" borderId="63" xfId="0" applyNumberFormat="1" applyFont="1" applyFill="1" applyBorder="1" applyAlignment="1">
      <alignment horizontal="center"/>
    </xf>
    <xf numFmtId="0" fontId="14" fillId="7" borderId="64" xfId="0" applyFont="1" applyFill="1" applyBorder="1" applyAlignment="1">
      <alignment horizontal="center"/>
    </xf>
    <xf numFmtId="2" fontId="14" fillId="12" borderId="66" xfId="0" applyNumberFormat="1" applyFont="1" applyFill="1" applyBorder="1" applyAlignment="1">
      <alignment horizontal="center"/>
    </xf>
    <xf numFmtId="0" fontId="29" fillId="12" borderId="51" xfId="0" applyFont="1" applyFill="1" applyBorder="1"/>
    <xf numFmtId="3" fontId="14" fillId="7" borderId="29" xfId="0" applyNumberFormat="1" applyFont="1" applyFill="1" applyBorder="1" applyAlignment="1">
      <alignment horizontal="center"/>
    </xf>
    <xf numFmtId="0" fontId="29" fillId="13" borderId="64" xfId="0" applyFont="1" applyFill="1" applyBorder="1" applyAlignment="1">
      <alignment vertical="center" wrapText="1"/>
    </xf>
    <xf numFmtId="0" fontId="35" fillId="13" borderId="40" xfId="0" applyFont="1" applyFill="1" applyBorder="1"/>
    <xf numFmtId="4" fontId="14" fillId="4" borderId="64" xfId="0" applyNumberFormat="1" applyFont="1" applyFill="1" applyBorder="1" applyAlignment="1">
      <alignment horizontal="center"/>
    </xf>
    <xf numFmtId="3" fontId="11" fillId="6" borderId="29" xfId="0" applyNumberFormat="1" applyFont="1" applyFill="1" applyBorder="1" applyAlignment="1">
      <alignment horizontal="center" vertical="center" wrapText="1"/>
    </xf>
    <xf numFmtId="164" fontId="11" fillId="7" borderId="29" xfId="0" applyNumberFormat="1" applyFont="1" applyFill="1" applyBorder="1" applyAlignment="1">
      <alignment horizontal="center" vertical="center" wrapText="1"/>
    </xf>
    <xf numFmtId="164" fontId="13" fillId="7" borderId="5" xfId="0" applyNumberFormat="1" applyFont="1" applyFill="1" applyBorder="1" applyAlignment="1">
      <alignment horizontal="center" vertical="center" wrapText="1"/>
    </xf>
    <xf numFmtId="0" fontId="44" fillId="13" borderId="47" xfId="0" applyFont="1" applyFill="1" applyBorder="1" applyAlignment="1">
      <alignment horizontal="left" vertical="top"/>
    </xf>
    <xf numFmtId="0" fontId="0" fillId="0" borderId="27" xfId="0" applyFill="1" applyBorder="1"/>
    <xf numFmtId="0" fontId="6" fillId="0" borderId="26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vertical="center"/>
    </xf>
    <xf numFmtId="164" fontId="14" fillId="0" borderId="13" xfId="0" applyNumberFormat="1" applyFont="1" applyFill="1" applyBorder="1" applyAlignment="1">
      <alignment horizontal="center"/>
    </xf>
    <xf numFmtId="0" fontId="14" fillId="0" borderId="32" xfId="0" applyFont="1" applyFill="1" applyBorder="1" applyAlignment="1">
      <alignment horizontal="center"/>
    </xf>
    <xf numFmtId="2" fontId="14" fillId="0" borderId="32" xfId="0" applyNumberFormat="1" applyFont="1" applyFill="1" applyBorder="1" applyAlignment="1">
      <alignment horizontal="center"/>
    </xf>
    <xf numFmtId="2" fontId="14" fillId="0" borderId="14" xfId="0" applyNumberFormat="1" applyFont="1" applyFill="1" applyBorder="1" applyAlignment="1">
      <alignment horizontal="center"/>
    </xf>
    <xf numFmtId="164" fontId="14" fillId="0" borderId="19" xfId="0" applyNumberFormat="1" applyFont="1" applyFill="1" applyBorder="1" applyAlignment="1">
      <alignment horizontal="center"/>
    </xf>
    <xf numFmtId="0" fontId="14" fillId="0" borderId="22" xfId="0" applyFont="1" applyFill="1" applyBorder="1" applyAlignment="1">
      <alignment horizontal="center"/>
    </xf>
    <xf numFmtId="2" fontId="14" fillId="0" borderId="22" xfId="0" applyNumberFormat="1" applyFont="1" applyFill="1" applyBorder="1" applyAlignment="1">
      <alignment horizontal="center"/>
    </xf>
    <xf numFmtId="2" fontId="14" fillId="0" borderId="20" xfId="0" applyNumberFormat="1" applyFont="1" applyFill="1" applyBorder="1" applyAlignment="1">
      <alignment horizontal="center"/>
    </xf>
    <xf numFmtId="164" fontId="14" fillId="0" borderId="27" xfId="0" applyNumberFormat="1" applyFont="1" applyFill="1" applyBorder="1" applyAlignment="1">
      <alignment horizontal="center"/>
    </xf>
    <xf numFmtId="164" fontId="14" fillId="0" borderId="22" xfId="0" applyNumberFormat="1" applyFont="1" applyFill="1" applyBorder="1" applyAlignment="1">
      <alignment horizontal="center"/>
    </xf>
    <xf numFmtId="0" fontId="0" fillId="0" borderId="22" xfId="0" applyFill="1" applyBorder="1"/>
    <xf numFmtId="2" fontId="18" fillId="0" borderId="22" xfId="0" applyNumberFormat="1" applyFont="1" applyFill="1" applyBorder="1" applyAlignment="1">
      <alignment horizontal="center"/>
    </xf>
    <xf numFmtId="164" fontId="14" fillId="14" borderId="29" xfId="0" applyNumberFormat="1" applyFont="1" applyFill="1" applyBorder="1" applyAlignment="1">
      <alignment horizontal="center"/>
    </xf>
    <xf numFmtId="164" fontId="13" fillId="7" borderId="46" xfId="0" applyNumberFormat="1" applyFont="1" applyFill="1" applyBorder="1" applyAlignment="1">
      <alignment horizontal="center"/>
    </xf>
    <xf numFmtId="0" fontId="29" fillId="12" borderId="16" xfId="0" applyFont="1" applyFill="1" applyBorder="1"/>
    <xf numFmtId="4" fontId="14" fillId="6" borderId="51" xfId="0" applyNumberFormat="1" applyFont="1" applyFill="1" applyBorder="1" applyAlignment="1">
      <alignment horizontal="center"/>
    </xf>
    <xf numFmtId="0" fontId="29" fillId="12" borderId="32" xfId="0" applyFont="1" applyFill="1" applyBorder="1"/>
    <xf numFmtId="3" fontId="14" fillId="6" borderId="32" xfId="0" applyNumberFormat="1" applyFont="1" applyFill="1" applyBorder="1" applyAlignment="1">
      <alignment horizontal="center"/>
    </xf>
    <xf numFmtId="0" fontId="27" fillId="12" borderId="0" xfId="0" applyFont="1" applyFill="1"/>
    <xf numFmtId="2" fontId="14" fillId="7" borderId="29" xfId="0" applyNumberFormat="1" applyFont="1" applyFill="1" applyBorder="1" applyAlignment="1">
      <alignment horizontal="center" wrapText="1"/>
    </xf>
    <xf numFmtId="2" fontId="18" fillId="12" borderId="22" xfId="0" applyNumberFormat="1" applyFont="1" applyFill="1" applyBorder="1" applyAlignment="1">
      <alignment horizontal="center"/>
    </xf>
    <xf numFmtId="3" fontId="14" fillId="7" borderId="32" xfId="0" applyNumberFormat="1" applyFont="1" applyFill="1" applyBorder="1" applyAlignment="1">
      <alignment horizontal="center"/>
    </xf>
    <xf numFmtId="4" fontId="14" fillId="6" borderId="46" xfId="0" applyNumberFormat="1" applyFont="1" applyFill="1" applyBorder="1" applyAlignment="1">
      <alignment horizontal="center"/>
    </xf>
    <xf numFmtId="2" fontId="0" fillId="12" borderId="22" xfId="0" applyNumberFormat="1" applyFill="1" applyBorder="1"/>
    <xf numFmtId="2" fontId="14" fillId="8" borderId="32" xfId="0" applyNumberFormat="1" applyFont="1" applyFill="1" applyBorder="1" applyAlignment="1">
      <alignment horizontal="center"/>
    </xf>
    <xf numFmtId="0" fontId="0" fillId="12" borderId="46" xfId="0" applyFill="1" applyBorder="1"/>
    <xf numFmtId="4" fontId="14" fillId="8" borderId="29" xfId="0" applyNumberFormat="1" applyFont="1" applyFill="1" applyBorder="1" applyAlignment="1">
      <alignment horizontal="center"/>
    </xf>
    <xf numFmtId="0" fontId="18" fillId="14" borderId="5" xfId="0" applyFont="1" applyFill="1" applyBorder="1" applyAlignment="1">
      <alignment horizontal="center"/>
    </xf>
    <xf numFmtId="4" fontId="14" fillId="7" borderId="64" xfId="0" applyNumberFormat="1" applyFont="1" applyFill="1" applyBorder="1" applyAlignment="1">
      <alignment horizontal="center"/>
    </xf>
    <xf numFmtId="4" fontId="29" fillId="13" borderId="5" xfId="0" applyNumberFormat="1" applyFont="1" applyFill="1" applyBorder="1"/>
    <xf numFmtId="0" fontId="60" fillId="13" borderId="5" xfId="0" applyFont="1" applyFill="1" applyBorder="1"/>
    <xf numFmtId="2" fontId="14" fillId="27" borderId="29" xfId="0" applyNumberFormat="1" applyFont="1" applyFill="1" applyBorder="1" applyAlignment="1">
      <alignment horizontal="center"/>
    </xf>
    <xf numFmtId="0" fontId="44" fillId="13" borderId="47" xfId="15" applyFont="1" applyFill="1" applyBorder="1" applyAlignment="1">
      <alignment horizontal="left" vertical="top"/>
    </xf>
    <xf numFmtId="0" fontId="14" fillId="13" borderId="22" xfId="0" applyFont="1" applyFill="1" applyBorder="1" applyAlignment="1">
      <alignment horizontal="center"/>
    </xf>
    <xf numFmtId="2" fontId="11" fillId="24" borderId="43" xfId="0" applyNumberFormat="1" applyFont="1" applyFill="1" applyBorder="1" applyAlignment="1">
      <alignment horizontal="center" vertical="center" wrapText="1"/>
    </xf>
    <xf numFmtId="2" fontId="14" fillId="12" borderId="24" xfId="0" applyNumberFormat="1" applyFont="1" applyFill="1" applyBorder="1" applyAlignment="1">
      <alignment horizontal="center"/>
    </xf>
    <xf numFmtId="0" fontId="44" fillId="13" borderId="64" xfId="15" applyFont="1" applyFill="1" applyBorder="1" applyAlignment="1">
      <alignment horizontal="left" vertical="top"/>
    </xf>
    <xf numFmtId="1" fontId="14" fillId="4" borderId="29" xfId="0" applyNumberFormat="1" applyFont="1" applyFill="1" applyBorder="1" applyAlignment="1">
      <alignment horizontal="center"/>
    </xf>
    <xf numFmtId="0" fontId="6" fillId="29" borderId="13" xfId="0" applyFont="1" applyFill="1" applyBorder="1" applyAlignment="1">
      <alignment horizontal="center" vertical="center" wrapText="1"/>
    </xf>
    <xf numFmtId="0" fontId="61" fillId="13" borderId="0" xfId="0" applyFont="1" applyFill="1"/>
    <xf numFmtId="4" fontId="14" fillId="16" borderId="22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vertical="center"/>
    </xf>
    <xf numFmtId="4" fontId="14" fillId="9" borderId="46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4" xfId="0" applyFont="1" applyFill="1" applyBorder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43" fontId="14" fillId="12" borderId="29" xfId="68" applyFont="1" applyFill="1" applyBorder="1" applyAlignment="1">
      <alignment horizontal="center"/>
    </xf>
    <xf numFmtId="49" fontId="14" fillId="7" borderId="64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left" vertical="center" wrapText="1"/>
    </xf>
    <xf numFmtId="164" fontId="11" fillId="2" borderId="19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2" fontId="11" fillId="7" borderId="22" xfId="0" applyNumberFormat="1" applyFont="1" applyFill="1" applyBorder="1" applyAlignment="1">
      <alignment horizontal="center" vertical="center" wrapText="1"/>
    </xf>
    <xf numFmtId="2" fontId="11" fillId="12" borderId="22" xfId="0" applyNumberFormat="1" applyFont="1" applyFill="1" applyBorder="1" applyAlignment="1">
      <alignment horizontal="center" vertical="center" wrapText="1"/>
    </xf>
    <xf numFmtId="2" fontId="11" fillId="12" borderId="20" xfId="0" applyNumberFormat="1" applyFont="1" applyFill="1" applyBorder="1" applyAlignment="1">
      <alignment horizontal="center" vertical="center" wrapText="1"/>
    </xf>
    <xf numFmtId="164" fontId="11" fillId="2" borderId="27" xfId="0" applyNumberFormat="1" applyFont="1" applyFill="1" applyBorder="1" applyAlignment="1">
      <alignment horizontal="center" vertical="center" wrapText="1"/>
    </xf>
    <xf numFmtId="2" fontId="11" fillId="4" borderId="22" xfId="0" applyNumberFormat="1" applyFont="1" applyFill="1" applyBorder="1" applyAlignment="1">
      <alignment horizontal="center" vertical="center" wrapText="1"/>
    </xf>
    <xf numFmtId="164" fontId="11" fillId="2" borderId="22" xfId="0" applyNumberFormat="1" applyFont="1" applyFill="1" applyBorder="1" applyAlignment="1">
      <alignment horizontal="center" vertical="center" wrapText="1"/>
    </xf>
    <xf numFmtId="49" fontId="8" fillId="2" borderId="64" xfId="0" applyNumberFormat="1" applyFont="1" applyFill="1" applyBorder="1" applyAlignment="1">
      <alignment horizontal="center" vertical="center" wrapText="1"/>
    </xf>
    <xf numFmtId="164" fontId="8" fillId="2" borderId="64" xfId="0" applyNumberFormat="1" applyFont="1" applyFill="1" applyBorder="1" applyAlignment="1">
      <alignment vertical="center" wrapText="1"/>
    </xf>
    <xf numFmtId="0" fontId="8" fillId="7" borderId="64" xfId="0" applyFont="1" applyFill="1" applyBorder="1" applyAlignment="1">
      <alignment horizontal="center" vertical="center" wrapText="1"/>
    </xf>
    <xf numFmtId="2" fontId="8" fillId="7" borderId="64" xfId="0" applyNumberFormat="1" applyFont="1" applyFill="1" applyBorder="1" applyAlignment="1">
      <alignment horizontal="center" vertical="center" wrapText="1"/>
    </xf>
    <xf numFmtId="0" fontId="32" fillId="0" borderId="46" xfId="0" applyFont="1" applyBorder="1"/>
    <xf numFmtId="0" fontId="12" fillId="0" borderId="46" xfId="0" applyFont="1" applyBorder="1" applyAlignment="1">
      <alignment vertical="center" wrapText="1"/>
    </xf>
    <xf numFmtId="0" fontId="12" fillId="2" borderId="46" xfId="0" applyFont="1" applyFill="1" applyBorder="1" applyAlignment="1">
      <alignment horizontal="left" vertical="center" wrapText="1"/>
    </xf>
    <xf numFmtId="0" fontId="9" fillId="2" borderId="46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64" fontId="11" fillId="2" borderId="78" xfId="0" applyNumberFormat="1" applyFont="1" applyFill="1" applyBorder="1" applyAlignment="1">
      <alignment vertical="center" wrapText="1"/>
    </xf>
    <xf numFmtId="0" fontId="11" fillId="7" borderId="6" xfId="0" applyFont="1" applyFill="1" applyBorder="1" applyAlignment="1">
      <alignment horizontal="center" vertical="center" wrapText="1"/>
    </xf>
    <xf numFmtId="2" fontId="11" fillId="7" borderId="6" xfId="0" applyNumberFormat="1" applyFont="1" applyFill="1" applyBorder="1" applyAlignment="1">
      <alignment horizontal="center" vertical="center" wrapText="1"/>
    </xf>
    <xf numFmtId="49" fontId="12" fillId="2" borderId="103" xfId="0" applyNumberFormat="1" applyFont="1" applyFill="1" applyBorder="1" applyAlignment="1">
      <alignment horizontal="center" vertical="center" wrapText="1"/>
    </xf>
    <xf numFmtId="164" fontId="12" fillId="2" borderId="78" xfId="0" applyNumberFormat="1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2" fontId="12" fillId="7" borderId="6" xfId="0" applyNumberFormat="1" applyFont="1" applyFill="1" applyBorder="1" applyAlignment="1">
      <alignment horizontal="center" vertical="center" wrapText="1"/>
    </xf>
    <xf numFmtId="17" fontId="12" fillId="7" borderId="103" xfId="0" applyNumberFormat="1" applyFont="1" applyFill="1" applyBorder="1" applyAlignment="1">
      <alignment horizontal="center" vertical="center" wrapText="1"/>
    </xf>
    <xf numFmtId="164" fontId="12" fillId="2" borderId="25" xfId="0" applyNumberFormat="1" applyFont="1" applyFill="1" applyBorder="1" applyAlignment="1">
      <alignment vertical="center" wrapText="1"/>
    </xf>
    <xf numFmtId="0" fontId="12" fillId="7" borderId="46" xfId="0" applyFont="1" applyFill="1" applyBorder="1" applyAlignment="1">
      <alignment horizontal="center" vertical="center" wrapText="1"/>
    </xf>
    <xf numFmtId="2" fontId="12" fillId="7" borderId="46" xfId="0" applyNumberFormat="1" applyFont="1" applyFill="1" applyBorder="1" applyAlignment="1">
      <alignment horizontal="center" vertical="center" wrapText="1"/>
    </xf>
    <xf numFmtId="17" fontId="12" fillId="7" borderId="46" xfId="0" applyNumberFormat="1" applyFont="1" applyFill="1" applyBorder="1" applyAlignment="1">
      <alignment horizontal="center" vertical="center" wrapText="1"/>
    </xf>
    <xf numFmtId="164" fontId="12" fillId="2" borderId="46" xfId="0" applyNumberFormat="1" applyFont="1" applyFill="1" applyBorder="1" applyAlignment="1">
      <alignment vertical="center" wrapText="1"/>
    </xf>
    <xf numFmtId="17" fontId="12" fillId="12" borderId="46" xfId="0" applyNumberFormat="1" applyFont="1" applyFill="1" applyBorder="1" applyAlignment="1">
      <alignment vertical="center" wrapText="1"/>
    </xf>
    <xf numFmtId="17" fontId="12" fillId="0" borderId="46" xfId="0" applyNumberFormat="1" applyFont="1" applyBorder="1" applyAlignment="1">
      <alignment vertical="center" wrapText="1"/>
    </xf>
    <xf numFmtId="164" fontId="11" fillId="2" borderId="46" xfId="0" applyNumberFormat="1" applyFont="1" applyFill="1" applyBorder="1" applyAlignment="1">
      <alignment vertical="center" wrapText="1"/>
    </xf>
    <xf numFmtId="0" fontId="11" fillId="7" borderId="46" xfId="0" applyFont="1" applyFill="1" applyBorder="1" applyAlignment="1">
      <alignment horizontal="center" vertical="center" wrapText="1"/>
    </xf>
    <xf numFmtId="2" fontId="11" fillId="7" borderId="46" xfId="0" applyNumberFormat="1" applyFont="1" applyFill="1" applyBorder="1" applyAlignment="1">
      <alignment horizontal="center" vertical="center" wrapText="1"/>
    </xf>
    <xf numFmtId="2" fontId="11" fillId="4" borderId="46" xfId="0" applyNumberFormat="1" applyFont="1" applyFill="1" applyBorder="1" applyAlignment="1">
      <alignment horizontal="center" vertical="center" wrapText="1"/>
    </xf>
    <xf numFmtId="2" fontId="11" fillId="10" borderId="46" xfId="0" applyNumberFormat="1" applyFont="1" applyFill="1" applyBorder="1" applyAlignment="1">
      <alignment horizontal="center" vertical="center" wrapText="1"/>
    </xf>
    <xf numFmtId="49" fontId="8" fillId="2" borderId="17" xfId="0" applyNumberFormat="1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vertical="center" wrapText="1"/>
    </xf>
    <xf numFmtId="0" fontId="8" fillId="7" borderId="17" xfId="0" applyFont="1" applyFill="1" applyBorder="1" applyAlignment="1">
      <alignment horizontal="center" vertical="center" wrapText="1"/>
    </xf>
    <xf numFmtId="2" fontId="8" fillId="7" borderId="17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14" fillId="7" borderId="5" xfId="0" applyNumberFormat="1" applyFont="1" applyFill="1" applyBorder="1" applyAlignment="1">
      <alignment horizontal="center"/>
    </xf>
    <xf numFmtId="164" fontId="8" fillId="2" borderId="5" xfId="0" applyNumberFormat="1" applyFont="1" applyFill="1" applyBorder="1" applyAlignment="1">
      <alignment vertical="center" wrapText="1"/>
    </xf>
    <xf numFmtId="1" fontId="14" fillId="16" borderId="29" xfId="0" applyNumberFormat="1" applyFont="1" applyFill="1" applyBorder="1" applyAlignment="1">
      <alignment horizontal="center"/>
    </xf>
    <xf numFmtId="0" fontId="8" fillId="4" borderId="64" xfId="0" applyFont="1" applyFill="1" applyBorder="1" applyAlignment="1">
      <alignment horizontal="center" vertical="center" wrapText="1"/>
    </xf>
    <xf numFmtId="2" fontId="8" fillId="4" borderId="64" xfId="0" applyNumberFormat="1" applyFont="1" applyFill="1" applyBorder="1" applyAlignment="1">
      <alignment horizontal="center" vertical="center" wrapText="1"/>
    </xf>
    <xf numFmtId="0" fontId="29" fillId="29" borderId="32" xfId="0" applyFont="1" applyFill="1" applyBorder="1"/>
    <xf numFmtId="2" fontId="14" fillId="16" borderId="32" xfId="0" applyNumberFormat="1" applyFont="1" applyFill="1" applyBorder="1" applyAlignment="1">
      <alignment horizontal="center"/>
    </xf>
    <xf numFmtId="0" fontId="6" fillId="10" borderId="5" xfId="0" applyFont="1" applyFill="1" applyBorder="1" applyAlignment="1">
      <alignment horizontal="left" vertical="center" wrapText="1"/>
    </xf>
    <xf numFmtId="4" fontId="14" fillId="29" borderId="29" xfId="0" applyNumberFormat="1" applyFont="1" applyFill="1" applyBorder="1" applyAlignment="1">
      <alignment horizontal="center"/>
    </xf>
    <xf numFmtId="10" fontId="11" fillId="58" borderId="64" xfId="0" applyNumberFormat="1" applyFont="1" applyFill="1" applyBorder="1" applyAlignment="1">
      <alignment horizontal="center"/>
    </xf>
    <xf numFmtId="10" fontId="14" fillId="58" borderId="29" xfId="0" applyNumberFormat="1" applyFont="1" applyFill="1" applyBorder="1" applyAlignment="1">
      <alignment horizontal="center"/>
    </xf>
    <xf numFmtId="0" fontId="6" fillId="3" borderId="29" xfId="0" applyFont="1" applyFill="1" applyBorder="1" applyAlignment="1">
      <alignment horizontal="left" vertical="center" wrapText="1"/>
    </xf>
    <xf numFmtId="3" fontId="8" fillId="16" borderId="64" xfId="0" applyNumberFormat="1" applyFont="1" applyFill="1" applyBorder="1" applyAlignment="1">
      <alignment horizontal="center" vertical="center" wrapText="1"/>
    </xf>
    <xf numFmtId="4" fontId="8" fillId="16" borderId="64" xfId="0" applyNumberFormat="1" applyFont="1" applyFill="1" applyBorder="1" applyAlignment="1">
      <alignment horizontal="center" vertical="center" wrapText="1"/>
    </xf>
    <xf numFmtId="0" fontId="44" fillId="13" borderId="52" xfId="0" applyFont="1" applyFill="1" applyBorder="1" applyAlignment="1">
      <alignment horizontal="left" vertical="top"/>
    </xf>
    <xf numFmtId="0" fontId="5" fillId="4" borderId="29" xfId="0" applyFont="1" applyFill="1" applyBorder="1" applyAlignment="1">
      <alignment horizontal="center"/>
    </xf>
    <xf numFmtId="4" fontId="62" fillId="13" borderId="5" xfId="17" applyNumberFormat="1" applyFont="1" applyFill="1" applyBorder="1" applyAlignment="1">
      <alignment horizontal="right" vertical="top"/>
    </xf>
    <xf numFmtId="0" fontId="14" fillId="13" borderId="64" xfId="0" applyFont="1" applyFill="1" applyBorder="1" applyAlignment="1">
      <alignment horizontal="center"/>
    </xf>
    <xf numFmtId="164" fontId="11" fillId="7" borderId="46" xfId="0" applyNumberFormat="1" applyFont="1" applyFill="1" applyBorder="1" applyAlignment="1">
      <alignment vertical="center" wrapText="1"/>
    </xf>
    <xf numFmtId="164" fontId="8" fillId="7" borderId="17" xfId="0" applyNumberFormat="1" applyFont="1" applyFill="1" applyBorder="1" applyAlignment="1">
      <alignment vertical="center" wrapText="1"/>
    </xf>
    <xf numFmtId="164" fontId="8" fillId="7" borderId="64" xfId="0" applyNumberFormat="1" applyFont="1" applyFill="1" applyBorder="1" applyAlignment="1">
      <alignment vertical="center" wrapText="1"/>
    </xf>
    <xf numFmtId="164" fontId="8" fillId="7" borderId="5" xfId="0" applyNumberFormat="1" applyFont="1" applyFill="1" applyBorder="1" applyAlignment="1">
      <alignment vertical="center" wrapText="1"/>
    </xf>
    <xf numFmtId="164" fontId="11" fillId="7" borderId="22" xfId="0" applyNumberFormat="1" applyFont="1" applyFill="1" applyBorder="1" applyAlignment="1">
      <alignment horizontal="center" vertical="center" wrapText="1"/>
    </xf>
    <xf numFmtId="164" fontId="14" fillId="7" borderId="17" xfId="0" applyNumberFormat="1" applyFont="1" applyFill="1" applyBorder="1" applyAlignment="1">
      <alignment horizontal="center"/>
    </xf>
    <xf numFmtId="164" fontId="13" fillId="7" borderId="8" xfId="0" applyNumberFormat="1" applyFont="1" applyFill="1" applyBorder="1" applyAlignment="1">
      <alignment horizontal="center"/>
    </xf>
    <xf numFmtId="164" fontId="13" fillId="7" borderId="17" xfId="0" applyNumberFormat="1" applyFont="1" applyFill="1" applyBorder="1" applyAlignment="1">
      <alignment horizontal="center"/>
    </xf>
    <xf numFmtId="164" fontId="14" fillId="7" borderId="64" xfId="0" applyNumberFormat="1" applyFont="1" applyFill="1" applyBorder="1" applyAlignment="1">
      <alignment horizontal="center"/>
    </xf>
    <xf numFmtId="164" fontId="13" fillId="7" borderId="64" xfId="0" applyNumberFormat="1" applyFont="1" applyFill="1" applyBorder="1" applyAlignment="1">
      <alignment horizontal="center"/>
    </xf>
    <xf numFmtId="164" fontId="18" fillId="7" borderId="29" xfId="0" applyNumberFormat="1" applyFont="1" applyFill="1" applyBorder="1" applyAlignment="1">
      <alignment horizontal="center"/>
    </xf>
    <xf numFmtId="164" fontId="13" fillId="7" borderId="32" xfId="0" applyNumberFormat="1" applyFont="1" applyFill="1" applyBorder="1" applyAlignment="1">
      <alignment horizontal="center"/>
    </xf>
    <xf numFmtId="4" fontId="29" fillId="12" borderId="29" xfId="0" applyNumberFormat="1" applyFont="1" applyFill="1" applyBorder="1"/>
    <xf numFmtId="164" fontId="14" fillId="12" borderId="22" xfId="0" applyNumberFormat="1" applyFont="1" applyFill="1" applyBorder="1" applyAlignment="1">
      <alignment horizontal="center"/>
    </xf>
    <xf numFmtId="0" fontId="60" fillId="12" borderId="5" xfId="0" applyFont="1" applyFill="1" applyBorder="1"/>
    <xf numFmtId="0" fontId="18" fillId="8" borderId="5" xfId="0" applyFont="1" applyFill="1" applyBorder="1" applyAlignment="1">
      <alignment horizontal="center"/>
    </xf>
    <xf numFmtId="165" fontId="13" fillId="7" borderId="29" xfId="0" applyNumberFormat="1" applyFont="1" applyFill="1" applyBorder="1" applyAlignment="1">
      <alignment horizontal="center"/>
    </xf>
    <xf numFmtId="0" fontId="29" fillId="12" borderId="64" xfId="0" applyFont="1" applyFill="1" applyBorder="1" applyAlignment="1">
      <alignment vertical="center" wrapText="1"/>
    </xf>
    <xf numFmtId="0" fontId="32" fillId="12" borderId="5" xfId="0" applyFont="1" applyFill="1" applyBorder="1"/>
    <xf numFmtId="164" fontId="17" fillId="7" borderId="29" xfId="0" applyNumberFormat="1" applyFont="1" applyFill="1" applyBorder="1" applyAlignment="1">
      <alignment horizontal="center"/>
    </xf>
    <xf numFmtId="164" fontId="5" fillId="7" borderId="29" xfId="0" applyNumberFormat="1" applyFont="1" applyFill="1" applyBorder="1" applyAlignment="1">
      <alignment horizontal="center"/>
    </xf>
    <xf numFmtId="1" fontId="14" fillId="7" borderId="29" xfId="0" applyNumberFormat="1" applyFont="1" applyFill="1" applyBorder="1" applyAlignment="1">
      <alignment horizontal="center"/>
    </xf>
    <xf numFmtId="0" fontId="44" fillId="12" borderId="47" xfId="15" applyFont="1" applyFill="1" applyBorder="1" applyAlignment="1">
      <alignment horizontal="left" vertical="top"/>
    </xf>
    <xf numFmtId="0" fontId="44" fillId="12" borderId="64" xfId="15" applyFont="1" applyFill="1" applyBorder="1" applyAlignment="1">
      <alignment horizontal="left" vertical="top"/>
    </xf>
    <xf numFmtId="0" fontId="35" fillId="12" borderId="29" xfId="0" applyFont="1" applyFill="1" applyBorder="1"/>
    <xf numFmtId="3" fontId="8" fillId="7" borderId="64" xfId="0" applyNumberFormat="1" applyFont="1" applyFill="1" applyBorder="1" applyAlignment="1">
      <alignment horizontal="center" vertical="center" wrapText="1"/>
    </xf>
    <xf numFmtId="4" fontId="8" fillId="7" borderId="64" xfId="0" applyNumberFormat="1" applyFont="1" applyFill="1" applyBorder="1" applyAlignment="1">
      <alignment horizontal="center" vertical="center" wrapText="1"/>
    </xf>
    <xf numFmtId="0" fontId="47" fillId="12" borderId="5" xfId="0" applyFont="1" applyFill="1" applyBorder="1"/>
    <xf numFmtId="4" fontId="16" fillId="7" borderId="29" xfId="0" applyNumberFormat="1" applyFont="1" applyFill="1" applyBorder="1" applyAlignment="1">
      <alignment horizontal="center"/>
    </xf>
    <xf numFmtId="0" fontId="0" fillId="12" borderId="64" xfId="0" applyFill="1" applyBorder="1"/>
    <xf numFmtId="4" fontId="14" fillId="12" borderId="29" xfId="0" applyNumberFormat="1" applyFont="1" applyFill="1" applyBorder="1" applyAlignment="1">
      <alignment horizontal="center"/>
    </xf>
    <xf numFmtId="10" fontId="14" fillId="7" borderId="29" xfId="0" applyNumberFormat="1" applyFont="1" applyFill="1" applyBorder="1" applyAlignment="1">
      <alignment horizontal="center"/>
    </xf>
    <xf numFmtId="10" fontId="11" fillId="7" borderId="64" xfId="0" applyNumberFormat="1" applyFont="1" applyFill="1" applyBorder="1" applyAlignment="1">
      <alignment horizontal="center"/>
    </xf>
    <xf numFmtId="10" fontId="14" fillId="12" borderId="29" xfId="0" applyNumberFormat="1" applyFont="1" applyFill="1" applyBorder="1" applyAlignment="1">
      <alignment horizontal="center"/>
    </xf>
    <xf numFmtId="0" fontId="49" fillId="12" borderId="0" xfId="0" applyFont="1" applyFill="1"/>
    <xf numFmtId="0" fontId="44" fillId="12" borderId="52" xfId="0" applyFont="1" applyFill="1" applyBorder="1" applyAlignment="1">
      <alignment horizontal="left" vertical="top"/>
    </xf>
    <xf numFmtId="4" fontId="62" fillId="12" borderId="5" xfId="17" applyNumberFormat="1" applyFont="1" applyFill="1" applyBorder="1" applyAlignment="1">
      <alignment horizontal="right" vertical="top"/>
    </xf>
    <xf numFmtId="2" fontId="14" fillId="4" borderId="43" xfId="0" applyNumberFormat="1" applyFont="1" applyFill="1" applyBorder="1" applyAlignment="1">
      <alignment horizontal="center"/>
    </xf>
    <xf numFmtId="0" fontId="44" fillId="13" borderId="47" xfId="69" applyFont="1" applyFill="1" applyBorder="1" applyAlignment="1">
      <alignment horizontal="left" vertical="top"/>
    </xf>
    <xf numFmtId="0" fontId="44" fillId="13" borderId="64" xfId="69" applyFont="1" applyFill="1" applyBorder="1" applyAlignment="1">
      <alignment horizontal="left" vertical="top"/>
    </xf>
    <xf numFmtId="2" fontId="14" fillId="7" borderId="24" xfId="0" applyNumberFormat="1" applyFont="1" applyFill="1" applyBorder="1" applyAlignment="1">
      <alignment horizontal="center"/>
    </xf>
    <xf numFmtId="2" fontId="44" fillId="13" borderId="47" xfId="69" applyNumberFormat="1" applyFont="1" applyFill="1" applyBorder="1" applyAlignment="1">
      <alignment horizontal="left" vertical="top"/>
    </xf>
    <xf numFmtId="2" fontId="18" fillId="7" borderId="46" xfId="0" applyNumberFormat="1" applyFont="1" applyFill="1" applyBorder="1" applyAlignment="1">
      <alignment horizontal="center"/>
    </xf>
    <xf numFmtId="164" fontId="13" fillId="7" borderId="48" xfId="0" applyNumberFormat="1" applyFont="1" applyFill="1" applyBorder="1" applyAlignment="1">
      <alignment horizontal="center"/>
    </xf>
    <xf numFmtId="0" fontId="14" fillId="14" borderId="46" xfId="0" applyFont="1" applyFill="1" applyBorder="1" applyAlignment="1">
      <alignment horizontal="center"/>
    </xf>
    <xf numFmtId="164" fontId="13" fillId="7" borderId="25" xfId="0" applyNumberFormat="1" applyFont="1" applyFill="1" applyBorder="1" applyAlignment="1">
      <alignment horizontal="center"/>
    </xf>
    <xf numFmtId="4" fontId="14" fillId="14" borderId="46" xfId="0" applyNumberFormat="1" applyFont="1" applyFill="1" applyBorder="1" applyAlignment="1">
      <alignment horizontal="center"/>
    </xf>
    <xf numFmtId="0" fontId="14" fillId="8" borderId="46" xfId="0" applyFont="1" applyFill="1" applyBorder="1" applyAlignment="1">
      <alignment horizontal="center"/>
    </xf>
    <xf numFmtId="4" fontId="14" fillId="8" borderId="46" xfId="0" applyNumberFormat="1" applyFont="1" applyFill="1" applyBorder="1" applyAlignment="1">
      <alignment horizontal="center"/>
    </xf>
    <xf numFmtId="0" fontId="6" fillId="12" borderId="64" xfId="0" applyFont="1" applyFill="1" applyBorder="1" applyAlignment="1">
      <alignment horizontal="center" vertical="center" wrapText="1"/>
    </xf>
    <xf numFmtId="164" fontId="13" fillId="7" borderId="63" xfId="0" applyNumberFormat="1" applyFont="1" applyFill="1" applyBorder="1" applyAlignment="1">
      <alignment horizontal="center"/>
    </xf>
    <xf numFmtId="10" fontId="14" fillId="13" borderId="29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5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64" xfId="0" applyFont="1" applyFill="1" applyBorder="1" applyAlignment="1">
      <alignment horizontal="left" vertical="center" wrapText="1"/>
    </xf>
    <xf numFmtId="0" fontId="6" fillId="8" borderId="64" xfId="0" applyFont="1" applyFill="1" applyBorder="1" applyAlignment="1">
      <alignment horizontal="left" vertical="center" wrapText="1"/>
    </xf>
    <xf numFmtId="0" fontId="6" fillId="5" borderId="48" xfId="0" applyFont="1" applyFill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left" vertical="center" wrapText="1"/>
    </xf>
    <xf numFmtId="0" fontId="6" fillId="2" borderId="46" xfId="0" applyFont="1" applyFill="1" applyBorder="1" applyAlignment="1">
      <alignment vertical="center"/>
    </xf>
    <xf numFmtId="2" fontId="14" fillId="12" borderId="49" xfId="0" applyNumberFormat="1" applyFont="1" applyFill="1" applyBorder="1" applyAlignment="1">
      <alignment horizontal="center"/>
    </xf>
    <xf numFmtId="0" fontId="6" fillId="3" borderId="63" xfId="0" applyFont="1" applyFill="1" applyBorder="1" applyAlignment="1">
      <alignment horizontal="center" vertical="center" wrapText="1"/>
    </xf>
    <xf numFmtId="164" fontId="14" fillId="2" borderId="63" xfId="0" applyNumberFormat="1" applyFont="1" applyFill="1" applyBorder="1" applyAlignment="1">
      <alignment horizontal="center"/>
    </xf>
    <xf numFmtId="0" fontId="6" fillId="5" borderId="63" xfId="0" applyFont="1" applyFill="1" applyBorder="1" applyAlignment="1">
      <alignment horizontal="center" vertical="center" wrapText="1"/>
    </xf>
    <xf numFmtId="1" fontId="14" fillId="6" borderId="64" xfId="0" applyNumberFormat="1" applyFont="1" applyFill="1" applyBorder="1" applyAlignment="1">
      <alignment horizontal="center"/>
    </xf>
    <xf numFmtId="2" fontId="62" fillId="0" borderId="64" xfId="17" applyNumberFormat="1" applyFont="1" applyBorder="1" applyAlignment="1">
      <alignment horizontal="right"/>
    </xf>
    <xf numFmtId="0" fontId="63" fillId="0" borderId="5" xfId="0" applyFont="1" applyBorder="1" applyAlignment="1">
      <alignment horizontal="center"/>
    </xf>
    <xf numFmtId="2" fontId="14" fillId="16" borderId="64" xfId="0" applyNumberFormat="1" applyFont="1" applyFill="1" applyBorder="1" applyAlignment="1">
      <alignment horizontal="center"/>
    </xf>
    <xf numFmtId="2" fontId="14" fillId="13" borderId="64" xfId="0" applyNumberFormat="1" applyFont="1" applyFill="1" applyBorder="1" applyAlignment="1">
      <alignment horizontal="center"/>
    </xf>
    <xf numFmtId="0" fontId="61" fillId="29" borderId="0" xfId="0" applyFont="1" applyFill="1"/>
    <xf numFmtId="2" fontId="0" fillId="13" borderId="64" xfId="0" applyNumberFormat="1" applyFill="1" applyBorder="1" applyAlignment="1">
      <alignment horizontal="center"/>
    </xf>
    <xf numFmtId="0" fontId="14" fillId="4" borderId="29" xfId="0" applyNumberFormat="1" applyFont="1" applyFill="1" applyBorder="1" applyAlignment="1">
      <alignment horizontal="center"/>
    </xf>
    <xf numFmtId="0" fontId="8" fillId="16" borderId="64" xfId="0" applyFont="1" applyFill="1" applyBorder="1" applyAlignment="1">
      <alignment horizontal="center" vertical="center" wrapText="1"/>
    </xf>
    <xf numFmtId="4" fontId="8" fillId="4" borderId="64" xfId="0" applyNumberFormat="1" applyFont="1" applyFill="1" applyBorder="1" applyAlignment="1">
      <alignment horizontal="center" vertical="center" wrapText="1"/>
    </xf>
    <xf numFmtId="4" fontId="62" fillId="13" borderId="64" xfId="17" applyNumberFormat="1" applyFont="1" applyFill="1" applyBorder="1" applyAlignment="1">
      <alignment horizontal="right" vertical="top"/>
    </xf>
    <xf numFmtId="0" fontId="44" fillId="29" borderId="47" xfId="0" applyFont="1" applyFill="1" applyBorder="1" applyAlignment="1">
      <alignment horizontal="left" vertical="top"/>
    </xf>
    <xf numFmtId="0" fontId="12" fillId="0" borderId="60" xfId="0" applyFont="1" applyBorder="1" applyAlignment="1">
      <alignment horizontal="center" vertical="center" wrapText="1"/>
    </xf>
    <xf numFmtId="0" fontId="52" fillId="0" borderId="57" xfId="0" applyFont="1" applyBorder="1" applyAlignment="1">
      <alignment horizontal="center"/>
    </xf>
    <xf numFmtId="0" fontId="52" fillId="0" borderId="58" xfId="0" applyFont="1" applyBorder="1" applyAlignment="1">
      <alignment horizontal="center"/>
    </xf>
    <xf numFmtId="0" fontId="52" fillId="0" borderId="59" xfId="0" applyFont="1" applyBorder="1" applyAlignment="1">
      <alignment horizontal="center"/>
    </xf>
    <xf numFmtId="0" fontId="6" fillId="0" borderId="60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/>
    </xf>
    <xf numFmtId="0" fontId="7" fillId="0" borderId="64" xfId="0" applyFont="1" applyBorder="1"/>
    <xf numFmtId="0" fontId="7" fillId="2" borderId="5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right"/>
    </xf>
    <xf numFmtId="0" fontId="7" fillId="2" borderId="22" xfId="0" applyFont="1" applyFill="1" applyBorder="1" applyAlignment="1">
      <alignment horizontal="center" wrapText="1"/>
    </xf>
    <xf numFmtId="0" fontId="7" fillId="0" borderId="22" xfId="0" applyFont="1" applyBorder="1" applyAlignment="1">
      <alignment horizontal="left" vertical="center" wrapText="1"/>
    </xf>
    <xf numFmtId="0" fontId="7" fillId="2" borderId="64" xfId="0" applyFont="1" applyFill="1" applyBorder="1" applyAlignment="1">
      <alignment horizontal="center" wrapText="1"/>
    </xf>
    <xf numFmtId="0" fontId="7" fillId="0" borderId="64" xfId="0" applyFont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/>
    </xf>
    <xf numFmtId="0" fontId="5" fillId="2" borderId="73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7" fillId="0" borderId="8" xfId="0" applyFont="1" applyBorder="1" applyAlignment="1">
      <alignment horizontal="left" vertical="center"/>
    </xf>
    <xf numFmtId="0" fontId="7" fillId="2" borderId="50" xfId="0" applyFont="1" applyFill="1" applyBorder="1" applyAlignment="1">
      <alignment horizontal="center" wrapText="1"/>
    </xf>
    <xf numFmtId="0" fontId="7" fillId="2" borderId="51" xfId="0" applyFont="1" applyFill="1" applyBorder="1" applyAlignment="1">
      <alignment horizontal="center" wrapText="1"/>
    </xf>
    <xf numFmtId="0" fontId="7" fillId="0" borderId="51" xfId="0" applyFont="1" applyBorder="1" applyAlignment="1">
      <alignment horizontal="left" vertical="center" wrapText="1"/>
    </xf>
    <xf numFmtId="0" fontId="7" fillId="56" borderId="64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/>
    </xf>
    <xf numFmtId="0" fontId="5" fillId="2" borderId="7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7" fillId="0" borderId="7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7" fillId="7" borderId="9" xfId="0" applyFont="1" applyFill="1" applyBorder="1" applyAlignment="1">
      <alignment horizontal="center" wrapText="1"/>
    </xf>
    <xf numFmtId="0" fontId="7" fillId="7" borderId="75" xfId="0" applyFont="1" applyFill="1" applyBorder="1" applyAlignment="1">
      <alignment horizontal="center" wrapText="1"/>
    </xf>
    <xf numFmtId="0" fontId="7" fillId="7" borderId="26" xfId="0" applyFont="1" applyFill="1" applyBorder="1" applyAlignment="1">
      <alignment horizontal="center" wrapText="1"/>
    </xf>
    <xf numFmtId="0" fontId="7" fillId="56" borderId="64" xfId="0" applyFont="1" applyFill="1" applyBorder="1" applyAlignment="1">
      <alignment horizontal="left" vertical="center" wrapText="1"/>
    </xf>
    <xf numFmtId="0" fontId="7" fillId="0" borderId="70" xfId="0" applyFont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/>
    </xf>
    <xf numFmtId="0" fontId="7" fillId="2" borderId="70" xfId="0" applyFont="1" applyFill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/>
    </xf>
    <xf numFmtId="0" fontId="9" fillId="2" borderId="22" xfId="0" applyFont="1" applyFill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9" fillId="2" borderId="64" xfId="0" applyFont="1" applyFill="1" applyBorder="1"/>
    <xf numFmtId="0" fontId="7" fillId="13" borderId="79" xfId="0" applyFont="1" applyFill="1" applyBorder="1" applyAlignment="1">
      <alignment horizontal="center" vertical="center"/>
    </xf>
    <xf numFmtId="0" fontId="7" fillId="13" borderId="77" xfId="0" applyFont="1" applyFill="1" applyBorder="1" applyAlignment="1">
      <alignment horizontal="center" vertical="center"/>
    </xf>
    <xf numFmtId="0" fontId="7" fillId="13" borderId="82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9" fillId="2" borderId="64" xfId="0" applyFont="1" applyFill="1" applyBorder="1" applyAlignment="1">
      <alignment horizontal="left"/>
    </xf>
    <xf numFmtId="0" fontId="9" fillId="0" borderId="64" xfId="0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64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2" borderId="70" xfId="0" applyFont="1" applyFill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53" borderId="37" xfId="0" applyFont="1" applyFill="1" applyBorder="1" applyAlignment="1">
      <alignment horizontal="center" vertical="center"/>
    </xf>
    <xf numFmtId="0" fontId="9" fillId="53" borderId="70" xfId="0" applyFont="1" applyFill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52" fillId="0" borderId="64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64" xfId="0" applyFont="1" applyFill="1" applyBorder="1" applyAlignment="1">
      <alignment horizontal="center" vertical="center"/>
    </xf>
    <xf numFmtId="0" fontId="9" fillId="52" borderId="64" xfId="0" applyFont="1" applyFill="1" applyBorder="1" applyAlignment="1">
      <alignment horizontal="center" vertical="center"/>
    </xf>
    <xf numFmtId="0" fontId="9" fillId="49" borderId="64" xfId="0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center"/>
    </xf>
    <xf numFmtId="168" fontId="17" fillId="0" borderId="64" xfId="0" applyNumberFormat="1" applyFont="1" applyBorder="1" applyAlignment="1">
      <alignment horizontal="center"/>
    </xf>
    <xf numFmtId="0" fontId="17" fillId="0" borderId="66" xfId="0" applyFont="1" applyBorder="1"/>
    <xf numFmtId="0" fontId="17" fillId="2" borderId="22" xfId="0" applyFont="1" applyFill="1" applyBorder="1" applyAlignment="1">
      <alignment horizontal="left" vertical="center"/>
    </xf>
    <xf numFmtId="0" fontId="17" fillId="7" borderId="64" xfId="0" applyFont="1" applyFill="1" applyBorder="1" applyAlignment="1">
      <alignment horizontal="center"/>
    </xf>
    <xf numFmtId="0" fontId="9" fillId="48" borderId="98" xfId="0" applyFont="1" applyFill="1" applyBorder="1" applyAlignment="1">
      <alignment horizontal="center" vertical="center"/>
    </xf>
    <xf numFmtId="0" fontId="9" fillId="0" borderId="98" xfId="0" applyFont="1" applyBorder="1" applyAlignment="1">
      <alignment horizontal="center" vertical="center" wrapText="1"/>
    </xf>
    <xf numFmtId="0" fontId="9" fillId="48" borderId="64" xfId="0" applyFont="1" applyFill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 wrapText="1"/>
    </xf>
    <xf numFmtId="0" fontId="17" fillId="0" borderId="64" xfId="0" applyFont="1" applyBorder="1" applyAlignment="1">
      <alignment horizontal="center"/>
    </xf>
    <xf numFmtId="0" fontId="17" fillId="0" borderId="66" xfId="0" applyFont="1" applyBorder="1" applyAlignment="1">
      <alignment horizontal="center" wrapText="1"/>
    </xf>
    <xf numFmtId="0" fontId="17" fillId="0" borderId="63" xfId="0" applyFont="1" applyBorder="1" applyAlignment="1">
      <alignment horizontal="center" vertical="center"/>
    </xf>
    <xf numFmtId="0" fontId="17" fillId="0" borderId="64" xfId="0" applyFont="1" applyBorder="1" applyAlignment="1">
      <alignment horizontal="left" vertical="center"/>
    </xf>
    <xf numFmtId="0" fontId="17" fillId="0" borderId="5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7" fillId="2" borderId="64" xfId="0" applyFont="1" applyFill="1" applyBorder="1" applyAlignment="1">
      <alignment horizontal="left" vertical="center"/>
    </xf>
    <xf numFmtId="0" fontId="17" fillId="0" borderId="64" xfId="0" applyFont="1" applyBorder="1" applyAlignment="1">
      <alignment horizontal="center" vertical="center"/>
    </xf>
    <xf numFmtId="0" fontId="17" fillId="2" borderId="64" xfId="0" applyFont="1" applyFill="1" applyBorder="1" applyAlignment="1">
      <alignment horizontal="center" vertical="center"/>
    </xf>
    <xf numFmtId="0" fontId="17" fillId="7" borderId="64" xfId="0" applyFont="1" applyFill="1" applyBorder="1" applyAlignment="1">
      <alignment horizontal="center" vertical="center"/>
    </xf>
    <xf numFmtId="0" fontId="17" fillId="0" borderId="63" xfId="0" applyFont="1" applyBorder="1"/>
    <xf numFmtId="0" fontId="17" fillId="0" borderId="64" xfId="0" applyFont="1" applyBorder="1" applyAlignment="1">
      <alignment horizontal="left"/>
    </xf>
    <xf numFmtId="0" fontId="17" fillId="0" borderId="10" xfId="0" applyFont="1" applyBorder="1"/>
    <xf numFmtId="0" fontId="17" fillId="0" borderId="8" xfId="0" applyFont="1" applyBorder="1" applyAlignment="1">
      <alignment horizontal="center"/>
    </xf>
    <xf numFmtId="0" fontId="17" fillId="0" borderId="66" xfId="0" applyFont="1" applyBorder="1" applyAlignment="1">
      <alignment horizontal="center"/>
    </xf>
    <xf numFmtId="0" fontId="17" fillId="0" borderId="5" xfId="0" applyFont="1" applyBorder="1"/>
    <xf numFmtId="0" fontId="17" fillId="2" borderId="5" xfId="0" applyFont="1" applyFill="1" applyBorder="1"/>
    <xf numFmtId="0" fontId="17" fillId="7" borderId="5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168" fontId="17" fillId="0" borderId="5" xfId="0" applyNumberFormat="1" applyFont="1" applyBorder="1" applyAlignment="1">
      <alignment horizontal="center"/>
    </xf>
    <xf numFmtId="0" fontId="17" fillId="0" borderId="4" xfId="0" applyFont="1" applyBorder="1"/>
    <xf numFmtId="2" fontId="17" fillId="0" borderId="5" xfId="0" applyNumberFormat="1" applyFont="1" applyBorder="1" applyAlignment="1">
      <alignment horizontal="center"/>
    </xf>
    <xf numFmtId="0" fontId="58" fillId="0" borderId="4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/>
    </xf>
    <xf numFmtId="0" fontId="17" fillId="0" borderId="19" xfId="0" applyFont="1" applyBorder="1"/>
    <xf numFmtId="0" fontId="17" fillId="0" borderId="22" xfId="0" applyFont="1" applyBorder="1" applyAlignment="1">
      <alignment horizontal="center"/>
    </xf>
    <xf numFmtId="168" fontId="17" fillId="0" borderId="64" xfId="0" applyNumberFormat="1" applyFont="1" applyBorder="1" applyAlignment="1">
      <alignment horizontal="center" vertical="center"/>
    </xf>
    <xf numFmtId="0" fontId="58" fillId="0" borderId="66" xfId="0" applyFont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17" fillId="0" borderId="64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2" fontId="58" fillId="0" borderId="66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/>
    </xf>
    <xf numFmtId="0" fontId="17" fillId="0" borderId="57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2" fontId="55" fillId="0" borderId="63" xfId="0" applyNumberFormat="1" applyFont="1" applyBorder="1" applyAlignment="1">
      <alignment vertical="center" wrapText="1"/>
    </xf>
    <xf numFmtId="2" fontId="16" fillId="0" borderId="66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2" xfId="0" applyFont="1" applyBorder="1"/>
    <xf numFmtId="0" fontId="7" fillId="0" borderId="5" xfId="0" applyFont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center" wrapText="1"/>
    </xf>
    <xf numFmtId="0" fontId="17" fillId="2" borderId="22" xfId="0" applyFont="1" applyFill="1" applyBorder="1" applyAlignment="1">
      <alignment horizontal="center"/>
    </xf>
    <xf numFmtId="0" fontId="7" fillId="0" borderId="64" xfId="0" applyFont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7" fillId="0" borderId="64" xfId="0" applyFont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17" fillId="2" borderId="22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vertical="center"/>
    </xf>
    <xf numFmtId="2" fontId="17" fillId="0" borderId="5" xfId="0" applyNumberFormat="1" applyFont="1" applyBorder="1" applyAlignment="1">
      <alignment horizontal="center" vertical="center"/>
    </xf>
    <xf numFmtId="2" fontId="54" fillId="0" borderId="4" xfId="0" applyNumberFormat="1" applyFont="1" applyBorder="1" applyAlignment="1">
      <alignment horizontal="center" vertical="center"/>
    </xf>
    <xf numFmtId="0" fontId="17" fillId="46" borderId="23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64" xfId="0" applyFont="1" applyBorder="1"/>
    <xf numFmtId="0" fontId="17" fillId="2" borderId="64" xfId="0" applyFont="1" applyFill="1" applyBorder="1"/>
    <xf numFmtId="0" fontId="17" fillId="2" borderId="22" xfId="0" applyFont="1" applyFill="1" applyBorder="1"/>
    <xf numFmtId="0" fontId="55" fillId="0" borderId="64" xfId="0" applyFont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2" borderId="5" xfId="0" applyFont="1" applyFill="1" applyBorder="1" applyAlignment="1">
      <alignment horizontal="left" vertical="center"/>
    </xf>
    <xf numFmtId="0" fontId="55" fillId="2" borderId="64" xfId="0" applyFont="1" applyFill="1" applyBorder="1" applyAlignment="1">
      <alignment horizontal="left" vertical="center"/>
    </xf>
    <xf numFmtId="0" fontId="17" fillId="2" borderId="64" xfId="0" applyFont="1" applyFill="1" applyBorder="1" applyAlignment="1">
      <alignment horizontal="left" vertical="center" wrapText="1"/>
    </xf>
    <xf numFmtId="0" fontId="55" fillId="2" borderId="64" xfId="0" applyFont="1" applyFill="1" applyBorder="1" applyAlignment="1">
      <alignment vertical="center"/>
    </xf>
    <xf numFmtId="0" fontId="17" fillId="2" borderId="64" xfId="0" applyFont="1" applyFill="1" applyBorder="1" applyAlignment="1">
      <alignment horizontal="left"/>
    </xf>
    <xf numFmtId="0" fontId="55" fillId="48" borderId="64" xfId="0" applyFont="1" applyFill="1" applyBorder="1" applyAlignment="1">
      <alignment horizontal="left" vertical="center"/>
    </xf>
    <xf numFmtId="0" fontId="55" fillId="48" borderId="64" xfId="0" applyFont="1" applyFill="1" applyBorder="1" applyAlignment="1">
      <alignment vertical="center"/>
    </xf>
    <xf numFmtId="0" fontId="17" fillId="2" borderId="17" xfId="0" applyFont="1" applyFill="1" applyBorder="1" applyAlignment="1">
      <alignment horizontal="center" wrapText="1"/>
    </xf>
    <xf numFmtId="0" fontId="57" fillId="2" borderId="0" xfId="0" applyFont="1" applyFill="1" applyAlignment="1">
      <alignment horizontal="left" vertical="center" wrapText="1"/>
    </xf>
    <xf numFmtId="0" fontId="55" fillId="0" borderId="64" xfId="0" applyFont="1" applyBorder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7" fillId="0" borderId="6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7" fillId="48" borderId="22" xfId="0" applyFont="1" applyFill="1" applyBorder="1" applyAlignment="1">
      <alignment horizontal="left" vertical="center"/>
    </xf>
    <xf numFmtId="0" fontId="17" fillId="48" borderId="64" xfId="0" applyFont="1" applyFill="1" applyBorder="1" applyAlignment="1">
      <alignment horizontal="left" vertical="center"/>
    </xf>
    <xf numFmtId="0" fontId="17" fillId="0" borderId="22" xfId="0" applyFont="1" applyBorder="1" applyAlignment="1">
      <alignment horizontal="left"/>
    </xf>
    <xf numFmtId="0" fontId="17" fillId="2" borderId="22" xfId="0" applyFont="1" applyFill="1" applyBorder="1" applyAlignment="1">
      <alignment horizontal="left"/>
    </xf>
    <xf numFmtId="2" fontId="17" fillId="0" borderId="4" xfId="0" applyNumberFormat="1" applyFont="1" applyBorder="1" applyAlignment="1">
      <alignment horizontal="center" vertical="center"/>
    </xf>
    <xf numFmtId="2" fontId="17" fillId="0" borderId="23" xfId="0" applyNumberFormat="1" applyFont="1" applyBorder="1" applyAlignment="1">
      <alignment horizontal="center" vertical="center"/>
    </xf>
    <xf numFmtId="0" fontId="17" fillId="48" borderId="64" xfId="0" applyFont="1" applyFill="1" applyBorder="1" applyAlignment="1">
      <alignment horizontal="left"/>
    </xf>
    <xf numFmtId="0" fontId="17" fillId="0" borderId="52" xfId="0" applyFont="1" applyBorder="1" applyAlignment="1">
      <alignment horizontal="center" vertical="center" wrapText="1"/>
    </xf>
    <xf numFmtId="0" fontId="54" fillId="2" borderId="78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/>
    </xf>
    <xf numFmtId="0" fontId="17" fillId="2" borderId="8" xfId="0" applyFont="1" applyFill="1" applyBorder="1"/>
    <xf numFmtId="0" fontId="17" fillId="2" borderId="24" xfId="0" applyFont="1" applyFill="1" applyBorder="1" applyAlignment="1">
      <alignment horizontal="center"/>
    </xf>
    <xf numFmtId="0" fontId="54" fillId="0" borderId="87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17" fillId="2" borderId="92" xfId="0" applyFont="1" applyFill="1" applyBorder="1"/>
    <xf numFmtId="0" fontId="17" fillId="2" borderId="92" xfId="0" applyFont="1" applyFill="1" applyBorder="1" applyAlignment="1">
      <alignment horizontal="center"/>
    </xf>
    <xf numFmtId="0" fontId="17" fillId="2" borderId="93" xfId="0" applyFont="1" applyFill="1" applyBorder="1" applyAlignment="1">
      <alignment horizontal="left" vertical="center"/>
    </xf>
    <xf numFmtId="0" fontId="17" fillId="2" borderId="93" xfId="0" applyFont="1" applyFill="1" applyBorder="1" applyAlignment="1">
      <alignment horizontal="center"/>
    </xf>
    <xf numFmtId="0" fontId="54" fillId="0" borderId="50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left"/>
    </xf>
    <xf numFmtId="0" fontId="17" fillId="2" borderId="17" xfId="0" applyFont="1" applyFill="1" applyBorder="1"/>
    <xf numFmtId="0" fontId="54" fillId="2" borderId="50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/>
    </xf>
    <xf numFmtId="0" fontId="17" fillId="2" borderId="51" xfId="0" applyFont="1" applyFill="1" applyBorder="1" applyAlignment="1">
      <alignment horizontal="center"/>
    </xf>
    <xf numFmtId="0" fontId="54" fillId="0" borderId="7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2" fontId="54" fillId="0" borderId="91" xfId="0" applyNumberFormat="1" applyFont="1" applyBorder="1" applyAlignment="1">
      <alignment horizontal="center" vertical="center"/>
    </xf>
    <xf numFmtId="0" fontId="54" fillId="0" borderId="67" xfId="0" applyFont="1" applyBorder="1" applyAlignment="1">
      <alignment horizontal="center" vertical="center"/>
    </xf>
    <xf numFmtId="0" fontId="17" fillId="46" borderId="57" xfId="0" applyFont="1" applyFill="1" applyBorder="1" applyAlignment="1">
      <alignment horizontal="center"/>
    </xf>
    <xf numFmtId="0" fontId="17" fillId="0" borderId="78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wrapText="1"/>
    </xf>
    <xf numFmtId="0" fontId="17" fillId="0" borderId="22" xfId="0" applyFont="1" applyBorder="1"/>
    <xf numFmtId="0" fontId="55" fillId="0" borderId="22" xfId="0" applyFont="1" applyBorder="1"/>
    <xf numFmtId="2" fontId="17" fillId="47" borderId="4" xfId="0" applyNumberFormat="1" applyFont="1" applyFill="1" applyBorder="1" applyAlignment="1">
      <alignment horizontal="center" vertical="center"/>
    </xf>
    <xf numFmtId="2" fontId="54" fillId="0" borderId="52" xfId="0" applyNumberFormat="1" applyFont="1" applyBorder="1" applyAlignment="1">
      <alignment horizontal="center" vertical="center"/>
    </xf>
    <xf numFmtId="0" fontId="55" fillId="0" borderId="51" xfId="0" applyFont="1" applyBorder="1" applyAlignment="1">
      <alignment horizontal="center"/>
    </xf>
    <xf numFmtId="0" fontId="17" fillId="2" borderId="40" xfId="0" applyFont="1" applyFill="1" applyBorder="1" applyAlignment="1">
      <alignment horizontal="center"/>
    </xf>
    <xf numFmtId="0" fontId="54" fillId="0" borderId="52" xfId="0" applyFont="1" applyBorder="1" applyAlignment="1">
      <alignment horizontal="center" vertical="center"/>
    </xf>
    <xf numFmtId="2" fontId="54" fillId="47" borderId="4" xfId="0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7" fillId="0" borderId="40" xfId="0" applyFont="1" applyBorder="1"/>
    <xf numFmtId="0" fontId="17" fillId="2" borderId="40" xfId="0" applyFont="1" applyFill="1" applyBorder="1"/>
    <xf numFmtId="0" fontId="17" fillId="2" borderId="40" xfId="0" applyFont="1" applyFill="1" applyBorder="1" applyAlignment="1">
      <alignment horizontal="left"/>
    </xf>
    <xf numFmtId="0" fontId="17" fillId="2" borderId="8" xfId="0" applyFont="1" applyFill="1" applyBorder="1" applyAlignment="1">
      <alignment horizontal="left"/>
    </xf>
    <xf numFmtId="0" fontId="17" fillId="46" borderId="59" xfId="0" applyFont="1" applyFill="1" applyBorder="1" applyAlignment="1">
      <alignment horizontal="center"/>
    </xf>
    <xf numFmtId="0" fontId="17" fillId="2" borderId="55" xfId="0" applyFont="1" applyFill="1" applyBorder="1" applyAlignment="1">
      <alignment horizontal="left" vertical="center"/>
    </xf>
    <xf numFmtId="0" fontId="17" fillId="2" borderId="40" xfId="0" applyFont="1" applyFill="1" applyBorder="1" applyAlignment="1">
      <alignment horizontal="left" vertical="center" wrapText="1"/>
    </xf>
    <xf numFmtId="0" fontId="17" fillId="2" borderId="68" xfId="0" applyFont="1" applyFill="1" applyBorder="1" applyAlignment="1">
      <alignment horizontal="center"/>
    </xf>
    <xf numFmtId="168" fontId="17" fillId="2" borderId="25" xfId="0" applyNumberFormat="1" applyFont="1" applyFill="1" applyBorder="1" applyAlignment="1">
      <alignment horizontal="left"/>
    </xf>
    <xf numFmtId="0" fontId="17" fillId="2" borderId="89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2" fontId="17" fillId="47" borderId="5" xfId="0" applyNumberFormat="1" applyFont="1" applyFill="1" applyBorder="1" applyAlignment="1">
      <alignment horizontal="center" vertical="center"/>
    </xf>
    <xf numFmtId="2" fontId="54" fillId="0" borderId="66" xfId="0" applyNumberFormat="1" applyFont="1" applyBorder="1" applyAlignment="1">
      <alignment horizontal="center" vertical="center"/>
    </xf>
    <xf numFmtId="2" fontId="54" fillId="0" borderId="64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/>
    </xf>
    <xf numFmtId="0" fontId="52" fillId="45" borderId="5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 wrapText="1"/>
    </xf>
    <xf numFmtId="0" fontId="6" fillId="2" borderId="66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51" xfId="0" quotePrefix="1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2" borderId="17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/>
    </xf>
    <xf numFmtId="2" fontId="9" fillId="2" borderId="50" xfId="0" applyNumberFormat="1" applyFont="1" applyFill="1" applyBorder="1" applyAlignment="1">
      <alignment horizontal="center" vertical="center"/>
    </xf>
    <xf numFmtId="4" fontId="9" fillId="41" borderId="51" xfId="0" applyNumberFormat="1" applyFont="1" applyFill="1" applyBorder="1" applyAlignment="1">
      <alignment horizontal="center" vertical="center"/>
    </xf>
    <xf numFmtId="4" fontId="9" fillId="44" borderId="51" xfId="0" applyNumberFormat="1" applyFont="1" applyFill="1" applyBorder="1" applyAlignment="1">
      <alignment horizontal="center" vertical="center"/>
    </xf>
    <xf numFmtId="0" fontId="52" fillId="5" borderId="52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left" vertical="center" wrapText="1"/>
    </xf>
    <xf numFmtId="0" fontId="6" fillId="10" borderId="9" xfId="0" applyFont="1" applyFill="1" applyBorder="1" applyAlignment="1">
      <alignment vertical="center"/>
    </xf>
    <xf numFmtId="0" fontId="6" fillId="10" borderId="65" xfId="0" applyFont="1" applyFill="1" applyBorder="1" applyAlignment="1">
      <alignment vertical="center"/>
    </xf>
    <xf numFmtId="0" fontId="52" fillId="0" borderId="52" xfId="0" applyFont="1" applyBorder="1" applyAlignment="1">
      <alignment horizontal="center"/>
    </xf>
    <xf numFmtId="0" fontId="6" fillId="2" borderId="9" xfId="0" applyFont="1" applyFill="1" applyBorder="1" applyAlignment="1">
      <alignment vertical="center"/>
    </xf>
    <xf numFmtId="0" fontId="6" fillId="2" borderId="65" xfId="0" applyFont="1" applyFill="1" applyBorder="1" applyAlignment="1">
      <alignment vertical="center"/>
    </xf>
    <xf numFmtId="0" fontId="6" fillId="5" borderId="50" xfId="0" applyFont="1" applyFill="1" applyBorder="1" applyAlignment="1">
      <alignment horizontal="center" vertical="center" wrapText="1"/>
    </xf>
    <xf numFmtId="0" fontId="6" fillId="5" borderId="51" xfId="0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vertical="center" wrapText="1"/>
    </xf>
    <xf numFmtId="0" fontId="6" fillId="10" borderId="7" xfId="0" applyFont="1" applyFill="1" applyBorder="1" applyAlignment="1">
      <alignment vertical="center"/>
    </xf>
    <xf numFmtId="2" fontId="9" fillId="10" borderId="50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9" fillId="2" borderId="50" xfId="0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52" fillId="12" borderId="52" xfId="0" applyFont="1" applyFill="1" applyBorder="1" applyAlignment="1">
      <alignment horizontal="center"/>
    </xf>
    <xf numFmtId="0" fontId="6" fillId="7" borderId="64" xfId="0" applyFont="1" applyFill="1" applyBorder="1" applyAlignment="1">
      <alignment vertical="center" wrapText="1"/>
    </xf>
    <xf numFmtId="0" fontId="6" fillId="7" borderId="9" xfId="0" applyFont="1" applyFill="1" applyBorder="1" applyAlignment="1">
      <alignment vertical="center"/>
    </xf>
    <xf numFmtId="0" fontId="6" fillId="7" borderId="8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13" borderId="78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vertical="center"/>
    </xf>
    <xf numFmtId="0" fontId="9" fillId="7" borderId="50" xfId="0" applyFont="1" applyFill="1" applyBorder="1" applyAlignment="1">
      <alignment horizontal="center" vertical="center"/>
    </xf>
    <xf numFmtId="4" fontId="9" fillId="43" borderId="51" xfId="0" applyNumberFormat="1" applyFont="1" applyFill="1" applyBorder="1" applyAlignment="1">
      <alignment horizontal="center" vertical="center"/>
    </xf>
    <xf numFmtId="0" fontId="6" fillId="2" borderId="6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left" vertical="center"/>
    </xf>
    <xf numFmtId="0" fontId="16" fillId="2" borderId="64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vertical="center" wrapText="1"/>
    </xf>
    <xf numFmtId="0" fontId="6" fillId="0" borderId="7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/>
    </xf>
    <xf numFmtId="0" fontId="6" fillId="2" borderId="6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65" xfId="0" applyFont="1" applyFill="1" applyBorder="1" applyAlignment="1">
      <alignment vertical="center"/>
    </xf>
    <xf numFmtId="0" fontId="6" fillId="12" borderId="50" xfId="0" applyFont="1" applyFill="1" applyBorder="1" applyAlignment="1">
      <alignment horizontal="center" vertical="center" wrapText="1"/>
    </xf>
    <xf numFmtId="0" fontId="6" fillId="12" borderId="51" xfId="0" applyFont="1" applyFill="1" applyBorder="1" applyAlignment="1">
      <alignment horizontal="center" vertical="center" wrapText="1"/>
    </xf>
    <xf numFmtId="2" fontId="9" fillId="7" borderId="50" xfId="0" applyNumberFormat="1" applyFont="1" applyFill="1" applyBorder="1" applyAlignment="1">
      <alignment horizontal="center" vertical="center"/>
    </xf>
    <xf numFmtId="0" fontId="53" fillId="0" borderId="52" xfId="0" applyFont="1" applyBorder="1" applyAlignment="1">
      <alignment horizontal="center"/>
    </xf>
    <xf numFmtId="0" fontId="6" fillId="5" borderId="78" xfId="0" applyFont="1" applyFill="1" applyBorder="1" applyAlignment="1">
      <alignment horizontal="center" vertical="center" wrapText="1"/>
    </xf>
    <xf numFmtId="0" fontId="6" fillId="3" borderId="7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6" xfId="0" applyFont="1" applyFill="1" applyBorder="1" applyAlignment="1">
      <alignment horizontal="center" vertical="center"/>
    </xf>
    <xf numFmtId="0" fontId="6" fillId="29" borderId="78" xfId="0" applyFont="1" applyFill="1" applyBorder="1" applyAlignment="1">
      <alignment horizontal="center" vertical="center" wrapText="1"/>
    </xf>
    <xf numFmtId="0" fontId="6" fillId="2" borderId="7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7" borderId="6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11" borderId="7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2" fontId="12" fillId="2" borderId="50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52" fillId="3" borderId="52" xfId="0" applyFont="1" applyFill="1" applyBorder="1" applyAlignment="1">
      <alignment horizontal="center"/>
    </xf>
    <xf numFmtId="0" fontId="6" fillId="3" borderId="64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0" fontId="6" fillId="3" borderId="12" xfId="0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vertical="center"/>
    </xf>
    <xf numFmtId="2" fontId="9" fillId="8" borderId="50" xfId="0" applyNumberFormat="1" applyFont="1" applyFill="1" applyBorder="1" applyAlignment="1">
      <alignment horizontal="center" vertical="center"/>
    </xf>
    <xf numFmtId="4" fontId="9" fillId="3" borderId="51" xfId="0" applyNumberFormat="1" applyFont="1" applyFill="1" applyBorder="1" applyAlignment="1">
      <alignment horizontal="center" vertical="center"/>
    </xf>
    <xf numFmtId="2" fontId="51" fillId="0" borderId="2" xfId="0" applyNumberFormat="1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2" fontId="12" fillId="2" borderId="50" xfId="0" applyNumberFormat="1" applyFont="1" applyFill="1" applyBorder="1" applyAlignment="1">
      <alignment horizontal="center" vertical="center" wrapText="1"/>
    </xf>
    <xf numFmtId="4" fontId="12" fillId="41" borderId="51" xfId="0" applyNumberFormat="1" applyFont="1" applyFill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1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164" fontId="8" fillId="2" borderId="53" xfId="0" applyNumberFormat="1" applyFont="1" applyFill="1" applyBorder="1" applyAlignment="1">
      <alignment horizontal="center" vertical="center" wrapText="1"/>
    </xf>
    <xf numFmtId="0" fontId="52" fillId="0" borderId="103" xfId="0" applyFont="1" applyBorder="1" applyAlignment="1">
      <alignment horizontal="center"/>
    </xf>
    <xf numFmtId="0" fontId="52" fillId="0" borderId="69" xfId="0" applyFont="1" applyBorder="1" applyAlignment="1">
      <alignment horizontal="center"/>
    </xf>
    <xf numFmtId="0" fontId="52" fillId="0" borderId="88" xfId="0" applyFont="1" applyBorder="1" applyAlignment="1">
      <alignment horizontal="center"/>
    </xf>
    <xf numFmtId="2" fontId="14" fillId="9" borderId="46" xfId="0" applyNumberFormat="1" applyFont="1" applyFill="1" applyBorder="1" applyAlignment="1">
      <alignment horizontal="center"/>
    </xf>
    <xf numFmtId="2" fontId="14" fillId="9" borderId="4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71">
    <cellStyle name="SAPBEXaggData" xfId="1"/>
    <cellStyle name="SAPBEXaggData 2" xfId="2"/>
    <cellStyle name="SAPBEXaggItem" xfId="3"/>
    <cellStyle name="SAPBEXaggItem 2" xfId="4"/>
    <cellStyle name="SAPBEXaggItem 2 2" xfId="61"/>
    <cellStyle name="SAPBEXaggItem 3" xfId="24"/>
    <cellStyle name="SAPBEXaggItem 3 2" xfId="58"/>
    <cellStyle name="SAPBEXaggItem 4" xfId="34"/>
    <cellStyle name="SAPBEXaggItem 5" xfId="20"/>
    <cellStyle name="SAPBEXaggItem 6" xfId="40"/>
    <cellStyle name="SAPBEXchaText" xfId="5"/>
    <cellStyle name="SAPBEXchaText 2" xfId="6"/>
    <cellStyle name="SAPBEXchaText 2 2" xfId="62"/>
    <cellStyle name="SAPBEXchaText 3" xfId="25"/>
    <cellStyle name="SAPBEXchaText 3 2" xfId="59"/>
    <cellStyle name="SAPBEXchaText 4" xfId="35"/>
    <cellStyle name="SAPBEXchaText 5" xfId="38"/>
    <cellStyle name="SAPBEXchaText 6" xfId="39"/>
    <cellStyle name="SAPBEXstdItem" xfId="7"/>
    <cellStyle name="SAPBEXstdItem 2" xfId="8"/>
    <cellStyle name="SAPBEXstdItem 2 2" xfId="63"/>
    <cellStyle name="SAPBEXstdItem 3" xfId="26"/>
    <cellStyle name="SAPBEXstdItem 3 2" xfId="60"/>
    <cellStyle name="SAPBEXstdItem 4" xfId="36"/>
    <cellStyle name="SAPBEXstdItem 5" xfId="21"/>
    <cellStyle name="SAPBEXstdItem 6" xfId="37"/>
    <cellStyle name="Обычный" xfId="0" builtinId="0"/>
    <cellStyle name="Обычный 10" xfId="45"/>
    <cellStyle name="Обычный 11" xfId="47"/>
    <cellStyle name="Обычный 12" xfId="49"/>
    <cellStyle name="Обычный 13" xfId="50"/>
    <cellStyle name="Обычный 14" xfId="51"/>
    <cellStyle name="Обычный 15" xfId="52"/>
    <cellStyle name="Обычный 16" xfId="54"/>
    <cellStyle name="Обычный 17" xfId="56"/>
    <cellStyle name="Обычный 18" xfId="64"/>
    <cellStyle name="Обычный 19" xfId="66"/>
    <cellStyle name="Обычный 2" xfId="9"/>
    <cellStyle name="Обычный 2 10" xfId="57"/>
    <cellStyle name="Обычный 2 11" xfId="69"/>
    <cellStyle name="Обычный 2 2" xfId="10"/>
    <cellStyle name="Обычный 2 3" xfId="11"/>
    <cellStyle name="Обычный 2 3 2" xfId="29"/>
    <cellStyle name="Обычный 2 4" xfId="16"/>
    <cellStyle name="Обычный 2 4 2" xfId="42"/>
    <cellStyle name="Обычный 2 5" xfId="44"/>
    <cellStyle name="Обычный 2 6" xfId="46"/>
    <cellStyle name="Обычный 2 7" xfId="48"/>
    <cellStyle name="Обычный 2 8" xfId="53"/>
    <cellStyle name="Обычный 2 9" xfId="55"/>
    <cellStyle name="Обычный 3" xfId="12"/>
    <cellStyle name="Обычный 3 2" xfId="30"/>
    <cellStyle name="Обычный 4" xfId="13"/>
    <cellStyle name="Обычный 4 2" xfId="31"/>
    <cellStyle name="Обычный 4 3" xfId="33"/>
    <cellStyle name="Обычный 4 4" xfId="22"/>
    <cellStyle name="Обычный 5" xfId="14"/>
    <cellStyle name="Обычный 5 2" xfId="23"/>
    <cellStyle name="Обычный 5 7 2" xfId="70"/>
    <cellStyle name="Обычный 6" xfId="15"/>
    <cellStyle name="Обычный 6 2" xfId="27"/>
    <cellStyle name="Обычный 7" xfId="17"/>
    <cellStyle name="Обычный 7 2" xfId="28"/>
    <cellStyle name="Обычный 8" xfId="18"/>
    <cellStyle name="Обычный 8 2" xfId="41"/>
    <cellStyle name="Обычный 9" xfId="19"/>
    <cellStyle name="Обычный 9 2" xfId="43"/>
    <cellStyle name="Пояснение 2" xfId="32"/>
    <cellStyle name="Финансовый" xfId="68" builtinId="3"/>
    <cellStyle name="Финансовый 2" xfId="65"/>
    <cellStyle name="Финансовый 3" xfId="67"/>
  </cellStyles>
  <dxfs count="25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solid">
          <fgColor rgb="FFFFFFD7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solid">
          <fgColor rgb="FFFFFFD7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bottom style="medium">
          <color auto="1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solid">
          <fgColor rgb="FFFFFFD7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Narrow"/>
        <scheme val="none"/>
      </font>
      <fill>
        <patternFill patternType="solid">
          <fgColor rgb="FFFFFFD7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rgb="FFFFFFD7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auto="1"/>
        </left>
        <bottom style="medium">
          <color auto="1"/>
        </bottom>
      </border>
    </dxf>
    <dxf>
      <font>
        <b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70AD47"/>
      <rgbColor rgb="FF9999FF"/>
      <rgbColor rgb="FF7030A0"/>
      <rgbColor rgb="FFFFFFD7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2D050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ED7D31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360</xdr:rowOff>
    </xdr:from>
    <xdr:to>
      <xdr:col>16</xdr:col>
      <xdr:colOff>12600</xdr:colOff>
      <xdr:row>51</xdr:row>
      <xdr:rowOff>3240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FAA9A2E6-D979-4232-8876-13E734970F5F}"/>
            </a:ext>
          </a:extLst>
        </xdr:cNvPr>
        <xdr:cNvSpPr/>
      </xdr:nvSpPr>
      <xdr:spPr>
        <a:xfrm>
          <a:off x="0" y="162285"/>
          <a:ext cx="9518550" cy="99946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12600</xdr:colOff>
      <xdr:row>51</xdr:row>
      <xdr:rowOff>3240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9FF851A9-3871-4A72-88F5-1B2F460C2EB1}"/>
            </a:ext>
          </a:extLst>
        </xdr:cNvPr>
        <xdr:cNvSpPr/>
      </xdr:nvSpPr>
      <xdr:spPr>
        <a:xfrm>
          <a:off x="0" y="162285"/>
          <a:ext cx="9518550" cy="99946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12960</xdr:colOff>
      <xdr:row>51</xdr:row>
      <xdr:rowOff>3240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A0F91288-44F3-4BEC-B6C6-0C6E85725C97}"/>
            </a:ext>
          </a:extLst>
        </xdr:cNvPr>
        <xdr:cNvSpPr/>
      </xdr:nvSpPr>
      <xdr:spPr>
        <a:xfrm>
          <a:off x="0" y="162285"/>
          <a:ext cx="9518910" cy="99946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12960</xdr:colOff>
      <xdr:row>51</xdr:row>
      <xdr:rowOff>3240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E4FE8271-3523-49D2-9F3F-17CE8176EDB7}"/>
            </a:ext>
          </a:extLst>
        </xdr:cNvPr>
        <xdr:cNvSpPr/>
      </xdr:nvSpPr>
      <xdr:spPr>
        <a:xfrm>
          <a:off x="0" y="162285"/>
          <a:ext cx="9518910" cy="99946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13320</xdr:colOff>
      <xdr:row>51</xdr:row>
      <xdr:rowOff>3600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4006EA2A-0008-4781-8CBA-6B59FDDA0E80}"/>
            </a:ext>
          </a:extLst>
        </xdr:cNvPr>
        <xdr:cNvSpPr/>
      </xdr:nvSpPr>
      <xdr:spPr>
        <a:xfrm>
          <a:off x="0" y="162285"/>
          <a:ext cx="9519270" cy="99949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13320</xdr:colOff>
      <xdr:row>51</xdr:row>
      <xdr:rowOff>3600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BD3F99BA-19E2-420F-A41C-2761C2D89C51}"/>
            </a:ext>
          </a:extLst>
        </xdr:cNvPr>
        <xdr:cNvSpPr/>
      </xdr:nvSpPr>
      <xdr:spPr>
        <a:xfrm>
          <a:off x="0" y="162285"/>
          <a:ext cx="9519270" cy="99949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1485780B-53FF-4313-ADD3-BFBB1A7EB7FF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ED8A64F4-8E6F-4B06-B48C-495BABE445D2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BCEA6FA1-E4BF-402D-A160-D3C1940D41B2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76728F70-DAD5-488A-A0A4-33074C8F2A49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F60051D4-A783-4CC9-B7EC-1B29E50298B8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13680</xdr:colOff>
      <xdr:row>51</xdr:row>
      <xdr:rowOff>3960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25A20890-EB7C-4FBE-A955-B62BD0AD8486}"/>
            </a:ext>
          </a:extLst>
        </xdr:cNvPr>
        <xdr:cNvSpPr/>
      </xdr:nvSpPr>
      <xdr:spPr>
        <a:xfrm>
          <a:off x="0" y="162285"/>
          <a:ext cx="9519630" cy="999532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B0A6CE83-2051-4690-8FE0-896D8A7AF4F1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F440B5EC-8F7C-4D88-BC75-53AFD1485F85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6ADEB65-2C94-4836-B1C5-398F3AD71D5E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901A895-7DF2-45E7-93E5-0DF4239D809D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C03DDD3A-AC1E-4F77-84A3-6175A6AA476B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14040</xdr:colOff>
      <xdr:row>51</xdr:row>
      <xdr:rowOff>4320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A3E18D07-8F73-4A7D-A63F-9302775FA106}"/>
            </a:ext>
          </a:extLst>
        </xdr:cNvPr>
        <xdr:cNvSpPr/>
      </xdr:nvSpPr>
      <xdr:spPr>
        <a:xfrm>
          <a:off x="0" y="162285"/>
          <a:ext cx="9519990" cy="99956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997FE82C-AD90-4319-AD84-43B7F47FA6A7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EB52C0E3-5501-4A2C-A2BD-12C593C494C3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B27D66A9-74E0-4F2C-8467-2A157C4EB025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5AE22378-1B01-48F9-913B-9DE33783A8EB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A2D06DE1-CD12-499A-90EA-FD070163CB34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68F4AA00-7E10-4A0F-BB64-14FAB037B2BF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F4BE5264-2309-482A-988F-E780E3A9D294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14400</xdr:colOff>
      <xdr:row>51</xdr:row>
      <xdr:rowOff>4680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8CEEBC9-7B4A-49AA-8231-9F3AA5883DC2}"/>
            </a:ext>
          </a:extLst>
        </xdr:cNvPr>
        <xdr:cNvSpPr/>
      </xdr:nvSpPr>
      <xdr:spPr>
        <a:xfrm>
          <a:off x="0" y="162285"/>
          <a:ext cx="9520350" cy="99960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4E96F9CF-873A-44CB-B05F-69426A34F853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D32532C7-6BBB-4DA8-9593-62A77F7EE18D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C8435F60-F499-4253-AFA7-4BF10CDA56FC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A7776AF7-2E50-48D2-9D01-DB1703B97790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746F5DF8-B87F-41D7-993A-8538131CB859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CFA2E917-6354-4875-8AD1-6AD06B0A52E1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31DFABA0-B960-4887-8C5F-BF25BE573B7A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14760</xdr:colOff>
      <xdr:row>51</xdr:row>
      <xdr:rowOff>5040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3C02207F-BDB5-42F7-A9A3-86D271C38CA9}"/>
            </a:ext>
          </a:extLst>
        </xdr:cNvPr>
        <xdr:cNvSpPr/>
      </xdr:nvSpPr>
      <xdr:spPr>
        <a:xfrm>
          <a:off x="0" y="162285"/>
          <a:ext cx="9520710" cy="999640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8E856CA5-B58B-47B0-8876-E677AF25F67C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5283ACC3-4ADF-4DA7-8C31-0C9C448739F6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AF3C7340-753F-46BC-BC59-57CC0B1F7AAF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C5786540-90E6-4176-921E-872419EF0188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1F1D77CF-B280-465A-B61A-BF272E414454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55D3A428-BE5B-4EF4-AA1A-74800E3A8C65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2989F967-A752-4CF9-9725-A202BAC1E2C4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9D5A50FF-66D9-474F-9367-F90F599B1B8C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A2998EF6-D653-482B-A167-5805EF075CCF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15120</xdr:colOff>
      <xdr:row>51</xdr:row>
      <xdr:rowOff>5400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1E7F2D60-80F5-4CDF-9E4D-2C027ADE41FD}"/>
            </a:ext>
          </a:extLst>
        </xdr:cNvPr>
        <xdr:cNvSpPr/>
      </xdr:nvSpPr>
      <xdr:spPr>
        <a:xfrm>
          <a:off x="0" y="162285"/>
          <a:ext cx="9521070" cy="99967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6894C11F-B68B-42BF-8D5C-1CFC6DBC73DA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D0A77307-5211-4FF2-BD0B-41BF4DD79F6B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DC5BB685-2BF1-4103-994D-1030CDF472B9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2DB2B7A5-21D2-4079-9640-20F2FCB56C98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C9B8A765-6C69-4A5F-9D79-39C0F1BF9419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297A6277-46AF-4D1E-B547-6FB92E139551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FF2AD8A-2233-4E17-920B-ACFDB674EFDE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71C250B0-8207-4ADD-B2DB-775E98152132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5A0CADE9-EDB7-4320-A124-67D0B8509900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15840</xdr:colOff>
      <xdr:row>51</xdr:row>
      <xdr:rowOff>6120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6E0BBBEC-72D8-479B-95B9-042C0D290ABC}"/>
            </a:ext>
          </a:extLst>
        </xdr:cNvPr>
        <xdr:cNvSpPr/>
      </xdr:nvSpPr>
      <xdr:spPr>
        <a:xfrm>
          <a:off x="0" y="162285"/>
          <a:ext cx="9521790" cy="999748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D60308EF-355D-430E-A57C-793C7CDCFD6F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CFA1485D-2504-4493-9AFF-E102C606F1A8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73BDF95-3199-48B8-8B78-51076BFC52DB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4A1A6A8F-0C48-48D0-8C3F-30EFB95B3FD7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CD399B70-E823-41AC-99D6-E66C5DC9B06B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9880E239-3ECD-4CC4-8A5F-E5CC42AFF78E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7D49D9C7-F86D-4045-99E3-4A2A3A76CDA5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7D14738F-60B8-41EC-8C86-65FD75275598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7DC9AF6-CD27-4C83-8611-3A4D25B385F9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16200</xdr:colOff>
      <xdr:row>51</xdr:row>
      <xdr:rowOff>6480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35B74047-CDCD-4843-9A0B-877B61C77D1D}"/>
            </a:ext>
          </a:extLst>
        </xdr:cNvPr>
        <xdr:cNvSpPr/>
      </xdr:nvSpPr>
      <xdr:spPr>
        <a:xfrm>
          <a:off x="0" y="162285"/>
          <a:ext cx="9522150" cy="999784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C43F579B-DA23-4FF0-9711-7F9AD9E1860D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3ECC8D4E-55C0-4125-A467-60C9C9A20BE1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3C4A0468-998D-4D6C-A68D-186C6DCE5EA6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64E0EB55-FA91-46C2-9907-D177ED69FC18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7385B924-54AA-46C6-8A97-71DB54D90966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BFEAFCB8-D125-4EAA-97F5-40FBB55EB1DE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E00C5FFE-DE3E-4067-A23A-0C65BBB52D4A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BA9CCABB-87F2-4CC0-9499-C9D295BDBC1A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EF3B2E00-F225-4752-8A20-F50FD0C6957C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5F050944-F11F-466D-A020-7808C450EF09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8EEAEE19-BCA6-4DE3-9B05-F362E1D412DB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271EB658-83FB-469D-B91E-1BD02D4817A6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876DF052-959C-4C2A-A641-EF8726A8EE6E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ED86C31C-C3D3-443D-A932-156C9B6D30E5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3408A28-5203-4098-A40E-904D707DA050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B7FB2C13-CA70-4CF7-8339-0F006FB3B1C6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16</xdr:col>
      <xdr:colOff>16920</xdr:colOff>
      <xdr:row>51</xdr:row>
      <xdr:rowOff>7200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7157741C-3580-4C2B-A653-5B7BD86E7835}"/>
            </a:ext>
          </a:extLst>
        </xdr:cNvPr>
        <xdr:cNvSpPr/>
      </xdr:nvSpPr>
      <xdr:spPr>
        <a:xfrm>
          <a:off x="0" y="162285"/>
          <a:ext cx="9522870" cy="99985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3" name="CustomShape 1">
          <a:extLst>
            <a:ext uri="{FF2B5EF4-FFF2-40B4-BE49-F238E27FC236}">
              <a16:creationId xmlns:a16="http://schemas.microsoft.com/office/drawing/2014/main" id="{1BA35F4E-3E70-46C0-A76A-CEA8F14E9308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4" name="CustomShape 1">
          <a:extLst>
            <a:ext uri="{FF2B5EF4-FFF2-40B4-BE49-F238E27FC236}">
              <a16:creationId xmlns:a16="http://schemas.microsoft.com/office/drawing/2014/main" id="{359817C4-CD6F-4116-810C-C1FEFDEF8B16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5" name="CustomShape 1">
          <a:extLst>
            <a:ext uri="{FF2B5EF4-FFF2-40B4-BE49-F238E27FC236}">
              <a16:creationId xmlns:a16="http://schemas.microsoft.com/office/drawing/2014/main" id="{531EDCCA-8CDD-445B-92FA-8E05C82B975E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6" name="CustomShape 1">
          <a:extLst>
            <a:ext uri="{FF2B5EF4-FFF2-40B4-BE49-F238E27FC236}">
              <a16:creationId xmlns:a16="http://schemas.microsoft.com/office/drawing/2014/main" id="{A0DB16EB-737D-4224-838D-9CA909E4B31A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7" name="CustomShape 1">
          <a:extLst>
            <a:ext uri="{FF2B5EF4-FFF2-40B4-BE49-F238E27FC236}">
              <a16:creationId xmlns:a16="http://schemas.microsoft.com/office/drawing/2014/main" id="{5ABCB51B-FD43-410A-9A7C-990F26A5BABF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8" name="CustomShape 1">
          <a:extLst>
            <a:ext uri="{FF2B5EF4-FFF2-40B4-BE49-F238E27FC236}">
              <a16:creationId xmlns:a16="http://schemas.microsoft.com/office/drawing/2014/main" id="{B9DC18C0-B9AE-4117-B12A-F68E01B5627D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89" name="CustomShape 1">
          <a:extLst>
            <a:ext uri="{FF2B5EF4-FFF2-40B4-BE49-F238E27FC236}">
              <a16:creationId xmlns:a16="http://schemas.microsoft.com/office/drawing/2014/main" id="{E737E3A0-1767-4A31-8F73-5288E6C2D803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0" name="CustomShape 1">
          <a:extLst>
            <a:ext uri="{FF2B5EF4-FFF2-40B4-BE49-F238E27FC236}">
              <a16:creationId xmlns:a16="http://schemas.microsoft.com/office/drawing/2014/main" id="{F16A72B2-5BA3-49AE-B4B2-7BE1FC43BB3A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1" name="CustomShape 1">
          <a:extLst>
            <a:ext uri="{FF2B5EF4-FFF2-40B4-BE49-F238E27FC236}">
              <a16:creationId xmlns:a16="http://schemas.microsoft.com/office/drawing/2014/main" id="{8C209580-009A-4742-858F-F273C19EB746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2" name="CustomShape 1">
          <a:extLst>
            <a:ext uri="{FF2B5EF4-FFF2-40B4-BE49-F238E27FC236}">
              <a16:creationId xmlns:a16="http://schemas.microsoft.com/office/drawing/2014/main" id="{96F43CD1-8D32-4CB1-9E93-22AAD82AEB82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3" name="CustomShape 1">
          <a:extLst>
            <a:ext uri="{FF2B5EF4-FFF2-40B4-BE49-F238E27FC236}">
              <a16:creationId xmlns:a16="http://schemas.microsoft.com/office/drawing/2014/main" id="{D555C230-14A2-48AA-960D-8BD2F37D2A64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4" name="CustomShape 1">
          <a:extLst>
            <a:ext uri="{FF2B5EF4-FFF2-40B4-BE49-F238E27FC236}">
              <a16:creationId xmlns:a16="http://schemas.microsoft.com/office/drawing/2014/main" id="{F7A9B11C-1EC9-4E76-A6FC-A60175015A20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5" name="CustomShape 1">
          <a:extLst>
            <a:ext uri="{FF2B5EF4-FFF2-40B4-BE49-F238E27FC236}">
              <a16:creationId xmlns:a16="http://schemas.microsoft.com/office/drawing/2014/main" id="{5A1C975C-6FCC-4C15-A061-3687033637D8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6" name="CustomShape 1">
          <a:extLst>
            <a:ext uri="{FF2B5EF4-FFF2-40B4-BE49-F238E27FC236}">
              <a16:creationId xmlns:a16="http://schemas.microsoft.com/office/drawing/2014/main" id="{73918527-F51B-4A07-B849-BFEB5DE1F550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7" name="CustomShape 1">
          <a:extLst>
            <a:ext uri="{FF2B5EF4-FFF2-40B4-BE49-F238E27FC236}">
              <a16:creationId xmlns:a16="http://schemas.microsoft.com/office/drawing/2014/main" id="{3C75FABE-C8C9-45BC-AF13-714D2972D2E8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8" name="CustomShape 1">
          <a:extLst>
            <a:ext uri="{FF2B5EF4-FFF2-40B4-BE49-F238E27FC236}">
              <a16:creationId xmlns:a16="http://schemas.microsoft.com/office/drawing/2014/main" id="{92911286-0156-4102-B741-92AF30C66F73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99" name="CustomShape 1">
          <a:extLst>
            <a:ext uri="{FF2B5EF4-FFF2-40B4-BE49-F238E27FC236}">
              <a16:creationId xmlns:a16="http://schemas.microsoft.com/office/drawing/2014/main" id="{95664E92-EB64-44A7-BB60-151533F4D856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100" name="CustomShape 1">
          <a:extLst>
            <a:ext uri="{FF2B5EF4-FFF2-40B4-BE49-F238E27FC236}">
              <a16:creationId xmlns:a16="http://schemas.microsoft.com/office/drawing/2014/main" id="{1FBD5E46-BE34-4D25-A0C8-DA6EE6026850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1</xdr:row>
      <xdr:rowOff>360</xdr:rowOff>
    </xdr:from>
    <xdr:to>
      <xdr:col>0</xdr:col>
      <xdr:colOff>189360</xdr:colOff>
      <xdr:row>1</xdr:row>
      <xdr:rowOff>227520</xdr:rowOff>
    </xdr:to>
    <xdr:sp macro="" textlink="">
      <xdr:nvSpPr>
        <xdr:cNvPr id="101" name="CustomShape 1">
          <a:extLst>
            <a:ext uri="{FF2B5EF4-FFF2-40B4-BE49-F238E27FC236}">
              <a16:creationId xmlns:a16="http://schemas.microsoft.com/office/drawing/2014/main" id="{7060ED4B-CD20-4BE0-86A5-B45E4A632FC0}"/>
            </a:ext>
          </a:extLst>
        </xdr:cNvPr>
        <xdr:cNvSpPr/>
      </xdr:nvSpPr>
      <xdr:spPr>
        <a:xfrm>
          <a:off x="0" y="162285"/>
          <a:ext cx="179835" cy="227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A97EE80D-AC22-4253-8CBD-1C4BC404F569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BCF438AA-63C7-4513-B0C5-FDBF395C3128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AEBD3C9D-2BB5-4610-A42F-3641F8DD84D3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AF9FB18E-7A7F-49E4-B7EC-4B6BB2192E38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4603107B-0FB3-46C3-ADD7-17F118E5160F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B1D5972-C271-429F-965D-EE7749CE2560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75AEB8C6-D098-4F13-BF19-38D1E17F24CC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E45DF355-E31D-49C7-8D70-11A2360CFF00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451BA3B2-5B89-423D-B107-F841DD6C37CA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3DCF2D2E-54B1-4E9F-85DD-4E49EA2DF122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AC09D55C-D623-4A02-AB5D-4EB00540DF2D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8B5AE065-C000-422D-879E-8A4D8018E016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541E33B6-2772-40B1-8FE8-529E21ADEF33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61B26AB5-8A77-4D54-8C28-6B68D9DF4683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95199800-7318-4435-96A2-52A65933385B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985E947C-8309-4DF1-8B2E-FE3536023F25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18000</xdr:colOff>
      <xdr:row>51</xdr:row>
      <xdr:rowOff>75240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8EE166F0-79A0-4B43-BED1-3284088F0565}"/>
            </a:ext>
          </a:extLst>
        </xdr:cNvPr>
        <xdr:cNvSpPr/>
      </xdr:nvSpPr>
      <xdr:spPr>
        <a:xfrm>
          <a:off x="0" y="0"/>
          <a:ext cx="9523950" cy="102288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2B51F205-DF1E-4328-A016-0692B0523E38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90A26262-B99A-4282-BEEE-36A4973C0972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8420E2A8-4B55-4041-9EFA-FE255A6D291F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514416-AFB6-475A-8D4F-BB7AFFB5E3B4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198030C6-8137-4481-AA55-4FDF222BCFE1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D0DF0863-221D-4124-BDAC-54F5828EDA7D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FEF690C8-2409-47DF-A7E3-0F4DC488E9F9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FAC0060D-8019-4A0A-9DD6-2F6B23078CCA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DDF3A156-24C0-4A19-82B2-7799F887D6C9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5EDBBD02-5733-4EDA-8192-3D04DA5C554C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F2B68CD3-D05E-4FD7-93EF-3FA092D162C5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B7071447-1AE4-4679-8707-8CFE31C23260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C8D8F08E-D661-4AEF-8C07-CF43999F3C2B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64CF4989-FDE4-49F4-95B4-3A4063EA31E1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E137ABC7-D1C6-4533-8F3A-CB82D7CF39DB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D843D989-353C-4950-9FD9-CABEA0F2BAB8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CF440026-51F9-4D01-8AB1-75B1EC3EC35F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5E413F4C-7357-4449-B955-9A4CF9E32A07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4F92D10A-B51B-470B-B3BC-B060A06B9E3A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F063C892-0990-4934-B72C-4D6C5B7A92C4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E33B9698-9F27-416D-A6CA-0D5CA40E0314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18360</xdr:colOff>
      <xdr:row>50</xdr:row>
      <xdr:rowOff>75600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82BB08D4-C524-4FBC-A3E6-6688AAC05934}"/>
            </a:ext>
          </a:extLst>
        </xdr:cNvPr>
        <xdr:cNvSpPr/>
      </xdr:nvSpPr>
      <xdr:spPr>
        <a:xfrm>
          <a:off x="0" y="0"/>
          <a:ext cx="9524310" cy="100387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81916996-D42B-4595-979F-7B87FDE02C02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4DD465D3-E45C-45BE-A380-22D88F2F184B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B4D65BD8-477A-42E7-AA69-A6BB0FC2CD49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5A89F0D3-EC7C-4760-8240-FCB68D0EA4AC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B278775B-35B2-4062-BCD9-4385D651168A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C7AEA8E5-5B21-4AD4-B414-C2ED9F4554C3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4F582A80-9F07-4CB0-948C-5AB971E3EBAD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43F1A97-6422-4015-B7F7-D99FD46DB34B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D79E2CB1-F644-411A-8BCE-AFDB03EE3350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F34C3E6D-C9DE-4D82-BE3E-BBDF4CE05DF9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144099A0-8D1E-4B1E-AC9A-ADB391B86567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456B9E8D-1CF0-4970-9766-5BC754C3768B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D62C6FBE-1FB6-47BB-9E17-8E02DA091358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E2FAD6A3-7FFE-459C-B8E0-38806FB8F8B9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6CB77182-6B84-4C01-B1CB-816C16AE1C2D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81FAED6B-AADF-4D84-950D-43170623CC83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EF3AD97D-3BC7-485B-8BB5-AE98477AE060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A6782AE2-CE5A-47B5-8870-13CF39EB105E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DC2140F5-4485-4362-87F9-4A5A5A411619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B3EC6DDF-F280-48D6-971C-AE22C11039D5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1210D375-C28C-4B60-89E5-3DBD6D9BFDE0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18720</xdr:colOff>
      <xdr:row>50</xdr:row>
      <xdr:rowOff>75960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FBEC2CC6-2B1D-4928-AC73-151551008DB3}"/>
            </a:ext>
          </a:extLst>
        </xdr:cNvPr>
        <xdr:cNvSpPr/>
      </xdr:nvSpPr>
      <xdr:spPr>
        <a:xfrm>
          <a:off x="0" y="0"/>
          <a:ext cx="9524670" cy="100391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3" name="AutoShape 44">
          <a:extLst>
            <a:ext uri="{FF2B5EF4-FFF2-40B4-BE49-F238E27FC236}">
              <a16:creationId xmlns:a16="http://schemas.microsoft.com/office/drawing/2014/main" id="{D592C07B-FF92-4BA8-B18F-29D8416D0D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4" name="AutoShape 42">
          <a:extLst>
            <a:ext uri="{FF2B5EF4-FFF2-40B4-BE49-F238E27FC236}">
              <a16:creationId xmlns:a16="http://schemas.microsoft.com/office/drawing/2014/main" id="{93CEF095-038C-4CA5-B70D-9BF187FD8D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5" name="AutoShape 40">
          <a:extLst>
            <a:ext uri="{FF2B5EF4-FFF2-40B4-BE49-F238E27FC236}">
              <a16:creationId xmlns:a16="http://schemas.microsoft.com/office/drawing/2014/main" id="{CBB2DF8E-D2C9-434C-816C-A2200DB4D8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6" name="AutoShape 38">
          <a:extLst>
            <a:ext uri="{FF2B5EF4-FFF2-40B4-BE49-F238E27FC236}">
              <a16:creationId xmlns:a16="http://schemas.microsoft.com/office/drawing/2014/main" id="{0B8BE6A5-2ECE-480A-8FBD-7B62972232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7" name="AutoShape 36">
          <a:extLst>
            <a:ext uri="{FF2B5EF4-FFF2-40B4-BE49-F238E27FC236}">
              <a16:creationId xmlns:a16="http://schemas.microsoft.com/office/drawing/2014/main" id="{C15C3549-FA39-4C64-8302-5823C3E2A1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8" name="AutoShape 34">
          <a:extLst>
            <a:ext uri="{FF2B5EF4-FFF2-40B4-BE49-F238E27FC236}">
              <a16:creationId xmlns:a16="http://schemas.microsoft.com/office/drawing/2014/main" id="{100380FD-9730-4E9C-8DEF-F28DD3E9C7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69" name="AutoShape 32">
          <a:extLst>
            <a:ext uri="{FF2B5EF4-FFF2-40B4-BE49-F238E27FC236}">
              <a16:creationId xmlns:a16="http://schemas.microsoft.com/office/drawing/2014/main" id="{82489637-819F-4AA5-B192-BDFB98D755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0" name="AutoShape 30">
          <a:extLst>
            <a:ext uri="{FF2B5EF4-FFF2-40B4-BE49-F238E27FC236}">
              <a16:creationId xmlns:a16="http://schemas.microsoft.com/office/drawing/2014/main" id="{E468185C-F53A-4453-9844-31CC03F805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1" name="AutoShape 28">
          <a:extLst>
            <a:ext uri="{FF2B5EF4-FFF2-40B4-BE49-F238E27FC236}">
              <a16:creationId xmlns:a16="http://schemas.microsoft.com/office/drawing/2014/main" id="{26B2B76E-BDBA-46FB-942D-9193001E1A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2" name="AutoShape 26">
          <a:extLst>
            <a:ext uri="{FF2B5EF4-FFF2-40B4-BE49-F238E27FC236}">
              <a16:creationId xmlns:a16="http://schemas.microsoft.com/office/drawing/2014/main" id="{B8F59960-52DB-4746-B8CC-072AC11049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3" name="AutoShape 24">
          <a:extLst>
            <a:ext uri="{FF2B5EF4-FFF2-40B4-BE49-F238E27FC236}">
              <a16:creationId xmlns:a16="http://schemas.microsoft.com/office/drawing/2014/main" id="{345C2535-38D6-4861-8C49-1C3A01D296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4" name="AutoShape 22">
          <a:extLst>
            <a:ext uri="{FF2B5EF4-FFF2-40B4-BE49-F238E27FC236}">
              <a16:creationId xmlns:a16="http://schemas.microsoft.com/office/drawing/2014/main" id="{E5E9F52B-6138-4AAF-A371-E9D20B54FD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5" name="AutoShape 20">
          <a:extLst>
            <a:ext uri="{FF2B5EF4-FFF2-40B4-BE49-F238E27FC236}">
              <a16:creationId xmlns:a16="http://schemas.microsoft.com/office/drawing/2014/main" id="{BFBF204C-C215-4E86-8551-AC821639C6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6" name="AutoShape 18">
          <a:extLst>
            <a:ext uri="{FF2B5EF4-FFF2-40B4-BE49-F238E27FC236}">
              <a16:creationId xmlns:a16="http://schemas.microsoft.com/office/drawing/2014/main" id="{0CCE953B-E0AC-49CA-8F83-4449DF9430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7" name="AutoShape 16">
          <a:extLst>
            <a:ext uri="{FF2B5EF4-FFF2-40B4-BE49-F238E27FC236}">
              <a16:creationId xmlns:a16="http://schemas.microsoft.com/office/drawing/2014/main" id="{3C9EA06F-32E5-438B-A65C-91B168F624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8" name="AutoShape 14">
          <a:extLst>
            <a:ext uri="{FF2B5EF4-FFF2-40B4-BE49-F238E27FC236}">
              <a16:creationId xmlns:a16="http://schemas.microsoft.com/office/drawing/2014/main" id="{554D560D-1C71-4825-AC81-1D4691BDF9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79" name="AutoShape 12">
          <a:extLst>
            <a:ext uri="{FF2B5EF4-FFF2-40B4-BE49-F238E27FC236}">
              <a16:creationId xmlns:a16="http://schemas.microsoft.com/office/drawing/2014/main" id="{A4E9AFAC-17FF-4CB8-B0CE-94B07AE0E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0" name="AutoShape 10">
          <a:extLst>
            <a:ext uri="{FF2B5EF4-FFF2-40B4-BE49-F238E27FC236}">
              <a16:creationId xmlns:a16="http://schemas.microsoft.com/office/drawing/2014/main" id="{34475D25-7424-462F-8FCF-D17E100776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1" name="AutoShape 8">
          <a:extLst>
            <a:ext uri="{FF2B5EF4-FFF2-40B4-BE49-F238E27FC236}">
              <a16:creationId xmlns:a16="http://schemas.microsoft.com/office/drawing/2014/main" id="{03513CF0-3A2D-4F64-AF33-3F28C6326F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2" name="AutoShape 6">
          <a:extLst>
            <a:ext uri="{FF2B5EF4-FFF2-40B4-BE49-F238E27FC236}">
              <a16:creationId xmlns:a16="http://schemas.microsoft.com/office/drawing/2014/main" id="{DC377C53-FE70-48FF-9B72-8E715A2748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F8EEACA2-8AB3-4425-A6E2-D3A0033ABA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4" name="AutoShape 2">
          <a:extLst>
            <a:ext uri="{FF2B5EF4-FFF2-40B4-BE49-F238E27FC236}">
              <a16:creationId xmlns:a16="http://schemas.microsoft.com/office/drawing/2014/main" id="{593BAFDD-69BC-456E-9882-B78123F15E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5" name="AutoShape 44">
          <a:extLst>
            <a:ext uri="{FF2B5EF4-FFF2-40B4-BE49-F238E27FC236}">
              <a16:creationId xmlns:a16="http://schemas.microsoft.com/office/drawing/2014/main" id="{4DE07014-F8AB-440F-AF33-46A292C762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6" name="AutoShape 42">
          <a:extLst>
            <a:ext uri="{FF2B5EF4-FFF2-40B4-BE49-F238E27FC236}">
              <a16:creationId xmlns:a16="http://schemas.microsoft.com/office/drawing/2014/main" id="{DF525E66-3D1A-40E1-812A-50B16F553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7" name="AutoShape 40">
          <a:extLst>
            <a:ext uri="{FF2B5EF4-FFF2-40B4-BE49-F238E27FC236}">
              <a16:creationId xmlns:a16="http://schemas.microsoft.com/office/drawing/2014/main" id="{581A051D-9D11-4744-ABF0-BCC8426C32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8" name="AutoShape 38">
          <a:extLst>
            <a:ext uri="{FF2B5EF4-FFF2-40B4-BE49-F238E27FC236}">
              <a16:creationId xmlns:a16="http://schemas.microsoft.com/office/drawing/2014/main" id="{1D2A7B3B-03A5-4BBF-8A99-0E00EF07F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89" name="AutoShape 36">
          <a:extLst>
            <a:ext uri="{FF2B5EF4-FFF2-40B4-BE49-F238E27FC236}">
              <a16:creationId xmlns:a16="http://schemas.microsoft.com/office/drawing/2014/main" id="{257AC39F-C714-4A79-8CB8-7CB4A6AE86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0" name="AutoShape 34">
          <a:extLst>
            <a:ext uri="{FF2B5EF4-FFF2-40B4-BE49-F238E27FC236}">
              <a16:creationId xmlns:a16="http://schemas.microsoft.com/office/drawing/2014/main" id="{194B528C-A338-471B-A318-D2270712BC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1" name="AutoShape 32">
          <a:extLst>
            <a:ext uri="{FF2B5EF4-FFF2-40B4-BE49-F238E27FC236}">
              <a16:creationId xmlns:a16="http://schemas.microsoft.com/office/drawing/2014/main" id="{9F64BCF9-6B94-45AC-8734-39D6E6C36D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2" name="AutoShape 30">
          <a:extLst>
            <a:ext uri="{FF2B5EF4-FFF2-40B4-BE49-F238E27FC236}">
              <a16:creationId xmlns:a16="http://schemas.microsoft.com/office/drawing/2014/main" id="{4DF29C6B-0431-431A-B201-56F860E0B3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3" name="AutoShape 28">
          <a:extLst>
            <a:ext uri="{FF2B5EF4-FFF2-40B4-BE49-F238E27FC236}">
              <a16:creationId xmlns:a16="http://schemas.microsoft.com/office/drawing/2014/main" id="{B00F986F-224E-4919-B100-917D9F39D0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4" name="AutoShape 26">
          <a:extLst>
            <a:ext uri="{FF2B5EF4-FFF2-40B4-BE49-F238E27FC236}">
              <a16:creationId xmlns:a16="http://schemas.microsoft.com/office/drawing/2014/main" id="{46FC9386-207E-4BC2-8D44-466C1BD500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5" name="AutoShape 24">
          <a:extLst>
            <a:ext uri="{FF2B5EF4-FFF2-40B4-BE49-F238E27FC236}">
              <a16:creationId xmlns:a16="http://schemas.microsoft.com/office/drawing/2014/main" id="{923091C3-22D8-413C-8BF7-F3D4D6D941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6" name="AutoShape 22">
          <a:extLst>
            <a:ext uri="{FF2B5EF4-FFF2-40B4-BE49-F238E27FC236}">
              <a16:creationId xmlns:a16="http://schemas.microsoft.com/office/drawing/2014/main" id="{81B49606-CE74-4A7B-ADD1-1105511AA7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7" name="AutoShape 20">
          <a:extLst>
            <a:ext uri="{FF2B5EF4-FFF2-40B4-BE49-F238E27FC236}">
              <a16:creationId xmlns:a16="http://schemas.microsoft.com/office/drawing/2014/main" id="{DFF12EE2-9818-46EF-B7B7-BDF4DB0EEC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8" name="AutoShape 18">
          <a:extLst>
            <a:ext uri="{FF2B5EF4-FFF2-40B4-BE49-F238E27FC236}">
              <a16:creationId xmlns:a16="http://schemas.microsoft.com/office/drawing/2014/main" id="{0D408DEC-AFB1-457C-8E9D-9C021307CB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199" name="AutoShape 16">
          <a:extLst>
            <a:ext uri="{FF2B5EF4-FFF2-40B4-BE49-F238E27FC236}">
              <a16:creationId xmlns:a16="http://schemas.microsoft.com/office/drawing/2014/main" id="{71DD54F2-391B-40EB-865C-B6E9077025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0" name="AutoShape 14">
          <a:extLst>
            <a:ext uri="{FF2B5EF4-FFF2-40B4-BE49-F238E27FC236}">
              <a16:creationId xmlns:a16="http://schemas.microsoft.com/office/drawing/2014/main" id="{E0F14CCE-8A17-4D9F-A6E5-BC52F2B154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1" name="AutoShape 12">
          <a:extLst>
            <a:ext uri="{FF2B5EF4-FFF2-40B4-BE49-F238E27FC236}">
              <a16:creationId xmlns:a16="http://schemas.microsoft.com/office/drawing/2014/main" id="{DEE596DF-5658-44DB-A653-6023DEF6AF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2" name="AutoShape 10">
          <a:extLst>
            <a:ext uri="{FF2B5EF4-FFF2-40B4-BE49-F238E27FC236}">
              <a16:creationId xmlns:a16="http://schemas.microsoft.com/office/drawing/2014/main" id="{DB941810-391F-4A4E-BE52-2D11B6A377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3" name="AutoShape 8">
          <a:extLst>
            <a:ext uri="{FF2B5EF4-FFF2-40B4-BE49-F238E27FC236}">
              <a16:creationId xmlns:a16="http://schemas.microsoft.com/office/drawing/2014/main" id="{7DAB19EC-671A-492F-AA8A-7935E6DB36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4" name="AutoShape 6">
          <a:extLst>
            <a:ext uri="{FF2B5EF4-FFF2-40B4-BE49-F238E27FC236}">
              <a16:creationId xmlns:a16="http://schemas.microsoft.com/office/drawing/2014/main" id="{0AEBD435-8AE1-4C51-B0B7-E4550EBF05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5" name="AutoShape 4">
          <a:extLst>
            <a:ext uri="{FF2B5EF4-FFF2-40B4-BE49-F238E27FC236}">
              <a16:creationId xmlns:a16="http://schemas.microsoft.com/office/drawing/2014/main" id="{B70DCB07-16DA-4AFA-A137-E04CDB5CDB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6" name="AutoShape 2">
          <a:extLst>
            <a:ext uri="{FF2B5EF4-FFF2-40B4-BE49-F238E27FC236}">
              <a16:creationId xmlns:a16="http://schemas.microsoft.com/office/drawing/2014/main" id="{CDE7A7E3-CFAC-4177-A4E3-4A31AD356C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7" name="AutoShape 44">
          <a:extLst>
            <a:ext uri="{FF2B5EF4-FFF2-40B4-BE49-F238E27FC236}">
              <a16:creationId xmlns:a16="http://schemas.microsoft.com/office/drawing/2014/main" id="{1AD5603C-F8D6-4BCA-B675-46CFA210A5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8" name="AutoShape 42">
          <a:extLst>
            <a:ext uri="{FF2B5EF4-FFF2-40B4-BE49-F238E27FC236}">
              <a16:creationId xmlns:a16="http://schemas.microsoft.com/office/drawing/2014/main" id="{B226244B-7FBB-4572-B07D-14C8F988ED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09" name="AutoShape 40">
          <a:extLst>
            <a:ext uri="{FF2B5EF4-FFF2-40B4-BE49-F238E27FC236}">
              <a16:creationId xmlns:a16="http://schemas.microsoft.com/office/drawing/2014/main" id="{2A2CA7EA-7F46-4BD4-94C2-802BC3E8E1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0" name="AutoShape 38">
          <a:extLst>
            <a:ext uri="{FF2B5EF4-FFF2-40B4-BE49-F238E27FC236}">
              <a16:creationId xmlns:a16="http://schemas.microsoft.com/office/drawing/2014/main" id="{89F73497-3C14-4638-9D25-1659190FAA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1" name="AutoShape 36">
          <a:extLst>
            <a:ext uri="{FF2B5EF4-FFF2-40B4-BE49-F238E27FC236}">
              <a16:creationId xmlns:a16="http://schemas.microsoft.com/office/drawing/2014/main" id="{43E78479-FADD-4862-85AF-4B73B21B1F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2" name="AutoShape 34">
          <a:extLst>
            <a:ext uri="{FF2B5EF4-FFF2-40B4-BE49-F238E27FC236}">
              <a16:creationId xmlns:a16="http://schemas.microsoft.com/office/drawing/2014/main" id="{BB50E43C-D0ED-4DB0-B422-1EC4F1AC70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3" name="AutoShape 32">
          <a:extLst>
            <a:ext uri="{FF2B5EF4-FFF2-40B4-BE49-F238E27FC236}">
              <a16:creationId xmlns:a16="http://schemas.microsoft.com/office/drawing/2014/main" id="{E3F84FB1-C117-4594-A873-3067D07A29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4" name="AutoShape 30">
          <a:extLst>
            <a:ext uri="{FF2B5EF4-FFF2-40B4-BE49-F238E27FC236}">
              <a16:creationId xmlns:a16="http://schemas.microsoft.com/office/drawing/2014/main" id="{9E7D4D99-9903-4C7B-A048-47EC809A7B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5" name="AutoShape 28">
          <a:extLst>
            <a:ext uri="{FF2B5EF4-FFF2-40B4-BE49-F238E27FC236}">
              <a16:creationId xmlns:a16="http://schemas.microsoft.com/office/drawing/2014/main" id="{8F6E7C03-2427-47DC-AD91-530054DEC0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6" name="AutoShape 26">
          <a:extLst>
            <a:ext uri="{FF2B5EF4-FFF2-40B4-BE49-F238E27FC236}">
              <a16:creationId xmlns:a16="http://schemas.microsoft.com/office/drawing/2014/main" id="{D43BB2AA-B57D-4E2F-9DC2-B36692D596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7" name="AutoShape 24">
          <a:extLst>
            <a:ext uri="{FF2B5EF4-FFF2-40B4-BE49-F238E27FC236}">
              <a16:creationId xmlns:a16="http://schemas.microsoft.com/office/drawing/2014/main" id="{3F64EEBC-F1FE-41B3-8FBA-A5FCA66F91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8" name="AutoShape 22">
          <a:extLst>
            <a:ext uri="{FF2B5EF4-FFF2-40B4-BE49-F238E27FC236}">
              <a16:creationId xmlns:a16="http://schemas.microsoft.com/office/drawing/2014/main" id="{724992EC-CA57-4393-B38E-B4A01094F4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19" name="AutoShape 20">
          <a:extLst>
            <a:ext uri="{FF2B5EF4-FFF2-40B4-BE49-F238E27FC236}">
              <a16:creationId xmlns:a16="http://schemas.microsoft.com/office/drawing/2014/main" id="{F27644B6-3104-45CC-BBFA-A955EDC722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0" name="AutoShape 18">
          <a:extLst>
            <a:ext uri="{FF2B5EF4-FFF2-40B4-BE49-F238E27FC236}">
              <a16:creationId xmlns:a16="http://schemas.microsoft.com/office/drawing/2014/main" id="{C2AE511C-A5FA-4AD1-8844-7DE1B9D4BE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1" name="AutoShape 16">
          <a:extLst>
            <a:ext uri="{FF2B5EF4-FFF2-40B4-BE49-F238E27FC236}">
              <a16:creationId xmlns:a16="http://schemas.microsoft.com/office/drawing/2014/main" id="{2422264B-E7DC-4A87-8F46-86B8073869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2" name="AutoShape 14">
          <a:extLst>
            <a:ext uri="{FF2B5EF4-FFF2-40B4-BE49-F238E27FC236}">
              <a16:creationId xmlns:a16="http://schemas.microsoft.com/office/drawing/2014/main" id="{915432D4-75D2-4BFF-B7EC-1F1259F36C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3" name="AutoShape 12">
          <a:extLst>
            <a:ext uri="{FF2B5EF4-FFF2-40B4-BE49-F238E27FC236}">
              <a16:creationId xmlns:a16="http://schemas.microsoft.com/office/drawing/2014/main" id="{7D6217D4-A42E-42FF-90C8-B9DFCE1F00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4" name="AutoShape 10">
          <a:extLst>
            <a:ext uri="{FF2B5EF4-FFF2-40B4-BE49-F238E27FC236}">
              <a16:creationId xmlns:a16="http://schemas.microsoft.com/office/drawing/2014/main" id="{3A692AA6-009C-4DF0-AD8C-A9D3903EC5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5" name="AutoShape 8">
          <a:extLst>
            <a:ext uri="{FF2B5EF4-FFF2-40B4-BE49-F238E27FC236}">
              <a16:creationId xmlns:a16="http://schemas.microsoft.com/office/drawing/2014/main" id="{3A4DCC76-4594-46A6-A0BD-33F45BD563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6" name="AutoShape 6">
          <a:extLst>
            <a:ext uri="{FF2B5EF4-FFF2-40B4-BE49-F238E27FC236}">
              <a16:creationId xmlns:a16="http://schemas.microsoft.com/office/drawing/2014/main" id="{DF09002D-720C-4DEA-9CF0-C2D4C29FE8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7" name="AutoShape 4">
          <a:extLst>
            <a:ext uri="{FF2B5EF4-FFF2-40B4-BE49-F238E27FC236}">
              <a16:creationId xmlns:a16="http://schemas.microsoft.com/office/drawing/2014/main" id="{5DE576CB-44DD-4B3F-8476-0E5F17FA57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8" name="AutoShape 2">
          <a:extLst>
            <a:ext uri="{FF2B5EF4-FFF2-40B4-BE49-F238E27FC236}">
              <a16:creationId xmlns:a16="http://schemas.microsoft.com/office/drawing/2014/main" id="{52171B86-D311-427B-A8BA-8B9EF6388B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29" name="AutoShape 44">
          <a:extLst>
            <a:ext uri="{FF2B5EF4-FFF2-40B4-BE49-F238E27FC236}">
              <a16:creationId xmlns:a16="http://schemas.microsoft.com/office/drawing/2014/main" id="{6AA64F2F-077F-4D45-8BE1-FDD68583D9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0" name="AutoShape 42">
          <a:extLst>
            <a:ext uri="{FF2B5EF4-FFF2-40B4-BE49-F238E27FC236}">
              <a16:creationId xmlns:a16="http://schemas.microsoft.com/office/drawing/2014/main" id="{C9575950-54B4-4883-96E0-63EBADE504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1" name="AutoShape 40">
          <a:extLst>
            <a:ext uri="{FF2B5EF4-FFF2-40B4-BE49-F238E27FC236}">
              <a16:creationId xmlns:a16="http://schemas.microsoft.com/office/drawing/2014/main" id="{63506C2D-3B58-4AB3-97BA-707E1A4AE8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2" name="AutoShape 38">
          <a:extLst>
            <a:ext uri="{FF2B5EF4-FFF2-40B4-BE49-F238E27FC236}">
              <a16:creationId xmlns:a16="http://schemas.microsoft.com/office/drawing/2014/main" id="{C6ED74BA-933A-476A-B6BB-B2DE9608DD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3" name="AutoShape 36">
          <a:extLst>
            <a:ext uri="{FF2B5EF4-FFF2-40B4-BE49-F238E27FC236}">
              <a16:creationId xmlns:a16="http://schemas.microsoft.com/office/drawing/2014/main" id="{315C4E11-56E1-458E-B35C-ADABA91059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4" name="AutoShape 34">
          <a:extLst>
            <a:ext uri="{FF2B5EF4-FFF2-40B4-BE49-F238E27FC236}">
              <a16:creationId xmlns:a16="http://schemas.microsoft.com/office/drawing/2014/main" id="{ED6CEC22-DDE9-47FB-9058-752BAA8209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5" name="AutoShape 32">
          <a:extLst>
            <a:ext uri="{FF2B5EF4-FFF2-40B4-BE49-F238E27FC236}">
              <a16:creationId xmlns:a16="http://schemas.microsoft.com/office/drawing/2014/main" id="{EABB9F06-5B28-4758-9E6C-399928D462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6" name="AutoShape 30">
          <a:extLst>
            <a:ext uri="{FF2B5EF4-FFF2-40B4-BE49-F238E27FC236}">
              <a16:creationId xmlns:a16="http://schemas.microsoft.com/office/drawing/2014/main" id="{27BADF83-04DD-435A-BE0C-FA87BD815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7" name="AutoShape 28">
          <a:extLst>
            <a:ext uri="{FF2B5EF4-FFF2-40B4-BE49-F238E27FC236}">
              <a16:creationId xmlns:a16="http://schemas.microsoft.com/office/drawing/2014/main" id="{9A394B85-252C-4368-9565-71C0BCCF16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8" name="AutoShape 26">
          <a:extLst>
            <a:ext uri="{FF2B5EF4-FFF2-40B4-BE49-F238E27FC236}">
              <a16:creationId xmlns:a16="http://schemas.microsoft.com/office/drawing/2014/main" id="{8220A403-F8BD-4771-9346-DDE7D65B29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D23B7D97-94BA-4E32-839B-5884F276EF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0" name="AutoShape 22">
          <a:extLst>
            <a:ext uri="{FF2B5EF4-FFF2-40B4-BE49-F238E27FC236}">
              <a16:creationId xmlns:a16="http://schemas.microsoft.com/office/drawing/2014/main" id="{B40A4F80-5CB6-4D63-B1B7-EEDA7EDC9E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1" name="AutoShape 20">
          <a:extLst>
            <a:ext uri="{FF2B5EF4-FFF2-40B4-BE49-F238E27FC236}">
              <a16:creationId xmlns:a16="http://schemas.microsoft.com/office/drawing/2014/main" id="{C3665EED-A7C2-4177-B30A-0100FEB225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2" name="AutoShape 18">
          <a:extLst>
            <a:ext uri="{FF2B5EF4-FFF2-40B4-BE49-F238E27FC236}">
              <a16:creationId xmlns:a16="http://schemas.microsoft.com/office/drawing/2014/main" id="{167F460F-721F-4D90-B205-4066C1CD1B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3" name="AutoShape 16">
          <a:extLst>
            <a:ext uri="{FF2B5EF4-FFF2-40B4-BE49-F238E27FC236}">
              <a16:creationId xmlns:a16="http://schemas.microsoft.com/office/drawing/2014/main" id="{AE17A33A-A820-43F0-8C7F-64677EF71D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CDE0E7B6-AF67-4852-B377-3CA452D393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5" name="AutoShape 12">
          <a:extLst>
            <a:ext uri="{FF2B5EF4-FFF2-40B4-BE49-F238E27FC236}">
              <a16:creationId xmlns:a16="http://schemas.microsoft.com/office/drawing/2014/main" id="{12121109-CA71-4185-B90B-43F17AB8E8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6" name="AutoShape 10">
          <a:extLst>
            <a:ext uri="{FF2B5EF4-FFF2-40B4-BE49-F238E27FC236}">
              <a16:creationId xmlns:a16="http://schemas.microsoft.com/office/drawing/2014/main" id="{95944E0C-9116-483C-93F5-07F41A275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7" name="AutoShape 8">
          <a:extLst>
            <a:ext uri="{FF2B5EF4-FFF2-40B4-BE49-F238E27FC236}">
              <a16:creationId xmlns:a16="http://schemas.microsoft.com/office/drawing/2014/main" id="{9A5B2EB3-99F3-4CAE-8ACC-92BD99D71F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8" name="AutoShape 6">
          <a:extLst>
            <a:ext uri="{FF2B5EF4-FFF2-40B4-BE49-F238E27FC236}">
              <a16:creationId xmlns:a16="http://schemas.microsoft.com/office/drawing/2014/main" id="{86910617-8A5A-4729-B483-616B721205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49" name="AutoShape 4">
          <a:extLst>
            <a:ext uri="{FF2B5EF4-FFF2-40B4-BE49-F238E27FC236}">
              <a16:creationId xmlns:a16="http://schemas.microsoft.com/office/drawing/2014/main" id="{DF4B7EC7-0AE7-4E4C-A5B3-5AF69FF3E5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0" name="AutoShape 2">
          <a:extLst>
            <a:ext uri="{FF2B5EF4-FFF2-40B4-BE49-F238E27FC236}">
              <a16:creationId xmlns:a16="http://schemas.microsoft.com/office/drawing/2014/main" id="{26654CAC-0CCA-450A-9426-9E239EC54C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1" name="AutoShape 44">
          <a:extLst>
            <a:ext uri="{FF2B5EF4-FFF2-40B4-BE49-F238E27FC236}">
              <a16:creationId xmlns:a16="http://schemas.microsoft.com/office/drawing/2014/main" id="{5E29A0A9-C1B6-4B4E-8EA1-FC29CC7C7F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2" name="AutoShape 42">
          <a:extLst>
            <a:ext uri="{FF2B5EF4-FFF2-40B4-BE49-F238E27FC236}">
              <a16:creationId xmlns:a16="http://schemas.microsoft.com/office/drawing/2014/main" id="{4BC2B975-41F0-4379-B616-4BD7CFB59C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3" name="AutoShape 40">
          <a:extLst>
            <a:ext uri="{FF2B5EF4-FFF2-40B4-BE49-F238E27FC236}">
              <a16:creationId xmlns:a16="http://schemas.microsoft.com/office/drawing/2014/main" id="{C6D9553E-CC2B-4E07-A971-50D0CBA2F9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4" name="AutoShape 38">
          <a:extLst>
            <a:ext uri="{FF2B5EF4-FFF2-40B4-BE49-F238E27FC236}">
              <a16:creationId xmlns:a16="http://schemas.microsoft.com/office/drawing/2014/main" id="{8A39C12D-30D3-4FAE-B272-19AE33249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5" name="AutoShape 36">
          <a:extLst>
            <a:ext uri="{FF2B5EF4-FFF2-40B4-BE49-F238E27FC236}">
              <a16:creationId xmlns:a16="http://schemas.microsoft.com/office/drawing/2014/main" id="{AF0F5973-5E2D-4283-9B29-7ACE042A14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6" name="AutoShape 34">
          <a:extLst>
            <a:ext uri="{FF2B5EF4-FFF2-40B4-BE49-F238E27FC236}">
              <a16:creationId xmlns:a16="http://schemas.microsoft.com/office/drawing/2014/main" id="{C6984161-E6BD-4E1D-A90F-37B8BC2896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7" name="AutoShape 32">
          <a:extLst>
            <a:ext uri="{FF2B5EF4-FFF2-40B4-BE49-F238E27FC236}">
              <a16:creationId xmlns:a16="http://schemas.microsoft.com/office/drawing/2014/main" id="{777FC198-93A6-4301-AE1C-F8E7AE0A2B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8" name="AutoShape 30">
          <a:extLst>
            <a:ext uri="{FF2B5EF4-FFF2-40B4-BE49-F238E27FC236}">
              <a16:creationId xmlns:a16="http://schemas.microsoft.com/office/drawing/2014/main" id="{B54363D2-99BE-446E-96B7-26DB68104F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59" name="AutoShape 28">
          <a:extLst>
            <a:ext uri="{FF2B5EF4-FFF2-40B4-BE49-F238E27FC236}">
              <a16:creationId xmlns:a16="http://schemas.microsoft.com/office/drawing/2014/main" id="{EC0DF704-0ADC-4921-B34D-85FE700679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0" name="AutoShape 26">
          <a:extLst>
            <a:ext uri="{FF2B5EF4-FFF2-40B4-BE49-F238E27FC236}">
              <a16:creationId xmlns:a16="http://schemas.microsoft.com/office/drawing/2014/main" id="{795DEC99-50D4-408A-881C-65075046C1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1" name="AutoShape 24">
          <a:extLst>
            <a:ext uri="{FF2B5EF4-FFF2-40B4-BE49-F238E27FC236}">
              <a16:creationId xmlns:a16="http://schemas.microsoft.com/office/drawing/2014/main" id="{CAF5AA6D-8437-4E81-9784-F81CA98E07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2" name="AutoShape 22">
          <a:extLst>
            <a:ext uri="{FF2B5EF4-FFF2-40B4-BE49-F238E27FC236}">
              <a16:creationId xmlns:a16="http://schemas.microsoft.com/office/drawing/2014/main" id="{BE1935D1-6875-413D-B250-2B1314F2DA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3" name="AutoShape 20">
          <a:extLst>
            <a:ext uri="{FF2B5EF4-FFF2-40B4-BE49-F238E27FC236}">
              <a16:creationId xmlns:a16="http://schemas.microsoft.com/office/drawing/2014/main" id="{4DAE4E88-6E07-4645-A6C1-74F5A72F03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4" name="AutoShape 18">
          <a:extLst>
            <a:ext uri="{FF2B5EF4-FFF2-40B4-BE49-F238E27FC236}">
              <a16:creationId xmlns:a16="http://schemas.microsoft.com/office/drawing/2014/main" id="{9927E5C1-5750-4530-8C7A-BC32B0ECC4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BC19F307-AF70-4FC7-A69A-57F01B85B6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6" name="AutoShape 14">
          <a:extLst>
            <a:ext uri="{FF2B5EF4-FFF2-40B4-BE49-F238E27FC236}">
              <a16:creationId xmlns:a16="http://schemas.microsoft.com/office/drawing/2014/main" id="{6A9278C8-05DC-4978-9029-0ED86876DB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7" name="AutoShape 12">
          <a:extLst>
            <a:ext uri="{FF2B5EF4-FFF2-40B4-BE49-F238E27FC236}">
              <a16:creationId xmlns:a16="http://schemas.microsoft.com/office/drawing/2014/main" id="{0D24F392-A239-4F55-BCE1-32B5A2AB3F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8" name="AutoShape 10">
          <a:extLst>
            <a:ext uri="{FF2B5EF4-FFF2-40B4-BE49-F238E27FC236}">
              <a16:creationId xmlns:a16="http://schemas.microsoft.com/office/drawing/2014/main" id="{4948B828-5536-46B7-BE50-4888EEB420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69" name="AutoShape 8">
          <a:extLst>
            <a:ext uri="{FF2B5EF4-FFF2-40B4-BE49-F238E27FC236}">
              <a16:creationId xmlns:a16="http://schemas.microsoft.com/office/drawing/2014/main" id="{3B064D52-3848-4ACB-90A2-65EBD8F549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0" name="AutoShape 6">
          <a:extLst>
            <a:ext uri="{FF2B5EF4-FFF2-40B4-BE49-F238E27FC236}">
              <a16:creationId xmlns:a16="http://schemas.microsoft.com/office/drawing/2014/main" id="{3568F343-298F-4F4B-A7A9-645A1D542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55B4ABB7-7939-4AEE-A357-1541607AD0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2" name="AutoShape 2">
          <a:extLst>
            <a:ext uri="{FF2B5EF4-FFF2-40B4-BE49-F238E27FC236}">
              <a16:creationId xmlns:a16="http://schemas.microsoft.com/office/drawing/2014/main" id="{D2307A5A-1818-46AC-B2E7-7F2A7A0C9D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3" name="AutoShape 44">
          <a:extLst>
            <a:ext uri="{FF2B5EF4-FFF2-40B4-BE49-F238E27FC236}">
              <a16:creationId xmlns:a16="http://schemas.microsoft.com/office/drawing/2014/main" id="{5E9261CB-94C5-43F7-8187-8D995C1ADB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4" name="AutoShape 42">
          <a:extLst>
            <a:ext uri="{FF2B5EF4-FFF2-40B4-BE49-F238E27FC236}">
              <a16:creationId xmlns:a16="http://schemas.microsoft.com/office/drawing/2014/main" id="{FB2041CE-6A5D-4B58-BF1B-94D81B3D8D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5" name="AutoShape 40">
          <a:extLst>
            <a:ext uri="{FF2B5EF4-FFF2-40B4-BE49-F238E27FC236}">
              <a16:creationId xmlns:a16="http://schemas.microsoft.com/office/drawing/2014/main" id="{1392D17B-B19F-45A4-926D-02F8F5E352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6" name="AutoShape 38">
          <a:extLst>
            <a:ext uri="{FF2B5EF4-FFF2-40B4-BE49-F238E27FC236}">
              <a16:creationId xmlns:a16="http://schemas.microsoft.com/office/drawing/2014/main" id="{979D19E2-428F-477E-A996-2D0B5B0F5F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7" name="AutoShape 32">
          <a:extLst>
            <a:ext uri="{FF2B5EF4-FFF2-40B4-BE49-F238E27FC236}">
              <a16:creationId xmlns:a16="http://schemas.microsoft.com/office/drawing/2014/main" id="{21C0D70E-0929-4462-93DD-073A9A4F24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8" name="AutoShape 30">
          <a:extLst>
            <a:ext uri="{FF2B5EF4-FFF2-40B4-BE49-F238E27FC236}">
              <a16:creationId xmlns:a16="http://schemas.microsoft.com/office/drawing/2014/main" id="{E86D1C28-ADC5-4A63-ADF5-9F6114A46C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79" name="AutoShape 28">
          <a:extLst>
            <a:ext uri="{FF2B5EF4-FFF2-40B4-BE49-F238E27FC236}">
              <a16:creationId xmlns:a16="http://schemas.microsoft.com/office/drawing/2014/main" id="{FEE97619-4BB0-4B1B-BB6B-3C6ADCA563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0" name="AutoShape 26">
          <a:extLst>
            <a:ext uri="{FF2B5EF4-FFF2-40B4-BE49-F238E27FC236}">
              <a16:creationId xmlns:a16="http://schemas.microsoft.com/office/drawing/2014/main" id="{5ADB1D07-6E32-4E19-864F-BA23D8609A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1" name="AutoShape 22">
          <a:extLst>
            <a:ext uri="{FF2B5EF4-FFF2-40B4-BE49-F238E27FC236}">
              <a16:creationId xmlns:a16="http://schemas.microsoft.com/office/drawing/2014/main" id="{842BF073-AB02-47D2-8681-47545709D0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2" name="AutoShape 18">
          <a:extLst>
            <a:ext uri="{FF2B5EF4-FFF2-40B4-BE49-F238E27FC236}">
              <a16:creationId xmlns:a16="http://schemas.microsoft.com/office/drawing/2014/main" id="{5043FB3E-8485-4B4D-A099-670A3C92F8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3" name="AutoShape 16">
          <a:extLst>
            <a:ext uri="{FF2B5EF4-FFF2-40B4-BE49-F238E27FC236}">
              <a16:creationId xmlns:a16="http://schemas.microsoft.com/office/drawing/2014/main" id="{BBDCBF26-09A4-4BEB-ADAB-23D58B0D5E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4" name="AutoShape 10">
          <a:extLst>
            <a:ext uri="{FF2B5EF4-FFF2-40B4-BE49-F238E27FC236}">
              <a16:creationId xmlns:a16="http://schemas.microsoft.com/office/drawing/2014/main" id="{D1757D3C-5D42-4805-958D-7C32182AC9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5" name="AutoShape 8">
          <a:extLst>
            <a:ext uri="{FF2B5EF4-FFF2-40B4-BE49-F238E27FC236}">
              <a16:creationId xmlns:a16="http://schemas.microsoft.com/office/drawing/2014/main" id="{68A88E78-4D7A-4314-B9B4-FB023A69A6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6" name="AutoShape 6">
          <a:extLst>
            <a:ext uri="{FF2B5EF4-FFF2-40B4-BE49-F238E27FC236}">
              <a16:creationId xmlns:a16="http://schemas.microsoft.com/office/drawing/2014/main" id="{AC897B8D-88FF-4243-BB23-B8267A5077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7" name="AutoShape 4">
          <a:extLst>
            <a:ext uri="{FF2B5EF4-FFF2-40B4-BE49-F238E27FC236}">
              <a16:creationId xmlns:a16="http://schemas.microsoft.com/office/drawing/2014/main" id="{57F64CD3-6B1C-4915-9AB2-EC0065DA0A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375B6D0C-88A6-47B1-A5B9-8EFE780154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89" name="AutoShape 44">
          <a:extLst>
            <a:ext uri="{FF2B5EF4-FFF2-40B4-BE49-F238E27FC236}">
              <a16:creationId xmlns:a16="http://schemas.microsoft.com/office/drawing/2014/main" id="{61DEECCC-5D9C-4C30-A595-DAE19144B6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0" name="AutoShape 42">
          <a:extLst>
            <a:ext uri="{FF2B5EF4-FFF2-40B4-BE49-F238E27FC236}">
              <a16:creationId xmlns:a16="http://schemas.microsoft.com/office/drawing/2014/main" id="{F2E0F0D5-BD14-4BAB-8E3C-41440BAC2B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1" name="AutoShape 40">
          <a:extLst>
            <a:ext uri="{FF2B5EF4-FFF2-40B4-BE49-F238E27FC236}">
              <a16:creationId xmlns:a16="http://schemas.microsoft.com/office/drawing/2014/main" id="{7BA71510-E1D6-44BA-AC3E-2044894F11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2" name="AutoShape 38">
          <a:extLst>
            <a:ext uri="{FF2B5EF4-FFF2-40B4-BE49-F238E27FC236}">
              <a16:creationId xmlns:a16="http://schemas.microsoft.com/office/drawing/2014/main" id="{948B750E-BEDC-4ED3-B2FA-255303B7F8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3" name="AutoShape 32">
          <a:extLst>
            <a:ext uri="{FF2B5EF4-FFF2-40B4-BE49-F238E27FC236}">
              <a16:creationId xmlns:a16="http://schemas.microsoft.com/office/drawing/2014/main" id="{B4F1477B-D9A8-4A12-BBE7-DEF842C48F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4" name="AutoShape 30">
          <a:extLst>
            <a:ext uri="{FF2B5EF4-FFF2-40B4-BE49-F238E27FC236}">
              <a16:creationId xmlns:a16="http://schemas.microsoft.com/office/drawing/2014/main" id="{E3C560E1-A6B8-43D5-BC9C-46288ADBD8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5" name="AutoShape 28">
          <a:extLst>
            <a:ext uri="{FF2B5EF4-FFF2-40B4-BE49-F238E27FC236}">
              <a16:creationId xmlns:a16="http://schemas.microsoft.com/office/drawing/2014/main" id="{E5B509D5-E41E-43B4-ACC4-7465FBAE35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6" name="AutoShape 26">
          <a:extLst>
            <a:ext uri="{FF2B5EF4-FFF2-40B4-BE49-F238E27FC236}">
              <a16:creationId xmlns:a16="http://schemas.microsoft.com/office/drawing/2014/main" id="{D3C08FF4-3B59-42D9-BE08-B3AFFF6224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7" name="AutoShape 22">
          <a:extLst>
            <a:ext uri="{FF2B5EF4-FFF2-40B4-BE49-F238E27FC236}">
              <a16:creationId xmlns:a16="http://schemas.microsoft.com/office/drawing/2014/main" id="{13A4E326-037B-4712-8DC2-28B4CF36DC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8" name="AutoShape 18">
          <a:extLst>
            <a:ext uri="{FF2B5EF4-FFF2-40B4-BE49-F238E27FC236}">
              <a16:creationId xmlns:a16="http://schemas.microsoft.com/office/drawing/2014/main" id="{32172F58-2F00-4FF8-9E25-92235E5F15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299" name="AutoShape 16">
          <a:extLst>
            <a:ext uri="{FF2B5EF4-FFF2-40B4-BE49-F238E27FC236}">
              <a16:creationId xmlns:a16="http://schemas.microsoft.com/office/drawing/2014/main" id="{2B6234F3-A03C-4A29-AC80-4B1DCAE1FA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0" name="AutoShape 10">
          <a:extLst>
            <a:ext uri="{FF2B5EF4-FFF2-40B4-BE49-F238E27FC236}">
              <a16:creationId xmlns:a16="http://schemas.microsoft.com/office/drawing/2014/main" id="{A68DB806-33F5-4716-BEE2-D9CA54999A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1" name="AutoShape 8">
          <a:extLst>
            <a:ext uri="{FF2B5EF4-FFF2-40B4-BE49-F238E27FC236}">
              <a16:creationId xmlns:a16="http://schemas.microsoft.com/office/drawing/2014/main" id="{4D56D981-7055-4B02-BD14-33927FF2BA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2" name="AutoShape 6">
          <a:extLst>
            <a:ext uri="{FF2B5EF4-FFF2-40B4-BE49-F238E27FC236}">
              <a16:creationId xmlns:a16="http://schemas.microsoft.com/office/drawing/2014/main" id="{A10D7A5A-47D9-4B32-B124-05E0E95A68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3" name="AutoShape 4">
          <a:extLst>
            <a:ext uri="{FF2B5EF4-FFF2-40B4-BE49-F238E27FC236}">
              <a16:creationId xmlns:a16="http://schemas.microsoft.com/office/drawing/2014/main" id="{FFAAA021-0461-449C-A2C6-4408C02877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4" name="AutoShape 2">
          <a:extLst>
            <a:ext uri="{FF2B5EF4-FFF2-40B4-BE49-F238E27FC236}">
              <a16:creationId xmlns:a16="http://schemas.microsoft.com/office/drawing/2014/main" id="{FB23C23E-4AF9-4FE1-A70D-9BFF495044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5" name="AutoShape 44">
          <a:extLst>
            <a:ext uri="{FF2B5EF4-FFF2-40B4-BE49-F238E27FC236}">
              <a16:creationId xmlns:a16="http://schemas.microsoft.com/office/drawing/2014/main" id="{B91A4FBE-60B6-488B-B719-FD53F21FDD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6" name="AutoShape 42">
          <a:extLst>
            <a:ext uri="{FF2B5EF4-FFF2-40B4-BE49-F238E27FC236}">
              <a16:creationId xmlns:a16="http://schemas.microsoft.com/office/drawing/2014/main" id="{9C907BCF-A571-4D1D-8768-FC27721CB2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7" name="AutoShape 40">
          <a:extLst>
            <a:ext uri="{FF2B5EF4-FFF2-40B4-BE49-F238E27FC236}">
              <a16:creationId xmlns:a16="http://schemas.microsoft.com/office/drawing/2014/main" id="{F500AC45-4719-466E-B29E-68D6C80573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8" name="AutoShape 38">
          <a:extLst>
            <a:ext uri="{FF2B5EF4-FFF2-40B4-BE49-F238E27FC236}">
              <a16:creationId xmlns:a16="http://schemas.microsoft.com/office/drawing/2014/main" id="{D8AD9658-F1A4-4BA5-8A4B-6646003B5D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09" name="AutoShape 32">
          <a:extLst>
            <a:ext uri="{FF2B5EF4-FFF2-40B4-BE49-F238E27FC236}">
              <a16:creationId xmlns:a16="http://schemas.microsoft.com/office/drawing/2014/main" id="{E45C809A-8B62-467A-A659-C51F5F0C2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0" name="AutoShape 30">
          <a:extLst>
            <a:ext uri="{FF2B5EF4-FFF2-40B4-BE49-F238E27FC236}">
              <a16:creationId xmlns:a16="http://schemas.microsoft.com/office/drawing/2014/main" id="{1FDFE95D-7C81-4524-AA2D-41A813CC06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1" name="AutoShape 28">
          <a:extLst>
            <a:ext uri="{FF2B5EF4-FFF2-40B4-BE49-F238E27FC236}">
              <a16:creationId xmlns:a16="http://schemas.microsoft.com/office/drawing/2014/main" id="{084289C7-28EE-4310-A54A-DAB6B8C0CB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2" name="AutoShape 26">
          <a:extLst>
            <a:ext uri="{FF2B5EF4-FFF2-40B4-BE49-F238E27FC236}">
              <a16:creationId xmlns:a16="http://schemas.microsoft.com/office/drawing/2014/main" id="{B21ACBA8-818B-4141-925B-12A0693E66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3" name="AutoShape 22">
          <a:extLst>
            <a:ext uri="{FF2B5EF4-FFF2-40B4-BE49-F238E27FC236}">
              <a16:creationId xmlns:a16="http://schemas.microsoft.com/office/drawing/2014/main" id="{1E02377A-AF7D-46E9-B6E8-69F855F09C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4" name="AutoShape 18">
          <a:extLst>
            <a:ext uri="{FF2B5EF4-FFF2-40B4-BE49-F238E27FC236}">
              <a16:creationId xmlns:a16="http://schemas.microsoft.com/office/drawing/2014/main" id="{1029491D-19A5-450C-8458-93EBBFE05A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5" name="AutoShape 16">
          <a:extLst>
            <a:ext uri="{FF2B5EF4-FFF2-40B4-BE49-F238E27FC236}">
              <a16:creationId xmlns:a16="http://schemas.microsoft.com/office/drawing/2014/main" id="{B70425B9-B283-41B5-96FD-805C3743B8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6" name="AutoShape 10">
          <a:extLst>
            <a:ext uri="{FF2B5EF4-FFF2-40B4-BE49-F238E27FC236}">
              <a16:creationId xmlns:a16="http://schemas.microsoft.com/office/drawing/2014/main" id="{C81452BD-4839-40A8-977C-EFAB4A1B09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7" name="AutoShape 8">
          <a:extLst>
            <a:ext uri="{FF2B5EF4-FFF2-40B4-BE49-F238E27FC236}">
              <a16:creationId xmlns:a16="http://schemas.microsoft.com/office/drawing/2014/main" id="{552103E6-4BBE-4B8E-9255-77CA04045D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8" name="AutoShape 6">
          <a:extLst>
            <a:ext uri="{FF2B5EF4-FFF2-40B4-BE49-F238E27FC236}">
              <a16:creationId xmlns:a16="http://schemas.microsoft.com/office/drawing/2014/main" id="{44301AAE-DD3E-448F-A76B-44A83A6DE5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19" name="AutoShape 4">
          <a:extLst>
            <a:ext uri="{FF2B5EF4-FFF2-40B4-BE49-F238E27FC236}">
              <a16:creationId xmlns:a16="http://schemas.microsoft.com/office/drawing/2014/main" id="{F5CFBE0D-4FB8-48EB-AA1D-BA749AE874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0" name="AutoShape 2">
          <a:extLst>
            <a:ext uri="{FF2B5EF4-FFF2-40B4-BE49-F238E27FC236}">
              <a16:creationId xmlns:a16="http://schemas.microsoft.com/office/drawing/2014/main" id="{039205D1-45D4-4994-A56D-3F58A778F9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1" name="AutoShape 44">
          <a:extLst>
            <a:ext uri="{FF2B5EF4-FFF2-40B4-BE49-F238E27FC236}">
              <a16:creationId xmlns:a16="http://schemas.microsoft.com/office/drawing/2014/main" id="{6BC4FD3F-FF27-4599-A90E-C444597935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2" name="AutoShape 42">
          <a:extLst>
            <a:ext uri="{FF2B5EF4-FFF2-40B4-BE49-F238E27FC236}">
              <a16:creationId xmlns:a16="http://schemas.microsoft.com/office/drawing/2014/main" id="{DEC41F1F-1728-4809-8AAF-389BAAFF6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3" name="AutoShape 40">
          <a:extLst>
            <a:ext uri="{FF2B5EF4-FFF2-40B4-BE49-F238E27FC236}">
              <a16:creationId xmlns:a16="http://schemas.microsoft.com/office/drawing/2014/main" id="{A47FD16C-3357-4BFF-B1EF-B857635831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4" name="AutoShape 38">
          <a:extLst>
            <a:ext uri="{FF2B5EF4-FFF2-40B4-BE49-F238E27FC236}">
              <a16:creationId xmlns:a16="http://schemas.microsoft.com/office/drawing/2014/main" id="{14B64DE6-948B-4368-998A-674A299282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5" name="AutoShape 32">
          <a:extLst>
            <a:ext uri="{FF2B5EF4-FFF2-40B4-BE49-F238E27FC236}">
              <a16:creationId xmlns:a16="http://schemas.microsoft.com/office/drawing/2014/main" id="{A3F4586D-F892-483A-9BC9-81A2335BEB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6" name="AutoShape 30">
          <a:extLst>
            <a:ext uri="{FF2B5EF4-FFF2-40B4-BE49-F238E27FC236}">
              <a16:creationId xmlns:a16="http://schemas.microsoft.com/office/drawing/2014/main" id="{2BE7CC4D-525A-466A-8823-69A01986D7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7" name="AutoShape 28">
          <a:extLst>
            <a:ext uri="{FF2B5EF4-FFF2-40B4-BE49-F238E27FC236}">
              <a16:creationId xmlns:a16="http://schemas.microsoft.com/office/drawing/2014/main" id="{CDA14F49-FF98-4146-9011-8765A2AF1A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8" name="AutoShape 26">
          <a:extLst>
            <a:ext uri="{FF2B5EF4-FFF2-40B4-BE49-F238E27FC236}">
              <a16:creationId xmlns:a16="http://schemas.microsoft.com/office/drawing/2014/main" id="{641870B5-F4D7-43DF-BE10-5205E3EDEA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29" name="AutoShape 22">
          <a:extLst>
            <a:ext uri="{FF2B5EF4-FFF2-40B4-BE49-F238E27FC236}">
              <a16:creationId xmlns:a16="http://schemas.microsoft.com/office/drawing/2014/main" id="{E5CB7AB0-A2C5-42DC-BF4E-DFC0FC6B13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0" name="AutoShape 18">
          <a:extLst>
            <a:ext uri="{FF2B5EF4-FFF2-40B4-BE49-F238E27FC236}">
              <a16:creationId xmlns:a16="http://schemas.microsoft.com/office/drawing/2014/main" id="{C8E7D868-752E-43D3-9E44-80C3CE22C3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1" name="AutoShape 16">
          <a:extLst>
            <a:ext uri="{FF2B5EF4-FFF2-40B4-BE49-F238E27FC236}">
              <a16:creationId xmlns:a16="http://schemas.microsoft.com/office/drawing/2014/main" id="{30A1E804-DA83-4760-B485-1B637A9035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2" name="AutoShape 10">
          <a:extLst>
            <a:ext uri="{FF2B5EF4-FFF2-40B4-BE49-F238E27FC236}">
              <a16:creationId xmlns:a16="http://schemas.microsoft.com/office/drawing/2014/main" id="{49D0CF56-3968-43D3-9CD5-1BA79B73B8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3" name="AutoShape 8">
          <a:extLst>
            <a:ext uri="{FF2B5EF4-FFF2-40B4-BE49-F238E27FC236}">
              <a16:creationId xmlns:a16="http://schemas.microsoft.com/office/drawing/2014/main" id="{C114DB7B-FCDF-4434-ADCC-4C6E320EA3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4" name="AutoShape 6">
          <a:extLst>
            <a:ext uri="{FF2B5EF4-FFF2-40B4-BE49-F238E27FC236}">
              <a16:creationId xmlns:a16="http://schemas.microsoft.com/office/drawing/2014/main" id="{2B330CC6-F5E9-4BFC-8C79-E1255916EA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5" name="AutoShape 4">
          <a:extLst>
            <a:ext uri="{FF2B5EF4-FFF2-40B4-BE49-F238E27FC236}">
              <a16:creationId xmlns:a16="http://schemas.microsoft.com/office/drawing/2014/main" id="{8412DD38-ACEB-4D92-A6C9-CAD5B5E2B6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6" name="AutoShape 2">
          <a:extLst>
            <a:ext uri="{FF2B5EF4-FFF2-40B4-BE49-F238E27FC236}">
              <a16:creationId xmlns:a16="http://schemas.microsoft.com/office/drawing/2014/main" id="{25B4B9F5-47BD-4710-AE71-8096D6CBED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7" name="AutoShape 44">
          <a:extLst>
            <a:ext uri="{FF2B5EF4-FFF2-40B4-BE49-F238E27FC236}">
              <a16:creationId xmlns:a16="http://schemas.microsoft.com/office/drawing/2014/main" id="{3A7F7F00-7684-49D8-9AFE-B41C433EF2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8" name="AutoShape 42">
          <a:extLst>
            <a:ext uri="{FF2B5EF4-FFF2-40B4-BE49-F238E27FC236}">
              <a16:creationId xmlns:a16="http://schemas.microsoft.com/office/drawing/2014/main" id="{6A81A775-1745-4862-A160-B9BCC9F8D3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39" name="AutoShape 40">
          <a:extLst>
            <a:ext uri="{FF2B5EF4-FFF2-40B4-BE49-F238E27FC236}">
              <a16:creationId xmlns:a16="http://schemas.microsoft.com/office/drawing/2014/main" id="{C770231F-2B71-42FE-9B3D-76DE2A2BB4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0" name="AutoShape 38">
          <a:extLst>
            <a:ext uri="{FF2B5EF4-FFF2-40B4-BE49-F238E27FC236}">
              <a16:creationId xmlns:a16="http://schemas.microsoft.com/office/drawing/2014/main" id="{CFB8320D-64D0-44A5-ABBB-9BBE0F4E36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1" name="AutoShape 22">
          <a:extLst>
            <a:ext uri="{FF2B5EF4-FFF2-40B4-BE49-F238E27FC236}">
              <a16:creationId xmlns:a16="http://schemas.microsoft.com/office/drawing/2014/main" id="{E7AD5BB0-64D0-45FD-A405-BF337A9A26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2" name="AutoShape 18">
          <a:extLst>
            <a:ext uri="{FF2B5EF4-FFF2-40B4-BE49-F238E27FC236}">
              <a16:creationId xmlns:a16="http://schemas.microsoft.com/office/drawing/2014/main" id="{CF0B4141-742F-4C46-9B7F-74AC14ECF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3" name="AutoShape 16">
          <a:extLst>
            <a:ext uri="{FF2B5EF4-FFF2-40B4-BE49-F238E27FC236}">
              <a16:creationId xmlns:a16="http://schemas.microsoft.com/office/drawing/2014/main" id="{7EFC79F8-C2FB-44B4-A500-91D1E29946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4" name="AutoShape 10">
          <a:extLst>
            <a:ext uri="{FF2B5EF4-FFF2-40B4-BE49-F238E27FC236}">
              <a16:creationId xmlns:a16="http://schemas.microsoft.com/office/drawing/2014/main" id="{3CC6AF48-EF39-4ACE-82DE-8D103B19F4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5" name="AutoShape 8">
          <a:extLst>
            <a:ext uri="{FF2B5EF4-FFF2-40B4-BE49-F238E27FC236}">
              <a16:creationId xmlns:a16="http://schemas.microsoft.com/office/drawing/2014/main" id="{38E98D88-30B6-428C-B1EE-59A31BD84B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6" name="AutoShape 6">
          <a:extLst>
            <a:ext uri="{FF2B5EF4-FFF2-40B4-BE49-F238E27FC236}">
              <a16:creationId xmlns:a16="http://schemas.microsoft.com/office/drawing/2014/main" id="{460627D9-EA04-44CD-893C-18DC92C417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7" name="AutoShape 4">
          <a:extLst>
            <a:ext uri="{FF2B5EF4-FFF2-40B4-BE49-F238E27FC236}">
              <a16:creationId xmlns:a16="http://schemas.microsoft.com/office/drawing/2014/main" id="{0CB4D69F-E785-4CF5-ADFB-EA2AAC82AC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8" name="AutoShape 2">
          <a:extLst>
            <a:ext uri="{FF2B5EF4-FFF2-40B4-BE49-F238E27FC236}">
              <a16:creationId xmlns:a16="http://schemas.microsoft.com/office/drawing/2014/main" id="{D180C7DD-D9BA-4B8C-9D68-023DECCDEF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49" name="AutoShape 44">
          <a:extLst>
            <a:ext uri="{FF2B5EF4-FFF2-40B4-BE49-F238E27FC236}">
              <a16:creationId xmlns:a16="http://schemas.microsoft.com/office/drawing/2014/main" id="{3BE5648B-8C2F-4BFC-9306-D403F05C0F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0" name="AutoShape 42">
          <a:extLst>
            <a:ext uri="{FF2B5EF4-FFF2-40B4-BE49-F238E27FC236}">
              <a16:creationId xmlns:a16="http://schemas.microsoft.com/office/drawing/2014/main" id="{CE1AAC0D-D604-457B-8DE2-DA15654D3D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1" name="AutoShape 40">
          <a:extLst>
            <a:ext uri="{FF2B5EF4-FFF2-40B4-BE49-F238E27FC236}">
              <a16:creationId xmlns:a16="http://schemas.microsoft.com/office/drawing/2014/main" id="{1194F7F6-5FEE-4289-A311-02D525D824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2" name="AutoShape 38">
          <a:extLst>
            <a:ext uri="{FF2B5EF4-FFF2-40B4-BE49-F238E27FC236}">
              <a16:creationId xmlns:a16="http://schemas.microsoft.com/office/drawing/2014/main" id="{E7C7C4A0-3FA1-47BC-97BA-497FA1D9A7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3" name="AutoShape 22">
          <a:extLst>
            <a:ext uri="{FF2B5EF4-FFF2-40B4-BE49-F238E27FC236}">
              <a16:creationId xmlns:a16="http://schemas.microsoft.com/office/drawing/2014/main" id="{1ED800EA-4505-4C17-8889-EF1E3CAEA4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4" name="AutoShape 18">
          <a:extLst>
            <a:ext uri="{FF2B5EF4-FFF2-40B4-BE49-F238E27FC236}">
              <a16:creationId xmlns:a16="http://schemas.microsoft.com/office/drawing/2014/main" id="{9A24D5E8-7145-448C-A50B-FC956EFB34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5" name="AutoShape 16">
          <a:extLst>
            <a:ext uri="{FF2B5EF4-FFF2-40B4-BE49-F238E27FC236}">
              <a16:creationId xmlns:a16="http://schemas.microsoft.com/office/drawing/2014/main" id="{1A8E0626-002A-45AE-8882-20FF31D12C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6" name="AutoShape 10">
          <a:extLst>
            <a:ext uri="{FF2B5EF4-FFF2-40B4-BE49-F238E27FC236}">
              <a16:creationId xmlns:a16="http://schemas.microsoft.com/office/drawing/2014/main" id="{80A46ED6-BFED-48C5-8AF8-CA72E9A449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7" name="AutoShape 8">
          <a:extLst>
            <a:ext uri="{FF2B5EF4-FFF2-40B4-BE49-F238E27FC236}">
              <a16:creationId xmlns:a16="http://schemas.microsoft.com/office/drawing/2014/main" id="{2C234213-6A16-4827-B428-EA5ADC85E6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8" name="AutoShape 6">
          <a:extLst>
            <a:ext uri="{FF2B5EF4-FFF2-40B4-BE49-F238E27FC236}">
              <a16:creationId xmlns:a16="http://schemas.microsoft.com/office/drawing/2014/main" id="{C49F5777-6E63-4FE1-BC6D-0C3685EA6B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59" name="AutoShape 4">
          <a:extLst>
            <a:ext uri="{FF2B5EF4-FFF2-40B4-BE49-F238E27FC236}">
              <a16:creationId xmlns:a16="http://schemas.microsoft.com/office/drawing/2014/main" id="{DD8A45C1-44A4-4663-BD7C-C2BA688B9B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0" name="AutoShape 2">
          <a:extLst>
            <a:ext uri="{FF2B5EF4-FFF2-40B4-BE49-F238E27FC236}">
              <a16:creationId xmlns:a16="http://schemas.microsoft.com/office/drawing/2014/main" id="{352C0AC6-6221-47B4-8888-87E2691356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1" name="AutoShape 44">
          <a:extLst>
            <a:ext uri="{FF2B5EF4-FFF2-40B4-BE49-F238E27FC236}">
              <a16:creationId xmlns:a16="http://schemas.microsoft.com/office/drawing/2014/main" id="{162271EC-443D-4F06-86BC-739D3D0DAD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2" name="AutoShape 42">
          <a:extLst>
            <a:ext uri="{FF2B5EF4-FFF2-40B4-BE49-F238E27FC236}">
              <a16:creationId xmlns:a16="http://schemas.microsoft.com/office/drawing/2014/main" id="{E69CD3A1-67C8-4BDA-8329-F1B3B66033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3" name="AutoShape 40">
          <a:extLst>
            <a:ext uri="{FF2B5EF4-FFF2-40B4-BE49-F238E27FC236}">
              <a16:creationId xmlns:a16="http://schemas.microsoft.com/office/drawing/2014/main" id="{18EDDCA6-1B8B-4221-AEC9-9A2A9596D8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4" name="AutoShape 38">
          <a:extLst>
            <a:ext uri="{FF2B5EF4-FFF2-40B4-BE49-F238E27FC236}">
              <a16:creationId xmlns:a16="http://schemas.microsoft.com/office/drawing/2014/main" id="{0D9E3658-C655-405A-8AFB-DE9E80A300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5" name="AutoShape 22">
          <a:extLst>
            <a:ext uri="{FF2B5EF4-FFF2-40B4-BE49-F238E27FC236}">
              <a16:creationId xmlns:a16="http://schemas.microsoft.com/office/drawing/2014/main" id="{CE70C629-D453-4F09-BA95-44AD47421A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6" name="AutoShape 18">
          <a:extLst>
            <a:ext uri="{FF2B5EF4-FFF2-40B4-BE49-F238E27FC236}">
              <a16:creationId xmlns:a16="http://schemas.microsoft.com/office/drawing/2014/main" id="{485BBB56-0783-4DEB-B95F-0BCE5CA1BD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7" name="AutoShape 16">
          <a:extLst>
            <a:ext uri="{FF2B5EF4-FFF2-40B4-BE49-F238E27FC236}">
              <a16:creationId xmlns:a16="http://schemas.microsoft.com/office/drawing/2014/main" id="{94186552-0F06-43FA-8184-ACEB9BCDCA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8" name="AutoShape 10">
          <a:extLst>
            <a:ext uri="{FF2B5EF4-FFF2-40B4-BE49-F238E27FC236}">
              <a16:creationId xmlns:a16="http://schemas.microsoft.com/office/drawing/2014/main" id="{A2DB3295-C168-4B83-81F8-F51091E6E5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69" name="AutoShape 8">
          <a:extLst>
            <a:ext uri="{FF2B5EF4-FFF2-40B4-BE49-F238E27FC236}">
              <a16:creationId xmlns:a16="http://schemas.microsoft.com/office/drawing/2014/main" id="{161283E9-AC33-425F-A11A-A1634C2579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0" name="AutoShape 6">
          <a:extLst>
            <a:ext uri="{FF2B5EF4-FFF2-40B4-BE49-F238E27FC236}">
              <a16:creationId xmlns:a16="http://schemas.microsoft.com/office/drawing/2014/main" id="{98F76B59-DC1C-495A-B895-C78FA1F0ED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1" name="AutoShape 4">
          <a:extLst>
            <a:ext uri="{FF2B5EF4-FFF2-40B4-BE49-F238E27FC236}">
              <a16:creationId xmlns:a16="http://schemas.microsoft.com/office/drawing/2014/main" id="{476B7EB0-CD25-4BB6-BD9F-C53FD4AAB2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2" name="AutoShape 2">
          <a:extLst>
            <a:ext uri="{FF2B5EF4-FFF2-40B4-BE49-F238E27FC236}">
              <a16:creationId xmlns:a16="http://schemas.microsoft.com/office/drawing/2014/main" id="{8C28E08D-82B1-4D47-8AC2-D9BE1A75C6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3" name="AutoShape 44">
          <a:extLst>
            <a:ext uri="{FF2B5EF4-FFF2-40B4-BE49-F238E27FC236}">
              <a16:creationId xmlns:a16="http://schemas.microsoft.com/office/drawing/2014/main" id="{59CEE49A-32BA-430F-B139-8A70D1C409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4" name="AutoShape 42">
          <a:extLst>
            <a:ext uri="{FF2B5EF4-FFF2-40B4-BE49-F238E27FC236}">
              <a16:creationId xmlns:a16="http://schemas.microsoft.com/office/drawing/2014/main" id="{AF2B3E1D-D8D6-4EDB-98AC-D8EB454160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5" name="AutoShape 40">
          <a:extLst>
            <a:ext uri="{FF2B5EF4-FFF2-40B4-BE49-F238E27FC236}">
              <a16:creationId xmlns:a16="http://schemas.microsoft.com/office/drawing/2014/main" id="{E75A3AB4-260A-4670-A803-6993B4B44A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6" name="AutoShape 38">
          <a:extLst>
            <a:ext uri="{FF2B5EF4-FFF2-40B4-BE49-F238E27FC236}">
              <a16:creationId xmlns:a16="http://schemas.microsoft.com/office/drawing/2014/main" id="{71B67F6F-D293-42AC-BE69-BDC84EEA8D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7" name="AutoShape 22">
          <a:extLst>
            <a:ext uri="{FF2B5EF4-FFF2-40B4-BE49-F238E27FC236}">
              <a16:creationId xmlns:a16="http://schemas.microsoft.com/office/drawing/2014/main" id="{1D911219-7593-496C-B4E3-802681DFBE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8" name="AutoShape 18">
          <a:extLst>
            <a:ext uri="{FF2B5EF4-FFF2-40B4-BE49-F238E27FC236}">
              <a16:creationId xmlns:a16="http://schemas.microsoft.com/office/drawing/2014/main" id="{709E6B51-BCF9-4CDA-95D4-960F5CF7AE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79" name="AutoShape 16">
          <a:extLst>
            <a:ext uri="{FF2B5EF4-FFF2-40B4-BE49-F238E27FC236}">
              <a16:creationId xmlns:a16="http://schemas.microsoft.com/office/drawing/2014/main" id="{4DA36BE8-7FCC-45E0-BA3B-B9C1D37782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0" name="AutoShape 10">
          <a:extLst>
            <a:ext uri="{FF2B5EF4-FFF2-40B4-BE49-F238E27FC236}">
              <a16:creationId xmlns:a16="http://schemas.microsoft.com/office/drawing/2014/main" id="{118AFCA1-0ADB-4446-88AB-11005A6E60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1" name="AutoShape 8">
          <a:extLst>
            <a:ext uri="{FF2B5EF4-FFF2-40B4-BE49-F238E27FC236}">
              <a16:creationId xmlns:a16="http://schemas.microsoft.com/office/drawing/2014/main" id="{53F8E9C2-F8A1-4AB3-8337-6A7C500FBF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2" name="AutoShape 6">
          <a:extLst>
            <a:ext uri="{FF2B5EF4-FFF2-40B4-BE49-F238E27FC236}">
              <a16:creationId xmlns:a16="http://schemas.microsoft.com/office/drawing/2014/main" id="{6CC914C4-BC34-42D5-9FD2-1E8026CC5B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3" name="AutoShape 4">
          <a:extLst>
            <a:ext uri="{FF2B5EF4-FFF2-40B4-BE49-F238E27FC236}">
              <a16:creationId xmlns:a16="http://schemas.microsoft.com/office/drawing/2014/main" id="{D7B1647E-8D0D-4098-B81D-499E4E648F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4" name="AutoShape 2">
          <a:extLst>
            <a:ext uri="{FF2B5EF4-FFF2-40B4-BE49-F238E27FC236}">
              <a16:creationId xmlns:a16="http://schemas.microsoft.com/office/drawing/2014/main" id="{1EED09DE-EB8C-403C-BD3B-6488E0FE37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5" name="AutoShape 44">
          <a:extLst>
            <a:ext uri="{FF2B5EF4-FFF2-40B4-BE49-F238E27FC236}">
              <a16:creationId xmlns:a16="http://schemas.microsoft.com/office/drawing/2014/main" id="{FB6961CD-D3CF-4B68-9AE0-90381CA6F8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6" name="AutoShape 42">
          <a:extLst>
            <a:ext uri="{FF2B5EF4-FFF2-40B4-BE49-F238E27FC236}">
              <a16:creationId xmlns:a16="http://schemas.microsoft.com/office/drawing/2014/main" id="{86AEFD15-7B0A-4B3A-919A-9A7BBFFAAE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7" name="AutoShape 40">
          <a:extLst>
            <a:ext uri="{FF2B5EF4-FFF2-40B4-BE49-F238E27FC236}">
              <a16:creationId xmlns:a16="http://schemas.microsoft.com/office/drawing/2014/main" id="{6E86092C-880F-4EB2-8843-18D6A92688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8" name="AutoShape 38">
          <a:extLst>
            <a:ext uri="{FF2B5EF4-FFF2-40B4-BE49-F238E27FC236}">
              <a16:creationId xmlns:a16="http://schemas.microsoft.com/office/drawing/2014/main" id="{4A33D3FC-FB6D-4859-83B1-48739A2506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89" name="AutoShape 22">
          <a:extLst>
            <a:ext uri="{FF2B5EF4-FFF2-40B4-BE49-F238E27FC236}">
              <a16:creationId xmlns:a16="http://schemas.microsoft.com/office/drawing/2014/main" id="{3B506715-2090-47E6-B2E0-C63D895357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0" name="AutoShape 18">
          <a:extLst>
            <a:ext uri="{FF2B5EF4-FFF2-40B4-BE49-F238E27FC236}">
              <a16:creationId xmlns:a16="http://schemas.microsoft.com/office/drawing/2014/main" id="{10B1B048-75A0-45B9-8D70-84FD4DBC3B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1" name="AutoShape 16">
          <a:extLst>
            <a:ext uri="{FF2B5EF4-FFF2-40B4-BE49-F238E27FC236}">
              <a16:creationId xmlns:a16="http://schemas.microsoft.com/office/drawing/2014/main" id="{1EC6916B-33EC-45A9-BB9A-0AC336B105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2" name="AutoShape 10">
          <a:extLst>
            <a:ext uri="{FF2B5EF4-FFF2-40B4-BE49-F238E27FC236}">
              <a16:creationId xmlns:a16="http://schemas.microsoft.com/office/drawing/2014/main" id="{8E21D56E-06A8-47CC-BA65-C2493D0E34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3" name="AutoShape 8">
          <a:extLst>
            <a:ext uri="{FF2B5EF4-FFF2-40B4-BE49-F238E27FC236}">
              <a16:creationId xmlns:a16="http://schemas.microsoft.com/office/drawing/2014/main" id="{713E0C96-F239-43EF-A257-AC58C529AF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4" name="AutoShape 6">
          <a:extLst>
            <a:ext uri="{FF2B5EF4-FFF2-40B4-BE49-F238E27FC236}">
              <a16:creationId xmlns:a16="http://schemas.microsoft.com/office/drawing/2014/main" id="{0CB96D3F-546F-46DC-9385-FBE0BB3D91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C2D9E4B7-84BB-44B8-9FC2-1D4FDB0913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6" name="AutoShape 2">
          <a:extLst>
            <a:ext uri="{FF2B5EF4-FFF2-40B4-BE49-F238E27FC236}">
              <a16:creationId xmlns:a16="http://schemas.microsoft.com/office/drawing/2014/main" id="{AC6FC90B-6FC3-489D-B117-E3FB9C6F9F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7" name="AutoShape 44">
          <a:extLst>
            <a:ext uri="{FF2B5EF4-FFF2-40B4-BE49-F238E27FC236}">
              <a16:creationId xmlns:a16="http://schemas.microsoft.com/office/drawing/2014/main" id="{ACCA2101-BF91-431B-B7BA-5C2EA63965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8" name="AutoShape 42">
          <a:extLst>
            <a:ext uri="{FF2B5EF4-FFF2-40B4-BE49-F238E27FC236}">
              <a16:creationId xmlns:a16="http://schemas.microsoft.com/office/drawing/2014/main" id="{F1F9316E-7582-44B7-85AB-2A79B94AEB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399" name="AutoShape 40">
          <a:extLst>
            <a:ext uri="{FF2B5EF4-FFF2-40B4-BE49-F238E27FC236}">
              <a16:creationId xmlns:a16="http://schemas.microsoft.com/office/drawing/2014/main" id="{9D510CDF-1392-4442-8E8E-2F2C5D783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0" name="AutoShape 38">
          <a:extLst>
            <a:ext uri="{FF2B5EF4-FFF2-40B4-BE49-F238E27FC236}">
              <a16:creationId xmlns:a16="http://schemas.microsoft.com/office/drawing/2014/main" id="{F0AB76AF-62DD-4684-95EE-D18E6EBE87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1" name="AutoShape 22">
          <a:extLst>
            <a:ext uri="{FF2B5EF4-FFF2-40B4-BE49-F238E27FC236}">
              <a16:creationId xmlns:a16="http://schemas.microsoft.com/office/drawing/2014/main" id="{F94B3B15-5D90-422F-93C1-F9318B09A2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2" name="AutoShape 18">
          <a:extLst>
            <a:ext uri="{FF2B5EF4-FFF2-40B4-BE49-F238E27FC236}">
              <a16:creationId xmlns:a16="http://schemas.microsoft.com/office/drawing/2014/main" id="{02368214-5EFF-4D88-A4B4-6F01210363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3" name="AutoShape 16">
          <a:extLst>
            <a:ext uri="{FF2B5EF4-FFF2-40B4-BE49-F238E27FC236}">
              <a16:creationId xmlns:a16="http://schemas.microsoft.com/office/drawing/2014/main" id="{059A6635-6F6B-4060-A2F1-55BEC369B0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4" name="AutoShape 10">
          <a:extLst>
            <a:ext uri="{FF2B5EF4-FFF2-40B4-BE49-F238E27FC236}">
              <a16:creationId xmlns:a16="http://schemas.microsoft.com/office/drawing/2014/main" id="{A8C457FC-EECA-43E4-9896-F15B41144A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5" name="AutoShape 8">
          <a:extLst>
            <a:ext uri="{FF2B5EF4-FFF2-40B4-BE49-F238E27FC236}">
              <a16:creationId xmlns:a16="http://schemas.microsoft.com/office/drawing/2014/main" id="{D91C1DF7-FA56-43BF-B900-D1C9329B68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6" name="AutoShape 6">
          <a:extLst>
            <a:ext uri="{FF2B5EF4-FFF2-40B4-BE49-F238E27FC236}">
              <a16:creationId xmlns:a16="http://schemas.microsoft.com/office/drawing/2014/main" id="{49294EDD-90BB-4BBC-934D-59FB286BB8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7" name="AutoShape 4">
          <a:extLst>
            <a:ext uri="{FF2B5EF4-FFF2-40B4-BE49-F238E27FC236}">
              <a16:creationId xmlns:a16="http://schemas.microsoft.com/office/drawing/2014/main" id="{A807C805-F435-4CF9-8FFF-520C353B27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8" name="AutoShape 2">
          <a:extLst>
            <a:ext uri="{FF2B5EF4-FFF2-40B4-BE49-F238E27FC236}">
              <a16:creationId xmlns:a16="http://schemas.microsoft.com/office/drawing/2014/main" id="{6537A632-C0C4-4CCE-BE13-A981B8DCEA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09" name="AutoShape 44">
          <a:extLst>
            <a:ext uri="{FF2B5EF4-FFF2-40B4-BE49-F238E27FC236}">
              <a16:creationId xmlns:a16="http://schemas.microsoft.com/office/drawing/2014/main" id="{6FF9E1F9-3ABC-46E6-9F51-1EFE7F214F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0" name="AutoShape 42">
          <a:extLst>
            <a:ext uri="{FF2B5EF4-FFF2-40B4-BE49-F238E27FC236}">
              <a16:creationId xmlns:a16="http://schemas.microsoft.com/office/drawing/2014/main" id="{DA1A8A90-D669-4BA2-BB90-4AD6196B34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1" name="AutoShape 40">
          <a:extLst>
            <a:ext uri="{FF2B5EF4-FFF2-40B4-BE49-F238E27FC236}">
              <a16:creationId xmlns:a16="http://schemas.microsoft.com/office/drawing/2014/main" id="{CCA703EB-D761-4F94-8E21-9D9B055036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2" name="AutoShape 38">
          <a:extLst>
            <a:ext uri="{FF2B5EF4-FFF2-40B4-BE49-F238E27FC236}">
              <a16:creationId xmlns:a16="http://schemas.microsoft.com/office/drawing/2014/main" id="{32B60D93-32C0-4245-9F73-0B9C227C6D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3" name="AutoShape 22">
          <a:extLst>
            <a:ext uri="{FF2B5EF4-FFF2-40B4-BE49-F238E27FC236}">
              <a16:creationId xmlns:a16="http://schemas.microsoft.com/office/drawing/2014/main" id="{0F355D0F-A5EC-41A8-A25C-84856EA198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4" name="AutoShape 18">
          <a:extLst>
            <a:ext uri="{FF2B5EF4-FFF2-40B4-BE49-F238E27FC236}">
              <a16:creationId xmlns:a16="http://schemas.microsoft.com/office/drawing/2014/main" id="{019CA8DC-57C2-49C6-A32D-541A4CF089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5" name="AutoShape 16">
          <a:extLst>
            <a:ext uri="{FF2B5EF4-FFF2-40B4-BE49-F238E27FC236}">
              <a16:creationId xmlns:a16="http://schemas.microsoft.com/office/drawing/2014/main" id="{AB1F61CE-596B-4B06-8FDF-0D821A14FB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6" name="AutoShape 10">
          <a:extLst>
            <a:ext uri="{FF2B5EF4-FFF2-40B4-BE49-F238E27FC236}">
              <a16:creationId xmlns:a16="http://schemas.microsoft.com/office/drawing/2014/main" id="{F82DCE2B-941D-4B9D-A858-A00F9FA57D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7" name="AutoShape 8">
          <a:extLst>
            <a:ext uri="{FF2B5EF4-FFF2-40B4-BE49-F238E27FC236}">
              <a16:creationId xmlns:a16="http://schemas.microsoft.com/office/drawing/2014/main" id="{107C4E70-A0C4-4978-A7E9-E32E4C913A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8" name="AutoShape 6">
          <a:extLst>
            <a:ext uri="{FF2B5EF4-FFF2-40B4-BE49-F238E27FC236}">
              <a16:creationId xmlns:a16="http://schemas.microsoft.com/office/drawing/2014/main" id="{76A19A2A-00EF-4CE3-BE3B-FDBCF8ADD8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19" name="AutoShape 4">
          <a:extLst>
            <a:ext uri="{FF2B5EF4-FFF2-40B4-BE49-F238E27FC236}">
              <a16:creationId xmlns:a16="http://schemas.microsoft.com/office/drawing/2014/main" id="{809E5CCB-AD66-43DE-8815-958AC2209A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0" name="AutoShape 2">
          <a:extLst>
            <a:ext uri="{FF2B5EF4-FFF2-40B4-BE49-F238E27FC236}">
              <a16:creationId xmlns:a16="http://schemas.microsoft.com/office/drawing/2014/main" id="{BEC81DAC-142B-4FD4-B391-3AF52CD587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1" name="AutoShape 44">
          <a:extLst>
            <a:ext uri="{FF2B5EF4-FFF2-40B4-BE49-F238E27FC236}">
              <a16:creationId xmlns:a16="http://schemas.microsoft.com/office/drawing/2014/main" id="{D65383F8-050B-4568-B27A-F9F13BC493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2" name="AutoShape 42">
          <a:extLst>
            <a:ext uri="{FF2B5EF4-FFF2-40B4-BE49-F238E27FC236}">
              <a16:creationId xmlns:a16="http://schemas.microsoft.com/office/drawing/2014/main" id="{2D195A34-0009-4127-B47E-11DBDD1035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3" name="AutoShape 40">
          <a:extLst>
            <a:ext uri="{FF2B5EF4-FFF2-40B4-BE49-F238E27FC236}">
              <a16:creationId xmlns:a16="http://schemas.microsoft.com/office/drawing/2014/main" id="{71982C03-72B6-448B-8CCE-B36803E451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4" name="AutoShape 38">
          <a:extLst>
            <a:ext uri="{FF2B5EF4-FFF2-40B4-BE49-F238E27FC236}">
              <a16:creationId xmlns:a16="http://schemas.microsoft.com/office/drawing/2014/main" id="{C84A071B-8353-4AB3-9A92-768F7C3DD2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5" name="AutoShape 22">
          <a:extLst>
            <a:ext uri="{FF2B5EF4-FFF2-40B4-BE49-F238E27FC236}">
              <a16:creationId xmlns:a16="http://schemas.microsoft.com/office/drawing/2014/main" id="{A288C910-172D-4E32-968A-7CFE39C8FF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6" name="AutoShape 18">
          <a:extLst>
            <a:ext uri="{FF2B5EF4-FFF2-40B4-BE49-F238E27FC236}">
              <a16:creationId xmlns:a16="http://schemas.microsoft.com/office/drawing/2014/main" id="{792C71CB-586B-4EF3-9E96-2A343F4E9D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7" name="AutoShape 16">
          <a:extLst>
            <a:ext uri="{FF2B5EF4-FFF2-40B4-BE49-F238E27FC236}">
              <a16:creationId xmlns:a16="http://schemas.microsoft.com/office/drawing/2014/main" id="{82DA2D35-8158-4C20-A2E8-9CEE7B7903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8" name="AutoShape 10">
          <a:extLst>
            <a:ext uri="{FF2B5EF4-FFF2-40B4-BE49-F238E27FC236}">
              <a16:creationId xmlns:a16="http://schemas.microsoft.com/office/drawing/2014/main" id="{8B865F9A-5E44-426B-920D-9937F6A304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29" name="AutoShape 8">
          <a:extLst>
            <a:ext uri="{FF2B5EF4-FFF2-40B4-BE49-F238E27FC236}">
              <a16:creationId xmlns:a16="http://schemas.microsoft.com/office/drawing/2014/main" id="{322049F4-0EFE-4A37-9064-64C87DC501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0" name="AutoShape 6">
          <a:extLst>
            <a:ext uri="{FF2B5EF4-FFF2-40B4-BE49-F238E27FC236}">
              <a16:creationId xmlns:a16="http://schemas.microsoft.com/office/drawing/2014/main" id="{97E3D0E9-D9E9-427E-8E42-1EE5B537A6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1" name="AutoShape 4">
          <a:extLst>
            <a:ext uri="{FF2B5EF4-FFF2-40B4-BE49-F238E27FC236}">
              <a16:creationId xmlns:a16="http://schemas.microsoft.com/office/drawing/2014/main" id="{23CB6A31-60B9-4CC1-B9E1-577FFC349C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2" name="AutoShape 2">
          <a:extLst>
            <a:ext uri="{FF2B5EF4-FFF2-40B4-BE49-F238E27FC236}">
              <a16:creationId xmlns:a16="http://schemas.microsoft.com/office/drawing/2014/main" id="{502742A9-5A0F-49B1-A439-5FF1991B5E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3" name="AutoShape 44">
          <a:extLst>
            <a:ext uri="{FF2B5EF4-FFF2-40B4-BE49-F238E27FC236}">
              <a16:creationId xmlns:a16="http://schemas.microsoft.com/office/drawing/2014/main" id="{10E4B6E5-243F-4B3D-A87F-225625158D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4" name="AutoShape 42">
          <a:extLst>
            <a:ext uri="{FF2B5EF4-FFF2-40B4-BE49-F238E27FC236}">
              <a16:creationId xmlns:a16="http://schemas.microsoft.com/office/drawing/2014/main" id="{F43840DF-BF14-4479-A9B0-50AE1AB9E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5" name="AutoShape 40">
          <a:extLst>
            <a:ext uri="{FF2B5EF4-FFF2-40B4-BE49-F238E27FC236}">
              <a16:creationId xmlns:a16="http://schemas.microsoft.com/office/drawing/2014/main" id="{A5933386-6E10-4D0B-9907-31FC091260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6" name="AutoShape 38">
          <a:extLst>
            <a:ext uri="{FF2B5EF4-FFF2-40B4-BE49-F238E27FC236}">
              <a16:creationId xmlns:a16="http://schemas.microsoft.com/office/drawing/2014/main" id="{C5364958-8616-4E43-8255-1E06C24A79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7" name="AutoShape 22">
          <a:extLst>
            <a:ext uri="{FF2B5EF4-FFF2-40B4-BE49-F238E27FC236}">
              <a16:creationId xmlns:a16="http://schemas.microsoft.com/office/drawing/2014/main" id="{E165563A-5334-4D81-8DAB-F07B0B9722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8" name="AutoShape 18">
          <a:extLst>
            <a:ext uri="{FF2B5EF4-FFF2-40B4-BE49-F238E27FC236}">
              <a16:creationId xmlns:a16="http://schemas.microsoft.com/office/drawing/2014/main" id="{F19153FF-0179-407B-B589-4E73DDA9CD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39" name="AutoShape 16">
          <a:extLst>
            <a:ext uri="{FF2B5EF4-FFF2-40B4-BE49-F238E27FC236}">
              <a16:creationId xmlns:a16="http://schemas.microsoft.com/office/drawing/2014/main" id="{C311DD06-2CE2-4776-A566-8519888A43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0" name="AutoShape 10">
          <a:extLst>
            <a:ext uri="{FF2B5EF4-FFF2-40B4-BE49-F238E27FC236}">
              <a16:creationId xmlns:a16="http://schemas.microsoft.com/office/drawing/2014/main" id="{29FF835B-71B3-4705-B65F-D0726A0617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1" name="AutoShape 8">
          <a:extLst>
            <a:ext uri="{FF2B5EF4-FFF2-40B4-BE49-F238E27FC236}">
              <a16:creationId xmlns:a16="http://schemas.microsoft.com/office/drawing/2014/main" id="{4EAB295C-065A-479C-8658-91680AEBB5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2" name="AutoShape 6">
          <a:extLst>
            <a:ext uri="{FF2B5EF4-FFF2-40B4-BE49-F238E27FC236}">
              <a16:creationId xmlns:a16="http://schemas.microsoft.com/office/drawing/2014/main" id="{C321F538-DDE5-4D6F-BCF5-2F6BBAD72F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3" name="AutoShape 4">
          <a:extLst>
            <a:ext uri="{FF2B5EF4-FFF2-40B4-BE49-F238E27FC236}">
              <a16:creationId xmlns:a16="http://schemas.microsoft.com/office/drawing/2014/main" id="{D78062CB-5EC3-45F1-B086-E19389E1EF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4" name="AutoShape 2">
          <a:extLst>
            <a:ext uri="{FF2B5EF4-FFF2-40B4-BE49-F238E27FC236}">
              <a16:creationId xmlns:a16="http://schemas.microsoft.com/office/drawing/2014/main" id="{BB2C5CBA-DC29-46E2-BB8B-7A1CEA05FC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5" name="AutoShape 44">
          <a:extLst>
            <a:ext uri="{FF2B5EF4-FFF2-40B4-BE49-F238E27FC236}">
              <a16:creationId xmlns:a16="http://schemas.microsoft.com/office/drawing/2014/main" id="{D4FC9FCE-238F-4F1F-B08C-E6F1C5A155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6" name="AutoShape 42">
          <a:extLst>
            <a:ext uri="{FF2B5EF4-FFF2-40B4-BE49-F238E27FC236}">
              <a16:creationId xmlns:a16="http://schemas.microsoft.com/office/drawing/2014/main" id="{AA4D8E60-F2A0-4FDE-9E62-0AF49A0430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7" name="AutoShape 40">
          <a:extLst>
            <a:ext uri="{FF2B5EF4-FFF2-40B4-BE49-F238E27FC236}">
              <a16:creationId xmlns:a16="http://schemas.microsoft.com/office/drawing/2014/main" id="{B0F0277A-32A5-4682-8CF3-04AA296FC4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8" name="AutoShape 38">
          <a:extLst>
            <a:ext uri="{FF2B5EF4-FFF2-40B4-BE49-F238E27FC236}">
              <a16:creationId xmlns:a16="http://schemas.microsoft.com/office/drawing/2014/main" id="{F7E3A59B-2B42-45A8-A28C-59CF8AA5A7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49" name="AutoShape 22">
          <a:extLst>
            <a:ext uri="{FF2B5EF4-FFF2-40B4-BE49-F238E27FC236}">
              <a16:creationId xmlns:a16="http://schemas.microsoft.com/office/drawing/2014/main" id="{E2F7E9C6-A30A-45AC-8402-C160739AE4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0" name="AutoShape 18">
          <a:extLst>
            <a:ext uri="{FF2B5EF4-FFF2-40B4-BE49-F238E27FC236}">
              <a16:creationId xmlns:a16="http://schemas.microsoft.com/office/drawing/2014/main" id="{C2148FE3-E750-4E79-A9F2-55403B1F91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1" name="AutoShape 10">
          <a:extLst>
            <a:ext uri="{FF2B5EF4-FFF2-40B4-BE49-F238E27FC236}">
              <a16:creationId xmlns:a16="http://schemas.microsoft.com/office/drawing/2014/main" id="{7800CB7C-9667-47E8-9C6F-D97845FB4F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2" name="AutoShape 8">
          <a:extLst>
            <a:ext uri="{FF2B5EF4-FFF2-40B4-BE49-F238E27FC236}">
              <a16:creationId xmlns:a16="http://schemas.microsoft.com/office/drawing/2014/main" id="{F495E6FC-E3A1-4D6B-8CE2-7F6A4BB901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3" name="AutoShape 6">
          <a:extLst>
            <a:ext uri="{FF2B5EF4-FFF2-40B4-BE49-F238E27FC236}">
              <a16:creationId xmlns:a16="http://schemas.microsoft.com/office/drawing/2014/main" id="{AE9DDA55-FE6D-4CC4-88FA-E6EF58B463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4" name="AutoShape 4">
          <a:extLst>
            <a:ext uri="{FF2B5EF4-FFF2-40B4-BE49-F238E27FC236}">
              <a16:creationId xmlns:a16="http://schemas.microsoft.com/office/drawing/2014/main" id="{57CFEE3D-F6DC-42B1-A815-0B802B3D1E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EEBD72B0-AE76-4468-A0C4-51E61B08F8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6" name="AutoShape 44">
          <a:extLst>
            <a:ext uri="{FF2B5EF4-FFF2-40B4-BE49-F238E27FC236}">
              <a16:creationId xmlns:a16="http://schemas.microsoft.com/office/drawing/2014/main" id="{23AA8D87-C5B4-41A9-8001-9ADCF86E35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7" name="AutoShape 42">
          <a:extLst>
            <a:ext uri="{FF2B5EF4-FFF2-40B4-BE49-F238E27FC236}">
              <a16:creationId xmlns:a16="http://schemas.microsoft.com/office/drawing/2014/main" id="{640FE06E-4DAE-4E69-B3E4-0A744032D3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8" name="AutoShape 40">
          <a:extLst>
            <a:ext uri="{FF2B5EF4-FFF2-40B4-BE49-F238E27FC236}">
              <a16:creationId xmlns:a16="http://schemas.microsoft.com/office/drawing/2014/main" id="{C8748052-5CBB-4895-9A06-91B3B114D8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59" name="AutoShape 38">
          <a:extLst>
            <a:ext uri="{FF2B5EF4-FFF2-40B4-BE49-F238E27FC236}">
              <a16:creationId xmlns:a16="http://schemas.microsoft.com/office/drawing/2014/main" id="{66A1158D-D612-4EEE-8EF5-100ECA0F97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0" name="AutoShape 22">
          <a:extLst>
            <a:ext uri="{FF2B5EF4-FFF2-40B4-BE49-F238E27FC236}">
              <a16:creationId xmlns:a16="http://schemas.microsoft.com/office/drawing/2014/main" id="{0A1530D3-9111-4E60-8E8D-5EF749AA99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1" name="AutoShape 18">
          <a:extLst>
            <a:ext uri="{FF2B5EF4-FFF2-40B4-BE49-F238E27FC236}">
              <a16:creationId xmlns:a16="http://schemas.microsoft.com/office/drawing/2014/main" id="{31A40273-EED5-40F5-999F-5316DF35BE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2" name="AutoShape 10">
          <a:extLst>
            <a:ext uri="{FF2B5EF4-FFF2-40B4-BE49-F238E27FC236}">
              <a16:creationId xmlns:a16="http://schemas.microsoft.com/office/drawing/2014/main" id="{CB652B8B-A81B-446E-A193-7C38C59983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3" name="AutoShape 8">
          <a:extLst>
            <a:ext uri="{FF2B5EF4-FFF2-40B4-BE49-F238E27FC236}">
              <a16:creationId xmlns:a16="http://schemas.microsoft.com/office/drawing/2014/main" id="{C777F660-ABCC-4DC8-9F64-F473EBC137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4" name="AutoShape 6">
          <a:extLst>
            <a:ext uri="{FF2B5EF4-FFF2-40B4-BE49-F238E27FC236}">
              <a16:creationId xmlns:a16="http://schemas.microsoft.com/office/drawing/2014/main" id="{4AF22B5C-E2DA-4B24-8F12-2B16A13782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D5C992A5-42B9-481F-ACC2-F550F8F4EE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6" name="AutoShape 2">
          <a:extLst>
            <a:ext uri="{FF2B5EF4-FFF2-40B4-BE49-F238E27FC236}">
              <a16:creationId xmlns:a16="http://schemas.microsoft.com/office/drawing/2014/main" id="{FB65C18C-B0CB-4085-9ED6-918DEE8FA9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7" name="AutoShape 44">
          <a:extLst>
            <a:ext uri="{FF2B5EF4-FFF2-40B4-BE49-F238E27FC236}">
              <a16:creationId xmlns:a16="http://schemas.microsoft.com/office/drawing/2014/main" id="{8D012C9B-A84D-4E77-972C-5E0E3AA680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8" name="AutoShape 42">
          <a:extLst>
            <a:ext uri="{FF2B5EF4-FFF2-40B4-BE49-F238E27FC236}">
              <a16:creationId xmlns:a16="http://schemas.microsoft.com/office/drawing/2014/main" id="{5389D462-B05E-4D00-A5A5-87FAACB3EB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69" name="AutoShape 40">
          <a:extLst>
            <a:ext uri="{FF2B5EF4-FFF2-40B4-BE49-F238E27FC236}">
              <a16:creationId xmlns:a16="http://schemas.microsoft.com/office/drawing/2014/main" id="{3E7DA44E-5EAE-42BA-BC34-AD040ED783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0" name="AutoShape 38">
          <a:extLst>
            <a:ext uri="{FF2B5EF4-FFF2-40B4-BE49-F238E27FC236}">
              <a16:creationId xmlns:a16="http://schemas.microsoft.com/office/drawing/2014/main" id="{E78DE8BC-C9E3-4B10-AA97-1958B7B6C9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1" name="AutoShape 22">
          <a:extLst>
            <a:ext uri="{FF2B5EF4-FFF2-40B4-BE49-F238E27FC236}">
              <a16:creationId xmlns:a16="http://schemas.microsoft.com/office/drawing/2014/main" id="{0A938809-BE6C-4A8C-9E84-379B0F92FF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2" name="AutoShape 18">
          <a:extLst>
            <a:ext uri="{FF2B5EF4-FFF2-40B4-BE49-F238E27FC236}">
              <a16:creationId xmlns:a16="http://schemas.microsoft.com/office/drawing/2014/main" id="{780C64C1-9F9C-4B77-B6AF-6660A6B06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3" name="AutoShape 10">
          <a:extLst>
            <a:ext uri="{FF2B5EF4-FFF2-40B4-BE49-F238E27FC236}">
              <a16:creationId xmlns:a16="http://schemas.microsoft.com/office/drawing/2014/main" id="{3BDAB7B5-E367-416A-A2DC-3F463C614A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4" name="AutoShape 8">
          <a:extLst>
            <a:ext uri="{FF2B5EF4-FFF2-40B4-BE49-F238E27FC236}">
              <a16:creationId xmlns:a16="http://schemas.microsoft.com/office/drawing/2014/main" id="{EB3B02EE-BCDE-457A-9BDE-82493854F4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5" name="AutoShape 6">
          <a:extLst>
            <a:ext uri="{FF2B5EF4-FFF2-40B4-BE49-F238E27FC236}">
              <a16:creationId xmlns:a16="http://schemas.microsoft.com/office/drawing/2014/main" id="{F8E9F6BD-C434-4785-AB03-53DF1D07D5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6" name="AutoShape 4">
          <a:extLst>
            <a:ext uri="{FF2B5EF4-FFF2-40B4-BE49-F238E27FC236}">
              <a16:creationId xmlns:a16="http://schemas.microsoft.com/office/drawing/2014/main" id="{A6FE55E1-EFC8-45D1-BEDC-C13FBA7D3F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D995B632-CEE7-4789-B0BE-00641C262C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8" name="AutoShape 44">
          <a:extLst>
            <a:ext uri="{FF2B5EF4-FFF2-40B4-BE49-F238E27FC236}">
              <a16:creationId xmlns:a16="http://schemas.microsoft.com/office/drawing/2014/main" id="{A877107A-7DC9-4219-9612-5FB5E665A2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79" name="AutoShape 42">
          <a:extLst>
            <a:ext uri="{FF2B5EF4-FFF2-40B4-BE49-F238E27FC236}">
              <a16:creationId xmlns:a16="http://schemas.microsoft.com/office/drawing/2014/main" id="{DABD5F76-3B2F-4EB5-A5E0-B3E277D43D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0" name="AutoShape 40">
          <a:extLst>
            <a:ext uri="{FF2B5EF4-FFF2-40B4-BE49-F238E27FC236}">
              <a16:creationId xmlns:a16="http://schemas.microsoft.com/office/drawing/2014/main" id="{055A9063-FDE0-4E09-BA15-26BBAA0D37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1" name="AutoShape 38">
          <a:extLst>
            <a:ext uri="{FF2B5EF4-FFF2-40B4-BE49-F238E27FC236}">
              <a16:creationId xmlns:a16="http://schemas.microsoft.com/office/drawing/2014/main" id="{E39AE4A2-4259-4154-8424-CDD0F022F6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2" name="AutoShape 22">
          <a:extLst>
            <a:ext uri="{FF2B5EF4-FFF2-40B4-BE49-F238E27FC236}">
              <a16:creationId xmlns:a16="http://schemas.microsoft.com/office/drawing/2014/main" id="{B5517FDA-D935-44CF-A74D-C696DDC119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3" name="AutoShape 18">
          <a:extLst>
            <a:ext uri="{FF2B5EF4-FFF2-40B4-BE49-F238E27FC236}">
              <a16:creationId xmlns:a16="http://schemas.microsoft.com/office/drawing/2014/main" id="{928F40FC-4311-4588-A726-1DDA27B27A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4" name="AutoShape 10">
          <a:extLst>
            <a:ext uri="{FF2B5EF4-FFF2-40B4-BE49-F238E27FC236}">
              <a16:creationId xmlns:a16="http://schemas.microsoft.com/office/drawing/2014/main" id="{70E727A5-C297-48DA-81C7-CBFA9066BA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5" name="AutoShape 8">
          <a:extLst>
            <a:ext uri="{FF2B5EF4-FFF2-40B4-BE49-F238E27FC236}">
              <a16:creationId xmlns:a16="http://schemas.microsoft.com/office/drawing/2014/main" id="{3C3CE0CB-6860-454E-8CF7-D744F5D9F1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6" name="AutoShape 6">
          <a:extLst>
            <a:ext uri="{FF2B5EF4-FFF2-40B4-BE49-F238E27FC236}">
              <a16:creationId xmlns:a16="http://schemas.microsoft.com/office/drawing/2014/main" id="{FD67592A-ED90-4D4A-97E1-BB0DB1482D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7" name="AutoShape 4">
          <a:extLst>
            <a:ext uri="{FF2B5EF4-FFF2-40B4-BE49-F238E27FC236}">
              <a16:creationId xmlns:a16="http://schemas.microsoft.com/office/drawing/2014/main" id="{A8EC0F56-E42F-4926-8966-2006052DB7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8" name="AutoShape 2">
          <a:extLst>
            <a:ext uri="{FF2B5EF4-FFF2-40B4-BE49-F238E27FC236}">
              <a16:creationId xmlns:a16="http://schemas.microsoft.com/office/drawing/2014/main" id="{7ABF795D-AF77-4536-B552-89F7DA7A4A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89" name="AutoShape 44">
          <a:extLst>
            <a:ext uri="{FF2B5EF4-FFF2-40B4-BE49-F238E27FC236}">
              <a16:creationId xmlns:a16="http://schemas.microsoft.com/office/drawing/2014/main" id="{EFF9D9ED-952C-480A-BA46-AA2100E2C9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0" name="AutoShape 42">
          <a:extLst>
            <a:ext uri="{FF2B5EF4-FFF2-40B4-BE49-F238E27FC236}">
              <a16:creationId xmlns:a16="http://schemas.microsoft.com/office/drawing/2014/main" id="{0B329282-6B6F-4F79-BA53-07AAD57F83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1" name="AutoShape 40">
          <a:extLst>
            <a:ext uri="{FF2B5EF4-FFF2-40B4-BE49-F238E27FC236}">
              <a16:creationId xmlns:a16="http://schemas.microsoft.com/office/drawing/2014/main" id="{A82F9BBC-A514-42EA-830E-1B182DFD8A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2" name="AutoShape 38">
          <a:extLst>
            <a:ext uri="{FF2B5EF4-FFF2-40B4-BE49-F238E27FC236}">
              <a16:creationId xmlns:a16="http://schemas.microsoft.com/office/drawing/2014/main" id="{06AD0739-5BC3-407D-9B4F-8A389E063B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3" name="AutoShape 22">
          <a:extLst>
            <a:ext uri="{FF2B5EF4-FFF2-40B4-BE49-F238E27FC236}">
              <a16:creationId xmlns:a16="http://schemas.microsoft.com/office/drawing/2014/main" id="{45FB9F7C-572F-4D38-AC5B-3138F412DF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4" name="AutoShape 18">
          <a:extLst>
            <a:ext uri="{FF2B5EF4-FFF2-40B4-BE49-F238E27FC236}">
              <a16:creationId xmlns:a16="http://schemas.microsoft.com/office/drawing/2014/main" id="{D7F67747-A9BA-4DDC-8B6D-F8F4AFF43B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5" name="AutoShape 10">
          <a:extLst>
            <a:ext uri="{FF2B5EF4-FFF2-40B4-BE49-F238E27FC236}">
              <a16:creationId xmlns:a16="http://schemas.microsoft.com/office/drawing/2014/main" id="{81562CF8-8CFB-4A83-9069-60C4EC6DF3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6" name="AutoShape 8">
          <a:extLst>
            <a:ext uri="{FF2B5EF4-FFF2-40B4-BE49-F238E27FC236}">
              <a16:creationId xmlns:a16="http://schemas.microsoft.com/office/drawing/2014/main" id="{E9BC0AAA-305B-4F35-83F6-4862111814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7" name="AutoShape 6">
          <a:extLst>
            <a:ext uri="{FF2B5EF4-FFF2-40B4-BE49-F238E27FC236}">
              <a16:creationId xmlns:a16="http://schemas.microsoft.com/office/drawing/2014/main" id="{E0D23C10-C869-4D90-BC91-59D44F56C8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8" name="AutoShape 4">
          <a:extLst>
            <a:ext uri="{FF2B5EF4-FFF2-40B4-BE49-F238E27FC236}">
              <a16:creationId xmlns:a16="http://schemas.microsoft.com/office/drawing/2014/main" id="{CC6B9C55-A6F9-4550-A18B-89090B1517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E3DABAB6-9F90-4EB9-BE5B-3B8B9233A3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0" name="AutoShape 44">
          <a:extLst>
            <a:ext uri="{FF2B5EF4-FFF2-40B4-BE49-F238E27FC236}">
              <a16:creationId xmlns:a16="http://schemas.microsoft.com/office/drawing/2014/main" id="{7006F922-4CDB-49F4-8141-E4D7709457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1" name="AutoShape 42">
          <a:extLst>
            <a:ext uri="{FF2B5EF4-FFF2-40B4-BE49-F238E27FC236}">
              <a16:creationId xmlns:a16="http://schemas.microsoft.com/office/drawing/2014/main" id="{84A1CC35-FB8A-4BE4-9761-A25825E151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2" name="AutoShape 40">
          <a:extLst>
            <a:ext uri="{FF2B5EF4-FFF2-40B4-BE49-F238E27FC236}">
              <a16:creationId xmlns:a16="http://schemas.microsoft.com/office/drawing/2014/main" id="{E9D76D4E-E940-4525-AB25-A41757587E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3" name="AutoShape 38">
          <a:extLst>
            <a:ext uri="{FF2B5EF4-FFF2-40B4-BE49-F238E27FC236}">
              <a16:creationId xmlns:a16="http://schemas.microsoft.com/office/drawing/2014/main" id="{9A873A52-9FE8-4F54-B739-1222E1682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4" name="AutoShape 22">
          <a:extLst>
            <a:ext uri="{FF2B5EF4-FFF2-40B4-BE49-F238E27FC236}">
              <a16:creationId xmlns:a16="http://schemas.microsoft.com/office/drawing/2014/main" id="{7D2652E0-1B49-4D86-B621-6496C00ECC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5" name="AutoShape 18">
          <a:extLst>
            <a:ext uri="{FF2B5EF4-FFF2-40B4-BE49-F238E27FC236}">
              <a16:creationId xmlns:a16="http://schemas.microsoft.com/office/drawing/2014/main" id="{3BC9D715-94A4-46A4-BA64-46BB019EA6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6" name="AutoShape 10">
          <a:extLst>
            <a:ext uri="{FF2B5EF4-FFF2-40B4-BE49-F238E27FC236}">
              <a16:creationId xmlns:a16="http://schemas.microsoft.com/office/drawing/2014/main" id="{CF476D2C-A27B-400A-9624-F4CDA0BDAE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7" name="AutoShape 8">
          <a:extLst>
            <a:ext uri="{FF2B5EF4-FFF2-40B4-BE49-F238E27FC236}">
              <a16:creationId xmlns:a16="http://schemas.microsoft.com/office/drawing/2014/main" id="{7BE062AB-122F-44E0-A620-876B4B15BD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8" name="AutoShape 6">
          <a:extLst>
            <a:ext uri="{FF2B5EF4-FFF2-40B4-BE49-F238E27FC236}">
              <a16:creationId xmlns:a16="http://schemas.microsoft.com/office/drawing/2014/main" id="{CAE51B6D-F71A-4D7A-9028-A5E556267B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09" name="AutoShape 4">
          <a:extLst>
            <a:ext uri="{FF2B5EF4-FFF2-40B4-BE49-F238E27FC236}">
              <a16:creationId xmlns:a16="http://schemas.microsoft.com/office/drawing/2014/main" id="{6DFB2534-8D65-4EA1-BEB6-FC31D15BC2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0" name="AutoShape 2">
          <a:extLst>
            <a:ext uri="{FF2B5EF4-FFF2-40B4-BE49-F238E27FC236}">
              <a16:creationId xmlns:a16="http://schemas.microsoft.com/office/drawing/2014/main" id="{DBD39C1C-554B-429E-8BB3-006A5CE383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1" name="AutoShape 44">
          <a:extLst>
            <a:ext uri="{FF2B5EF4-FFF2-40B4-BE49-F238E27FC236}">
              <a16:creationId xmlns:a16="http://schemas.microsoft.com/office/drawing/2014/main" id="{4CFF4B2A-92AD-495F-899A-313565C497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2" name="AutoShape 42">
          <a:extLst>
            <a:ext uri="{FF2B5EF4-FFF2-40B4-BE49-F238E27FC236}">
              <a16:creationId xmlns:a16="http://schemas.microsoft.com/office/drawing/2014/main" id="{9618F866-03BD-48B3-9A7B-DF3CD79B67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3" name="AutoShape 40">
          <a:extLst>
            <a:ext uri="{FF2B5EF4-FFF2-40B4-BE49-F238E27FC236}">
              <a16:creationId xmlns:a16="http://schemas.microsoft.com/office/drawing/2014/main" id="{0D9DDB2D-782B-41A2-96C4-75A56BAC53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4" name="AutoShape 38">
          <a:extLst>
            <a:ext uri="{FF2B5EF4-FFF2-40B4-BE49-F238E27FC236}">
              <a16:creationId xmlns:a16="http://schemas.microsoft.com/office/drawing/2014/main" id="{4E37EDE4-E220-45F4-A0E6-3AA3B3F57F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5" name="AutoShape 22">
          <a:extLst>
            <a:ext uri="{FF2B5EF4-FFF2-40B4-BE49-F238E27FC236}">
              <a16:creationId xmlns:a16="http://schemas.microsoft.com/office/drawing/2014/main" id="{FA3BAAFC-628C-434A-806E-0B938F80FB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6" name="AutoShape 18">
          <a:extLst>
            <a:ext uri="{FF2B5EF4-FFF2-40B4-BE49-F238E27FC236}">
              <a16:creationId xmlns:a16="http://schemas.microsoft.com/office/drawing/2014/main" id="{1601E5F4-46A5-416F-9939-69BFE48D97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7" name="AutoShape 10">
          <a:extLst>
            <a:ext uri="{FF2B5EF4-FFF2-40B4-BE49-F238E27FC236}">
              <a16:creationId xmlns:a16="http://schemas.microsoft.com/office/drawing/2014/main" id="{0632FC7D-C3D6-41AA-A4B7-6187A1CB97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8" name="AutoShape 8">
          <a:extLst>
            <a:ext uri="{FF2B5EF4-FFF2-40B4-BE49-F238E27FC236}">
              <a16:creationId xmlns:a16="http://schemas.microsoft.com/office/drawing/2014/main" id="{99C52499-6BD7-45DF-809E-420F63D89F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19" name="AutoShape 6">
          <a:extLst>
            <a:ext uri="{FF2B5EF4-FFF2-40B4-BE49-F238E27FC236}">
              <a16:creationId xmlns:a16="http://schemas.microsoft.com/office/drawing/2014/main" id="{0B942975-4684-4D39-81F5-DBB7844C26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0" name="AutoShape 4">
          <a:extLst>
            <a:ext uri="{FF2B5EF4-FFF2-40B4-BE49-F238E27FC236}">
              <a16:creationId xmlns:a16="http://schemas.microsoft.com/office/drawing/2014/main" id="{E9B126D2-068B-48A0-A07D-E5FF0872D5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id="{074E5143-D421-4823-A76C-144BE3D8CD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2" name="AutoShape 44">
          <a:extLst>
            <a:ext uri="{FF2B5EF4-FFF2-40B4-BE49-F238E27FC236}">
              <a16:creationId xmlns:a16="http://schemas.microsoft.com/office/drawing/2014/main" id="{2D2D0B04-18F4-4BBC-B138-F927C97CB4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3" name="AutoShape 42">
          <a:extLst>
            <a:ext uri="{FF2B5EF4-FFF2-40B4-BE49-F238E27FC236}">
              <a16:creationId xmlns:a16="http://schemas.microsoft.com/office/drawing/2014/main" id="{4758FEDC-3729-4518-8C82-5AA2EE9557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4" name="AutoShape 40">
          <a:extLst>
            <a:ext uri="{FF2B5EF4-FFF2-40B4-BE49-F238E27FC236}">
              <a16:creationId xmlns:a16="http://schemas.microsoft.com/office/drawing/2014/main" id="{998E0094-1D53-4864-A759-A5EA08DD69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5" name="AutoShape 38">
          <a:extLst>
            <a:ext uri="{FF2B5EF4-FFF2-40B4-BE49-F238E27FC236}">
              <a16:creationId xmlns:a16="http://schemas.microsoft.com/office/drawing/2014/main" id="{78ACAB2F-E756-47F5-9B00-62FD2D4D5D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6" name="AutoShape 22">
          <a:extLst>
            <a:ext uri="{FF2B5EF4-FFF2-40B4-BE49-F238E27FC236}">
              <a16:creationId xmlns:a16="http://schemas.microsoft.com/office/drawing/2014/main" id="{8391A1DA-34B8-4C38-A866-413EC36481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7" name="AutoShape 18">
          <a:extLst>
            <a:ext uri="{FF2B5EF4-FFF2-40B4-BE49-F238E27FC236}">
              <a16:creationId xmlns:a16="http://schemas.microsoft.com/office/drawing/2014/main" id="{4352E4B6-E519-4512-90AC-94251F04A8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8" name="AutoShape 10">
          <a:extLst>
            <a:ext uri="{FF2B5EF4-FFF2-40B4-BE49-F238E27FC236}">
              <a16:creationId xmlns:a16="http://schemas.microsoft.com/office/drawing/2014/main" id="{5BE58388-D507-46DF-A855-B6A8C83C45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29" name="AutoShape 8">
          <a:extLst>
            <a:ext uri="{FF2B5EF4-FFF2-40B4-BE49-F238E27FC236}">
              <a16:creationId xmlns:a16="http://schemas.microsoft.com/office/drawing/2014/main" id="{2EF2626C-6CA2-4303-A50A-ED96544902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0" name="AutoShape 6">
          <a:extLst>
            <a:ext uri="{FF2B5EF4-FFF2-40B4-BE49-F238E27FC236}">
              <a16:creationId xmlns:a16="http://schemas.microsoft.com/office/drawing/2014/main" id="{4499CD4A-0756-4166-BF01-FE473B6495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1" name="AutoShape 4">
          <a:extLst>
            <a:ext uri="{FF2B5EF4-FFF2-40B4-BE49-F238E27FC236}">
              <a16:creationId xmlns:a16="http://schemas.microsoft.com/office/drawing/2014/main" id="{D89B9CC0-2617-4C53-BABF-65B051BE50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2" name="AutoShape 2">
          <a:extLst>
            <a:ext uri="{FF2B5EF4-FFF2-40B4-BE49-F238E27FC236}">
              <a16:creationId xmlns:a16="http://schemas.microsoft.com/office/drawing/2014/main" id="{784CACE5-EC87-4EEC-A661-9A3B9F2635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3" name="AutoShape 44">
          <a:extLst>
            <a:ext uri="{FF2B5EF4-FFF2-40B4-BE49-F238E27FC236}">
              <a16:creationId xmlns:a16="http://schemas.microsoft.com/office/drawing/2014/main" id="{A296F711-EC9B-4E84-A29B-CDDB069CF8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4" name="AutoShape 42">
          <a:extLst>
            <a:ext uri="{FF2B5EF4-FFF2-40B4-BE49-F238E27FC236}">
              <a16:creationId xmlns:a16="http://schemas.microsoft.com/office/drawing/2014/main" id="{B0C05CF7-C0DA-44E5-8078-CD43C4CAF7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5" name="AutoShape 40">
          <a:extLst>
            <a:ext uri="{FF2B5EF4-FFF2-40B4-BE49-F238E27FC236}">
              <a16:creationId xmlns:a16="http://schemas.microsoft.com/office/drawing/2014/main" id="{D8E56799-ECD5-40AE-9984-AA1A86FF2C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6" name="AutoShape 38">
          <a:extLst>
            <a:ext uri="{FF2B5EF4-FFF2-40B4-BE49-F238E27FC236}">
              <a16:creationId xmlns:a16="http://schemas.microsoft.com/office/drawing/2014/main" id="{9A2B72D1-8237-40BC-B8DC-0BF06C8FF5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7" name="AutoShape 22">
          <a:extLst>
            <a:ext uri="{FF2B5EF4-FFF2-40B4-BE49-F238E27FC236}">
              <a16:creationId xmlns:a16="http://schemas.microsoft.com/office/drawing/2014/main" id="{652E50B1-FA39-4583-B66F-F0B443074B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8" name="AutoShape 18">
          <a:extLst>
            <a:ext uri="{FF2B5EF4-FFF2-40B4-BE49-F238E27FC236}">
              <a16:creationId xmlns:a16="http://schemas.microsoft.com/office/drawing/2014/main" id="{17B26455-B784-4BFE-845B-CD5B83144B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39" name="AutoShape 10">
          <a:extLst>
            <a:ext uri="{FF2B5EF4-FFF2-40B4-BE49-F238E27FC236}">
              <a16:creationId xmlns:a16="http://schemas.microsoft.com/office/drawing/2014/main" id="{A7F3EA70-EFE6-4CC3-9E57-F54FD79AFB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0" name="AutoShape 8">
          <a:extLst>
            <a:ext uri="{FF2B5EF4-FFF2-40B4-BE49-F238E27FC236}">
              <a16:creationId xmlns:a16="http://schemas.microsoft.com/office/drawing/2014/main" id="{2EE9067F-2939-4FC6-B6C8-894019D3AD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1" name="AutoShape 6">
          <a:extLst>
            <a:ext uri="{FF2B5EF4-FFF2-40B4-BE49-F238E27FC236}">
              <a16:creationId xmlns:a16="http://schemas.microsoft.com/office/drawing/2014/main" id="{BED7C619-7EC6-42B8-88D2-CBE861E292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2" name="AutoShape 4">
          <a:extLst>
            <a:ext uri="{FF2B5EF4-FFF2-40B4-BE49-F238E27FC236}">
              <a16:creationId xmlns:a16="http://schemas.microsoft.com/office/drawing/2014/main" id="{6F3DF749-4214-4F00-B071-9B6F8AE853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id="{11EE0184-E68C-4BB0-897B-AC4817112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4" name="AutoShape 44">
          <a:extLst>
            <a:ext uri="{FF2B5EF4-FFF2-40B4-BE49-F238E27FC236}">
              <a16:creationId xmlns:a16="http://schemas.microsoft.com/office/drawing/2014/main" id="{36AE0EF2-E118-4AA0-9A20-F90FAE32FB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5" name="AutoShape 42">
          <a:extLst>
            <a:ext uri="{FF2B5EF4-FFF2-40B4-BE49-F238E27FC236}">
              <a16:creationId xmlns:a16="http://schemas.microsoft.com/office/drawing/2014/main" id="{6DF34E4E-AFD6-4619-90BC-BC46497DCE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6" name="AutoShape 40">
          <a:extLst>
            <a:ext uri="{FF2B5EF4-FFF2-40B4-BE49-F238E27FC236}">
              <a16:creationId xmlns:a16="http://schemas.microsoft.com/office/drawing/2014/main" id="{68061F33-B4C7-43C9-A31B-6328AE75C5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7" name="AutoShape 38">
          <a:extLst>
            <a:ext uri="{FF2B5EF4-FFF2-40B4-BE49-F238E27FC236}">
              <a16:creationId xmlns:a16="http://schemas.microsoft.com/office/drawing/2014/main" id="{46B0866B-35A8-470E-A332-CA35D939C2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8" name="AutoShape 22">
          <a:extLst>
            <a:ext uri="{FF2B5EF4-FFF2-40B4-BE49-F238E27FC236}">
              <a16:creationId xmlns:a16="http://schemas.microsoft.com/office/drawing/2014/main" id="{1DCEBFA7-F1C5-4F06-A8AB-4B37E6A2DA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49" name="AutoShape 18">
          <a:extLst>
            <a:ext uri="{FF2B5EF4-FFF2-40B4-BE49-F238E27FC236}">
              <a16:creationId xmlns:a16="http://schemas.microsoft.com/office/drawing/2014/main" id="{343D6057-E75C-4C2B-880F-D4911D74D0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0" name="AutoShape 10">
          <a:extLst>
            <a:ext uri="{FF2B5EF4-FFF2-40B4-BE49-F238E27FC236}">
              <a16:creationId xmlns:a16="http://schemas.microsoft.com/office/drawing/2014/main" id="{1655096C-09CF-494C-89FB-F11796C17F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1" name="AutoShape 8">
          <a:extLst>
            <a:ext uri="{FF2B5EF4-FFF2-40B4-BE49-F238E27FC236}">
              <a16:creationId xmlns:a16="http://schemas.microsoft.com/office/drawing/2014/main" id="{C9FB1A20-515D-45DA-9C5C-9B97D43C60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2" name="AutoShape 6">
          <a:extLst>
            <a:ext uri="{FF2B5EF4-FFF2-40B4-BE49-F238E27FC236}">
              <a16:creationId xmlns:a16="http://schemas.microsoft.com/office/drawing/2014/main" id="{C785AFF6-7A79-4763-A358-D530C3A7B4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B4BFB57D-EB3E-4B89-9442-95D7FF1B0D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4" name="AutoShape 44">
          <a:extLst>
            <a:ext uri="{FF2B5EF4-FFF2-40B4-BE49-F238E27FC236}">
              <a16:creationId xmlns:a16="http://schemas.microsoft.com/office/drawing/2014/main" id="{329D405B-59B5-45C3-B7AD-669B2CFBCE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5" name="AutoShape 42">
          <a:extLst>
            <a:ext uri="{FF2B5EF4-FFF2-40B4-BE49-F238E27FC236}">
              <a16:creationId xmlns:a16="http://schemas.microsoft.com/office/drawing/2014/main" id="{BBDA3DF3-5FC2-4D4A-9087-E5015AB341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6" name="AutoShape 40">
          <a:extLst>
            <a:ext uri="{FF2B5EF4-FFF2-40B4-BE49-F238E27FC236}">
              <a16:creationId xmlns:a16="http://schemas.microsoft.com/office/drawing/2014/main" id="{34ED8F9E-22A8-4AE3-AB51-3D246DC7F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7" name="AutoShape 38">
          <a:extLst>
            <a:ext uri="{FF2B5EF4-FFF2-40B4-BE49-F238E27FC236}">
              <a16:creationId xmlns:a16="http://schemas.microsoft.com/office/drawing/2014/main" id="{3E954578-0FDC-475A-9D9A-EF5D620109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8" name="AutoShape 22">
          <a:extLst>
            <a:ext uri="{FF2B5EF4-FFF2-40B4-BE49-F238E27FC236}">
              <a16:creationId xmlns:a16="http://schemas.microsoft.com/office/drawing/2014/main" id="{F1950788-408F-4853-8502-0346CB9573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59" name="AutoShape 18">
          <a:extLst>
            <a:ext uri="{FF2B5EF4-FFF2-40B4-BE49-F238E27FC236}">
              <a16:creationId xmlns:a16="http://schemas.microsoft.com/office/drawing/2014/main" id="{BB6C9BB3-940A-4817-9E4D-B044878872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0" name="AutoShape 10">
          <a:extLst>
            <a:ext uri="{FF2B5EF4-FFF2-40B4-BE49-F238E27FC236}">
              <a16:creationId xmlns:a16="http://schemas.microsoft.com/office/drawing/2014/main" id="{D4FDA14A-009A-454B-87D3-84AAAB2971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1" name="AutoShape 8">
          <a:extLst>
            <a:ext uri="{FF2B5EF4-FFF2-40B4-BE49-F238E27FC236}">
              <a16:creationId xmlns:a16="http://schemas.microsoft.com/office/drawing/2014/main" id="{ECBFC148-D98E-470B-9946-8ABECFC558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2" name="AutoShape 6">
          <a:extLst>
            <a:ext uri="{FF2B5EF4-FFF2-40B4-BE49-F238E27FC236}">
              <a16:creationId xmlns:a16="http://schemas.microsoft.com/office/drawing/2014/main" id="{88474541-60AF-4FAD-8D04-6C5DA9DECC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6583877D-DA9F-44F0-A523-A658226AB0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4" name="AutoShape 44">
          <a:extLst>
            <a:ext uri="{FF2B5EF4-FFF2-40B4-BE49-F238E27FC236}">
              <a16:creationId xmlns:a16="http://schemas.microsoft.com/office/drawing/2014/main" id="{92BBC8CA-0302-43BC-A56D-97340C11D4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5" name="AutoShape 42">
          <a:extLst>
            <a:ext uri="{FF2B5EF4-FFF2-40B4-BE49-F238E27FC236}">
              <a16:creationId xmlns:a16="http://schemas.microsoft.com/office/drawing/2014/main" id="{980C2D3C-7455-4365-9905-5D3B3FDFDE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6" name="AutoShape 40">
          <a:extLst>
            <a:ext uri="{FF2B5EF4-FFF2-40B4-BE49-F238E27FC236}">
              <a16:creationId xmlns:a16="http://schemas.microsoft.com/office/drawing/2014/main" id="{E3272084-7B47-41D3-9A2E-7BAFAB241B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7" name="AutoShape 38">
          <a:extLst>
            <a:ext uri="{FF2B5EF4-FFF2-40B4-BE49-F238E27FC236}">
              <a16:creationId xmlns:a16="http://schemas.microsoft.com/office/drawing/2014/main" id="{3A84F358-CA6E-4232-B717-CA01604AC2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8" name="AutoShape 22">
          <a:extLst>
            <a:ext uri="{FF2B5EF4-FFF2-40B4-BE49-F238E27FC236}">
              <a16:creationId xmlns:a16="http://schemas.microsoft.com/office/drawing/2014/main" id="{139465BF-A2EE-4D34-A992-33AB27F1BB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69" name="AutoShape 18">
          <a:extLst>
            <a:ext uri="{FF2B5EF4-FFF2-40B4-BE49-F238E27FC236}">
              <a16:creationId xmlns:a16="http://schemas.microsoft.com/office/drawing/2014/main" id="{7A901A40-F7F8-4ECF-A6B2-BEAC44FF25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0" name="AutoShape 10">
          <a:extLst>
            <a:ext uri="{FF2B5EF4-FFF2-40B4-BE49-F238E27FC236}">
              <a16:creationId xmlns:a16="http://schemas.microsoft.com/office/drawing/2014/main" id="{59D0D4DC-D157-4A2F-83DF-819E252021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1" name="AutoShape 8">
          <a:extLst>
            <a:ext uri="{FF2B5EF4-FFF2-40B4-BE49-F238E27FC236}">
              <a16:creationId xmlns:a16="http://schemas.microsoft.com/office/drawing/2014/main" id="{4A8EDFBA-8079-4824-A86B-18DCDD65E0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2" name="AutoShape 6">
          <a:extLst>
            <a:ext uri="{FF2B5EF4-FFF2-40B4-BE49-F238E27FC236}">
              <a16:creationId xmlns:a16="http://schemas.microsoft.com/office/drawing/2014/main" id="{6D0EBBFC-DA31-490E-B6DD-52A0EFED63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id="{A9EB32D0-F1E4-47C4-BF49-9ABB8D3AD4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4" name="AutoShape 44">
          <a:extLst>
            <a:ext uri="{FF2B5EF4-FFF2-40B4-BE49-F238E27FC236}">
              <a16:creationId xmlns:a16="http://schemas.microsoft.com/office/drawing/2014/main" id="{7CEBDB6D-F1D4-43A7-8C3C-41062730FC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5" name="AutoShape 42">
          <a:extLst>
            <a:ext uri="{FF2B5EF4-FFF2-40B4-BE49-F238E27FC236}">
              <a16:creationId xmlns:a16="http://schemas.microsoft.com/office/drawing/2014/main" id="{C503C575-71F4-4D3C-89E4-BE06192971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6" name="AutoShape 40">
          <a:extLst>
            <a:ext uri="{FF2B5EF4-FFF2-40B4-BE49-F238E27FC236}">
              <a16:creationId xmlns:a16="http://schemas.microsoft.com/office/drawing/2014/main" id="{EB3A8A42-0F6A-4390-8D88-0027B9E598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7" name="AutoShape 38">
          <a:extLst>
            <a:ext uri="{FF2B5EF4-FFF2-40B4-BE49-F238E27FC236}">
              <a16:creationId xmlns:a16="http://schemas.microsoft.com/office/drawing/2014/main" id="{5F0B2BE0-796C-45FF-B7C2-7C41FD7324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8" name="AutoShape 22">
          <a:extLst>
            <a:ext uri="{FF2B5EF4-FFF2-40B4-BE49-F238E27FC236}">
              <a16:creationId xmlns:a16="http://schemas.microsoft.com/office/drawing/2014/main" id="{EC5FFF1F-8995-4DE1-AD9B-81C845D79F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79" name="AutoShape 18">
          <a:extLst>
            <a:ext uri="{FF2B5EF4-FFF2-40B4-BE49-F238E27FC236}">
              <a16:creationId xmlns:a16="http://schemas.microsoft.com/office/drawing/2014/main" id="{17023608-F48D-4C6B-8251-344C10F079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0" name="AutoShape 10">
          <a:extLst>
            <a:ext uri="{FF2B5EF4-FFF2-40B4-BE49-F238E27FC236}">
              <a16:creationId xmlns:a16="http://schemas.microsoft.com/office/drawing/2014/main" id="{6F619E5D-3F7A-44B1-98FF-82B445ED7E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1" name="AutoShape 8">
          <a:extLst>
            <a:ext uri="{FF2B5EF4-FFF2-40B4-BE49-F238E27FC236}">
              <a16:creationId xmlns:a16="http://schemas.microsoft.com/office/drawing/2014/main" id="{FD482FE9-E46A-45F7-BE8C-61A8E48F1E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2" name="AutoShape 6">
          <a:extLst>
            <a:ext uri="{FF2B5EF4-FFF2-40B4-BE49-F238E27FC236}">
              <a16:creationId xmlns:a16="http://schemas.microsoft.com/office/drawing/2014/main" id="{D516FE07-BAEA-46B1-A40B-E1CBCCCFA8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3" name="AutoShape 2">
          <a:extLst>
            <a:ext uri="{FF2B5EF4-FFF2-40B4-BE49-F238E27FC236}">
              <a16:creationId xmlns:a16="http://schemas.microsoft.com/office/drawing/2014/main" id="{5DBFAE38-A42A-4D53-BD33-E682DE81C2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4" name="AutoShape 44">
          <a:extLst>
            <a:ext uri="{FF2B5EF4-FFF2-40B4-BE49-F238E27FC236}">
              <a16:creationId xmlns:a16="http://schemas.microsoft.com/office/drawing/2014/main" id="{1F2C5501-1E11-4955-982A-0819C43FCD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5" name="AutoShape 42">
          <a:extLst>
            <a:ext uri="{FF2B5EF4-FFF2-40B4-BE49-F238E27FC236}">
              <a16:creationId xmlns:a16="http://schemas.microsoft.com/office/drawing/2014/main" id="{78FD1B76-29F5-40CF-866A-8007BE5FBE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6" name="AutoShape 40">
          <a:extLst>
            <a:ext uri="{FF2B5EF4-FFF2-40B4-BE49-F238E27FC236}">
              <a16:creationId xmlns:a16="http://schemas.microsoft.com/office/drawing/2014/main" id="{B69917F9-5DBB-4A1C-8E14-A5A1C3E9C9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7" name="AutoShape 38">
          <a:extLst>
            <a:ext uri="{FF2B5EF4-FFF2-40B4-BE49-F238E27FC236}">
              <a16:creationId xmlns:a16="http://schemas.microsoft.com/office/drawing/2014/main" id="{3AE10AB3-404A-42A4-8A4E-B036005A4B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8" name="AutoShape 22">
          <a:extLst>
            <a:ext uri="{FF2B5EF4-FFF2-40B4-BE49-F238E27FC236}">
              <a16:creationId xmlns:a16="http://schemas.microsoft.com/office/drawing/2014/main" id="{67DA6A4F-3FBA-434F-BF7C-4BC78666E6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89" name="AutoShape 18">
          <a:extLst>
            <a:ext uri="{FF2B5EF4-FFF2-40B4-BE49-F238E27FC236}">
              <a16:creationId xmlns:a16="http://schemas.microsoft.com/office/drawing/2014/main" id="{49A782C0-956C-4980-99D6-03C0B1E11B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0" name="AutoShape 10">
          <a:extLst>
            <a:ext uri="{FF2B5EF4-FFF2-40B4-BE49-F238E27FC236}">
              <a16:creationId xmlns:a16="http://schemas.microsoft.com/office/drawing/2014/main" id="{442749FA-5035-429F-8A8F-3CE52F27F9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1" name="AutoShape 8">
          <a:extLst>
            <a:ext uri="{FF2B5EF4-FFF2-40B4-BE49-F238E27FC236}">
              <a16:creationId xmlns:a16="http://schemas.microsoft.com/office/drawing/2014/main" id="{51E8566F-95E1-4E6B-99C3-0D8FDCFD61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2" name="AutoShape 6">
          <a:extLst>
            <a:ext uri="{FF2B5EF4-FFF2-40B4-BE49-F238E27FC236}">
              <a16:creationId xmlns:a16="http://schemas.microsoft.com/office/drawing/2014/main" id="{DE7FB669-D291-453F-A90C-963B18F559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id="{CABA121E-8C90-4C10-BBF1-8C38B02637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4" name="AutoShape 44">
          <a:extLst>
            <a:ext uri="{FF2B5EF4-FFF2-40B4-BE49-F238E27FC236}">
              <a16:creationId xmlns:a16="http://schemas.microsoft.com/office/drawing/2014/main" id="{8F3CF32F-9319-47BC-82FC-7F2C206425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5" name="AutoShape 42">
          <a:extLst>
            <a:ext uri="{FF2B5EF4-FFF2-40B4-BE49-F238E27FC236}">
              <a16:creationId xmlns:a16="http://schemas.microsoft.com/office/drawing/2014/main" id="{54126062-87DB-4CF6-B5FA-EA7DC5D032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6" name="AutoShape 40">
          <a:extLst>
            <a:ext uri="{FF2B5EF4-FFF2-40B4-BE49-F238E27FC236}">
              <a16:creationId xmlns:a16="http://schemas.microsoft.com/office/drawing/2014/main" id="{6689C1A4-EBB1-463E-B0AC-5720225A9D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7" name="AutoShape 38">
          <a:extLst>
            <a:ext uri="{FF2B5EF4-FFF2-40B4-BE49-F238E27FC236}">
              <a16:creationId xmlns:a16="http://schemas.microsoft.com/office/drawing/2014/main" id="{ECAE2C89-8ECA-44B8-93D4-AAD4D51BBA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8" name="AutoShape 22">
          <a:extLst>
            <a:ext uri="{FF2B5EF4-FFF2-40B4-BE49-F238E27FC236}">
              <a16:creationId xmlns:a16="http://schemas.microsoft.com/office/drawing/2014/main" id="{8CBF87D5-1BBF-483A-BFE3-58E3F41EBC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599" name="AutoShape 18">
          <a:extLst>
            <a:ext uri="{FF2B5EF4-FFF2-40B4-BE49-F238E27FC236}">
              <a16:creationId xmlns:a16="http://schemas.microsoft.com/office/drawing/2014/main" id="{BDC6BF1E-A133-42A7-92E1-662D476E28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0" name="AutoShape 10">
          <a:extLst>
            <a:ext uri="{FF2B5EF4-FFF2-40B4-BE49-F238E27FC236}">
              <a16:creationId xmlns:a16="http://schemas.microsoft.com/office/drawing/2014/main" id="{9A4DD61B-47FB-46B1-A486-11B77B97C2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1" name="AutoShape 8">
          <a:extLst>
            <a:ext uri="{FF2B5EF4-FFF2-40B4-BE49-F238E27FC236}">
              <a16:creationId xmlns:a16="http://schemas.microsoft.com/office/drawing/2014/main" id="{E569C98B-6978-4D87-8EAE-297070DDC2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2" name="AutoShape 6">
          <a:extLst>
            <a:ext uri="{FF2B5EF4-FFF2-40B4-BE49-F238E27FC236}">
              <a16:creationId xmlns:a16="http://schemas.microsoft.com/office/drawing/2014/main" id="{B401316E-0124-42C1-9033-52A5D689FC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3" name="AutoShape 2">
          <a:extLst>
            <a:ext uri="{FF2B5EF4-FFF2-40B4-BE49-F238E27FC236}">
              <a16:creationId xmlns:a16="http://schemas.microsoft.com/office/drawing/2014/main" id="{8E9957BC-8473-4022-B948-F548FC64D7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4" name="AutoShape 44">
          <a:extLst>
            <a:ext uri="{FF2B5EF4-FFF2-40B4-BE49-F238E27FC236}">
              <a16:creationId xmlns:a16="http://schemas.microsoft.com/office/drawing/2014/main" id="{1B980753-AD78-4B34-9E38-4D6B10D882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5" name="AutoShape 42">
          <a:extLst>
            <a:ext uri="{FF2B5EF4-FFF2-40B4-BE49-F238E27FC236}">
              <a16:creationId xmlns:a16="http://schemas.microsoft.com/office/drawing/2014/main" id="{4F430532-75A1-4A63-9E9C-DD488AA720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6" name="AutoShape 40">
          <a:extLst>
            <a:ext uri="{FF2B5EF4-FFF2-40B4-BE49-F238E27FC236}">
              <a16:creationId xmlns:a16="http://schemas.microsoft.com/office/drawing/2014/main" id="{65A53B22-D65A-4B8A-B637-9686430D2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7" name="AutoShape 38">
          <a:extLst>
            <a:ext uri="{FF2B5EF4-FFF2-40B4-BE49-F238E27FC236}">
              <a16:creationId xmlns:a16="http://schemas.microsoft.com/office/drawing/2014/main" id="{1DB8843A-93C2-4F76-B291-0A85B4C8A5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8" name="AutoShape 22">
          <a:extLst>
            <a:ext uri="{FF2B5EF4-FFF2-40B4-BE49-F238E27FC236}">
              <a16:creationId xmlns:a16="http://schemas.microsoft.com/office/drawing/2014/main" id="{967D7220-8924-4B36-9934-56E66FD421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09" name="AutoShape 10">
          <a:extLst>
            <a:ext uri="{FF2B5EF4-FFF2-40B4-BE49-F238E27FC236}">
              <a16:creationId xmlns:a16="http://schemas.microsoft.com/office/drawing/2014/main" id="{025207DB-B9E4-48D5-8763-5FADFC2C4B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0" name="AutoShape 8">
          <a:extLst>
            <a:ext uri="{FF2B5EF4-FFF2-40B4-BE49-F238E27FC236}">
              <a16:creationId xmlns:a16="http://schemas.microsoft.com/office/drawing/2014/main" id="{01BA7A33-996D-4952-8CEB-491E998C39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1" name="AutoShape 6">
          <a:extLst>
            <a:ext uri="{FF2B5EF4-FFF2-40B4-BE49-F238E27FC236}">
              <a16:creationId xmlns:a16="http://schemas.microsoft.com/office/drawing/2014/main" id="{2FDAB94C-151E-403B-8A68-DCC3C2A52A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2" name="AutoShape 2">
          <a:extLst>
            <a:ext uri="{FF2B5EF4-FFF2-40B4-BE49-F238E27FC236}">
              <a16:creationId xmlns:a16="http://schemas.microsoft.com/office/drawing/2014/main" id="{8FE3D351-301E-4115-AD23-D79745E3DB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3" name="AutoShape 44">
          <a:extLst>
            <a:ext uri="{FF2B5EF4-FFF2-40B4-BE49-F238E27FC236}">
              <a16:creationId xmlns:a16="http://schemas.microsoft.com/office/drawing/2014/main" id="{7411BEF7-71AA-41D0-8ECC-E384903C31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4" name="AutoShape 42">
          <a:extLst>
            <a:ext uri="{FF2B5EF4-FFF2-40B4-BE49-F238E27FC236}">
              <a16:creationId xmlns:a16="http://schemas.microsoft.com/office/drawing/2014/main" id="{D0128B50-3D76-40CE-ADCF-DE4B836790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5" name="AutoShape 40">
          <a:extLst>
            <a:ext uri="{FF2B5EF4-FFF2-40B4-BE49-F238E27FC236}">
              <a16:creationId xmlns:a16="http://schemas.microsoft.com/office/drawing/2014/main" id="{3F8F1B6F-A68D-4566-9111-5696341497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6" name="AutoShape 38">
          <a:extLst>
            <a:ext uri="{FF2B5EF4-FFF2-40B4-BE49-F238E27FC236}">
              <a16:creationId xmlns:a16="http://schemas.microsoft.com/office/drawing/2014/main" id="{BA5B41AA-1CAB-434B-B586-5D265235EE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7" name="AutoShape 22">
          <a:extLst>
            <a:ext uri="{FF2B5EF4-FFF2-40B4-BE49-F238E27FC236}">
              <a16:creationId xmlns:a16="http://schemas.microsoft.com/office/drawing/2014/main" id="{642CE5AC-E433-4205-914E-AEE8B8253F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8" name="AutoShape 10">
          <a:extLst>
            <a:ext uri="{FF2B5EF4-FFF2-40B4-BE49-F238E27FC236}">
              <a16:creationId xmlns:a16="http://schemas.microsoft.com/office/drawing/2014/main" id="{B73B8503-320B-4E46-966D-E80ACC1355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19" name="AutoShape 8">
          <a:extLst>
            <a:ext uri="{FF2B5EF4-FFF2-40B4-BE49-F238E27FC236}">
              <a16:creationId xmlns:a16="http://schemas.microsoft.com/office/drawing/2014/main" id="{174D7EA5-BE6E-40A3-B480-A9F9878485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0" name="AutoShape 6">
          <a:extLst>
            <a:ext uri="{FF2B5EF4-FFF2-40B4-BE49-F238E27FC236}">
              <a16:creationId xmlns:a16="http://schemas.microsoft.com/office/drawing/2014/main" id="{C5369878-6EDE-4ECA-BA68-48E3A0D34E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1" name="AutoShape 2">
          <a:extLst>
            <a:ext uri="{FF2B5EF4-FFF2-40B4-BE49-F238E27FC236}">
              <a16:creationId xmlns:a16="http://schemas.microsoft.com/office/drawing/2014/main" id="{A10AA92F-D3EE-4C66-B237-095628A70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2" name="AutoShape 44">
          <a:extLst>
            <a:ext uri="{FF2B5EF4-FFF2-40B4-BE49-F238E27FC236}">
              <a16:creationId xmlns:a16="http://schemas.microsoft.com/office/drawing/2014/main" id="{9751CC29-A7BA-4F85-821D-7A90CC92F3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3" name="AutoShape 42">
          <a:extLst>
            <a:ext uri="{FF2B5EF4-FFF2-40B4-BE49-F238E27FC236}">
              <a16:creationId xmlns:a16="http://schemas.microsoft.com/office/drawing/2014/main" id="{D07EC536-ABD8-4C7B-BCD6-E0AB92CB84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4" name="AutoShape 40">
          <a:extLst>
            <a:ext uri="{FF2B5EF4-FFF2-40B4-BE49-F238E27FC236}">
              <a16:creationId xmlns:a16="http://schemas.microsoft.com/office/drawing/2014/main" id="{5C534D79-4964-47EB-94C2-67CEEE9235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5" name="AutoShape 38">
          <a:extLst>
            <a:ext uri="{FF2B5EF4-FFF2-40B4-BE49-F238E27FC236}">
              <a16:creationId xmlns:a16="http://schemas.microsoft.com/office/drawing/2014/main" id="{FE826F3F-35E5-46EF-815A-CC411855AF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B88C281B-7DC9-4E7A-A7C9-6DA650789C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7" name="AutoShape 10">
          <a:extLst>
            <a:ext uri="{FF2B5EF4-FFF2-40B4-BE49-F238E27FC236}">
              <a16:creationId xmlns:a16="http://schemas.microsoft.com/office/drawing/2014/main" id="{C0D48DD4-5670-4742-BC9B-1C03ECB69B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8" name="AutoShape 8">
          <a:extLst>
            <a:ext uri="{FF2B5EF4-FFF2-40B4-BE49-F238E27FC236}">
              <a16:creationId xmlns:a16="http://schemas.microsoft.com/office/drawing/2014/main" id="{40E8122C-DC5F-4958-B0F3-1EFB7DE1C6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29" name="AutoShape 6">
          <a:extLst>
            <a:ext uri="{FF2B5EF4-FFF2-40B4-BE49-F238E27FC236}">
              <a16:creationId xmlns:a16="http://schemas.microsoft.com/office/drawing/2014/main" id="{F6E15C23-3084-4AA4-99C6-68D74126BB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0" name="AutoShape 2">
          <a:extLst>
            <a:ext uri="{FF2B5EF4-FFF2-40B4-BE49-F238E27FC236}">
              <a16:creationId xmlns:a16="http://schemas.microsoft.com/office/drawing/2014/main" id="{A4A95F85-41E2-42DD-B2E1-7A33E083A0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1" name="AutoShape 44">
          <a:extLst>
            <a:ext uri="{FF2B5EF4-FFF2-40B4-BE49-F238E27FC236}">
              <a16:creationId xmlns:a16="http://schemas.microsoft.com/office/drawing/2014/main" id="{387FFD5E-55A9-490E-89F7-80B6E74D67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2" name="AutoShape 42">
          <a:extLst>
            <a:ext uri="{FF2B5EF4-FFF2-40B4-BE49-F238E27FC236}">
              <a16:creationId xmlns:a16="http://schemas.microsoft.com/office/drawing/2014/main" id="{58700162-5BF8-4AC0-A540-C2E86BFDD7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3" name="AutoShape 40">
          <a:extLst>
            <a:ext uri="{FF2B5EF4-FFF2-40B4-BE49-F238E27FC236}">
              <a16:creationId xmlns:a16="http://schemas.microsoft.com/office/drawing/2014/main" id="{6731BF31-8F15-4EB9-8F1D-1ED3E6C8F9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4" name="AutoShape 38">
          <a:extLst>
            <a:ext uri="{FF2B5EF4-FFF2-40B4-BE49-F238E27FC236}">
              <a16:creationId xmlns:a16="http://schemas.microsoft.com/office/drawing/2014/main" id="{953278C8-AED1-4B27-8F2E-773D7641AC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5" name="AutoShape 22">
          <a:extLst>
            <a:ext uri="{FF2B5EF4-FFF2-40B4-BE49-F238E27FC236}">
              <a16:creationId xmlns:a16="http://schemas.microsoft.com/office/drawing/2014/main" id="{F12A42E9-D07B-4D4B-BF89-66A6EBB2F8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6" name="AutoShape 10">
          <a:extLst>
            <a:ext uri="{FF2B5EF4-FFF2-40B4-BE49-F238E27FC236}">
              <a16:creationId xmlns:a16="http://schemas.microsoft.com/office/drawing/2014/main" id="{87A9626C-C174-414C-A3EC-09D8F36EAF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7" name="AutoShape 8">
          <a:extLst>
            <a:ext uri="{FF2B5EF4-FFF2-40B4-BE49-F238E27FC236}">
              <a16:creationId xmlns:a16="http://schemas.microsoft.com/office/drawing/2014/main" id="{339B7928-2FC7-4796-B41E-44AC950FC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8" name="AutoShape 6">
          <a:extLst>
            <a:ext uri="{FF2B5EF4-FFF2-40B4-BE49-F238E27FC236}">
              <a16:creationId xmlns:a16="http://schemas.microsoft.com/office/drawing/2014/main" id="{666344B9-7D65-4752-AC31-66BFBB9638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39" name="AutoShape 2">
          <a:extLst>
            <a:ext uri="{FF2B5EF4-FFF2-40B4-BE49-F238E27FC236}">
              <a16:creationId xmlns:a16="http://schemas.microsoft.com/office/drawing/2014/main" id="{554648B4-EB98-419A-9B10-60F23F5028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0" name="AutoShape 44">
          <a:extLst>
            <a:ext uri="{FF2B5EF4-FFF2-40B4-BE49-F238E27FC236}">
              <a16:creationId xmlns:a16="http://schemas.microsoft.com/office/drawing/2014/main" id="{D07DF8BA-36E1-4DCC-AD3D-4003D0E5A5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1" name="AutoShape 42">
          <a:extLst>
            <a:ext uri="{FF2B5EF4-FFF2-40B4-BE49-F238E27FC236}">
              <a16:creationId xmlns:a16="http://schemas.microsoft.com/office/drawing/2014/main" id="{ECA2C651-220C-4309-8139-00F9EA6DB6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2" name="AutoShape 40">
          <a:extLst>
            <a:ext uri="{FF2B5EF4-FFF2-40B4-BE49-F238E27FC236}">
              <a16:creationId xmlns:a16="http://schemas.microsoft.com/office/drawing/2014/main" id="{D90820C7-9EB4-445A-8312-217B8939FC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3" name="AutoShape 38">
          <a:extLst>
            <a:ext uri="{FF2B5EF4-FFF2-40B4-BE49-F238E27FC236}">
              <a16:creationId xmlns:a16="http://schemas.microsoft.com/office/drawing/2014/main" id="{8D08879A-AC78-462A-B7FF-982D342865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4" name="AutoShape 22">
          <a:extLst>
            <a:ext uri="{FF2B5EF4-FFF2-40B4-BE49-F238E27FC236}">
              <a16:creationId xmlns:a16="http://schemas.microsoft.com/office/drawing/2014/main" id="{9E12C1CF-921B-456A-9B0A-A9B38006FC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5" name="AutoShape 10">
          <a:extLst>
            <a:ext uri="{FF2B5EF4-FFF2-40B4-BE49-F238E27FC236}">
              <a16:creationId xmlns:a16="http://schemas.microsoft.com/office/drawing/2014/main" id="{8996AF45-1968-4903-82A1-E18F51A0DA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6" name="AutoShape 8">
          <a:extLst>
            <a:ext uri="{FF2B5EF4-FFF2-40B4-BE49-F238E27FC236}">
              <a16:creationId xmlns:a16="http://schemas.microsoft.com/office/drawing/2014/main" id="{D251F465-9715-467C-AD12-840F1EB4C5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7" name="AutoShape 6">
          <a:extLst>
            <a:ext uri="{FF2B5EF4-FFF2-40B4-BE49-F238E27FC236}">
              <a16:creationId xmlns:a16="http://schemas.microsoft.com/office/drawing/2014/main" id="{95B32496-2D1C-4797-9086-EC9EA4F208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8" name="AutoShape 2">
          <a:extLst>
            <a:ext uri="{FF2B5EF4-FFF2-40B4-BE49-F238E27FC236}">
              <a16:creationId xmlns:a16="http://schemas.microsoft.com/office/drawing/2014/main" id="{77A5F7D0-8DD4-4160-9BD1-41E76B6D15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49" name="AutoShape 44">
          <a:extLst>
            <a:ext uri="{FF2B5EF4-FFF2-40B4-BE49-F238E27FC236}">
              <a16:creationId xmlns:a16="http://schemas.microsoft.com/office/drawing/2014/main" id="{5A94BA3A-7E55-48B6-857A-77E7FA270D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0" name="AutoShape 42">
          <a:extLst>
            <a:ext uri="{FF2B5EF4-FFF2-40B4-BE49-F238E27FC236}">
              <a16:creationId xmlns:a16="http://schemas.microsoft.com/office/drawing/2014/main" id="{51C603FF-B7A4-429A-A9FC-5DF59D8A4C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1" name="AutoShape 40">
          <a:extLst>
            <a:ext uri="{FF2B5EF4-FFF2-40B4-BE49-F238E27FC236}">
              <a16:creationId xmlns:a16="http://schemas.microsoft.com/office/drawing/2014/main" id="{0BE9695C-9F39-4FEB-9AC0-9EFA907352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2" name="AutoShape 38">
          <a:extLst>
            <a:ext uri="{FF2B5EF4-FFF2-40B4-BE49-F238E27FC236}">
              <a16:creationId xmlns:a16="http://schemas.microsoft.com/office/drawing/2014/main" id="{8514CE4C-5C43-485F-9E0F-0E9EBAABB6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3" name="AutoShape 22">
          <a:extLst>
            <a:ext uri="{FF2B5EF4-FFF2-40B4-BE49-F238E27FC236}">
              <a16:creationId xmlns:a16="http://schemas.microsoft.com/office/drawing/2014/main" id="{B9BDB4A3-12D8-418A-92CD-F1B0FC4BF7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4" name="AutoShape 10">
          <a:extLst>
            <a:ext uri="{FF2B5EF4-FFF2-40B4-BE49-F238E27FC236}">
              <a16:creationId xmlns:a16="http://schemas.microsoft.com/office/drawing/2014/main" id="{7567B4E2-DC1C-40BA-95F2-CCCA9CD51F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5" name="AutoShape 8">
          <a:extLst>
            <a:ext uri="{FF2B5EF4-FFF2-40B4-BE49-F238E27FC236}">
              <a16:creationId xmlns:a16="http://schemas.microsoft.com/office/drawing/2014/main" id="{16844317-903C-468E-97EF-3468FA4DC3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6" name="AutoShape 6">
          <a:extLst>
            <a:ext uri="{FF2B5EF4-FFF2-40B4-BE49-F238E27FC236}">
              <a16:creationId xmlns:a16="http://schemas.microsoft.com/office/drawing/2014/main" id="{51867100-5DF7-4992-8197-60B7662F785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7" name="AutoShape 2">
          <a:extLst>
            <a:ext uri="{FF2B5EF4-FFF2-40B4-BE49-F238E27FC236}">
              <a16:creationId xmlns:a16="http://schemas.microsoft.com/office/drawing/2014/main" id="{9D867B4F-FBDC-48D6-8FCB-66371C23C0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8" name="AutoShape 44">
          <a:extLst>
            <a:ext uri="{FF2B5EF4-FFF2-40B4-BE49-F238E27FC236}">
              <a16:creationId xmlns:a16="http://schemas.microsoft.com/office/drawing/2014/main" id="{030CEFAF-772F-4A74-93A8-0D94BDABAD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59" name="AutoShape 42">
          <a:extLst>
            <a:ext uri="{FF2B5EF4-FFF2-40B4-BE49-F238E27FC236}">
              <a16:creationId xmlns:a16="http://schemas.microsoft.com/office/drawing/2014/main" id="{E2131772-194E-4A96-85E4-86CB515BEA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0" name="AutoShape 40">
          <a:extLst>
            <a:ext uri="{FF2B5EF4-FFF2-40B4-BE49-F238E27FC236}">
              <a16:creationId xmlns:a16="http://schemas.microsoft.com/office/drawing/2014/main" id="{800508DC-A003-4C47-B303-3F170BA154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1" name="AutoShape 38">
          <a:extLst>
            <a:ext uri="{FF2B5EF4-FFF2-40B4-BE49-F238E27FC236}">
              <a16:creationId xmlns:a16="http://schemas.microsoft.com/office/drawing/2014/main" id="{CD08C521-A902-4FDF-BCEC-1630DD6B1F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2" name="AutoShape 22">
          <a:extLst>
            <a:ext uri="{FF2B5EF4-FFF2-40B4-BE49-F238E27FC236}">
              <a16:creationId xmlns:a16="http://schemas.microsoft.com/office/drawing/2014/main" id="{8B3CC9DF-D06F-4B0A-990A-5FE19F1F45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3" name="AutoShape 10">
          <a:extLst>
            <a:ext uri="{FF2B5EF4-FFF2-40B4-BE49-F238E27FC236}">
              <a16:creationId xmlns:a16="http://schemas.microsoft.com/office/drawing/2014/main" id="{E824C011-A0D9-4EB7-A64B-53CC4C442F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4" name="AutoShape 8">
          <a:extLst>
            <a:ext uri="{FF2B5EF4-FFF2-40B4-BE49-F238E27FC236}">
              <a16:creationId xmlns:a16="http://schemas.microsoft.com/office/drawing/2014/main" id="{FDEDA469-CECE-45C6-975E-E6D276ACE5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5" name="AutoShape 6">
          <a:extLst>
            <a:ext uri="{FF2B5EF4-FFF2-40B4-BE49-F238E27FC236}">
              <a16:creationId xmlns:a16="http://schemas.microsoft.com/office/drawing/2014/main" id="{7D8FA8AC-3DDE-45FA-B7E8-CDFEEF8E0E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6" name="AutoShape 2">
          <a:extLst>
            <a:ext uri="{FF2B5EF4-FFF2-40B4-BE49-F238E27FC236}">
              <a16:creationId xmlns:a16="http://schemas.microsoft.com/office/drawing/2014/main" id="{92CFCAEE-ED39-43B4-BA05-9FDF4C679D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7" name="AutoShape 44">
          <a:extLst>
            <a:ext uri="{FF2B5EF4-FFF2-40B4-BE49-F238E27FC236}">
              <a16:creationId xmlns:a16="http://schemas.microsoft.com/office/drawing/2014/main" id="{A5F0F198-8BE6-49E8-AC89-4453BE9F1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8" name="AutoShape 42">
          <a:extLst>
            <a:ext uri="{FF2B5EF4-FFF2-40B4-BE49-F238E27FC236}">
              <a16:creationId xmlns:a16="http://schemas.microsoft.com/office/drawing/2014/main" id="{65CD1F3E-ADA1-4EDD-976B-2F0DC86E47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69" name="AutoShape 40">
          <a:extLst>
            <a:ext uri="{FF2B5EF4-FFF2-40B4-BE49-F238E27FC236}">
              <a16:creationId xmlns:a16="http://schemas.microsoft.com/office/drawing/2014/main" id="{055FFDE7-46E5-4BEE-90F3-BCF44C3B06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0" name="AutoShape 38">
          <a:extLst>
            <a:ext uri="{FF2B5EF4-FFF2-40B4-BE49-F238E27FC236}">
              <a16:creationId xmlns:a16="http://schemas.microsoft.com/office/drawing/2014/main" id="{EEB36A66-C448-4DF6-9442-DFC237E211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1" name="AutoShape 22">
          <a:extLst>
            <a:ext uri="{FF2B5EF4-FFF2-40B4-BE49-F238E27FC236}">
              <a16:creationId xmlns:a16="http://schemas.microsoft.com/office/drawing/2014/main" id="{D7853832-1637-429E-9E1F-9EB4FC7D2B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2" name="AutoShape 10">
          <a:extLst>
            <a:ext uri="{FF2B5EF4-FFF2-40B4-BE49-F238E27FC236}">
              <a16:creationId xmlns:a16="http://schemas.microsoft.com/office/drawing/2014/main" id="{538E3AC5-32D5-4727-98BA-0070F7E8A9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3" name="AutoShape 8">
          <a:extLst>
            <a:ext uri="{FF2B5EF4-FFF2-40B4-BE49-F238E27FC236}">
              <a16:creationId xmlns:a16="http://schemas.microsoft.com/office/drawing/2014/main" id="{79B2054A-E1AD-451B-B128-53F8F5D3F3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4" name="AutoShape 6">
          <a:extLst>
            <a:ext uri="{FF2B5EF4-FFF2-40B4-BE49-F238E27FC236}">
              <a16:creationId xmlns:a16="http://schemas.microsoft.com/office/drawing/2014/main" id="{BB563561-136C-4B79-AEC3-FAE1C02F8C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2F404D30-0EBC-4B1F-93BA-42D6D5A599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6" name="AutoShape 44">
          <a:extLst>
            <a:ext uri="{FF2B5EF4-FFF2-40B4-BE49-F238E27FC236}">
              <a16:creationId xmlns:a16="http://schemas.microsoft.com/office/drawing/2014/main" id="{8E428692-0719-4D7B-8519-9F9B1E6127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7" name="AutoShape 42">
          <a:extLst>
            <a:ext uri="{FF2B5EF4-FFF2-40B4-BE49-F238E27FC236}">
              <a16:creationId xmlns:a16="http://schemas.microsoft.com/office/drawing/2014/main" id="{191F7282-D1EE-4E4B-B56D-9E4459EA97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8" name="AutoShape 40">
          <a:extLst>
            <a:ext uri="{FF2B5EF4-FFF2-40B4-BE49-F238E27FC236}">
              <a16:creationId xmlns:a16="http://schemas.microsoft.com/office/drawing/2014/main" id="{313CA3D1-A07D-4A3C-82BD-D450CABE09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79" name="AutoShape 38">
          <a:extLst>
            <a:ext uri="{FF2B5EF4-FFF2-40B4-BE49-F238E27FC236}">
              <a16:creationId xmlns:a16="http://schemas.microsoft.com/office/drawing/2014/main" id="{6A8B9554-EB47-402D-BD24-FA565ACBB7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80" name="AutoShape 22">
          <a:extLst>
            <a:ext uri="{FF2B5EF4-FFF2-40B4-BE49-F238E27FC236}">
              <a16:creationId xmlns:a16="http://schemas.microsoft.com/office/drawing/2014/main" id="{8BA211D3-31DC-4856-B45E-47394B9C23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81" name="AutoShape 10">
          <a:extLst>
            <a:ext uri="{FF2B5EF4-FFF2-40B4-BE49-F238E27FC236}">
              <a16:creationId xmlns:a16="http://schemas.microsoft.com/office/drawing/2014/main" id="{461DA9FB-A0D4-4D55-A255-508FAEA9DA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82" name="AutoShape 8">
          <a:extLst>
            <a:ext uri="{FF2B5EF4-FFF2-40B4-BE49-F238E27FC236}">
              <a16:creationId xmlns:a16="http://schemas.microsoft.com/office/drawing/2014/main" id="{370A688A-8915-4FA8-BD3F-AC713BEFE9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83" name="AutoShape 6">
          <a:extLst>
            <a:ext uri="{FF2B5EF4-FFF2-40B4-BE49-F238E27FC236}">
              <a16:creationId xmlns:a16="http://schemas.microsoft.com/office/drawing/2014/main" id="{D32B7BF6-CCBE-4691-AEA2-2D31FEF099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76200</xdr:rowOff>
    </xdr:to>
    <xdr:sp macro="" textlink="">
      <xdr:nvSpPr>
        <xdr:cNvPr id="684" name="AutoShape 2">
          <a:extLst>
            <a:ext uri="{FF2B5EF4-FFF2-40B4-BE49-F238E27FC236}">
              <a16:creationId xmlns:a16="http://schemas.microsoft.com/office/drawing/2014/main" id="{4F79CB31-C647-4890-9578-9BF1E9FF2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393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85" name="AutoShape 44">
          <a:extLst>
            <a:ext uri="{FF2B5EF4-FFF2-40B4-BE49-F238E27FC236}">
              <a16:creationId xmlns:a16="http://schemas.microsoft.com/office/drawing/2014/main" id="{958E52A3-1813-48F0-8E81-1BF7B0BED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86" name="AutoShape 42">
          <a:extLst>
            <a:ext uri="{FF2B5EF4-FFF2-40B4-BE49-F238E27FC236}">
              <a16:creationId xmlns:a16="http://schemas.microsoft.com/office/drawing/2014/main" id="{081855DC-FC4E-44A2-B66E-72065870CC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87" name="AutoShape 40">
          <a:extLst>
            <a:ext uri="{FF2B5EF4-FFF2-40B4-BE49-F238E27FC236}">
              <a16:creationId xmlns:a16="http://schemas.microsoft.com/office/drawing/2014/main" id="{8A428F43-4A18-4A46-9A6C-7B8F2F4488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88" name="AutoShape 38">
          <a:extLst>
            <a:ext uri="{FF2B5EF4-FFF2-40B4-BE49-F238E27FC236}">
              <a16:creationId xmlns:a16="http://schemas.microsoft.com/office/drawing/2014/main" id="{1F6D5967-40AA-44C7-BDA2-A0602AEBA6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89" name="AutoShape 22">
          <a:extLst>
            <a:ext uri="{FF2B5EF4-FFF2-40B4-BE49-F238E27FC236}">
              <a16:creationId xmlns:a16="http://schemas.microsoft.com/office/drawing/2014/main" id="{8AD02316-7CC9-45D0-948B-2F50054E08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0" name="AutoShape 10">
          <a:extLst>
            <a:ext uri="{FF2B5EF4-FFF2-40B4-BE49-F238E27FC236}">
              <a16:creationId xmlns:a16="http://schemas.microsoft.com/office/drawing/2014/main" id="{2E51AADF-9FCB-4AA0-9578-8913E07BF3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1" name="AutoShape 8">
          <a:extLst>
            <a:ext uri="{FF2B5EF4-FFF2-40B4-BE49-F238E27FC236}">
              <a16:creationId xmlns:a16="http://schemas.microsoft.com/office/drawing/2014/main" id="{B0460919-C49D-463A-84EA-0F2411D426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2" name="AutoShape 6">
          <a:extLst>
            <a:ext uri="{FF2B5EF4-FFF2-40B4-BE49-F238E27FC236}">
              <a16:creationId xmlns:a16="http://schemas.microsoft.com/office/drawing/2014/main" id="{CC783DCD-6F49-49A1-B4C4-39C34286BD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61624D82-CB26-4A80-BAD1-25EB0C63F0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4" name="AutoShape 44">
          <a:extLst>
            <a:ext uri="{FF2B5EF4-FFF2-40B4-BE49-F238E27FC236}">
              <a16:creationId xmlns:a16="http://schemas.microsoft.com/office/drawing/2014/main" id="{8B8EDACA-3C59-4B50-AB85-2B2C11C050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5" name="AutoShape 42">
          <a:extLst>
            <a:ext uri="{FF2B5EF4-FFF2-40B4-BE49-F238E27FC236}">
              <a16:creationId xmlns:a16="http://schemas.microsoft.com/office/drawing/2014/main" id="{21F58BD6-A40A-41A1-AC86-AF6E4D6573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6" name="AutoShape 40">
          <a:extLst>
            <a:ext uri="{FF2B5EF4-FFF2-40B4-BE49-F238E27FC236}">
              <a16:creationId xmlns:a16="http://schemas.microsoft.com/office/drawing/2014/main" id="{353030E2-1ECA-4F12-B5CB-A49F93D719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7" name="AutoShape 38">
          <a:extLst>
            <a:ext uri="{FF2B5EF4-FFF2-40B4-BE49-F238E27FC236}">
              <a16:creationId xmlns:a16="http://schemas.microsoft.com/office/drawing/2014/main" id="{792E4DEA-E3F9-45CC-A966-2E1F2AC2EB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8" name="AutoShape 22">
          <a:extLst>
            <a:ext uri="{FF2B5EF4-FFF2-40B4-BE49-F238E27FC236}">
              <a16:creationId xmlns:a16="http://schemas.microsoft.com/office/drawing/2014/main" id="{E99ABF5B-CF00-419E-8600-39D9E44A50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699" name="AutoShape 10">
          <a:extLst>
            <a:ext uri="{FF2B5EF4-FFF2-40B4-BE49-F238E27FC236}">
              <a16:creationId xmlns:a16="http://schemas.microsoft.com/office/drawing/2014/main" id="{014463C5-1E8E-4059-90AD-3E35842E73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0" name="AutoShape 8">
          <a:extLst>
            <a:ext uri="{FF2B5EF4-FFF2-40B4-BE49-F238E27FC236}">
              <a16:creationId xmlns:a16="http://schemas.microsoft.com/office/drawing/2014/main" id="{CDA91DDE-E077-4174-81A9-405CD5DE48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1" name="AutoShape 6">
          <a:extLst>
            <a:ext uri="{FF2B5EF4-FFF2-40B4-BE49-F238E27FC236}">
              <a16:creationId xmlns:a16="http://schemas.microsoft.com/office/drawing/2014/main" id="{A7CFB208-35A4-4375-A046-4D4680E0DD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2" name="AutoShape 2">
          <a:extLst>
            <a:ext uri="{FF2B5EF4-FFF2-40B4-BE49-F238E27FC236}">
              <a16:creationId xmlns:a16="http://schemas.microsoft.com/office/drawing/2014/main" id="{58515514-0BF3-4C18-86AF-BBCD65D05C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3" name="AutoShape 44">
          <a:extLst>
            <a:ext uri="{FF2B5EF4-FFF2-40B4-BE49-F238E27FC236}">
              <a16:creationId xmlns:a16="http://schemas.microsoft.com/office/drawing/2014/main" id="{F69E2F2E-8055-4166-9EDB-3740A669D7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4" name="AutoShape 42">
          <a:extLst>
            <a:ext uri="{FF2B5EF4-FFF2-40B4-BE49-F238E27FC236}">
              <a16:creationId xmlns:a16="http://schemas.microsoft.com/office/drawing/2014/main" id="{94020ECF-F584-444B-98D3-CAE7C3ED89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5" name="AutoShape 40">
          <a:extLst>
            <a:ext uri="{FF2B5EF4-FFF2-40B4-BE49-F238E27FC236}">
              <a16:creationId xmlns:a16="http://schemas.microsoft.com/office/drawing/2014/main" id="{4C7A9687-3FA8-4392-849B-998EB5D8EB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6" name="AutoShape 38">
          <a:extLst>
            <a:ext uri="{FF2B5EF4-FFF2-40B4-BE49-F238E27FC236}">
              <a16:creationId xmlns:a16="http://schemas.microsoft.com/office/drawing/2014/main" id="{F1BB11DF-6624-46F2-A070-DA8E6A049E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7" name="AutoShape 22">
          <a:extLst>
            <a:ext uri="{FF2B5EF4-FFF2-40B4-BE49-F238E27FC236}">
              <a16:creationId xmlns:a16="http://schemas.microsoft.com/office/drawing/2014/main" id="{25E23CCA-F8C0-44CF-9B14-376A6490D3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8" name="AutoShape 10">
          <a:extLst>
            <a:ext uri="{FF2B5EF4-FFF2-40B4-BE49-F238E27FC236}">
              <a16:creationId xmlns:a16="http://schemas.microsoft.com/office/drawing/2014/main" id="{D42F7C2C-429E-480E-8170-AC60EBD630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09" name="AutoShape 8">
          <a:extLst>
            <a:ext uri="{FF2B5EF4-FFF2-40B4-BE49-F238E27FC236}">
              <a16:creationId xmlns:a16="http://schemas.microsoft.com/office/drawing/2014/main" id="{D128BCF9-D9AA-4D27-B1CA-CB857F772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0" name="AutoShape 6">
          <a:extLst>
            <a:ext uri="{FF2B5EF4-FFF2-40B4-BE49-F238E27FC236}">
              <a16:creationId xmlns:a16="http://schemas.microsoft.com/office/drawing/2014/main" id="{E7D79EC6-26EE-42D1-8132-E57442806B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1" name="AutoShape 2">
          <a:extLst>
            <a:ext uri="{FF2B5EF4-FFF2-40B4-BE49-F238E27FC236}">
              <a16:creationId xmlns:a16="http://schemas.microsoft.com/office/drawing/2014/main" id="{2C50C14C-AF38-4458-90D8-56956B36C7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2" name="AutoShape 44">
          <a:extLst>
            <a:ext uri="{FF2B5EF4-FFF2-40B4-BE49-F238E27FC236}">
              <a16:creationId xmlns:a16="http://schemas.microsoft.com/office/drawing/2014/main" id="{8DE4EF06-B076-449C-A0BC-2B85EEE4DC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3" name="AutoShape 42">
          <a:extLst>
            <a:ext uri="{FF2B5EF4-FFF2-40B4-BE49-F238E27FC236}">
              <a16:creationId xmlns:a16="http://schemas.microsoft.com/office/drawing/2014/main" id="{BB310C42-119C-4897-B621-725583CB04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4" name="AutoShape 40">
          <a:extLst>
            <a:ext uri="{FF2B5EF4-FFF2-40B4-BE49-F238E27FC236}">
              <a16:creationId xmlns:a16="http://schemas.microsoft.com/office/drawing/2014/main" id="{44B900E7-6824-4963-BDE5-DC76B87286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5" name="AutoShape 38">
          <a:extLst>
            <a:ext uri="{FF2B5EF4-FFF2-40B4-BE49-F238E27FC236}">
              <a16:creationId xmlns:a16="http://schemas.microsoft.com/office/drawing/2014/main" id="{CF04C4C8-A46C-4C20-A8CB-2183BE307F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6" name="AutoShape 22">
          <a:extLst>
            <a:ext uri="{FF2B5EF4-FFF2-40B4-BE49-F238E27FC236}">
              <a16:creationId xmlns:a16="http://schemas.microsoft.com/office/drawing/2014/main" id="{54CDB0FF-12BF-457E-91DF-21197940E8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7" name="AutoShape 10">
          <a:extLst>
            <a:ext uri="{FF2B5EF4-FFF2-40B4-BE49-F238E27FC236}">
              <a16:creationId xmlns:a16="http://schemas.microsoft.com/office/drawing/2014/main" id="{5929BA14-8D56-49F5-A8DA-DFF6D9E21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8" name="AutoShape 8">
          <a:extLst>
            <a:ext uri="{FF2B5EF4-FFF2-40B4-BE49-F238E27FC236}">
              <a16:creationId xmlns:a16="http://schemas.microsoft.com/office/drawing/2014/main" id="{CDD07396-266D-41C5-8726-FE0D645D52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19" name="AutoShape 6">
          <a:extLst>
            <a:ext uri="{FF2B5EF4-FFF2-40B4-BE49-F238E27FC236}">
              <a16:creationId xmlns:a16="http://schemas.microsoft.com/office/drawing/2014/main" id="{82CD2D47-9BB1-401C-999C-61E0402E82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457200</xdr:colOff>
      <xdr:row>50</xdr:row>
      <xdr:rowOff>83820</xdr:rowOff>
    </xdr:to>
    <xdr:sp macro="" textlink="">
      <xdr:nvSpPr>
        <xdr:cNvPr id="720" name="AutoShape 2">
          <a:extLst>
            <a:ext uri="{FF2B5EF4-FFF2-40B4-BE49-F238E27FC236}">
              <a16:creationId xmlns:a16="http://schemas.microsoft.com/office/drawing/2014/main" id="{CED49C07-99F0-4D61-8A0D-6BFC0843A9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315450" cy="100469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1" name="AutoShape 44">
          <a:extLst>
            <a:ext uri="{FF2B5EF4-FFF2-40B4-BE49-F238E27FC236}">
              <a16:creationId xmlns:a16="http://schemas.microsoft.com/office/drawing/2014/main" id="{F6ABE79E-106F-496C-B4B7-3B11F63B88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2" name="AutoShape 42">
          <a:extLst>
            <a:ext uri="{FF2B5EF4-FFF2-40B4-BE49-F238E27FC236}">
              <a16:creationId xmlns:a16="http://schemas.microsoft.com/office/drawing/2014/main" id="{7C53ADCD-57CA-41F8-B48D-0062AC50AE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3" name="AutoShape 40">
          <a:extLst>
            <a:ext uri="{FF2B5EF4-FFF2-40B4-BE49-F238E27FC236}">
              <a16:creationId xmlns:a16="http://schemas.microsoft.com/office/drawing/2014/main" id="{1163C6F9-D0F6-4ADA-BCD6-A6665CBC9F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4" name="AutoShape 38">
          <a:extLst>
            <a:ext uri="{FF2B5EF4-FFF2-40B4-BE49-F238E27FC236}">
              <a16:creationId xmlns:a16="http://schemas.microsoft.com/office/drawing/2014/main" id="{DEE95CD9-E3C9-488B-BB0A-5FF17AAAD0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5" name="AutoShape 22">
          <a:extLst>
            <a:ext uri="{FF2B5EF4-FFF2-40B4-BE49-F238E27FC236}">
              <a16:creationId xmlns:a16="http://schemas.microsoft.com/office/drawing/2014/main" id="{7D2498E2-8395-41E6-8064-372D585D76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6" name="AutoShape 10">
          <a:extLst>
            <a:ext uri="{FF2B5EF4-FFF2-40B4-BE49-F238E27FC236}">
              <a16:creationId xmlns:a16="http://schemas.microsoft.com/office/drawing/2014/main" id="{F3F66AB2-D978-4AE2-8DE0-645FA0E084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7" name="AutoShape 8">
          <a:extLst>
            <a:ext uri="{FF2B5EF4-FFF2-40B4-BE49-F238E27FC236}">
              <a16:creationId xmlns:a16="http://schemas.microsoft.com/office/drawing/2014/main" id="{7E84EDB1-7FAF-454F-8739-BA1E73E1AC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8" name="AutoShape 6">
          <a:extLst>
            <a:ext uri="{FF2B5EF4-FFF2-40B4-BE49-F238E27FC236}">
              <a16:creationId xmlns:a16="http://schemas.microsoft.com/office/drawing/2014/main" id="{E4864A1A-34F3-429B-A116-850D9366F2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16</xdr:col>
      <xdr:colOff>19050</xdr:colOff>
      <xdr:row>50</xdr:row>
      <xdr:rowOff>85725</xdr:rowOff>
    </xdr:to>
    <xdr:sp macro="" textlink="">
      <xdr:nvSpPr>
        <xdr:cNvPr id="729" name="AutoShape 2">
          <a:extLst>
            <a:ext uri="{FF2B5EF4-FFF2-40B4-BE49-F238E27FC236}">
              <a16:creationId xmlns:a16="http://schemas.microsoft.com/office/drawing/2014/main" id="{BE92AAE6-5422-4524-A599-4A7B4DD638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100488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360</xdr:rowOff>
    </xdr:from>
    <xdr:to>
      <xdr:col>7</xdr:col>
      <xdr:colOff>12600</xdr:colOff>
      <xdr:row>50</xdr:row>
      <xdr:rowOff>3240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4AFC57F-B7CD-4404-9EA8-F668A563C21D}"/>
            </a:ext>
          </a:extLst>
        </xdr:cNvPr>
        <xdr:cNvSpPr/>
      </xdr:nvSpPr>
      <xdr:spPr>
        <a:xfrm>
          <a:off x="0" y="162285"/>
          <a:ext cx="10699650" cy="91849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12600</xdr:colOff>
      <xdr:row>50</xdr:row>
      <xdr:rowOff>3240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D2535058-C28F-43D5-BD2A-841FB076C344}"/>
            </a:ext>
          </a:extLst>
        </xdr:cNvPr>
        <xdr:cNvSpPr/>
      </xdr:nvSpPr>
      <xdr:spPr>
        <a:xfrm>
          <a:off x="0" y="162285"/>
          <a:ext cx="10699650" cy="91849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12960</xdr:colOff>
      <xdr:row>50</xdr:row>
      <xdr:rowOff>3240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D59D97D2-FEC5-4573-887C-2F0F3F4EEACE}"/>
            </a:ext>
          </a:extLst>
        </xdr:cNvPr>
        <xdr:cNvSpPr/>
      </xdr:nvSpPr>
      <xdr:spPr>
        <a:xfrm>
          <a:off x="0" y="162285"/>
          <a:ext cx="10700010" cy="91849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12960</xdr:colOff>
      <xdr:row>50</xdr:row>
      <xdr:rowOff>3240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C0EAA466-0765-4D35-85B9-8A16D745545B}"/>
            </a:ext>
          </a:extLst>
        </xdr:cNvPr>
        <xdr:cNvSpPr/>
      </xdr:nvSpPr>
      <xdr:spPr>
        <a:xfrm>
          <a:off x="0" y="162285"/>
          <a:ext cx="10700010" cy="91849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13320</xdr:colOff>
      <xdr:row>50</xdr:row>
      <xdr:rowOff>3600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3C0E1FB2-B4B0-44A0-8E21-7A76A8A24226}"/>
            </a:ext>
          </a:extLst>
        </xdr:cNvPr>
        <xdr:cNvSpPr/>
      </xdr:nvSpPr>
      <xdr:spPr>
        <a:xfrm>
          <a:off x="0" y="162285"/>
          <a:ext cx="10700370" cy="91853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13320</xdr:colOff>
      <xdr:row>50</xdr:row>
      <xdr:rowOff>3600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86B702BF-1CF3-4D1F-9B11-6E6920234C66}"/>
            </a:ext>
          </a:extLst>
        </xdr:cNvPr>
        <xdr:cNvSpPr/>
      </xdr:nvSpPr>
      <xdr:spPr>
        <a:xfrm>
          <a:off x="0" y="162285"/>
          <a:ext cx="10700370" cy="91853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9E59FA23-3165-4E74-AA00-EABEA03BFD1F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698C6F8D-7EF8-4E47-BAD2-39F6B636C4E6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D6E66E2-55D6-4F44-BD9D-5CC6D237B20E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A92EC1C6-A338-4F85-92D7-0D3B905DBE17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5E7BB300-68DA-4248-971F-57DA0D3BA96E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13680</xdr:colOff>
      <xdr:row>50</xdr:row>
      <xdr:rowOff>3960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C56A92BA-C6A8-4691-9A55-BF6CF4F5123E}"/>
            </a:ext>
          </a:extLst>
        </xdr:cNvPr>
        <xdr:cNvSpPr/>
      </xdr:nvSpPr>
      <xdr:spPr>
        <a:xfrm>
          <a:off x="0" y="162285"/>
          <a:ext cx="10700730" cy="91857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47413C4C-3D37-4EF4-889C-F6BAEACC337C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AABB093E-7AFE-4B51-A814-4E0B4626ADC1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7F3AADBD-A7EE-4C68-B5E4-F5C630A7A4AF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6A3A1BA3-9FBF-4DF9-8D92-03CB852F33AA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31E49DFF-6B8D-4696-AC84-635B727E1F93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14040</xdr:colOff>
      <xdr:row>50</xdr:row>
      <xdr:rowOff>4320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617B40E1-C6DC-4382-BDAB-2F0AE50462D9}"/>
            </a:ext>
          </a:extLst>
        </xdr:cNvPr>
        <xdr:cNvSpPr/>
      </xdr:nvSpPr>
      <xdr:spPr>
        <a:xfrm>
          <a:off x="0" y="162285"/>
          <a:ext cx="10701090" cy="91860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26F7312F-0CF7-4A12-8922-CD691C01728B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6A899A43-0CFD-4BEE-96BD-673A77EFD208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26D774F1-F149-42E4-9C68-A85D84D772C0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C1E61D54-2836-4E5E-82F2-8F62B2137E9F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71A699C-ACFB-41D3-AFAD-D621D7AF3649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2D62FE3-02E9-429C-BF27-51AA6559982A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F5CFBBFE-876A-4795-99CB-07AE2FD6B258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14400</xdr:colOff>
      <xdr:row>50</xdr:row>
      <xdr:rowOff>4680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F4674463-CFAC-4728-80CF-B28F78646F37}"/>
            </a:ext>
          </a:extLst>
        </xdr:cNvPr>
        <xdr:cNvSpPr/>
      </xdr:nvSpPr>
      <xdr:spPr>
        <a:xfrm>
          <a:off x="0" y="162285"/>
          <a:ext cx="10701450" cy="91864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CD61DA96-24FF-4633-AEDA-E8E9C06CE521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51DB0165-393B-4108-A2AE-0079681E1C38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BB167ECC-F519-462E-A988-9A23B91B6B50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2DEF9AEE-B927-4425-9313-113AA3170108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7609F6EA-B2D6-4041-B508-3CBA03214B2A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BD5F7D28-B312-496D-B104-95757547A93F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F122EDAE-8AAB-4FBB-AA45-7446EE2B810F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14760</xdr:colOff>
      <xdr:row>50</xdr:row>
      <xdr:rowOff>5040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DBE534EB-9FA3-4E29-81A6-3667BB8FDCAA}"/>
            </a:ext>
          </a:extLst>
        </xdr:cNvPr>
        <xdr:cNvSpPr/>
      </xdr:nvSpPr>
      <xdr:spPr>
        <a:xfrm>
          <a:off x="0" y="162285"/>
          <a:ext cx="10701810" cy="91867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D7CF68CA-A4E3-428D-A7D7-779E6383CE38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D572376B-3E71-4689-B81C-D751F744DE5E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9329C37E-632D-4BD1-8F35-0DE860832065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B4CBB20E-95D7-4D77-9AAF-92FB3879583D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7881F50-3D87-468A-8B10-E41565E58B7F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5F798ED6-7322-470B-9A03-BAB9DFDF4E11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EEF03F93-9851-4687-9B52-9EFE2D1409F0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3D8CDA05-7D82-4AC6-B96B-EA443048E31A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6C6A6D55-324A-4EE6-8AC7-981C5D43B40E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15120</xdr:colOff>
      <xdr:row>50</xdr:row>
      <xdr:rowOff>5400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4AA95C13-0ACD-4A58-9016-BC6F072F6D7C}"/>
            </a:ext>
          </a:extLst>
        </xdr:cNvPr>
        <xdr:cNvSpPr/>
      </xdr:nvSpPr>
      <xdr:spPr>
        <a:xfrm>
          <a:off x="0" y="162285"/>
          <a:ext cx="10702170" cy="91871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D6E6E549-ED94-4BF1-AE84-EE05C5954AA6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3342F29C-AD6D-4845-B870-7DEFE8A2EB2E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FF2A1C62-14F4-47A9-A8A2-FCC6986F4523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B30D8A9-0BD1-4D66-B848-DAE1BA624C17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E2D75313-DE24-4247-BC74-108E3ADE664F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57459094-AE93-4D09-A712-2D3A069B6940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73FDF396-D633-410B-A28D-F8CB3D76AC11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7617CDA8-2464-4C94-BE4B-DC1C7025F476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3B303C64-F654-48FC-868D-99EA436F73D3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15840</xdr:colOff>
      <xdr:row>50</xdr:row>
      <xdr:rowOff>6120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6A3195D8-996C-46DF-BC3A-BD23320B447E}"/>
            </a:ext>
          </a:extLst>
        </xdr:cNvPr>
        <xdr:cNvSpPr/>
      </xdr:nvSpPr>
      <xdr:spPr>
        <a:xfrm>
          <a:off x="0" y="162285"/>
          <a:ext cx="10702890" cy="91878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6888734-6029-4DC9-9625-6D0CE6551B2E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5588412A-804C-4E60-88A7-174B497DDB90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7F32AE4-D083-4601-A0D9-99CF94FF2F1C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9BE7FFB5-4DE8-455A-97D5-90483425D27C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245CEAD-B659-49E1-BCBF-45B4B97A4849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FE041EBF-AD9C-4E79-9AE1-A0EE63B0E4E5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292805E-78ED-40C8-ABDF-7BAC2511129A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3A1EAC9C-4146-4648-9D81-00BBED8531A5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E431379D-726C-4E68-A1B4-1966AB4487E3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16200</xdr:colOff>
      <xdr:row>50</xdr:row>
      <xdr:rowOff>6480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3F541F05-A90B-477B-AD91-654519BEF7EF}"/>
            </a:ext>
          </a:extLst>
        </xdr:cNvPr>
        <xdr:cNvSpPr/>
      </xdr:nvSpPr>
      <xdr:spPr>
        <a:xfrm>
          <a:off x="0" y="162285"/>
          <a:ext cx="10703250" cy="91882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4EBA487F-A834-44AC-A580-4A0A6CD33377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2922C1EF-6594-4D02-BA27-59C8A5960E1F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C45BEF3-5097-4DCB-AD00-50542768EDCE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6934445C-7954-4669-80EA-B2D3DD1BC1B5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A3500DBE-FA35-4A65-9686-18E3162681B0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3933C9E5-0B39-4E03-AED4-57D6BCBF6628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D3AAD983-0FFA-4B11-91B6-E26D5D0007F1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E0634BEB-687E-4630-B6AB-632127DE71A1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70E79065-A958-45EE-822C-2BA19C58E367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6DD30C4B-38DA-46A5-BA60-DBEFF5F06389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EF80774C-5246-4D02-884E-782EA33C8AFE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E4B6202D-C203-4ACA-9979-BCC6BAFB1E47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7E921E5F-6C01-4D82-BCC5-0A68BA7CDB93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BFEC0320-4B2A-4573-9E5D-1DC567EBC2D1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5CA4290C-8B54-4A64-8F2C-867EE9A419D3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6E74FC3-E7C9-468E-AFF6-57AFB71DEDBA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360</xdr:rowOff>
    </xdr:from>
    <xdr:to>
      <xdr:col>7</xdr:col>
      <xdr:colOff>16920</xdr:colOff>
      <xdr:row>50</xdr:row>
      <xdr:rowOff>7200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6A3E7AA1-B4F9-4C67-B16D-958172F4A8F1}"/>
            </a:ext>
          </a:extLst>
        </xdr:cNvPr>
        <xdr:cNvSpPr/>
      </xdr:nvSpPr>
      <xdr:spPr>
        <a:xfrm>
          <a:off x="0" y="162285"/>
          <a:ext cx="10703970" cy="91889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2AC3F81D-03C0-4381-8D3E-8636C23B9FD8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5A101501-2623-4686-BE35-D36B3C1127CA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733DCB96-4A70-4CBB-87AF-269EDCABE996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3053B10C-C40E-4672-B9E9-0755D873058C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CEB426FF-3304-4143-B732-5DFCC0BD3E2E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B23942E1-C1A5-4675-ADC1-8FBCDE1BEEE3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895DF132-1B5E-4107-A5F0-E33176267F6C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F9A75CDE-4FC5-4C21-9AF2-DEDDE07B6CD6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49391B26-B48C-42C7-90E8-E5CCB4A2F732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B7199156-C2DE-43CD-8517-B3CE427F173A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C3B1632B-0F26-47EA-ABAD-C3B90E906071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98C522C9-ECC1-446D-923B-E6A67EAE8777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D998248F-C745-4C37-B138-D78DE5A48AAD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937BA050-DA7F-4E0B-BDC0-5D9785A6ED19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9F6E1FED-B1CB-4316-B761-785630B4CB99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BB456920-01BD-4DD3-B46A-A8CC83B23F76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18000</xdr:colOff>
      <xdr:row>50</xdr:row>
      <xdr:rowOff>75240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5F371FB9-05D6-4E51-9595-B605566FA542}"/>
            </a:ext>
          </a:extLst>
        </xdr:cNvPr>
        <xdr:cNvSpPr/>
      </xdr:nvSpPr>
      <xdr:spPr>
        <a:xfrm>
          <a:off x="0" y="0"/>
          <a:ext cx="10705050" cy="9419265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720C5F2-401C-4F7B-8D36-AA848014B305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A214BCA3-B848-4B55-8DEE-82C3EF53A041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14410D07-E2DD-4DA9-A9E5-13DD3D778BAC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E9BCBB3C-8C84-4308-AEBB-122EF55A18A7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C2BC1ACA-1DD4-4853-808C-9F63B66F2B58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EE4A1C2D-8BFD-462F-8FBF-590B503A5468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1A4914B0-9385-4D18-A311-97911FCBD240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CAE5A3D-D7AB-4400-910E-C5BE931569AB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6D0C6D6-9C9A-4E3C-BB39-325D8C7211DF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D1B91DC0-87DE-4BF6-9F69-285CE5CF850A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8FCA71FA-6FAB-4B1A-966A-3DE3B371FF52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7481326F-A118-4997-9017-B8034E0ABD75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96288FE3-BBCC-4A4F-97E8-8FAD28D2858C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1EBEF702-7B48-4463-A230-F1FB49B84223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57F4ED3C-FAFC-41DA-980F-D104F178101C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D1BDE696-D230-438F-97B1-9E2A6ADE55C3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1EFDDE66-A3E7-47BE-98AB-0B44B648B51B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21519578-38DC-49AA-93BB-97F101DE5358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8F7F085D-0B81-4EF2-BD29-9EFFC5594C82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122FAFE6-CCDB-4E7C-894E-F186BE66A7A1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894F86A2-8925-46A4-BBD7-1456A4157B4B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18360</xdr:colOff>
      <xdr:row>49</xdr:row>
      <xdr:rowOff>75600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4C9DE343-5530-49EE-893C-7394E21611BF}"/>
            </a:ext>
          </a:extLst>
        </xdr:cNvPr>
        <xdr:cNvSpPr/>
      </xdr:nvSpPr>
      <xdr:spPr>
        <a:xfrm>
          <a:off x="0" y="0"/>
          <a:ext cx="10705410" cy="9229125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611F1746-184A-4632-BBDA-97523BDD385A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F787C834-3CEE-48FF-BD5D-F1C6E55CEF45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4270A941-E4AF-4A7C-9BF6-DD3B9783C6F8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B3C604C4-3482-42E9-80F8-542F0204F7E1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7D73827D-AAFE-4AAC-8A10-05F3090C7396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ABD35223-1DD2-49DC-94C8-76239D12A397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3569AECD-4CA7-4992-A25E-E9947D4DCB97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5F4059BE-BF08-45A1-A5D7-9E7DEC5780CC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B0980469-6133-4C3D-A22D-AA8CB6C5DA88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FB6003D7-B343-4CEF-B193-E364BF1C31F0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73BE9670-0019-4C37-8AB4-AAEB96BBE955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98B83207-F9AA-4C55-8597-9C049ECB6E8E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B55CF42A-7335-49DD-816B-D71FBF65D6C4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FD167A6F-ACBC-4FFC-87EE-C9F58E8DE88E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F2CE7FA9-5AAC-46FE-9AF4-606BA9FCFA01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3092254C-185E-4926-A64C-C6DD11CE8EBE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6D0AF646-D7EA-4DB6-8738-C9D1D53AF929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848308BA-0906-483C-8A91-81C519E383FD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883F7BCD-D9B8-4656-9653-3CC85BA400D6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A7B78D43-83D5-4386-93F3-2B11E1264946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BD2BF8AC-8D98-4045-AA9A-241655575E52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18720</xdr:colOff>
      <xdr:row>49</xdr:row>
      <xdr:rowOff>75960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36067A74-775F-4546-B5C0-1B86AA6CB58B}"/>
            </a:ext>
          </a:extLst>
        </xdr:cNvPr>
        <xdr:cNvSpPr/>
      </xdr:nvSpPr>
      <xdr:spPr>
        <a:xfrm>
          <a:off x="0" y="0"/>
          <a:ext cx="10705770" cy="9229485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3" name="AutoShape 44">
          <a:extLst>
            <a:ext uri="{FF2B5EF4-FFF2-40B4-BE49-F238E27FC236}">
              <a16:creationId xmlns:a16="http://schemas.microsoft.com/office/drawing/2014/main" id="{3FC07FB4-6851-4CD0-85F4-715DFE696F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4" name="AutoShape 42">
          <a:extLst>
            <a:ext uri="{FF2B5EF4-FFF2-40B4-BE49-F238E27FC236}">
              <a16:creationId xmlns:a16="http://schemas.microsoft.com/office/drawing/2014/main" id="{899A659A-D74C-4307-AA0D-426E22F9F7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5" name="AutoShape 40">
          <a:extLst>
            <a:ext uri="{FF2B5EF4-FFF2-40B4-BE49-F238E27FC236}">
              <a16:creationId xmlns:a16="http://schemas.microsoft.com/office/drawing/2014/main" id="{84B4377B-5B92-48AC-AE34-954921D573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6" name="AutoShape 38">
          <a:extLst>
            <a:ext uri="{FF2B5EF4-FFF2-40B4-BE49-F238E27FC236}">
              <a16:creationId xmlns:a16="http://schemas.microsoft.com/office/drawing/2014/main" id="{2F398B7B-2045-443B-9AFD-8A17DD10EF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7" name="AutoShape 36">
          <a:extLst>
            <a:ext uri="{FF2B5EF4-FFF2-40B4-BE49-F238E27FC236}">
              <a16:creationId xmlns:a16="http://schemas.microsoft.com/office/drawing/2014/main" id="{055D9C02-D57A-4597-9A9F-D91F761E1A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8" name="AutoShape 34">
          <a:extLst>
            <a:ext uri="{FF2B5EF4-FFF2-40B4-BE49-F238E27FC236}">
              <a16:creationId xmlns:a16="http://schemas.microsoft.com/office/drawing/2014/main" id="{3D4FDA4C-6E5A-4626-9C14-F501C43873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69" name="AutoShape 32">
          <a:extLst>
            <a:ext uri="{FF2B5EF4-FFF2-40B4-BE49-F238E27FC236}">
              <a16:creationId xmlns:a16="http://schemas.microsoft.com/office/drawing/2014/main" id="{4DC644E6-D9F4-494F-827C-D56651D5D7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0" name="AutoShape 30">
          <a:extLst>
            <a:ext uri="{FF2B5EF4-FFF2-40B4-BE49-F238E27FC236}">
              <a16:creationId xmlns:a16="http://schemas.microsoft.com/office/drawing/2014/main" id="{9F38D555-8B2E-4FB1-8358-9A89E6D452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1" name="AutoShape 28">
          <a:extLst>
            <a:ext uri="{FF2B5EF4-FFF2-40B4-BE49-F238E27FC236}">
              <a16:creationId xmlns:a16="http://schemas.microsoft.com/office/drawing/2014/main" id="{2171F55F-8228-4DE7-A4B7-E9A3182376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2" name="AutoShape 26">
          <a:extLst>
            <a:ext uri="{FF2B5EF4-FFF2-40B4-BE49-F238E27FC236}">
              <a16:creationId xmlns:a16="http://schemas.microsoft.com/office/drawing/2014/main" id="{B8EB01BE-FC01-4FDB-9B14-7A6111D1F7C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3" name="AutoShape 24">
          <a:extLst>
            <a:ext uri="{FF2B5EF4-FFF2-40B4-BE49-F238E27FC236}">
              <a16:creationId xmlns:a16="http://schemas.microsoft.com/office/drawing/2014/main" id="{1DBD2766-AC0A-4F26-80C0-3B63255862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4" name="AutoShape 22">
          <a:extLst>
            <a:ext uri="{FF2B5EF4-FFF2-40B4-BE49-F238E27FC236}">
              <a16:creationId xmlns:a16="http://schemas.microsoft.com/office/drawing/2014/main" id="{6B960D88-6368-4D69-AE25-58CA8280FF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5" name="AutoShape 20">
          <a:extLst>
            <a:ext uri="{FF2B5EF4-FFF2-40B4-BE49-F238E27FC236}">
              <a16:creationId xmlns:a16="http://schemas.microsoft.com/office/drawing/2014/main" id="{165F258A-0941-4172-B357-ED1304A941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6" name="AutoShape 18">
          <a:extLst>
            <a:ext uri="{FF2B5EF4-FFF2-40B4-BE49-F238E27FC236}">
              <a16:creationId xmlns:a16="http://schemas.microsoft.com/office/drawing/2014/main" id="{5E8BD026-5274-4042-B451-1ED5E116C7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7" name="AutoShape 16">
          <a:extLst>
            <a:ext uri="{FF2B5EF4-FFF2-40B4-BE49-F238E27FC236}">
              <a16:creationId xmlns:a16="http://schemas.microsoft.com/office/drawing/2014/main" id="{29D8EE40-BBDC-441E-BFD3-7B54A7C4AAF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8" name="AutoShape 14">
          <a:extLst>
            <a:ext uri="{FF2B5EF4-FFF2-40B4-BE49-F238E27FC236}">
              <a16:creationId xmlns:a16="http://schemas.microsoft.com/office/drawing/2014/main" id="{B7CCE3D1-208A-485D-BE68-ED4C4AA591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79" name="AutoShape 12">
          <a:extLst>
            <a:ext uri="{FF2B5EF4-FFF2-40B4-BE49-F238E27FC236}">
              <a16:creationId xmlns:a16="http://schemas.microsoft.com/office/drawing/2014/main" id="{E4AE3E0A-3BFE-4AEB-A4C3-0D72F4C142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0" name="AutoShape 10">
          <a:extLst>
            <a:ext uri="{FF2B5EF4-FFF2-40B4-BE49-F238E27FC236}">
              <a16:creationId xmlns:a16="http://schemas.microsoft.com/office/drawing/2014/main" id="{F70EA30A-0F14-4025-AE65-5EED2F8444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1" name="AutoShape 8">
          <a:extLst>
            <a:ext uri="{FF2B5EF4-FFF2-40B4-BE49-F238E27FC236}">
              <a16:creationId xmlns:a16="http://schemas.microsoft.com/office/drawing/2014/main" id="{8EDCEF67-40A8-4B2C-A595-783C282F7D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2" name="AutoShape 6">
          <a:extLst>
            <a:ext uri="{FF2B5EF4-FFF2-40B4-BE49-F238E27FC236}">
              <a16:creationId xmlns:a16="http://schemas.microsoft.com/office/drawing/2014/main" id="{BE5A4185-4DB1-44D1-8BD5-4D6136B115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3" name="AutoShape 4">
          <a:extLst>
            <a:ext uri="{FF2B5EF4-FFF2-40B4-BE49-F238E27FC236}">
              <a16:creationId xmlns:a16="http://schemas.microsoft.com/office/drawing/2014/main" id="{93140185-1250-472A-8C42-FC1882D109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4" name="AutoShape 2">
          <a:extLst>
            <a:ext uri="{FF2B5EF4-FFF2-40B4-BE49-F238E27FC236}">
              <a16:creationId xmlns:a16="http://schemas.microsoft.com/office/drawing/2014/main" id="{B2A4F33B-39A7-46F5-8BEF-50DE23078D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5" name="AutoShape 44">
          <a:extLst>
            <a:ext uri="{FF2B5EF4-FFF2-40B4-BE49-F238E27FC236}">
              <a16:creationId xmlns:a16="http://schemas.microsoft.com/office/drawing/2014/main" id="{BB95203F-34AB-4CCA-B0BE-0B3BB2A337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6" name="AutoShape 42">
          <a:extLst>
            <a:ext uri="{FF2B5EF4-FFF2-40B4-BE49-F238E27FC236}">
              <a16:creationId xmlns:a16="http://schemas.microsoft.com/office/drawing/2014/main" id="{BF3F671A-1792-48BE-978A-440DAB6351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7" name="AutoShape 40">
          <a:extLst>
            <a:ext uri="{FF2B5EF4-FFF2-40B4-BE49-F238E27FC236}">
              <a16:creationId xmlns:a16="http://schemas.microsoft.com/office/drawing/2014/main" id="{7B7C9D4E-3F64-4CDE-9E85-12B5B06CCD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8" name="AutoShape 38">
          <a:extLst>
            <a:ext uri="{FF2B5EF4-FFF2-40B4-BE49-F238E27FC236}">
              <a16:creationId xmlns:a16="http://schemas.microsoft.com/office/drawing/2014/main" id="{A173ED8A-13EE-49E6-8795-4AA11777FB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89" name="AutoShape 36">
          <a:extLst>
            <a:ext uri="{FF2B5EF4-FFF2-40B4-BE49-F238E27FC236}">
              <a16:creationId xmlns:a16="http://schemas.microsoft.com/office/drawing/2014/main" id="{5AFE9B07-CEA2-4FFC-956A-3CEC8A3B84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0" name="AutoShape 34">
          <a:extLst>
            <a:ext uri="{FF2B5EF4-FFF2-40B4-BE49-F238E27FC236}">
              <a16:creationId xmlns:a16="http://schemas.microsoft.com/office/drawing/2014/main" id="{229D1FAA-5FFD-4B33-ADEC-3525A13CB9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1" name="AutoShape 32">
          <a:extLst>
            <a:ext uri="{FF2B5EF4-FFF2-40B4-BE49-F238E27FC236}">
              <a16:creationId xmlns:a16="http://schemas.microsoft.com/office/drawing/2014/main" id="{E83039AA-0374-4C0B-8E68-D954AB3F38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2" name="AutoShape 30">
          <a:extLst>
            <a:ext uri="{FF2B5EF4-FFF2-40B4-BE49-F238E27FC236}">
              <a16:creationId xmlns:a16="http://schemas.microsoft.com/office/drawing/2014/main" id="{B7584A3F-15AE-49D3-AC78-71570BBB76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3" name="AutoShape 28">
          <a:extLst>
            <a:ext uri="{FF2B5EF4-FFF2-40B4-BE49-F238E27FC236}">
              <a16:creationId xmlns:a16="http://schemas.microsoft.com/office/drawing/2014/main" id="{B753AC81-7941-4961-B67A-32AB02985A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4" name="AutoShape 26">
          <a:extLst>
            <a:ext uri="{FF2B5EF4-FFF2-40B4-BE49-F238E27FC236}">
              <a16:creationId xmlns:a16="http://schemas.microsoft.com/office/drawing/2014/main" id="{8CA1BD03-C98A-4A81-8D8B-FB05C38402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5" name="AutoShape 24">
          <a:extLst>
            <a:ext uri="{FF2B5EF4-FFF2-40B4-BE49-F238E27FC236}">
              <a16:creationId xmlns:a16="http://schemas.microsoft.com/office/drawing/2014/main" id="{03926CB5-C6A6-4515-AB96-A7B27E89AB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6" name="AutoShape 22">
          <a:extLst>
            <a:ext uri="{FF2B5EF4-FFF2-40B4-BE49-F238E27FC236}">
              <a16:creationId xmlns:a16="http://schemas.microsoft.com/office/drawing/2014/main" id="{A9C9C81A-8C65-4504-9F1C-35CD50CE8A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7" name="AutoShape 20">
          <a:extLst>
            <a:ext uri="{FF2B5EF4-FFF2-40B4-BE49-F238E27FC236}">
              <a16:creationId xmlns:a16="http://schemas.microsoft.com/office/drawing/2014/main" id="{FD5964A4-D60F-4DF2-99AE-A9166399C2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8" name="AutoShape 18">
          <a:extLst>
            <a:ext uri="{FF2B5EF4-FFF2-40B4-BE49-F238E27FC236}">
              <a16:creationId xmlns:a16="http://schemas.microsoft.com/office/drawing/2014/main" id="{DBD17FD0-E70F-4539-83E6-BDED6664F5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199" name="AutoShape 16">
          <a:extLst>
            <a:ext uri="{FF2B5EF4-FFF2-40B4-BE49-F238E27FC236}">
              <a16:creationId xmlns:a16="http://schemas.microsoft.com/office/drawing/2014/main" id="{EBA5B940-70B9-4DCE-956D-1ABE0C61B8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0" name="AutoShape 14">
          <a:extLst>
            <a:ext uri="{FF2B5EF4-FFF2-40B4-BE49-F238E27FC236}">
              <a16:creationId xmlns:a16="http://schemas.microsoft.com/office/drawing/2014/main" id="{8F287F37-BACA-4E9E-BA8B-3E1A48CF47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1" name="AutoShape 12">
          <a:extLst>
            <a:ext uri="{FF2B5EF4-FFF2-40B4-BE49-F238E27FC236}">
              <a16:creationId xmlns:a16="http://schemas.microsoft.com/office/drawing/2014/main" id="{1347B678-E16B-480A-A3B4-10CAB9E780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2" name="AutoShape 10">
          <a:extLst>
            <a:ext uri="{FF2B5EF4-FFF2-40B4-BE49-F238E27FC236}">
              <a16:creationId xmlns:a16="http://schemas.microsoft.com/office/drawing/2014/main" id="{98951CD4-C673-4893-A3DA-618ED4608F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3" name="AutoShape 8">
          <a:extLst>
            <a:ext uri="{FF2B5EF4-FFF2-40B4-BE49-F238E27FC236}">
              <a16:creationId xmlns:a16="http://schemas.microsoft.com/office/drawing/2014/main" id="{4BEA0D6E-F9B5-43F1-9DF9-D54788B580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4" name="AutoShape 6">
          <a:extLst>
            <a:ext uri="{FF2B5EF4-FFF2-40B4-BE49-F238E27FC236}">
              <a16:creationId xmlns:a16="http://schemas.microsoft.com/office/drawing/2014/main" id="{5D9B0AE8-20A2-4244-A188-E03F5ADFBA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5" name="AutoShape 4">
          <a:extLst>
            <a:ext uri="{FF2B5EF4-FFF2-40B4-BE49-F238E27FC236}">
              <a16:creationId xmlns:a16="http://schemas.microsoft.com/office/drawing/2014/main" id="{5E803F22-6409-433F-90E9-92522D622D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6" name="AutoShape 2">
          <a:extLst>
            <a:ext uri="{FF2B5EF4-FFF2-40B4-BE49-F238E27FC236}">
              <a16:creationId xmlns:a16="http://schemas.microsoft.com/office/drawing/2014/main" id="{150133EB-CF7C-47C1-985C-5E401DC1FC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7" name="AutoShape 44">
          <a:extLst>
            <a:ext uri="{FF2B5EF4-FFF2-40B4-BE49-F238E27FC236}">
              <a16:creationId xmlns:a16="http://schemas.microsoft.com/office/drawing/2014/main" id="{97D2F30F-5C6A-4A76-B202-3DFB55A469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8" name="AutoShape 42">
          <a:extLst>
            <a:ext uri="{FF2B5EF4-FFF2-40B4-BE49-F238E27FC236}">
              <a16:creationId xmlns:a16="http://schemas.microsoft.com/office/drawing/2014/main" id="{AA7DC2EA-D068-4766-BEA8-F42048A43C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09" name="AutoShape 40">
          <a:extLst>
            <a:ext uri="{FF2B5EF4-FFF2-40B4-BE49-F238E27FC236}">
              <a16:creationId xmlns:a16="http://schemas.microsoft.com/office/drawing/2014/main" id="{9676D0D5-707A-4E71-85F4-5B48835F8D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0" name="AutoShape 38">
          <a:extLst>
            <a:ext uri="{FF2B5EF4-FFF2-40B4-BE49-F238E27FC236}">
              <a16:creationId xmlns:a16="http://schemas.microsoft.com/office/drawing/2014/main" id="{5BBA9C90-0B6B-4EA2-81A3-5904875D22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1" name="AutoShape 36">
          <a:extLst>
            <a:ext uri="{FF2B5EF4-FFF2-40B4-BE49-F238E27FC236}">
              <a16:creationId xmlns:a16="http://schemas.microsoft.com/office/drawing/2014/main" id="{4FAF822D-6421-45E3-BE6C-128204787F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2" name="AutoShape 34">
          <a:extLst>
            <a:ext uri="{FF2B5EF4-FFF2-40B4-BE49-F238E27FC236}">
              <a16:creationId xmlns:a16="http://schemas.microsoft.com/office/drawing/2014/main" id="{8DF6B1E4-6EC8-4A43-9437-4CF76CC402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3" name="AutoShape 32">
          <a:extLst>
            <a:ext uri="{FF2B5EF4-FFF2-40B4-BE49-F238E27FC236}">
              <a16:creationId xmlns:a16="http://schemas.microsoft.com/office/drawing/2014/main" id="{C941F362-761B-4C4B-9210-9EA3970389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4" name="AutoShape 30">
          <a:extLst>
            <a:ext uri="{FF2B5EF4-FFF2-40B4-BE49-F238E27FC236}">
              <a16:creationId xmlns:a16="http://schemas.microsoft.com/office/drawing/2014/main" id="{96ACD2C5-2BD5-4A06-B1AD-85E70D91E0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5" name="AutoShape 28">
          <a:extLst>
            <a:ext uri="{FF2B5EF4-FFF2-40B4-BE49-F238E27FC236}">
              <a16:creationId xmlns:a16="http://schemas.microsoft.com/office/drawing/2014/main" id="{DB427728-C9B3-4532-921F-760BB943A5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6" name="AutoShape 26">
          <a:extLst>
            <a:ext uri="{FF2B5EF4-FFF2-40B4-BE49-F238E27FC236}">
              <a16:creationId xmlns:a16="http://schemas.microsoft.com/office/drawing/2014/main" id="{A0C74A41-6AA3-4E2F-B3F8-2A722E8209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7" name="AutoShape 24">
          <a:extLst>
            <a:ext uri="{FF2B5EF4-FFF2-40B4-BE49-F238E27FC236}">
              <a16:creationId xmlns:a16="http://schemas.microsoft.com/office/drawing/2014/main" id="{17404E86-2B71-4C26-893A-82C6722F16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8" name="AutoShape 22">
          <a:extLst>
            <a:ext uri="{FF2B5EF4-FFF2-40B4-BE49-F238E27FC236}">
              <a16:creationId xmlns:a16="http://schemas.microsoft.com/office/drawing/2014/main" id="{C6DCCBFD-D216-4E4A-ADB3-88EA4BB0D4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19" name="AutoShape 20">
          <a:extLst>
            <a:ext uri="{FF2B5EF4-FFF2-40B4-BE49-F238E27FC236}">
              <a16:creationId xmlns:a16="http://schemas.microsoft.com/office/drawing/2014/main" id="{0FE2BE72-D27B-48E5-9281-605EDB0005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0" name="AutoShape 18">
          <a:extLst>
            <a:ext uri="{FF2B5EF4-FFF2-40B4-BE49-F238E27FC236}">
              <a16:creationId xmlns:a16="http://schemas.microsoft.com/office/drawing/2014/main" id="{D96186ED-A473-4C1E-913A-8FE94419E5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1" name="AutoShape 16">
          <a:extLst>
            <a:ext uri="{FF2B5EF4-FFF2-40B4-BE49-F238E27FC236}">
              <a16:creationId xmlns:a16="http://schemas.microsoft.com/office/drawing/2014/main" id="{427D8CA2-9B54-47E4-A404-A029DC3A36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2" name="AutoShape 14">
          <a:extLst>
            <a:ext uri="{FF2B5EF4-FFF2-40B4-BE49-F238E27FC236}">
              <a16:creationId xmlns:a16="http://schemas.microsoft.com/office/drawing/2014/main" id="{068EACB7-25A7-4FAC-B103-C8E0D9A302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3" name="AutoShape 12">
          <a:extLst>
            <a:ext uri="{FF2B5EF4-FFF2-40B4-BE49-F238E27FC236}">
              <a16:creationId xmlns:a16="http://schemas.microsoft.com/office/drawing/2014/main" id="{71CED0AD-81D8-4D95-82A4-747676D511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4" name="AutoShape 10">
          <a:extLst>
            <a:ext uri="{FF2B5EF4-FFF2-40B4-BE49-F238E27FC236}">
              <a16:creationId xmlns:a16="http://schemas.microsoft.com/office/drawing/2014/main" id="{04D9086B-0215-48D0-9D6D-12062B6336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5" name="AutoShape 8">
          <a:extLst>
            <a:ext uri="{FF2B5EF4-FFF2-40B4-BE49-F238E27FC236}">
              <a16:creationId xmlns:a16="http://schemas.microsoft.com/office/drawing/2014/main" id="{4AAE267E-B839-4944-851A-49BE0C548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6" name="AutoShape 6">
          <a:extLst>
            <a:ext uri="{FF2B5EF4-FFF2-40B4-BE49-F238E27FC236}">
              <a16:creationId xmlns:a16="http://schemas.microsoft.com/office/drawing/2014/main" id="{5716B670-D8B3-4F41-8EFA-57F8D2E063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7" name="AutoShape 4">
          <a:extLst>
            <a:ext uri="{FF2B5EF4-FFF2-40B4-BE49-F238E27FC236}">
              <a16:creationId xmlns:a16="http://schemas.microsoft.com/office/drawing/2014/main" id="{6DAC0EF3-84A6-4E6C-9A68-AA4BAE8E0B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8" name="AutoShape 2">
          <a:extLst>
            <a:ext uri="{FF2B5EF4-FFF2-40B4-BE49-F238E27FC236}">
              <a16:creationId xmlns:a16="http://schemas.microsoft.com/office/drawing/2014/main" id="{BF23BF71-4C91-44F4-9581-EBF8215CF2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29" name="AutoShape 44">
          <a:extLst>
            <a:ext uri="{FF2B5EF4-FFF2-40B4-BE49-F238E27FC236}">
              <a16:creationId xmlns:a16="http://schemas.microsoft.com/office/drawing/2014/main" id="{6655B901-FF47-4596-80B3-69F8DE067D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0" name="AutoShape 42">
          <a:extLst>
            <a:ext uri="{FF2B5EF4-FFF2-40B4-BE49-F238E27FC236}">
              <a16:creationId xmlns:a16="http://schemas.microsoft.com/office/drawing/2014/main" id="{4FF58BAE-D2CA-415D-894B-D6951E5A14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1" name="AutoShape 40">
          <a:extLst>
            <a:ext uri="{FF2B5EF4-FFF2-40B4-BE49-F238E27FC236}">
              <a16:creationId xmlns:a16="http://schemas.microsoft.com/office/drawing/2014/main" id="{F2B96043-BD6A-4C31-BCBC-0B868B8E15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2" name="AutoShape 38">
          <a:extLst>
            <a:ext uri="{FF2B5EF4-FFF2-40B4-BE49-F238E27FC236}">
              <a16:creationId xmlns:a16="http://schemas.microsoft.com/office/drawing/2014/main" id="{234FDE63-71FB-47EA-AEBF-B58B604B98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3" name="AutoShape 36">
          <a:extLst>
            <a:ext uri="{FF2B5EF4-FFF2-40B4-BE49-F238E27FC236}">
              <a16:creationId xmlns:a16="http://schemas.microsoft.com/office/drawing/2014/main" id="{38C1BC4B-AF16-4928-8352-0ED92167DC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4" name="AutoShape 34">
          <a:extLst>
            <a:ext uri="{FF2B5EF4-FFF2-40B4-BE49-F238E27FC236}">
              <a16:creationId xmlns:a16="http://schemas.microsoft.com/office/drawing/2014/main" id="{D0519B87-E2C1-49E0-9ACA-E19CD6C2F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5" name="AutoShape 32">
          <a:extLst>
            <a:ext uri="{FF2B5EF4-FFF2-40B4-BE49-F238E27FC236}">
              <a16:creationId xmlns:a16="http://schemas.microsoft.com/office/drawing/2014/main" id="{D339BB3F-D1A7-4E7B-8A77-AF97A1A706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6" name="AutoShape 30">
          <a:extLst>
            <a:ext uri="{FF2B5EF4-FFF2-40B4-BE49-F238E27FC236}">
              <a16:creationId xmlns:a16="http://schemas.microsoft.com/office/drawing/2014/main" id="{E1FC5227-0D1B-442E-B728-7820EBF1C2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7" name="AutoShape 28">
          <a:extLst>
            <a:ext uri="{FF2B5EF4-FFF2-40B4-BE49-F238E27FC236}">
              <a16:creationId xmlns:a16="http://schemas.microsoft.com/office/drawing/2014/main" id="{7B3A2448-789E-4C90-910D-479F1A0484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8" name="AutoShape 26">
          <a:extLst>
            <a:ext uri="{FF2B5EF4-FFF2-40B4-BE49-F238E27FC236}">
              <a16:creationId xmlns:a16="http://schemas.microsoft.com/office/drawing/2014/main" id="{DF6A4F9F-0A32-41AC-90CB-AFD9354C34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39" name="AutoShape 24">
          <a:extLst>
            <a:ext uri="{FF2B5EF4-FFF2-40B4-BE49-F238E27FC236}">
              <a16:creationId xmlns:a16="http://schemas.microsoft.com/office/drawing/2014/main" id="{C44C3722-5BFE-4958-9BE5-0D6C4F73AD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0" name="AutoShape 22">
          <a:extLst>
            <a:ext uri="{FF2B5EF4-FFF2-40B4-BE49-F238E27FC236}">
              <a16:creationId xmlns:a16="http://schemas.microsoft.com/office/drawing/2014/main" id="{1D53EB3C-008B-4FC2-8EE7-B0659ABAC1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1" name="AutoShape 20">
          <a:extLst>
            <a:ext uri="{FF2B5EF4-FFF2-40B4-BE49-F238E27FC236}">
              <a16:creationId xmlns:a16="http://schemas.microsoft.com/office/drawing/2014/main" id="{95DABDA3-342F-403B-9393-3405E68A86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2" name="AutoShape 18">
          <a:extLst>
            <a:ext uri="{FF2B5EF4-FFF2-40B4-BE49-F238E27FC236}">
              <a16:creationId xmlns:a16="http://schemas.microsoft.com/office/drawing/2014/main" id="{755ACB6B-B2B6-4AA7-A7B2-D4D5320618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3" name="AutoShape 16">
          <a:extLst>
            <a:ext uri="{FF2B5EF4-FFF2-40B4-BE49-F238E27FC236}">
              <a16:creationId xmlns:a16="http://schemas.microsoft.com/office/drawing/2014/main" id="{411F3813-6973-4F2D-A80C-5236939CEA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4" name="AutoShape 14">
          <a:extLst>
            <a:ext uri="{FF2B5EF4-FFF2-40B4-BE49-F238E27FC236}">
              <a16:creationId xmlns:a16="http://schemas.microsoft.com/office/drawing/2014/main" id="{6B7F7D9E-96A1-4185-AD54-2B9EB40F07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5" name="AutoShape 12">
          <a:extLst>
            <a:ext uri="{FF2B5EF4-FFF2-40B4-BE49-F238E27FC236}">
              <a16:creationId xmlns:a16="http://schemas.microsoft.com/office/drawing/2014/main" id="{6C75D3FC-378C-449A-809C-FC83BF74B6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6" name="AutoShape 10">
          <a:extLst>
            <a:ext uri="{FF2B5EF4-FFF2-40B4-BE49-F238E27FC236}">
              <a16:creationId xmlns:a16="http://schemas.microsoft.com/office/drawing/2014/main" id="{9B82A777-E230-4581-AA06-C2873A0264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7" name="AutoShape 8">
          <a:extLst>
            <a:ext uri="{FF2B5EF4-FFF2-40B4-BE49-F238E27FC236}">
              <a16:creationId xmlns:a16="http://schemas.microsoft.com/office/drawing/2014/main" id="{790F2238-E6A0-4075-8B2F-A43BA8561F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8" name="AutoShape 6">
          <a:extLst>
            <a:ext uri="{FF2B5EF4-FFF2-40B4-BE49-F238E27FC236}">
              <a16:creationId xmlns:a16="http://schemas.microsoft.com/office/drawing/2014/main" id="{1163633A-AFD8-4594-BE84-A4A011B0A3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49" name="AutoShape 4">
          <a:extLst>
            <a:ext uri="{FF2B5EF4-FFF2-40B4-BE49-F238E27FC236}">
              <a16:creationId xmlns:a16="http://schemas.microsoft.com/office/drawing/2014/main" id="{36F9E5DF-7391-4C88-9382-6259428CF0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0" name="AutoShape 2">
          <a:extLst>
            <a:ext uri="{FF2B5EF4-FFF2-40B4-BE49-F238E27FC236}">
              <a16:creationId xmlns:a16="http://schemas.microsoft.com/office/drawing/2014/main" id="{A5B32624-952A-48A7-9D6E-ACCAC9C188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1" name="AutoShape 44">
          <a:extLst>
            <a:ext uri="{FF2B5EF4-FFF2-40B4-BE49-F238E27FC236}">
              <a16:creationId xmlns:a16="http://schemas.microsoft.com/office/drawing/2014/main" id="{7C9D1BA1-9A87-4FB2-8BFC-9AFD59AEBE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2" name="AutoShape 42">
          <a:extLst>
            <a:ext uri="{FF2B5EF4-FFF2-40B4-BE49-F238E27FC236}">
              <a16:creationId xmlns:a16="http://schemas.microsoft.com/office/drawing/2014/main" id="{82E553D6-6487-4486-B7CD-81AAFF3908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3" name="AutoShape 40">
          <a:extLst>
            <a:ext uri="{FF2B5EF4-FFF2-40B4-BE49-F238E27FC236}">
              <a16:creationId xmlns:a16="http://schemas.microsoft.com/office/drawing/2014/main" id="{97E2FC86-BC35-4681-8017-5C11E433F6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4" name="AutoShape 38">
          <a:extLst>
            <a:ext uri="{FF2B5EF4-FFF2-40B4-BE49-F238E27FC236}">
              <a16:creationId xmlns:a16="http://schemas.microsoft.com/office/drawing/2014/main" id="{F59EADB7-59C2-4D8F-913B-6F643D68ED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5" name="AutoShape 36">
          <a:extLst>
            <a:ext uri="{FF2B5EF4-FFF2-40B4-BE49-F238E27FC236}">
              <a16:creationId xmlns:a16="http://schemas.microsoft.com/office/drawing/2014/main" id="{2717DC26-7E94-4C3E-82EE-0A6EDC0930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6" name="AutoShape 34">
          <a:extLst>
            <a:ext uri="{FF2B5EF4-FFF2-40B4-BE49-F238E27FC236}">
              <a16:creationId xmlns:a16="http://schemas.microsoft.com/office/drawing/2014/main" id="{030EF592-058F-4330-B319-451A05993C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7" name="AutoShape 32">
          <a:extLst>
            <a:ext uri="{FF2B5EF4-FFF2-40B4-BE49-F238E27FC236}">
              <a16:creationId xmlns:a16="http://schemas.microsoft.com/office/drawing/2014/main" id="{CAC7B65A-0F61-490F-A41B-1C6CCAF020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8" name="AutoShape 30">
          <a:extLst>
            <a:ext uri="{FF2B5EF4-FFF2-40B4-BE49-F238E27FC236}">
              <a16:creationId xmlns:a16="http://schemas.microsoft.com/office/drawing/2014/main" id="{1D77225B-EA8D-4D89-AA0C-7F866F5B85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59" name="AutoShape 28">
          <a:extLst>
            <a:ext uri="{FF2B5EF4-FFF2-40B4-BE49-F238E27FC236}">
              <a16:creationId xmlns:a16="http://schemas.microsoft.com/office/drawing/2014/main" id="{E52BE997-F571-4F1D-896A-74CA1FE020B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0" name="AutoShape 26">
          <a:extLst>
            <a:ext uri="{FF2B5EF4-FFF2-40B4-BE49-F238E27FC236}">
              <a16:creationId xmlns:a16="http://schemas.microsoft.com/office/drawing/2014/main" id="{B9804357-64B6-4E16-9F5F-6A4EB879C1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1" name="AutoShape 24">
          <a:extLst>
            <a:ext uri="{FF2B5EF4-FFF2-40B4-BE49-F238E27FC236}">
              <a16:creationId xmlns:a16="http://schemas.microsoft.com/office/drawing/2014/main" id="{23AB2E4B-0A89-49D9-98F6-8B832DA648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2" name="AutoShape 22">
          <a:extLst>
            <a:ext uri="{FF2B5EF4-FFF2-40B4-BE49-F238E27FC236}">
              <a16:creationId xmlns:a16="http://schemas.microsoft.com/office/drawing/2014/main" id="{A6A54CB3-72C6-4795-8607-11B7F561FA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3" name="AutoShape 20">
          <a:extLst>
            <a:ext uri="{FF2B5EF4-FFF2-40B4-BE49-F238E27FC236}">
              <a16:creationId xmlns:a16="http://schemas.microsoft.com/office/drawing/2014/main" id="{3C75B912-442F-4671-828D-EAF92F03EB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4" name="AutoShape 18">
          <a:extLst>
            <a:ext uri="{FF2B5EF4-FFF2-40B4-BE49-F238E27FC236}">
              <a16:creationId xmlns:a16="http://schemas.microsoft.com/office/drawing/2014/main" id="{F1AA2E27-3FB2-47CF-8602-C0A8A504DA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5" name="AutoShape 16">
          <a:extLst>
            <a:ext uri="{FF2B5EF4-FFF2-40B4-BE49-F238E27FC236}">
              <a16:creationId xmlns:a16="http://schemas.microsoft.com/office/drawing/2014/main" id="{5A40D058-56A0-4EE6-9597-B0FF96E438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6" name="AutoShape 14">
          <a:extLst>
            <a:ext uri="{FF2B5EF4-FFF2-40B4-BE49-F238E27FC236}">
              <a16:creationId xmlns:a16="http://schemas.microsoft.com/office/drawing/2014/main" id="{CFD89048-49A0-4036-B55E-08174924ED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7" name="AutoShape 12">
          <a:extLst>
            <a:ext uri="{FF2B5EF4-FFF2-40B4-BE49-F238E27FC236}">
              <a16:creationId xmlns:a16="http://schemas.microsoft.com/office/drawing/2014/main" id="{650D1415-DBC5-4667-8EC0-A32EF50F70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8" name="AutoShape 10">
          <a:extLst>
            <a:ext uri="{FF2B5EF4-FFF2-40B4-BE49-F238E27FC236}">
              <a16:creationId xmlns:a16="http://schemas.microsoft.com/office/drawing/2014/main" id="{BB19E83B-AF5A-44F9-B955-DA2CB1DFDE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69" name="AutoShape 8">
          <a:extLst>
            <a:ext uri="{FF2B5EF4-FFF2-40B4-BE49-F238E27FC236}">
              <a16:creationId xmlns:a16="http://schemas.microsoft.com/office/drawing/2014/main" id="{C8047799-5862-439E-8635-93F02EAD8F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0" name="AutoShape 6">
          <a:extLst>
            <a:ext uri="{FF2B5EF4-FFF2-40B4-BE49-F238E27FC236}">
              <a16:creationId xmlns:a16="http://schemas.microsoft.com/office/drawing/2014/main" id="{61782691-F9F8-47CC-842C-2EBAC81FDF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C40B803E-C29E-40D7-8F64-37AB20E366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2" name="AutoShape 2">
          <a:extLst>
            <a:ext uri="{FF2B5EF4-FFF2-40B4-BE49-F238E27FC236}">
              <a16:creationId xmlns:a16="http://schemas.microsoft.com/office/drawing/2014/main" id="{F11FF251-2106-4491-B8BA-AD84D9744E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3" name="AutoShape 44">
          <a:extLst>
            <a:ext uri="{FF2B5EF4-FFF2-40B4-BE49-F238E27FC236}">
              <a16:creationId xmlns:a16="http://schemas.microsoft.com/office/drawing/2014/main" id="{A5C73942-9EC5-425D-89FA-8F253D0674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4" name="AutoShape 42">
          <a:extLst>
            <a:ext uri="{FF2B5EF4-FFF2-40B4-BE49-F238E27FC236}">
              <a16:creationId xmlns:a16="http://schemas.microsoft.com/office/drawing/2014/main" id="{B0D976F1-2457-4C48-9556-8F0BF451D3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5" name="AutoShape 40">
          <a:extLst>
            <a:ext uri="{FF2B5EF4-FFF2-40B4-BE49-F238E27FC236}">
              <a16:creationId xmlns:a16="http://schemas.microsoft.com/office/drawing/2014/main" id="{F03DFB91-D0A7-47D4-9937-7E88760547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6" name="AutoShape 38">
          <a:extLst>
            <a:ext uri="{FF2B5EF4-FFF2-40B4-BE49-F238E27FC236}">
              <a16:creationId xmlns:a16="http://schemas.microsoft.com/office/drawing/2014/main" id="{42D5AF19-1536-4D79-8A10-3BF1F54F91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7" name="AutoShape 32">
          <a:extLst>
            <a:ext uri="{FF2B5EF4-FFF2-40B4-BE49-F238E27FC236}">
              <a16:creationId xmlns:a16="http://schemas.microsoft.com/office/drawing/2014/main" id="{0FAC5E55-74B8-457C-8B06-5E2055DAB8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8" name="AutoShape 30">
          <a:extLst>
            <a:ext uri="{FF2B5EF4-FFF2-40B4-BE49-F238E27FC236}">
              <a16:creationId xmlns:a16="http://schemas.microsoft.com/office/drawing/2014/main" id="{CCDEFF01-FACE-4C0B-8A3A-48E3E454F7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79" name="AutoShape 28">
          <a:extLst>
            <a:ext uri="{FF2B5EF4-FFF2-40B4-BE49-F238E27FC236}">
              <a16:creationId xmlns:a16="http://schemas.microsoft.com/office/drawing/2014/main" id="{880ABA29-5F1F-45C6-B80F-B0D5089060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0" name="AutoShape 26">
          <a:extLst>
            <a:ext uri="{FF2B5EF4-FFF2-40B4-BE49-F238E27FC236}">
              <a16:creationId xmlns:a16="http://schemas.microsoft.com/office/drawing/2014/main" id="{3CC7736D-91A1-42D0-81F3-D85D0C793C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1" name="AutoShape 22">
          <a:extLst>
            <a:ext uri="{FF2B5EF4-FFF2-40B4-BE49-F238E27FC236}">
              <a16:creationId xmlns:a16="http://schemas.microsoft.com/office/drawing/2014/main" id="{FACDBBAA-4EDF-42C0-8C12-BD124C80B9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2" name="AutoShape 18">
          <a:extLst>
            <a:ext uri="{FF2B5EF4-FFF2-40B4-BE49-F238E27FC236}">
              <a16:creationId xmlns:a16="http://schemas.microsoft.com/office/drawing/2014/main" id="{330A81A6-F901-47E7-B827-E6457ADC7E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3" name="AutoShape 16">
          <a:extLst>
            <a:ext uri="{FF2B5EF4-FFF2-40B4-BE49-F238E27FC236}">
              <a16:creationId xmlns:a16="http://schemas.microsoft.com/office/drawing/2014/main" id="{D3E1D36A-3C9E-4CB6-BDF3-729851ECE5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4" name="AutoShape 10">
          <a:extLst>
            <a:ext uri="{FF2B5EF4-FFF2-40B4-BE49-F238E27FC236}">
              <a16:creationId xmlns:a16="http://schemas.microsoft.com/office/drawing/2014/main" id="{9BB90AC7-CA8A-405D-872D-97EECF0D90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5" name="AutoShape 8">
          <a:extLst>
            <a:ext uri="{FF2B5EF4-FFF2-40B4-BE49-F238E27FC236}">
              <a16:creationId xmlns:a16="http://schemas.microsoft.com/office/drawing/2014/main" id="{9A59B142-C1F4-478B-8635-B91908C4FB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6" name="AutoShape 6">
          <a:extLst>
            <a:ext uri="{FF2B5EF4-FFF2-40B4-BE49-F238E27FC236}">
              <a16:creationId xmlns:a16="http://schemas.microsoft.com/office/drawing/2014/main" id="{42ACE75C-9E05-4B64-AFD4-A415C150D0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7" name="AutoShape 4">
          <a:extLst>
            <a:ext uri="{FF2B5EF4-FFF2-40B4-BE49-F238E27FC236}">
              <a16:creationId xmlns:a16="http://schemas.microsoft.com/office/drawing/2014/main" id="{CDA27B78-A85A-4C42-9D47-F3C037829F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8" name="AutoShape 2">
          <a:extLst>
            <a:ext uri="{FF2B5EF4-FFF2-40B4-BE49-F238E27FC236}">
              <a16:creationId xmlns:a16="http://schemas.microsoft.com/office/drawing/2014/main" id="{1984AC9E-3409-43E6-AE81-9DD4E720E8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89" name="AutoShape 44">
          <a:extLst>
            <a:ext uri="{FF2B5EF4-FFF2-40B4-BE49-F238E27FC236}">
              <a16:creationId xmlns:a16="http://schemas.microsoft.com/office/drawing/2014/main" id="{CEEFDE05-4548-434A-B238-E720E7E8FC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0" name="AutoShape 42">
          <a:extLst>
            <a:ext uri="{FF2B5EF4-FFF2-40B4-BE49-F238E27FC236}">
              <a16:creationId xmlns:a16="http://schemas.microsoft.com/office/drawing/2014/main" id="{AF72F5BB-8CC5-4214-8B30-D67D5B08C2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1" name="AutoShape 40">
          <a:extLst>
            <a:ext uri="{FF2B5EF4-FFF2-40B4-BE49-F238E27FC236}">
              <a16:creationId xmlns:a16="http://schemas.microsoft.com/office/drawing/2014/main" id="{B60FC18C-DA0A-4CA4-81CA-CDA5826AFA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2" name="AutoShape 38">
          <a:extLst>
            <a:ext uri="{FF2B5EF4-FFF2-40B4-BE49-F238E27FC236}">
              <a16:creationId xmlns:a16="http://schemas.microsoft.com/office/drawing/2014/main" id="{CB21F7C4-37E9-4F41-B2B4-D7063E5186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3" name="AutoShape 32">
          <a:extLst>
            <a:ext uri="{FF2B5EF4-FFF2-40B4-BE49-F238E27FC236}">
              <a16:creationId xmlns:a16="http://schemas.microsoft.com/office/drawing/2014/main" id="{B1CF2C12-597B-417C-88BA-B9D0F87B1E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4" name="AutoShape 30">
          <a:extLst>
            <a:ext uri="{FF2B5EF4-FFF2-40B4-BE49-F238E27FC236}">
              <a16:creationId xmlns:a16="http://schemas.microsoft.com/office/drawing/2014/main" id="{5802BAA2-F34A-49BB-9531-226C292567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5" name="AutoShape 28">
          <a:extLst>
            <a:ext uri="{FF2B5EF4-FFF2-40B4-BE49-F238E27FC236}">
              <a16:creationId xmlns:a16="http://schemas.microsoft.com/office/drawing/2014/main" id="{519E3469-51E3-4939-AC91-ECB567E2EA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6" name="AutoShape 26">
          <a:extLst>
            <a:ext uri="{FF2B5EF4-FFF2-40B4-BE49-F238E27FC236}">
              <a16:creationId xmlns:a16="http://schemas.microsoft.com/office/drawing/2014/main" id="{895CA148-4C1B-4833-901D-4B8DB28A7C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7" name="AutoShape 22">
          <a:extLst>
            <a:ext uri="{FF2B5EF4-FFF2-40B4-BE49-F238E27FC236}">
              <a16:creationId xmlns:a16="http://schemas.microsoft.com/office/drawing/2014/main" id="{36E8B487-67BD-44F0-80F9-A95BE63931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8" name="AutoShape 18">
          <a:extLst>
            <a:ext uri="{FF2B5EF4-FFF2-40B4-BE49-F238E27FC236}">
              <a16:creationId xmlns:a16="http://schemas.microsoft.com/office/drawing/2014/main" id="{724F93D3-698F-45AC-BD24-ADAAB6C83A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299" name="AutoShape 16">
          <a:extLst>
            <a:ext uri="{FF2B5EF4-FFF2-40B4-BE49-F238E27FC236}">
              <a16:creationId xmlns:a16="http://schemas.microsoft.com/office/drawing/2014/main" id="{3BE8C347-C9CF-43A6-B112-EF08073A5B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0" name="AutoShape 10">
          <a:extLst>
            <a:ext uri="{FF2B5EF4-FFF2-40B4-BE49-F238E27FC236}">
              <a16:creationId xmlns:a16="http://schemas.microsoft.com/office/drawing/2014/main" id="{8D1538B1-1848-4845-8F5A-E091DB7104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1" name="AutoShape 8">
          <a:extLst>
            <a:ext uri="{FF2B5EF4-FFF2-40B4-BE49-F238E27FC236}">
              <a16:creationId xmlns:a16="http://schemas.microsoft.com/office/drawing/2014/main" id="{7B46C794-2E09-4D49-AB21-80AEBEC9B1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2" name="AutoShape 6">
          <a:extLst>
            <a:ext uri="{FF2B5EF4-FFF2-40B4-BE49-F238E27FC236}">
              <a16:creationId xmlns:a16="http://schemas.microsoft.com/office/drawing/2014/main" id="{0C5ACCFF-0CC0-40D8-93C1-321A6C71B2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3" name="AutoShape 4">
          <a:extLst>
            <a:ext uri="{FF2B5EF4-FFF2-40B4-BE49-F238E27FC236}">
              <a16:creationId xmlns:a16="http://schemas.microsoft.com/office/drawing/2014/main" id="{652FC223-2BDF-4826-B9C2-F599BB3120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4" name="AutoShape 2">
          <a:extLst>
            <a:ext uri="{FF2B5EF4-FFF2-40B4-BE49-F238E27FC236}">
              <a16:creationId xmlns:a16="http://schemas.microsoft.com/office/drawing/2014/main" id="{045B74D2-D4CB-4B6E-9F61-384A40F60F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5" name="AutoShape 44">
          <a:extLst>
            <a:ext uri="{FF2B5EF4-FFF2-40B4-BE49-F238E27FC236}">
              <a16:creationId xmlns:a16="http://schemas.microsoft.com/office/drawing/2014/main" id="{40F327DF-AE75-44C8-A01A-2AAB01C9B9E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6" name="AutoShape 42">
          <a:extLst>
            <a:ext uri="{FF2B5EF4-FFF2-40B4-BE49-F238E27FC236}">
              <a16:creationId xmlns:a16="http://schemas.microsoft.com/office/drawing/2014/main" id="{862F6BC1-7B0B-4903-B020-F2CBF710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7" name="AutoShape 40">
          <a:extLst>
            <a:ext uri="{FF2B5EF4-FFF2-40B4-BE49-F238E27FC236}">
              <a16:creationId xmlns:a16="http://schemas.microsoft.com/office/drawing/2014/main" id="{3C10074D-982F-4C47-AF12-4C9204A425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8" name="AutoShape 38">
          <a:extLst>
            <a:ext uri="{FF2B5EF4-FFF2-40B4-BE49-F238E27FC236}">
              <a16:creationId xmlns:a16="http://schemas.microsoft.com/office/drawing/2014/main" id="{9E37F921-803C-4C69-B32E-AFC6987252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09" name="AutoShape 32">
          <a:extLst>
            <a:ext uri="{FF2B5EF4-FFF2-40B4-BE49-F238E27FC236}">
              <a16:creationId xmlns:a16="http://schemas.microsoft.com/office/drawing/2014/main" id="{4DFAC1B3-E002-4886-BA61-53D0338758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0" name="AutoShape 30">
          <a:extLst>
            <a:ext uri="{FF2B5EF4-FFF2-40B4-BE49-F238E27FC236}">
              <a16:creationId xmlns:a16="http://schemas.microsoft.com/office/drawing/2014/main" id="{41022AD4-DA16-495F-9EE1-F5758C3727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1" name="AutoShape 28">
          <a:extLst>
            <a:ext uri="{FF2B5EF4-FFF2-40B4-BE49-F238E27FC236}">
              <a16:creationId xmlns:a16="http://schemas.microsoft.com/office/drawing/2014/main" id="{71472CBF-BB56-46EE-8F59-231C6F0205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2" name="AutoShape 26">
          <a:extLst>
            <a:ext uri="{FF2B5EF4-FFF2-40B4-BE49-F238E27FC236}">
              <a16:creationId xmlns:a16="http://schemas.microsoft.com/office/drawing/2014/main" id="{EEC6904B-72DD-4A01-B69E-0955B141ED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3" name="AutoShape 22">
          <a:extLst>
            <a:ext uri="{FF2B5EF4-FFF2-40B4-BE49-F238E27FC236}">
              <a16:creationId xmlns:a16="http://schemas.microsoft.com/office/drawing/2014/main" id="{C8F32ABC-BB55-4565-A5AD-A610C48B62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4" name="AutoShape 18">
          <a:extLst>
            <a:ext uri="{FF2B5EF4-FFF2-40B4-BE49-F238E27FC236}">
              <a16:creationId xmlns:a16="http://schemas.microsoft.com/office/drawing/2014/main" id="{2D45E0CB-DC36-4655-B3F5-5171AA0F8B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5" name="AutoShape 16">
          <a:extLst>
            <a:ext uri="{FF2B5EF4-FFF2-40B4-BE49-F238E27FC236}">
              <a16:creationId xmlns:a16="http://schemas.microsoft.com/office/drawing/2014/main" id="{FA3E1E67-24C5-46A6-9DD5-2A82D4D75D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6" name="AutoShape 10">
          <a:extLst>
            <a:ext uri="{FF2B5EF4-FFF2-40B4-BE49-F238E27FC236}">
              <a16:creationId xmlns:a16="http://schemas.microsoft.com/office/drawing/2014/main" id="{1A19C182-F444-4FCD-90D2-3EFFF10EBD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7" name="AutoShape 8">
          <a:extLst>
            <a:ext uri="{FF2B5EF4-FFF2-40B4-BE49-F238E27FC236}">
              <a16:creationId xmlns:a16="http://schemas.microsoft.com/office/drawing/2014/main" id="{AEA8F3C4-7DCD-4B48-A3E2-4C2C979069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8" name="AutoShape 6">
          <a:extLst>
            <a:ext uri="{FF2B5EF4-FFF2-40B4-BE49-F238E27FC236}">
              <a16:creationId xmlns:a16="http://schemas.microsoft.com/office/drawing/2014/main" id="{02D9B75C-B719-4CE6-88A7-18D9FE4BB6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19" name="AutoShape 4">
          <a:extLst>
            <a:ext uri="{FF2B5EF4-FFF2-40B4-BE49-F238E27FC236}">
              <a16:creationId xmlns:a16="http://schemas.microsoft.com/office/drawing/2014/main" id="{6AAF1F47-F726-47A4-826B-EEF8FF4374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0" name="AutoShape 2">
          <a:extLst>
            <a:ext uri="{FF2B5EF4-FFF2-40B4-BE49-F238E27FC236}">
              <a16:creationId xmlns:a16="http://schemas.microsoft.com/office/drawing/2014/main" id="{727756BB-F0C4-491F-992E-CAF55B557F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1" name="AutoShape 44">
          <a:extLst>
            <a:ext uri="{FF2B5EF4-FFF2-40B4-BE49-F238E27FC236}">
              <a16:creationId xmlns:a16="http://schemas.microsoft.com/office/drawing/2014/main" id="{A2685CB4-1B6B-4E79-8E10-9C532723B1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2" name="AutoShape 42">
          <a:extLst>
            <a:ext uri="{FF2B5EF4-FFF2-40B4-BE49-F238E27FC236}">
              <a16:creationId xmlns:a16="http://schemas.microsoft.com/office/drawing/2014/main" id="{09358E6D-3168-4604-A0FE-658ACB93FE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3" name="AutoShape 40">
          <a:extLst>
            <a:ext uri="{FF2B5EF4-FFF2-40B4-BE49-F238E27FC236}">
              <a16:creationId xmlns:a16="http://schemas.microsoft.com/office/drawing/2014/main" id="{11DF376E-5FBF-4B75-B3A6-EA3173FE54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4" name="AutoShape 38">
          <a:extLst>
            <a:ext uri="{FF2B5EF4-FFF2-40B4-BE49-F238E27FC236}">
              <a16:creationId xmlns:a16="http://schemas.microsoft.com/office/drawing/2014/main" id="{1F0AA1FA-166C-4958-9626-EBF7112B96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5" name="AutoShape 32">
          <a:extLst>
            <a:ext uri="{FF2B5EF4-FFF2-40B4-BE49-F238E27FC236}">
              <a16:creationId xmlns:a16="http://schemas.microsoft.com/office/drawing/2014/main" id="{AB826B6A-8BDB-49E9-9346-28731FF191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6" name="AutoShape 30">
          <a:extLst>
            <a:ext uri="{FF2B5EF4-FFF2-40B4-BE49-F238E27FC236}">
              <a16:creationId xmlns:a16="http://schemas.microsoft.com/office/drawing/2014/main" id="{48CFBD6B-47A9-4674-94C8-9F02749F9D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7" name="AutoShape 28">
          <a:extLst>
            <a:ext uri="{FF2B5EF4-FFF2-40B4-BE49-F238E27FC236}">
              <a16:creationId xmlns:a16="http://schemas.microsoft.com/office/drawing/2014/main" id="{6DEE065A-F8FF-4658-9134-3DECE3BBB5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8" name="AutoShape 26">
          <a:extLst>
            <a:ext uri="{FF2B5EF4-FFF2-40B4-BE49-F238E27FC236}">
              <a16:creationId xmlns:a16="http://schemas.microsoft.com/office/drawing/2014/main" id="{DDE6A03B-F97C-4C4F-9B0B-C5459961FD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29" name="AutoShape 22">
          <a:extLst>
            <a:ext uri="{FF2B5EF4-FFF2-40B4-BE49-F238E27FC236}">
              <a16:creationId xmlns:a16="http://schemas.microsoft.com/office/drawing/2014/main" id="{DF83C3AE-A39A-4067-AFCA-CE2739A59D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0" name="AutoShape 18">
          <a:extLst>
            <a:ext uri="{FF2B5EF4-FFF2-40B4-BE49-F238E27FC236}">
              <a16:creationId xmlns:a16="http://schemas.microsoft.com/office/drawing/2014/main" id="{D45E80A6-04DF-4800-B08D-39392A4859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1" name="AutoShape 16">
          <a:extLst>
            <a:ext uri="{FF2B5EF4-FFF2-40B4-BE49-F238E27FC236}">
              <a16:creationId xmlns:a16="http://schemas.microsoft.com/office/drawing/2014/main" id="{8CE460A5-4E83-4EFA-AFAB-D54EFD4545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2" name="AutoShape 10">
          <a:extLst>
            <a:ext uri="{FF2B5EF4-FFF2-40B4-BE49-F238E27FC236}">
              <a16:creationId xmlns:a16="http://schemas.microsoft.com/office/drawing/2014/main" id="{BF2B7003-78DB-4037-8F9A-B90CA7534B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3" name="AutoShape 8">
          <a:extLst>
            <a:ext uri="{FF2B5EF4-FFF2-40B4-BE49-F238E27FC236}">
              <a16:creationId xmlns:a16="http://schemas.microsoft.com/office/drawing/2014/main" id="{AA0C0D6B-25A4-4FB9-8C03-981C188C48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4" name="AutoShape 6">
          <a:extLst>
            <a:ext uri="{FF2B5EF4-FFF2-40B4-BE49-F238E27FC236}">
              <a16:creationId xmlns:a16="http://schemas.microsoft.com/office/drawing/2014/main" id="{FBD68909-9F9D-4CC9-AD87-15C420CDF0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5" name="AutoShape 4">
          <a:extLst>
            <a:ext uri="{FF2B5EF4-FFF2-40B4-BE49-F238E27FC236}">
              <a16:creationId xmlns:a16="http://schemas.microsoft.com/office/drawing/2014/main" id="{6183BFC5-9BEA-4E8B-932E-87268B6D15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6" name="AutoShape 2">
          <a:extLst>
            <a:ext uri="{FF2B5EF4-FFF2-40B4-BE49-F238E27FC236}">
              <a16:creationId xmlns:a16="http://schemas.microsoft.com/office/drawing/2014/main" id="{50297B57-0502-4E31-A67F-EBC7A1225D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7" name="AutoShape 44">
          <a:extLst>
            <a:ext uri="{FF2B5EF4-FFF2-40B4-BE49-F238E27FC236}">
              <a16:creationId xmlns:a16="http://schemas.microsoft.com/office/drawing/2014/main" id="{1F718003-B8D2-4DF3-923F-15A63BD19E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8" name="AutoShape 42">
          <a:extLst>
            <a:ext uri="{FF2B5EF4-FFF2-40B4-BE49-F238E27FC236}">
              <a16:creationId xmlns:a16="http://schemas.microsoft.com/office/drawing/2014/main" id="{0813CBEB-43DC-4DEB-97B0-1AEB32AE9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39" name="AutoShape 40">
          <a:extLst>
            <a:ext uri="{FF2B5EF4-FFF2-40B4-BE49-F238E27FC236}">
              <a16:creationId xmlns:a16="http://schemas.microsoft.com/office/drawing/2014/main" id="{A0C08679-9AA3-4A7D-8563-ED8B03394A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0" name="AutoShape 38">
          <a:extLst>
            <a:ext uri="{FF2B5EF4-FFF2-40B4-BE49-F238E27FC236}">
              <a16:creationId xmlns:a16="http://schemas.microsoft.com/office/drawing/2014/main" id="{634A0796-A818-4C0B-A676-A15952B889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1" name="AutoShape 22">
          <a:extLst>
            <a:ext uri="{FF2B5EF4-FFF2-40B4-BE49-F238E27FC236}">
              <a16:creationId xmlns:a16="http://schemas.microsoft.com/office/drawing/2014/main" id="{A09EAF53-6E71-436C-9B82-1CCF9B84FF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2" name="AutoShape 18">
          <a:extLst>
            <a:ext uri="{FF2B5EF4-FFF2-40B4-BE49-F238E27FC236}">
              <a16:creationId xmlns:a16="http://schemas.microsoft.com/office/drawing/2014/main" id="{9289C1A3-90EC-4CE4-AA4D-DF427509F9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3" name="AutoShape 16">
          <a:extLst>
            <a:ext uri="{FF2B5EF4-FFF2-40B4-BE49-F238E27FC236}">
              <a16:creationId xmlns:a16="http://schemas.microsoft.com/office/drawing/2014/main" id="{8019B4F7-254C-421C-8AFD-F4E3B5313C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4" name="AutoShape 10">
          <a:extLst>
            <a:ext uri="{FF2B5EF4-FFF2-40B4-BE49-F238E27FC236}">
              <a16:creationId xmlns:a16="http://schemas.microsoft.com/office/drawing/2014/main" id="{1F9A8908-C754-4609-B866-76401CE994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5" name="AutoShape 8">
          <a:extLst>
            <a:ext uri="{FF2B5EF4-FFF2-40B4-BE49-F238E27FC236}">
              <a16:creationId xmlns:a16="http://schemas.microsoft.com/office/drawing/2014/main" id="{33EE9A0F-7F4D-401E-B0D6-653375ED7E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6" name="AutoShape 6">
          <a:extLst>
            <a:ext uri="{FF2B5EF4-FFF2-40B4-BE49-F238E27FC236}">
              <a16:creationId xmlns:a16="http://schemas.microsoft.com/office/drawing/2014/main" id="{EA35F44F-43AC-4664-965F-ABA6D3F28F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7" name="AutoShape 4">
          <a:extLst>
            <a:ext uri="{FF2B5EF4-FFF2-40B4-BE49-F238E27FC236}">
              <a16:creationId xmlns:a16="http://schemas.microsoft.com/office/drawing/2014/main" id="{BF2F9229-50EF-4897-8951-12549F88B9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8" name="AutoShape 2">
          <a:extLst>
            <a:ext uri="{FF2B5EF4-FFF2-40B4-BE49-F238E27FC236}">
              <a16:creationId xmlns:a16="http://schemas.microsoft.com/office/drawing/2014/main" id="{55A27B78-C66B-4488-B66F-3353494775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49" name="AutoShape 44">
          <a:extLst>
            <a:ext uri="{FF2B5EF4-FFF2-40B4-BE49-F238E27FC236}">
              <a16:creationId xmlns:a16="http://schemas.microsoft.com/office/drawing/2014/main" id="{0D8C7673-544A-4DBF-906F-E3412DE285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0" name="AutoShape 42">
          <a:extLst>
            <a:ext uri="{FF2B5EF4-FFF2-40B4-BE49-F238E27FC236}">
              <a16:creationId xmlns:a16="http://schemas.microsoft.com/office/drawing/2014/main" id="{43619DEE-BC97-4FDD-A917-49C633B389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1" name="AutoShape 40">
          <a:extLst>
            <a:ext uri="{FF2B5EF4-FFF2-40B4-BE49-F238E27FC236}">
              <a16:creationId xmlns:a16="http://schemas.microsoft.com/office/drawing/2014/main" id="{DB8721BE-9E9C-4918-B35A-20F5E44F1E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2" name="AutoShape 38">
          <a:extLst>
            <a:ext uri="{FF2B5EF4-FFF2-40B4-BE49-F238E27FC236}">
              <a16:creationId xmlns:a16="http://schemas.microsoft.com/office/drawing/2014/main" id="{94FBC624-B68C-429A-BD7F-B44AB4A942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3" name="AutoShape 22">
          <a:extLst>
            <a:ext uri="{FF2B5EF4-FFF2-40B4-BE49-F238E27FC236}">
              <a16:creationId xmlns:a16="http://schemas.microsoft.com/office/drawing/2014/main" id="{83F062B1-774A-4E30-8565-0030F11BEF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4" name="AutoShape 18">
          <a:extLst>
            <a:ext uri="{FF2B5EF4-FFF2-40B4-BE49-F238E27FC236}">
              <a16:creationId xmlns:a16="http://schemas.microsoft.com/office/drawing/2014/main" id="{6DF25609-A21E-4B46-92C5-1B27E10268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5" name="AutoShape 16">
          <a:extLst>
            <a:ext uri="{FF2B5EF4-FFF2-40B4-BE49-F238E27FC236}">
              <a16:creationId xmlns:a16="http://schemas.microsoft.com/office/drawing/2014/main" id="{580ECC56-A27A-4652-AEF2-9A7AD35D65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6" name="AutoShape 10">
          <a:extLst>
            <a:ext uri="{FF2B5EF4-FFF2-40B4-BE49-F238E27FC236}">
              <a16:creationId xmlns:a16="http://schemas.microsoft.com/office/drawing/2014/main" id="{D8E96049-082D-4CE5-BF18-59B2C10D59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7" name="AutoShape 8">
          <a:extLst>
            <a:ext uri="{FF2B5EF4-FFF2-40B4-BE49-F238E27FC236}">
              <a16:creationId xmlns:a16="http://schemas.microsoft.com/office/drawing/2014/main" id="{6717AC5A-0B2F-4728-9FC9-A62CA1B8F6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8" name="AutoShape 6">
          <a:extLst>
            <a:ext uri="{FF2B5EF4-FFF2-40B4-BE49-F238E27FC236}">
              <a16:creationId xmlns:a16="http://schemas.microsoft.com/office/drawing/2014/main" id="{C6804D93-6DE9-4DBE-A853-6588260030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59" name="AutoShape 4">
          <a:extLst>
            <a:ext uri="{FF2B5EF4-FFF2-40B4-BE49-F238E27FC236}">
              <a16:creationId xmlns:a16="http://schemas.microsoft.com/office/drawing/2014/main" id="{31374BC6-02E1-4478-A342-028F53F1BD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0" name="AutoShape 2">
          <a:extLst>
            <a:ext uri="{FF2B5EF4-FFF2-40B4-BE49-F238E27FC236}">
              <a16:creationId xmlns:a16="http://schemas.microsoft.com/office/drawing/2014/main" id="{A01D3CD6-77CC-49FA-8C0C-B87E7C833D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1" name="AutoShape 44">
          <a:extLst>
            <a:ext uri="{FF2B5EF4-FFF2-40B4-BE49-F238E27FC236}">
              <a16:creationId xmlns:a16="http://schemas.microsoft.com/office/drawing/2014/main" id="{CFB3CFF3-A938-42FF-B0C4-453DC4D772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2" name="AutoShape 42">
          <a:extLst>
            <a:ext uri="{FF2B5EF4-FFF2-40B4-BE49-F238E27FC236}">
              <a16:creationId xmlns:a16="http://schemas.microsoft.com/office/drawing/2014/main" id="{8A691AE9-8FCC-41B5-82F0-39615DD74D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3" name="AutoShape 40">
          <a:extLst>
            <a:ext uri="{FF2B5EF4-FFF2-40B4-BE49-F238E27FC236}">
              <a16:creationId xmlns:a16="http://schemas.microsoft.com/office/drawing/2014/main" id="{A8F17528-233A-4759-8E7D-856E72FD3B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4" name="AutoShape 38">
          <a:extLst>
            <a:ext uri="{FF2B5EF4-FFF2-40B4-BE49-F238E27FC236}">
              <a16:creationId xmlns:a16="http://schemas.microsoft.com/office/drawing/2014/main" id="{97A59AA7-A7DF-4817-926C-6B70228E54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5" name="AutoShape 22">
          <a:extLst>
            <a:ext uri="{FF2B5EF4-FFF2-40B4-BE49-F238E27FC236}">
              <a16:creationId xmlns:a16="http://schemas.microsoft.com/office/drawing/2014/main" id="{B0683B1F-1FFE-47F6-9256-B46AD5B676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6" name="AutoShape 18">
          <a:extLst>
            <a:ext uri="{FF2B5EF4-FFF2-40B4-BE49-F238E27FC236}">
              <a16:creationId xmlns:a16="http://schemas.microsoft.com/office/drawing/2014/main" id="{3BAB54D4-10ED-41E8-85C8-042A0BEDE2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7" name="AutoShape 16">
          <a:extLst>
            <a:ext uri="{FF2B5EF4-FFF2-40B4-BE49-F238E27FC236}">
              <a16:creationId xmlns:a16="http://schemas.microsoft.com/office/drawing/2014/main" id="{613A5450-71EF-4855-AEF0-6295670473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8" name="AutoShape 10">
          <a:extLst>
            <a:ext uri="{FF2B5EF4-FFF2-40B4-BE49-F238E27FC236}">
              <a16:creationId xmlns:a16="http://schemas.microsoft.com/office/drawing/2014/main" id="{F4EF9D46-3F30-4EA0-BDBA-DD74C773C0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69" name="AutoShape 8">
          <a:extLst>
            <a:ext uri="{FF2B5EF4-FFF2-40B4-BE49-F238E27FC236}">
              <a16:creationId xmlns:a16="http://schemas.microsoft.com/office/drawing/2014/main" id="{EA037262-79E2-40EB-825D-D47B1CF313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0" name="AutoShape 6">
          <a:extLst>
            <a:ext uri="{FF2B5EF4-FFF2-40B4-BE49-F238E27FC236}">
              <a16:creationId xmlns:a16="http://schemas.microsoft.com/office/drawing/2014/main" id="{FC4F033E-C945-4AA2-9B1F-EBAC71BE0F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1" name="AutoShape 4">
          <a:extLst>
            <a:ext uri="{FF2B5EF4-FFF2-40B4-BE49-F238E27FC236}">
              <a16:creationId xmlns:a16="http://schemas.microsoft.com/office/drawing/2014/main" id="{A368D406-DBA3-4591-9301-059C99744D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2" name="AutoShape 2">
          <a:extLst>
            <a:ext uri="{FF2B5EF4-FFF2-40B4-BE49-F238E27FC236}">
              <a16:creationId xmlns:a16="http://schemas.microsoft.com/office/drawing/2014/main" id="{381E63F0-3AF0-4315-9150-FE27DC0AF4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3" name="AutoShape 44">
          <a:extLst>
            <a:ext uri="{FF2B5EF4-FFF2-40B4-BE49-F238E27FC236}">
              <a16:creationId xmlns:a16="http://schemas.microsoft.com/office/drawing/2014/main" id="{B6689867-B114-46B3-9543-5D02C4C1DA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4" name="AutoShape 42">
          <a:extLst>
            <a:ext uri="{FF2B5EF4-FFF2-40B4-BE49-F238E27FC236}">
              <a16:creationId xmlns:a16="http://schemas.microsoft.com/office/drawing/2014/main" id="{2A5EDA55-FDC4-4F3C-B6FE-16637F0C04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5" name="AutoShape 40">
          <a:extLst>
            <a:ext uri="{FF2B5EF4-FFF2-40B4-BE49-F238E27FC236}">
              <a16:creationId xmlns:a16="http://schemas.microsoft.com/office/drawing/2014/main" id="{AEB22B82-CECA-4031-B62A-9A6377DFE3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6" name="AutoShape 38">
          <a:extLst>
            <a:ext uri="{FF2B5EF4-FFF2-40B4-BE49-F238E27FC236}">
              <a16:creationId xmlns:a16="http://schemas.microsoft.com/office/drawing/2014/main" id="{7FE5D1F3-44BF-47A3-BE8C-C11B0409C1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7" name="AutoShape 22">
          <a:extLst>
            <a:ext uri="{FF2B5EF4-FFF2-40B4-BE49-F238E27FC236}">
              <a16:creationId xmlns:a16="http://schemas.microsoft.com/office/drawing/2014/main" id="{5384B0DE-C85B-43BC-B2CC-9EC3F2573A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8" name="AutoShape 18">
          <a:extLst>
            <a:ext uri="{FF2B5EF4-FFF2-40B4-BE49-F238E27FC236}">
              <a16:creationId xmlns:a16="http://schemas.microsoft.com/office/drawing/2014/main" id="{EDAF5FC1-199A-442B-8075-61CF74CD0E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79" name="AutoShape 16">
          <a:extLst>
            <a:ext uri="{FF2B5EF4-FFF2-40B4-BE49-F238E27FC236}">
              <a16:creationId xmlns:a16="http://schemas.microsoft.com/office/drawing/2014/main" id="{721E029E-D082-4371-8908-4D6C556138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0" name="AutoShape 10">
          <a:extLst>
            <a:ext uri="{FF2B5EF4-FFF2-40B4-BE49-F238E27FC236}">
              <a16:creationId xmlns:a16="http://schemas.microsoft.com/office/drawing/2014/main" id="{A95592C4-71F7-4CD4-A8D7-550A7CBB82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1" name="AutoShape 8">
          <a:extLst>
            <a:ext uri="{FF2B5EF4-FFF2-40B4-BE49-F238E27FC236}">
              <a16:creationId xmlns:a16="http://schemas.microsoft.com/office/drawing/2014/main" id="{F9F58D09-BC91-4700-BA84-6B88C81542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2" name="AutoShape 6">
          <a:extLst>
            <a:ext uri="{FF2B5EF4-FFF2-40B4-BE49-F238E27FC236}">
              <a16:creationId xmlns:a16="http://schemas.microsoft.com/office/drawing/2014/main" id="{7F4A7FB7-E490-45A4-A0D9-E4C83892A2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3" name="AutoShape 4">
          <a:extLst>
            <a:ext uri="{FF2B5EF4-FFF2-40B4-BE49-F238E27FC236}">
              <a16:creationId xmlns:a16="http://schemas.microsoft.com/office/drawing/2014/main" id="{F0CC4A29-10F1-407A-A56D-A69D51CC07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4" name="AutoShape 2">
          <a:extLst>
            <a:ext uri="{FF2B5EF4-FFF2-40B4-BE49-F238E27FC236}">
              <a16:creationId xmlns:a16="http://schemas.microsoft.com/office/drawing/2014/main" id="{3EBE2FEA-21E6-45DE-85FF-1A461B3846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5" name="AutoShape 44">
          <a:extLst>
            <a:ext uri="{FF2B5EF4-FFF2-40B4-BE49-F238E27FC236}">
              <a16:creationId xmlns:a16="http://schemas.microsoft.com/office/drawing/2014/main" id="{5364564A-70D4-4999-AB08-89FEFB42C0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6" name="AutoShape 42">
          <a:extLst>
            <a:ext uri="{FF2B5EF4-FFF2-40B4-BE49-F238E27FC236}">
              <a16:creationId xmlns:a16="http://schemas.microsoft.com/office/drawing/2014/main" id="{B9090E15-E053-4115-BF76-E9274D0C34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7" name="AutoShape 40">
          <a:extLst>
            <a:ext uri="{FF2B5EF4-FFF2-40B4-BE49-F238E27FC236}">
              <a16:creationId xmlns:a16="http://schemas.microsoft.com/office/drawing/2014/main" id="{27141425-A691-4D03-98B6-EE8A03262B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8" name="AutoShape 38">
          <a:extLst>
            <a:ext uri="{FF2B5EF4-FFF2-40B4-BE49-F238E27FC236}">
              <a16:creationId xmlns:a16="http://schemas.microsoft.com/office/drawing/2014/main" id="{0E0D0A31-50A3-42E5-BE04-EC2BA533CA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89" name="AutoShape 22">
          <a:extLst>
            <a:ext uri="{FF2B5EF4-FFF2-40B4-BE49-F238E27FC236}">
              <a16:creationId xmlns:a16="http://schemas.microsoft.com/office/drawing/2014/main" id="{012CA64B-931D-4206-BC6A-55A6C1DE66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0" name="AutoShape 18">
          <a:extLst>
            <a:ext uri="{FF2B5EF4-FFF2-40B4-BE49-F238E27FC236}">
              <a16:creationId xmlns:a16="http://schemas.microsoft.com/office/drawing/2014/main" id="{747DFA01-B669-4B7C-9607-C949E84918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1" name="AutoShape 16">
          <a:extLst>
            <a:ext uri="{FF2B5EF4-FFF2-40B4-BE49-F238E27FC236}">
              <a16:creationId xmlns:a16="http://schemas.microsoft.com/office/drawing/2014/main" id="{A4F4346E-D537-4AB6-90C1-9590B88968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2" name="AutoShape 10">
          <a:extLst>
            <a:ext uri="{FF2B5EF4-FFF2-40B4-BE49-F238E27FC236}">
              <a16:creationId xmlns:a16="http://schemas.microsoft.com/office/drawing/2014/main" id="{B670783C-F253-4124-A9D7-F07D1AECB0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3" name="AutoShape 8">
          <a:extLst>
            <a:ext uri="{FF2B5EF4-FFF2-40B4-BE49-F238E27FC236}">
              <a16:creationId xmlns:a16="http://schemas.microsoft.com/office/drawing/2014/main" id="{526D2E22-B5F7-4DD1-91E8-C95DE3336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4" name="AutoShape 6">
          <a:extLst>
            <a:ext uri="{FF2B5EF4-FFF2-40B4-BE49-F238E27FC236}">
              <a16:creationId xmlns:a16="http://schemas.microsoft.com/office/drawing/2014/main" id="{34735881-3551-4BB5-8C0C-81BDDDBD57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A4D83638-1B5A-4AEE-AAB4-48935DCE23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6" name="AutoShape 2">
          <a:extLst>
            <a:ext uri="{FF2B5EF4-FFF2-40B4-BE49-F238E27FC236}">
              <a16:creationId xmlns:a16="http://schemas.microsoft.com/office/drawing/2014/main" id="{11CC481A-C833-445F-8BAC-3F3F6CD5AA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7" name="AutoShape 44">
          <a:extLst>
            <a:ext uri="{FF2B5EF4-FFF2-40B4-BE49-F238E27FC236}">
              <a16:creationId xmlns:a16="http://schemas.microsoft.com/office/drawing/2014/main" id="{B5538E70-EC6F-4793-A625-B05F8ED94D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8" name="AutoShape 42">
          <a:extLst>
            <a:ext uri="{FF2B5EF4-FFF2-40B4-BE49-F238E27FC236}">
              <a16:creationId xmlns:a16="http://schemas.microsoft.com/office/drawing/2014/main" id="{0DB42DCD-E911-4049-B20D-8A9CED220A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399" name="AutoShape 40">
          <a:extLst>
            <a:ext uri="{FF2B5EF4-FFF2-40B4-BE49-F238E27FC236}">
              <a16:creationId xmlns:a16="http://schemas.microsoft.com/office/drawing/2014/main" id="{EA554427-04B7-4315-B952-D8DD4063CC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0" name="AutoShape 38">
          <a:extLst>
            <a:ext uri="{FF2B5EF4-FFF2-40B4-BE49-F238E27FC236}">
              <a16:creationId xmlns:a16="http://schemas.microsoft.com/office/drawing/2014/main" id="{E4F75412-01B3-4099-836E-87E8EBA219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1" name="AutoShape 22">
          <a:extLst>
            <a:ext uri="{FF2B5EF4-FFF2-40B4-BE49-F238E27FC236}">
              <a16:creationId xmlns:a16="http://schemas.microsoft.com/office/drawing/2014/main" id="{A195651A-C329-4F63-8ADB-7198329DAC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2" name="AutoShape 18">
          <a:extLst>
            <a:ext uri="{FF2B5EF4-FFF2-40B4-BE49-F238E27FC236}">
              <a16:creationId xmlns:a16="http://schemas.microsoft.com/office/drawing/2014/main" id="{35BE0338-D1AB-4568-9EB4-5D562497F1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3" name="AutoShape 16">
          <a:extLst>
            <a:ext uri="{FF2B5EF4-FFF2-40B4-BE49-F238E27FC236}">
              <a16:creationId xmlns:a16="http://schemas.microsoft.com/office/drawing/2014/main" id="{01E0B6B8-17A1-47A4-8A8C-468E5BDCD1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4" name="AutoShape 10">
          <a:extLst>
            <a:ext uri="{FF2B5EF4-FFF2-40B4-BE49-F238E27FC236}">
              <a16:creationId xmlns:a16="http://schemas.microsoft.com/office/drawing/2014/main" id="{4171A779-E0BC-4173-93DB-0683DF929A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5" name="AutoShape 8">
          <a:extLst>
            <a:ext uri="{FF2B5EF4-FFF2-40B4-BE49-F238E27FC236}">
              <a16:creationId xmlns:a16="http://schemas.microsoft.com/office/drawing/2014/main" id="{FCE0D77D-88E3-447F-B387-DDBD1DCCC6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6" name="AutoShape 6">
          <a:extLst>
            <a:ext uri="{FF2B5EF4-FFF2-40B4-BE49-F238E27FC236}">
              <a16:creationId xmlns:a16="http://schemas.microsoft.com/office/drawing/2014/main" id="{8E289457-A20F-4CC6-A1A3-90F8115A57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7" name="AutoShape 4">
          <a:extLst>
            <a:ext uri="{FF2B5EF4-FFF2-40B4-BE49-F238E27FC236}">
              <a16:creationId xmlns:a16="http://schemas.microsoft.com/office/drawing/2014/main" id="{1C7EE3EB-2262-4F33-9B2F-99F15D6F530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8" name="AutoShape 2">
          <a:extLst>
            <a:ext uri="{FF2B5EF4-FFF2-40B4-BE49-F238E27FC236}">
              <a16:creationId xmlns:a16="http://schemas.microsoft.com/office/drawing/2014/main" id="{93AA9012-EF0C-4D86-85C3-C132729C09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09" name="AutoShape 44">
          <a:extLst>
            <a:ext uri="{FF2B5EF4-FFF2-40B4-BE49-F238E27FC236}">
              <a16:creationId xmlns:a16="http://schemas.microsoft.com/office/drawing/2014/main" id="{3FB2D0BA-CF07-458D-A9DC-36B7CB1639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0" name="AutoShape 42">
          <a:extLst>
            <a:ext uri="{FF2B5EF4-FFF2-40B4-BE49-F238E27FC236}">
              <a16:creationId xmlns:a16="http://schemas.microsoft.com/office/drawing/2014/main" id="{C9B8C2D5-33EE-4AD3-BCE9-74C5C6DE2D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1" name="AutoShape 40">
          <a:extLst>
            <a:ext uri="{FF2B5EF4-FFF2-40B4-BE49-F238E27FC236}">
              <a16:creationId xmlns:a16="http://schemas.microsoft.com/office/drawing/2014/main" id="{E32E6BE6-E339-4527-9DF0-AD05F6136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2" name="AutoShape 38">
          <a:extLst>
            <a:ext uri="{FF2B5EF4-FFF2-40B4-BE49-F238E27FC236}">
              <a16:creationId xmlns:a16="http://schemas.microsoft.com/office/drawing/2014/main" id="{4C566192-585D-4C0D-9CC8-2199AAA7ED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3" name="AutoShape 22">
          <a:extLst>
            <a:ext uri="{FF2B5EF4-FFF2-40B4-BE49-F238E27FC236}">
              <a16:creationId xmlns:a16="http://schemas.microsoft.com/office/drawing/2014/main" id="{E32356FA-43E7-4893-A360-8A6BD6F555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4" name="AutoShape 18">
          <a:extLst>
            <a:ext uri="{FF2B5EF4-FFF2-40B4-BE49-F238E27FC236}">
              <a16:creationId xmlns:a16="http://schemas.microsoft.com/office/drawing/2014/main" id="{6DE22FB9-83F0-4909-A816-C7D73FCAF4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5" name="AutoShape 16">
          <a:extLst>
            <a:ext uri="{FF2B5EF4-FFF2-40B4-BE49-F238E27FC236}">
              <a16:creationId xmlns:a16="http://schemas.microsoft.com/office/drawing/2014/main" id="{5A0FBFC5-A7B8-4C28-88B5-900D80679A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6" name="AutoShape 10">
          <a:extLst>
            <a:ext uri="{FF2B5EF4-FFF2-40B4-BE49-F238E27FC236}">
              <a16:creationId xmlns:a16="http://schemas.microsoft.com/office/drawing/2014/main" id="{E0604B7D-80E6-47DF-A9F8-9751810F2C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7" name="AutoShape 8">
          <a:extLst>
            <a:ext uri="{FF2B5EF4-FFF2-40B4-BE49-F238E27FC236}">
              <a16:creationId xmlns:a16="http://schemas.microsoft.com/office/drawing/2014/main" id="{D47F647E-4D00-4971-82FB-D059972D68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8" name="AutoShape 6">
          <a:extLst>
            <a:ext uri="{FF2B5EF4-FFF2-40B4-BE49-F238E27FC236}">
              <a16:creationId xmlns:a16="http://schemas.microsoft.com/office/drawing/2014/main" id="{84C408B5-FD85-42F2-97FB-EC02034515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19" name="AutoShape 4">
          <a:extLst>
            <a:ext uri="{FF2B5EF4-FFF2-40B4-BE49-F238E27FC236}">
              <a16:creationId xmlns:a16="http://schemas.microsoft.com/office/drawing/2014/main" id="{FBC4E978-25A3-4A56-9870-65E8E4E837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0" name="AutoShape 2">
          <a:extLst>
            <a:ext uri="{FF2B5EF4-FFF2-40B4-BE49-F238E27FC236}">
              <a16:creationId xmlns:a16="http://schemas.microsoft.com/office/drawing/2014/main" id="{3033A7D9-337E-4199-8549-EA9153E59B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1" name="AutoShape 44">
          <a:extLst>
            <a:ext uri="{FF2B5EF4-FFF2-40B4-BE49-F238E27FC236}">
              <a16:creationId xmlns:a16="http://schemas.microsoft.com/office/drawing/2014/main" id="{2F202B69-3203-4E0A-BF0F-D98A41E194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2" name="AutoShape 42">
          <a:extLst>
            <a:ext uri="{FF2B5EF4-FFF2-40B4-BE49-F238E27FC236}">
              <a16:creationId xmlns:a16="http://schemas.microsoft.com/office/drawing/2014/main" id="{54020961-1E31-4F1D-B7F4-5222C7BF53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3" name="AutoShape 40">
          <a:extLst>
            <a:ext uri="{FF2B5EF4-FFF2-40B4-BE49-F238E27FC236}">
              <a16:creationId xmlns:a16="http://schemas.microsoft.com/office/drawing/2014/main" id="{EFD9ED96-68B7-425C-A04A-876A26FB72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4" name="AutoShape 38">
          <a:extLst>
            <a:ext uri="{FF2B5EF4-FFF2-40B4-BE49-F238E27FC236}">
              <a16:creationId xmlns:a16="http://schemas.microsoft.com/office/drawing/2014/main" id="{7FC8A5B9-F325-43D5-83B4-33AA8736A1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5" name="AutoShape 22">
          <a:extLst>
            <a:ext uri="{FF2B5EF4-FFF2-40B4-BE49-F238E27FC236}">
              <a16:creationId xmlns:a16="http://schemas.microsoft.com/office/drawing/2014/main" id="{382617F5-3604-4686-8D41-DC90A8E671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6" name="AutoShape 18">
          <a:extLst>
            <a:ext uri="{FF2B5EF4-FFF2-40B4-BE49-F238E27FC236}">
              <a16:creationId xmlns:a16="http://schemas.microsoft.com/office/drawing/2014/main" id="{1A9655E6-44CB-4172-992C-EBB403AFBE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7" name="AutoShape 16">
          <a:extLst>
            <a:ext uri="{FF2B5EF4-FFF2-40B4-BE49-F238E27FC236}">
              <a16:creationId xmlns:a16="http://schemas.microsoft.com/office/drawing/2014/main" id="{F3B3AE62-B951-4EE9-AD53-251C7B88C9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8" name="AutoShape 10">
          <a:extLst>
            <a:ext uri="{FF2B5EF4-FFF2-40B4-BE49-F238E27FC236}">
              <a16:creationId xmlns:a16="http://schemas.microsoft.com/office/drawing/2014/main" id="{45695AE3-8D9C-4205-9463-B888C2E7B9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29" name="AutoShape 8">
          <a:extLst>
            <a:ext uri="{FF2B5EF4-FFF2-40B4-BE49-F238E27FC236}">
              <a16:creationId xmlns:a16="http://schemas.microsoft.com/office/drawing/2014/main" id="{1772086A-1C9C-47CF-835A-9437904B48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0" name="AutoShape 6">
          <a:extLst>
            <a:ext uri="{FF2B5EF4-FFF2-40B4-BE49-F238E27FC236}">
              <a16:creationId xmlns:a16="http://schemas.microsoft.com/office/drawing/2014/main" id="{4242350F-BBC3-4620-8705-5E5982F999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1" name="AutoShape 4">
          <a:extLst>
            <a:ext uri="{FF2B5EF4-FFF2-40B4-BE49-F238E27FC236}">
              <a16:creationId xmlns:a16="http://schemas.microsoft.com/office/drawing/2014/main" id="{CC04C565-B9E4-4856-A54D-11A619AEB0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2" name="AutoShape 2">
          <a:extLst>
            <a:ext uri="{FF2B5EF4-FFF2-40B4-BE49-F238E27FC236}">
              <a16:creationId xmlns:a16="http://schemas.microsoft.com/office/drawing/2014/main" id="{988B5969-2DB5-4D3D-ABE2-60F3E51A95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3" name="AutoShape 44">
          <a:extLst>
            <a:ext uri="{FF2B5EF4-FFF2-40B4-BE49-F238E27FC236}">
              <a16:creationId xmlns:a16="http://schemas.microsoft.com/office/drawing/2014/main" id="{58790368-7B5C-4CD3-9862-197EA47610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4" name="AutoShape 42">
          <a:extLst>
            <a:ext uri="{FF2B5EF4-FFF2-40B4-BE49-F238E27FC236}">
              <a16:creationId xmlns:a16="http://schemas.microsoft.com/office/drawing/2014/main" id="{510E7ED8-CAAF-4ABE-B5A4-9413BB1369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5" name="AutoShape 40">
          <a:extLst>
            <a:ext uri="{FF2B5EF4-FFF2-40B4-BE49-F238E27FC236}">
              <a16:creationId xmlns:a16="http://schemas.microsoft.com/office/drawing/2014/main" id="{448E72B4-E093-45A3-AD1E-9709B05158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6" name="AutoShape 38">
          <a:extLst>
            <a:ext uri="{FF2B5EF4-FFF2-40B4-BE49-F238E27FC236}">
              <a16:creationId xmlns:a16="http://schemas.microsoft.com/office/drawing/2014/main" id="{B918B162-A189-483D-9B91-862B2ABC37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7" name="AutoShape 22">
          <a:extLst>
            <a:ext uri="{FF2B5EF4-FFF2-40B4-BE49-F238E27FC236}">
              <a16:creationId xmlns:a16="http://schemas.microsoft.com/office/drawing/2014/main" id="{CE8B0CB4-78F8-4C3A-9786-CA41AB88DB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8" name="AutoShape 18">
          <a:extLst>
            <a:ext uri="{FF2B5EF4-FFF2-40B4-BE49-F238E27FC236}">
              <a16:creationId xmlns:a16="http://schemas.microsoft.com/office/drawing/2014/main" id="{52A4CE8C-BE95-46DE-A2D0-33BB4C2DCF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39" name="AutoShape 16">
          <a:extLst>
            <a:ext uri="{FF2B5EF4-FFF2-40B4-BE49-F238E27FC236}">
              <a16:creationId xmlns:a16="http://schemas.microsoft.com/office/drawing/2014/main" id="{992A65FE-09AD-4AF2-829E-C83B5AC3B0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0" name="AutoShape 10">
          <a:extLst>
            <a:ext uri="{FF2B5EF4-FFF2-40B4-BE49-F238E27FC236}">
              <a16:creationId xmlns:a16="http://schemas.microsoft.com/office/drawing/2014/main" id="{9196E2A9-E77A-46E3-8E19-634666C173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1" name="AutoShape 8">
          <a:extLst>
            <a:ext uri="{FF2B5EF4-FFF2-40B4-BE49-F238E27FC236}">
              <a16:creationId xmlns:a16="http://schemas.microsoft.com/office/drawing/2014/main" id="{6A356F1E-4105-45F8-8F3E-798C35F403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2" name="AutoShape 6">
          <a:extLst>
            <a:ext uri="{FF2B5EF4-FFF2-40B4-BE49-F238E27FC236}">
              <a16:creationId xmlns:a16="http://schemas.microsoft.com/office/drawing/2014/main" id="{078F39AC-EC30-4441-9548-68E8CDC2CB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3" name="AutoShape 4">
          <a:extLst>
            <a:ext uri="{FF2B5EF4-FFF2-40B4-BE49-F238E27FC236}">
              <a16:creationId xmlns:a16="http://schemas.microsoft.com/office/drawing/2014/main" id="{08B52B68-25A5-4B93-8168-9347FCDB1D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4" name="AutoShape 2">
          <a:extLst>
            <a:ext uri="{FF2B5EF4-FFF2-40B4-BE49-F238E27FC236}">
              <a16:creationId xmlns:a16="http://schemas.microsoft.com/office/drawing/2014/main" id="{5E238830-7C95-4BD7-9840-29B2690866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5" name="AutoShape 44">
          <a:extLst>
            <a:ext uri="{FF2B5EF4-FFF2-40B4-BE49-F238E27FC236}">
              <a16:creationId xmlns:a16="http://schemas.microsoft.com/office/drawing/2014/main" id="{51EAD710-0461-4A8E-AF5B-2FED9EC3C1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6" name="AutoShape 42">
          <a:extLst>
            <a:ext uri="{FF2B5EF4-FFF2-40B4-BE49-F238E27FC236}">
              <a16:creationId xmlns:a16="http://schemas.microsoft.com/office/drawing/2014/main" id="{E1A6C727-B8AF-4ED1-9A5B-57B484D151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7" name="AutoShape 40">
          <a:extLst>
            <a:ext uri="{FF2B5EF4-FFF2-40B4-BE49-F238E27FC236}">
              <a16:creationId xmlns:a16="http://schemas.microsoft.com/office/drawing/2014/main" id="{934AC8BB-EED6-4E0E-B76A-AFB2B51C81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8" name="AutoShape 38">
          <a:extLst>
            <a:ext uri="{FF2B5EF4-FFF2-40B4-BE49-F238E27FC236}">
              <a16:creationId xmlns:a16="http://schemas.microsoft.com/office/drawing/2014/main" id="{67393927-B765-4614-982E-00E8725B80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49" name="AutoShape 22">
          <a:extLst>
            <a:ext uri="{FF2B5EF4-FFF2-40B4-BE49-F238E27FC236}">
              <a16:creationId xmlns:a16="http://schemas.microsoft.com/office/drawing/2014/main" id="{2F186D2C-F1B7-4095-BD6C-FE7CF031A5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0" name="AutoShape 18">
          <a:extLst>
            <a:ext uri="{FF2B5EF4-FFF2-40B4-BE49-F238E27FC236}">
              <a16:creationId xmlns:a16="http://schemas.microsoft.com/office/drawing/2014/main" id="{24E87E50-2305-45B8-8517-FDC8BA55E1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1" name="AutoShape 10">
          <a:extLst>
            <a:ext uri="{FF2B5EF4-FFF2-40B4-BE49-F238E27FC236}">
              <a16:creationId xmlns:a16="http://schemas.microsoft.com/office/drawing/2014/main" id="{512E4BCC-AA1B-4AD4-B889-C14E371345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2" name="AutoShape 8">
          <a:extLst>
            <a:ext uri="{FF2B5EF4-FFF2-40B4-BE49-F238E27FC236}">
              <a16:creationId xmlns:a16="http://schemas.microsoft.com/office/drawing/2014/main" id="{85DDFE78-0F43-43F2-8C39-C82EE66CCF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3" name="AutoShape 6">
          <a:extLst>
            <a:ext uri="{FF2B5EF4-FFF2-40B4-BE49-F238E27FC236}">
              <a16:creationId xmlns:a16="http://schemas.microsoft.com/office/drawing/2014/main" id="{749EDEC8-6E84-4E31-AAB7-3C6B75EB6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4" name="AutoShape 4">
          <a:extLst>
            <a:ext uri="{FF2B5EF4-FFF2-40B4-BE49-F238E27FC236}">
              <a16:creationId xmlns:a16="http://schemas.microsoft.com/office/drawing/2014/main" id="{48691C9A-04C1-41F8-9CB6-70E6CFCF9C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5" name="AutoShape 2">
          <a:extLst>
            <a:ext uri="{FF2B5EF4-FFF2-40B4-BE49-F238E27FC236}">
              <a16:creationId xmlns:a16="http://schemas.microsoft.com/office/drawing/2014/main" id="{5D6173DE-D24C-45B9-AC25-022925970E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6" name="AutoShape 44">
          <a:extLst>
            <a:ext uri="{FF2B5EF4-FFF2-40B4-BE49-F238E27FC236}">
              <a16:creationId xmlns:a16="http://schemas.microsoft.com/office/drawing/2014/main" id="{614B7FEC-447B-4BCB-A3F6-B9F40B0CAF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7" name="AutoShape 42">
          <a:extLst>
            <a:ext uri="{FF2B5EF4-FFF2-40B4-BE49-F238E27FC236}">
              <a16:creationId xmlns:a16="http://schemas.microsoft.com/office/drawing/2014/main" id="{0ECEBF8A-E8D9-4F2F-ACF0-61492F89FE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8" name="AutoShape 40">
          <a:extLst>
            <a:ext uri="{FF2B5EF4-FFF2-40B4-BE49-F238E27FC236}">
              <a16:creationId xmlns:a16="http://schemas.microsoft.com/office/drawing/2014/main" id="{381808F5-0056-46DE-BFCB-E7938DF763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59" name="AutoShape 38">
          <a:extLst>
            <a:ext uri="{FF2B5EF4-FFF2-40B4-BE49-F238E27FC236}">
              <a16:creationId xmlns:a16="http://schemas.microsoft.com/office/drawing/2014/main" id="{BEAF00EC-5A58-4BC0-A83B-FF45B16A76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0" name="AutoShape 22">
          <a:extLst>
            <a:ext uri="{FF2B5EF4-FFF2-40B4-BE49-F238E27FC236}">
              <a16:creationId xmlns:a16="http://schemas.microsoft.com/office/drawing/2014/main" id="{308F7396-A621-4D6F-A3AD-F7C7F3DE26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1" name="AutoShape 18">
          <a:extLst>
            <a:ext uri="{FF2B5EF4-FFF2-40B4-BE49-F238E27FC236}">
              <a16:creationId xmlns:a16="http://schemas.microsoft.com/office/drawing/2014/main" id="{E6D2D204-BC91-45A2-AF45-C25746A14B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2" name="AutoShape 10">
          <a:extLst>
            <a:ext uri="{FF2B5EF4-FFF2-40B4-BE49-F238E27FC236}">
              <a16:creationId xmlns:a16="http://schemas.microsoft.com/office/drawing/2014/main" id="{22FD2E11-6DB9-4205-BFE6-B0B866DDCA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3" name="AutoShape 8">
          <a:extLst>
            <a:ext uri="{FF2B5EF4-FFF2-40B4-BE49-F238E27FC236}">
              <a16:creationId xmlns:a16="http://schemas.microsoft.com/office/drawing/2014/main" id="{21B664BC-6DD6-4AC8-AB10-8D59666146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4" name="AutoShape 6">
          <a:extLst>
            <a:ext uri="{FF2B5EF4-FFF2-40B4-BE49-F238E27FC236}">
              <a16:creationId xmlns:a16="http://schemas.microsoft.com/office/drawing/2014/main" id="{BF8F5695-DCF8-4D0F-BE37-A4C31D914E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229ACC0C-2FBD-4677-97C4-3D81401F73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6" name="AutoShape 2">
          <a:extLst>
            <a:ext uri="{FF2B5EF4-FFF2-40B4-BE49-F238E27FC236}">
              <a16:creationId xmlns:a16="http://schemas.microsoft.com/office/drawing/2014/main" id="{9D961BEB-7210-42F8-B124-2B20B09CBE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7" name="AutoShape 44">
          <a:extLst>
            <a:ext uri="{FF2B5EF4-FFF2-40B4-BE49-F238E27FC236}">
              <a16:creationId xmlns:a16="http://schemas.microsoft.com/office/drawing/2014/main" id="{EED34868-7FB2-4001-B206-574505B8ED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8" name="AutoShape 42">
          <a:extLst>
            <a:ext uri="{FF2B5EF4-FFF2-40B4-BE49-F238E27FC236}">
              <a16:creationId xmlns:a16="http://schemas.microsoft.com/office/drawing/2014/main" id="{A26489B9-EB75-4434-AB92-AAA7054B7B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69" name="AutoShape 40">
          <a:extLst>
            <a:ext uri="{FF2B5EF4-FFF2-40B4-BE49-F238E27FC236}">
              <a16:creationId xmlns:a16="http://schemas.microsoft.com/office/drawing/2014/main" id="{04439F2E-AF11-4D2B-A60F-1FC0048384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0" name="AutoShape 38">
          <a:extLst>
            <a:ext uri="{FF2B5EF4-FFF2-40B4-BE49-F238E27FC236}">
              <a16:creationId xmlns:a16="http://schemas.microsoft.com/office/drawing/2014/main" id="{9EC85029-8102-41E6-A2B6-E0D6B59BF5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1" name="AutoShape 22">
          <a:extLst>
            <a:ext uri="{FF2B5EF4-FFF2-40B4-BE49-F238E27FC236}">
              <a16:creationId xmlns:a16="http://schemas.microsoft.com/office/drawing/2014/main" id="{EDEA5FBE-6807-4033-B642-AD0CE5D5BF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2" name="AutoShape 18">
          <a:extLst>
            <a:ext uri="{FF2B5EF4-FFF2-40B4-BE49-F238E27FC236}">
              <a16:creationId xmlns:a16="http://schemas.microsoft.com/office/drawing/2014/main" id="{B7329271-7132-4361-9E30-080B6DAC77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3" name="AutoShape 10">
          <a:extLst>
            <a:ext uri="{FF2B5EF4-FFF2-40B4-BE49-F238E27FC236}">
              <a16:creationId xmlns:a16="http://schemas.microsoft.com/office/drawing/2014/main" id="{F9DAD232-6592-4482-A64D-FDD4EF58A2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4" name="AutoShape 8">
          <a:extLst>
            <a:ext uri="{FF2B5EF4-FFF2-40B4-BE49-F238E27FC236}">
              <a16:creationId xmlns:a16="http://schemas.microsoft.com/office/drawing/2014/main" id="{C1353BD2-E648-4EFD-8523-B7C083699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5" name="AutoShape 6">
          <a:extLst>
            <a:ext uri="{FF2B5EF4-FFF2-40B4-BE49-F238E27FC236}">
              <a16:creationId xmlns:a16="http://schemas.microsoft.com/office/drawing/2014/main" id="{BC8247D0-8B7D-4E19-A34B-8153C56E88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6" name="AutoShape 4">
          <a:extLst>
            <a:ext uri="{FF2B5EF4-FFF2-40B4-BE49-F238E27FC236}">
              <a16:creationId xmlns:a16="http://schemas.microsoft.com/office/drawing/2014/main" id="{55A4877F-31FF-4F03-A9F9-31C3D86D92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7" name="AutoShape 2">
          <a:extLst>
            <a:ext uri="{FF2B5EF4-FFF2-40B4-BE49-F238E27FC236}">
              <a16:creationId xmlns:a16="http://schemas.microsoft.com/office/drawing/2014/main" id="{F24FCF51-06EA-4DFE-B49F-A494473EAA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8" name="AutoShape 44">
          <a:extLst>
            <a:ext uri="{FF2B5EF4-FFF2-40B4-BE49-F238E27FC236}">
              <a16:creationId xmlns:a16="http://schemas.microsoft.com/office/drawing/2014/main" id="{836D312E-7C6A-42E0-902A-EE87CF1680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79" name="AutoShape 42">
          <a:extLst>
            <a:ext uri="{FF2B5EF4-FFF2-40B4-BE49-F238E27FC236}">
              <a16:creationId xmlns:a16="http://schemas.microsoft.com/office/drawing/2014/main" id="{EFB35754-E7B1-4F58-BF5D-C7A58123D7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0" name="AutoShape 40">
          <a:extLst>
            <a:ext uri="{FF2B5EF4-FFF2-40B4-BE49-F238E27FC236}">
              <a16:creationId xmlns:a16="http://schemas.microsoft.com/office/drawing/2014/main" id="{D8A95506-1E20-47B5-9216-62BC43601C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1" name="AutoShape 38">
          <a:extLst>
            <a:ext uri="{FF2B5EF4-FFF2-40B4-BE49-F238E27FC236}">
              <a16:creationId xmlns:a16="http://schemas.microsoft.com/office/drawing/2014/main" id="{AA610614-2B67-409B-AAFF-BA234915A1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2" name="AutoShape 22">
          <a:extLst>
            <a:ext uri="{FF2B5EF4-FFF2-40B4-BE49-F238E27FC236}">
              <a16:creationId xmlns:a16="http://schemas.microsoft.com/office/drawing/2014/main" id="{8909F169-4A5A-4194-89B7-D0185651A8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3" name="AutoShape 18">
          <a:extLst>
            <a:ext uri="{FF2B5EF4-FFF2-40B4-BE49-F238E27FC236}">
              <a16:creationId xmlns:a16="http://schemas.microsoft.com/office/drawing/2014/main" id="{962B8491-B5FE-4D0F-8773-70B997AA88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4" name="AutoShape 10">
          <a:extLst>
            <a:ext uri="{FF2B5EF4-FFF2-40B4-BE49-F238E27FC236}">
              <a16:creationId xmlns:a16="http://schemas.microsoft.com/office/drawing/2014/main" id="{1E819FCF-EDDD-4DF6-8E50-9BA9F48AD7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5" name="AutoShape 8">
          <a:extLst>
            <a:ext uri="{FF2B5EF4-FFF2-40B4-BE49-F238E27FC236}">
              <a16:creationId xmlns:a16="http://schemas.microsoft.com/office/drawing/2014/main" id="{51E89FE1-D53B-4232-B8FA-FE66FFD3B2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6" name="AutoShape 6">
          <a:extLst>
            <a:ext uri="{FF2B5EF4-FFF2-40B4-BE49-F238E27FC236}">
              <a16:creationId xmlns:a16="http://schemas.microsoft.com/office/drawing/2014/main" id="{53CB9811-6E35-4865-9C87-F150F189D7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7" name="AutoShape 4">
          <a:extLst>
            <a:ext uri="{FF2B5EF4-FFF2-40B4-BE49-F238E27FC236}">
              <a16:creationId xmlns:a16="http://schemas.microsoft.com/office/drawing/2014/main" id="{346F7C5A-F169-478B-890B-6531BD64C2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8" name="AutoShape 2">
          <a:extLst>
            <a:ext uri="{FF2B5EF4-FFF2-40B4-BE49-F238E27FC236}">
              <a16:creationId xmlns:a16="http://schemas.microsoft.com/office/drawing/2014/main" id="{E35F5F45-A8E6-42DA-B3A5-D52EC94C5C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89" name="AutoShape 44">
          <a:extLst>
            <a:ext uri="{FF2B5EF4-FFF2-40B4-BE49-F238E27FC236}">
              <a16:creationId xmlns:a16="http://schemas.microsoft.com/office/drawing/2014/main" id="{A34D1D7A-92B1-4E77-B1ED-2EF7DE0D86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0" name="AutoShape 42">
          <a:extLst>
            <a:ext uri="{FF2B5EF4-FFF2-40B4-BE49-F238E27FC236}">
              <a16:creationId xmlns:a16="http://schemas.microsoft.com/office/drawing/2014/main" id="{CE951B60-6A4A-4520-A488-8AD5C789FB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1" name="AutoShape 40">
          <a:extLst>
            <a:ext uri="{FF2B5EF4-FFF2-40B4-BE49-F238E27FC236}">
              <a16:creationId xmlns:a16="http://schemas.microsoft.com/office/drawing/2014/main" id="{6B972991-33A0-4FF2-88E5-67E976A073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2" name="AutoShape 38">
          <a:extLst>
            <a:ext uri="{FF2B5EF4-FFF2-40B4-BE49-F238E27FC236}">
              <a16:creationId xmlns:a16="http://schemas.microsoft.com/office/drawing/2014/main" id="{467931B3-33D9-4D4F-B174-40CE711906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3" name="AutoShape 22">
          <a:extLst>
            <a:ext uri="{FF2B5EF4-FFF2-40B4-BE49-F238E27FC236}">
              <a16:creationId xmlns:a16="http://schemas.microsoft.com/office/drawing/2014/main" id="{A997757A-EBF7-4145-96C0-49CB97F663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4" name="AutoShape 18">
          <a:extLst>
            <a:ext uri="{FF2B5EF4-FFF2-40B4-BE49-F238E27FC236}">
              <a16:creationId xmlns:a16="http://schemas.microsoft.com/office/drawing/2014/main" id="{83207BE4-121C-4AA7-859E-754EAEB0F5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5" name="AutoShape 10">
          <a:extLst>
            <a:ext uri="{FF2B5EF4-FFF2-40B4-BE49-F238E27FC236}">
              <a16:creationId xmlns:a16="http://schemas.microsoft.com/office/drawing/2014/main" id="{67BAED33-8CFA-4281-B4C8-8B4C88127B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6" name="AutoShape 8">
          <a:extLst>
            <a:ext uri="{FF2B5EF4-FFF2-40B4-BE49-F238E27FC236}">
              <a16:creationId xmlns:a16="http://schemas.microsoft.com/office/drawing/2014/main" id="{4BF83375-1E6D-4ACE-8F8C-7614099142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7" name="AutoShape 6">
          <a:extLst>
            <a:ext uri="{FF2B5EF4-FFF2-40B4-BE49-F238E27FC236}">
              <a16:creationId xmlns:a16="http://schemas.microsoft.com/office/drawing/2014/main" id="{8B3F01AE-3016-4904-8160-50E147DADE0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8" name="AutoShape 4">
          <a:extLst>
            <a:ext uri="{FF2B5EF4-FFF2-40B4-BE49-F238E27FC236}">
              <a16:creationId xmlns:a16="http://schemas.microsoft.com/office/drawing/2014/main" id="{7763CE18-72BA-4010-9398-0D0288FF06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499" name="AutoShape 2">
          <a:extLst>
            <a:ext uri="{FF2B5EF4-FFF2-40B4-BE49-F238E27FC236}">
              <a16:creationId xmlns:a16="http://schemas.microsoft.com/office/drawing/2014/main" id="{F6F9344F-7EA6-4AB2-9EA4-E7F25B11B2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0" name="AutoShape 44">
          <a:extLst>
            <a:ext uri="{FF2B5EF4-FFF2-40B4-BE49-F238E27FC236}">
              <a16:creationId xmlns:a16="http://schemas.microsoft.com/office/drawing/2014/main" id="{1A562743-69CC-497C-96CC-A4492A1721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1" name="AutoShape 42">
          <a:extLst>
            <a:ext uri="{FF2B5EF4-FFF2-40B4-BE49-F238E27FC236}">
              <a16:creationId xmlns:a16="http://schemas.microsoft.com/office/drawing/2014/main" id="{E87B71F9-D9AD-4B3F-BA1B-651920A40D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2" name="AutoShape 40">
          <a:extLst>
            <a:ext uri="{FF2B5EF4-FFF2-40B4-BE49-F238E27FC236}">
              <a16:creationId xmlns:a16="http://schemas.microsoft.com/office/drawing/2014/main" id="{CB30A96A-5DBA-41C5-9F76-0DDEE54910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3" name="AutoShape 38">
          <a:extLst>
            <a:ext uri="{FF2B5EF4-FFF2-40B4-BE49-F238E27FC236}">
              <a16:creationId xmlns:a16="http://schemas.microsoft.com/office/drawing/2014/main" id="{025C2B27-4B4A-4AF3-95B0-315AD43844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4" name="AutoShape 22">
          <a:extLst>
            <a:ext uri="{FF2B5EF4-FFF2-40B4-BE49-F238E27FC236}">
              <a16:creationId xmlns:a16="http://schemas.microsoft.com/office/drawing/2014/main" id="{48E5E26D-993D-4B0A-85FC-259F804D92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5" name="AutoShape 18">
          <a:extLst>
            <a:ext uri="{FF2B5EF4-FFF2-40B4-BE49-F238E27FC236}">
              <a16:creationId xmlns:a16="http://schemas.microsoft.com/office/drawing/2014/main" id="{C910D10A-2521-4E7B-B87C-BB85EC777B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6" name="AutoShape 10">
          <a:extLst>
            <a:ext uri="{FF2B5EF4-FFF2-40B4-BE49-F238E27FC236}">
              <a16:creationId xmlns:a16="http://schemas.microsoft.com/office/drawing/2014/main" id="{7B5E2AA6-699F-4629-BE18-9BB18D7139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7" name="AutoShape 8">
          <a:extLst>
            <a:ext uri="{FF2B5EF4-FFF2-40B4-BE49-F238E27FC236}">
              <a16:creationId xmlns:a16="http://schemas.microsoft.com/office/drawing/2014/main" id="{4A9BE2FD-4BCA-4FEC-8198-D59AD5D940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8" name="AutoShape 6">
          <a:extLst>
            <a:ext uri="{FF2B5EF4-FFF2-40B4-BE49-F238E27FC236}">
              <a16:creationId xmlns:a16="http://schemas.microsoft.com/office/drawing/2014/main" id="{7F58CAE5-135F-4295-B197-7BBC5BCEA6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09" name="AutoShape 4">
          <a:extLst>
            <a:ext uri="{FF2B5EF4-FFF2-40B4-BE49-F238E27FC236}">
              <a16:creationId xmlns:a16="http://schemas.microsoft.com/office/drawing/2014/main" id="{62935B25-4FE6-42A3-82BE-3E69233DB0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0" name="AutoShape 2">
          <a:extLst>
            <a:ext uri="{FF2B5EF4-FFF2-40B4-BE49-F238E27FC236}">
              <a16:creationId xmlns:a16="http://schemas.microsoft.com/office/drawing/2014/main" id="{88646942-406B-434B-83C9-28BE6DE91D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1" name="AutoShape 44">
          <a:extLst>
            <a:ext uri="{FF2B5EF4-FFF2-40B4-BE49-F238E27FC236}">
              <a16:creationId xmlns:a16="http://schemas.microsoft.com/office/drawing/2014/main" id="{4D925B33-AA03-4E8E-98C5-DE28F93829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2" name="AutoShape 42">
          <a:extLst>
            <a:ext uri="{FF2B5EF4-FFF2-40B4-BE49-F238E27FC236}">
              <a16:creationId xmlns:a16="http://schemas.microsoft.com/office/drawing/2014/main" id="{96B03B3B-EABF-49DB-BC51-321DCF1BAE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3" name="AutoShape 40">
          <a:extLst>
            <a:ext uri="{FF2B5EF4-FFF2-40B4-BE49-F238E27FC236}">
              <a16:creationId xmlns:a16="http://schemas.microsoft.com/office/drawing/2014/main" id="{4799B674-ED66-440A-8C16-58E59250FD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4" name="AutoShape 38">
          <a:extLst>
            <a:ext uri="{FF2B5EF4-FFF2-40B4-BE49-F238E27FC236}">
              <a16:creationId xmlns:a16="http://schemas.microsoft.com/office/drawing/2014/main" id="{122967D8-A2EB-43EE-9550-F183F5A3EE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5" name="AutoShape 22">
          <a:extLst>
            <a:ext uri="{FF2B5EF4-FFF2-40B4-BE49-F238E27FC236}">
              <a16:creationId xmlns:a16="http://schemas.microsoft.com/office/drawing/2014/main" id="{10A79384-4854-4B88-B20A-2803F7A970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6" name="AutoShape 18">
          <a:extLst>
            <a:ext uri="{FF2B5EF4-FFF2-40B4-BE49-F238E27FC236}">
              <a16:creationId xmlns:a16="http://schemas.microsoft.com/office/drawing/2014/main" id="{B137C761-547C-4907-B646-FCAD4A1DC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7" name="AutoShape 10">
          <a:extLst>
            <a:ext uri="{FF2B5EF4-FFF2-40B4-BE49-F238E27FC236}">
              <a16:creationId xmlns:a16="http://schemas.microsoft.com/office/drawing/2014/main" id="{406DF21C-FFC1-4321-A5F5-7CB48D6166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8" name="AutoShape 8">
          <a:extLst>
            <a:ext uri="{FF2B5EF4-FFF2-40B4-BE49-F238E27FC236}">
              <a16:creationId xmlns:a16="http://schemas.microsoft.com/office/drawing/2014/main" id="{3BD82FB1-535C-4A2A-B129-A969A56561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19" name="AutoShape 6">
          <a:extLst>
            <a:ext uri="{FF2B5EF4-FFF2-40B4-BE49-F238E27FC236}">
              <a16:creationId xmlns:a16="http://schemas.microsoft.com/office/drawing/2014/main" id="{08801A77-2118-4F68-B204-E20E103C86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0" name="AutoShape 4">
          <a:extLst>
            <a:ext uri="{FF2B5EF4-FFF2-40B4-BE49-F238E27FC236}">
              <a16:creationId xmlns:a16="http://schemas.microsoft.com/office/drawing/2014/main" id="{50F40CEA-F736-4AC6-B56F-81124C54DC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1" name="AutoShape 2">
          <a:extLst>
            <a:ext uri="{FF2B5EF4-FFF2-40B4-BE49-F238E27FC236}">
              <a16:creationId xmlns:a16="http://schemas.microsoft.com/office/drawing/2014/main" id="{09E3864A-9947-4B34-8CF2-A8AE6F7A0C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2" name="AutoShape 44">
          <a:extLst>
            <a:ext uri="{FF2B5EF4-FFF2-40B4-BE49-F238E27FC236}">
              <a16:creationId xmlns:a16="http://schemas.microsoft.com/office/drawing/2014/main" id="{F6816A12-9727-4607-A1EC-AC1DA13823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3" name="AutoShape 42">
          <a:extLst>
            <a:ext uri="{FF2B5EF4-FFF2-40B4-BE49-F238E27FC236}">
              <a16:creationId xmlns:a16="http://schemas.microsoft.com/office/drawing/2014/main" id="{8399608A-43E4-4481-8F59-BDF267B361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4" name="AutoShape 40">
          <a:extLst>
            <a:ext uri="{FF2B5EF4-FFF2-40B4-BE49-F238E27FC236}">
              <a16:creationId xmlns:a16="http://schemas.microsoft.com/office/drawing/2014/main" id="{12D18655-BA23-46E6-9EAE-4DEB6787EAC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5" name="AutoShape 38">
          <a:extLst>
            <a:ext uri="{FF2B5EF4-FFF2-40B4-BE49-F238E27FC236}">
              <a16:creationId xmlns:a16="http://schemas.microsoft.com/office/drawing/2014/main" id="{F265CF09-2BD1-44A5-A4B6-2FF1B0FD38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6" name="AutoShape 22">
          <a:extLst>
            <a:ext uri="{FF2B5EF4-FFF2-40B4-BE49-F238E27FC236}">
              <a16:creationId xmlns:a16="http://schemas.microsoft.com/office/drawing/2014/main" id="{05698A4F-4232-44E8-A947-F5791A2A64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7" name="AutoShape 18">
          <a:extLst>
            <a:ext uri="{FF2B5EF4-FFF2-40B4-BE49-F238E27FC236}">
              <a16:creationId xmlns:a16="http://schemas.microsoft.com/office/drawing/2014/main" id="{93723060-560E-4CEB-92F0-E6BE2F0A3A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8" name="AutoShape 10">
          <a:extLst>
            <a:ext uri="{FF2B5EF4-FFF2-40B4-BE49-F238E27FC236}">
              <a16:creationId xmlns:a16="http://schemas.microsoft.com/office/drawing/2014/main" id="{487D215F-9CAD-46C4-B3E5-39E24B2686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29" name="AutoShape 8">
          <a:extLst>
            <a:ext uri="{FF2B5EF4-FFF2-40B4-BE49-F238E27FC236}">
              <a16:creationId xmlns:a16="http://schemas.microsoft.com/office/drawing/2014/main" id="{E8FA54E0-7F16-409E-BAC6-87640AC997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0" name="AutoShape 6">
          <a:extLst>
            <a:ext uri="{FF2B5EF4-FFF2-40B4-BE49-F238E27FC236}">
              <a16:creationId xmlns:a16="http://schemas.microsoft.com/office/drawing/2014/main" id="{04FA3195-5D8A-4AA1-863B-037489817A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1" name="AutoShape 4">
          <a:extLst>
            <a:ext uri="{FF2B5EF4-FFF2-40B4-BE49-F238E27FC236}">
              <a16:creationId xmlns:a16="http://schemas.microsoft.com/office/drawing/2014/main" id="{3C098B53-202B-455B-AC80-FEF0F34AC0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2" name="AutoShape 2">
          <a:extLst>
            <a:ext uri="{FF2B5EF4-FFF2-40B4-BE49-F238E27FC236}">
              <a16:creationId xmlns:a16="http://schemas.microsoft.com/office/drawing/2014/main" id="{F4E0C812-7D80-4631-B4CD-867D46D1FD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3" name="AutoShape 44">
          <a:extLst>
            <a:ext uri="{FF2B5EF4-FFF2-40B4-BE49-F238E27FC236}">
              <a16:creationId xmlns:a16="http://schemas.microsoft.com/office/drawing/2014/main" id="{38141EFC-895D-4FE2-9E88-2BE535BFD7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4" name="AutoShape 42">
          <a:extLst>
            <a:ext uri="{FF2B5EF4-FFF2-40B4-BE49-F238E27FC236}">
              <a16:creationId xmlns:a16="http://schemas.microsoft.com/office/drawing/2014/main" id="{421C0799-7869-4E97-84AB-8DF6E18F43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5" name="AutoShape 40">
          <a:extLst>
            <a:ext uri="{FF2B5EF4-FFF2-40B4-BE49-F238E27FC236}">
              <a16:creationId xmlns:a16="http://schemas.microsoft.com/office/drawing/2014/main" id="{76E74A95-F84A-4111-BBF2-56F78F31AF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6" name="AutoShape 38">
          <a:extLst>
            <a:ext uri="{FF2B5EF4-FFF2-40B4-BE49-F238E27FC236}">
              <a16:creationId xmlns:a16="http://schemas.microsoft.com/office/drawing/2014/main" id="{BAC376C9-9623-4AB7-AEB5-93FCD3A0A5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7" name="AutoShape 22">
          <a:extLst>
            <a:ext uri="{FF2B5EF4-FFF2-40B4-BE49-F238E27FC236}">
              <a16:creationId xmlns:a16="http://schemas.microsoft.com/office/drawing/2014/main" id="{F115C6B7-D948-4D29-ABA9-E2A64A4342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8" name="AutoShape 18">
          <a:extLst>
            <a:ext uri="{FF2B5EF4-FFF2-40B4-BE49-F238E27FC236}">
              <a16:creationId xmlns:a16="http://schemas.microsoft.com/office/drawing/2014/main" id="{39D0B38F-EEB8-4A79-9173-1D9B908DFA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39" name="AutoShape 10">
          <a:extLst>
            <a:ext uri="{FF2B5EF4-FFF2-40B4-BE49-F238E27FC236}">
              <a16:creationId xmlns:a16="http://schemas.microsoft.com/office/drawing/2014/main" id="{032F0AD3-2544-40AC-846A-BB5A3135C7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0" name="AutoShape 8">
          <a:extLst>
            <a:ext uri="{FF2B5EF4-FFF2-40B4-BE49-F238E27FC236}">
              <a16:creationId xmlns:a16="http://schemas.microsoft.com/office/drawing/2014/main" id="{B22F32A7-3E94-4BED-A295-E4BF857C01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1" name="AutoShape 6">
          <a:extLst>
            <a:ext uri="{FF2B5EF4-FFF2-40B4-BE49-F238E27FC236}">
              <a16:creationId xmlns:a16="http://schemas.microsoft.com/office/drawing/2014/main" id="{D33541ED-A60C-4CD3-A9C1-D0C7797840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2" name="AutoShape 4">
          <a:extLst>
            <a:ext uri="{FF2B5EF4-FFF2-40B4-BE49-F238E27FC236}">
              <a16:creationId xmlns:a16="http://schemas.microsoft.com/office/drawing/2014/main" id="{113C1569-42D5-47AD-BEB8-970BE5F199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3" name="AutoShape 2">
          <a:extLst>
            <a:ext uri="{FF2B5EF4-FFF2-40B4-BE49-F238E27FC236}">
              <a16:creationId xmlns:a16="http://schemas.microsoft.com/office/drawing/2014/main" id="{DFE23F3C-AA7B-416C-89DC-833DFEA4B9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4" name="AutoShape 44">
          <a:extLst>
            <a:ext uri="{FF2B5EF4-FFF2-40B4-BE49-F238E27FC236}">
              <a16:creationId xmlns:a16="http://schemas.microsoft.com/office/drawing/2014/main" id="{79EC559A-50C9-41D3-9BBC-B5E2E0C442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5" name="AutoShape 42">
          <a:extLst>
            <a:ext uri="{FF2B5EF4-FFF2-40B4-BE49-F238E27FC236}">
              <a16:creationId xmlns:a16="http://schemas.microsoft.com/office/drawing/2014/main" id="{3E133C65-3DD4-4F94-B6BE-639ABC1DE9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6" name="AutoShape 40">
          <a:extLst>
            <a:ext uri="{FF2B5EF4-FFF2-40B4-BE49-F238E27FC236}">
              <a16:creationId xmlns:a16="http://schemas.microsoft.com/office/drawing/2014/main" id="{407EA5E0-5AE3-4C75-9775-8B03F4DD69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7" name="AutoShape 38">
          <a:extLst>
            <a:ext uri="{FF2B5EF4-FFF2-40B4-BE49-F238E27FC236}">
              <a16:creationId xmlns:a16="http://schemas.microsoft.com/office/drawing/2014/main" id="{11E1594A-D1A4-4144-A8CF-480A2B94AB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8" name="AutoShape 22">
          <a:extLst>
            <a:ext uri="{FF2B5EF4-FFF2-40B4-BE49-F238E27FC236}">
              <a16:creationId xmlns:a16="http://schemas.microsoft.com/office/drawing/2014/main" id="{EF669D5C-A666-48D9-B61E-E2A976EFB6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49" name="AutoShape 18">
          <a:extLst>
            <a:ext uri="{FF2B5EF4-FFF2-40B4-BE49-F238E27FC236}">
              <a16:creationId xmlns:a16="http://schemas.microsoft.com/office/drawing/2014/main" id="{A26C070A-F059-46AD-A67D-632816CFC4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0" name="AutoShape 10">
          <a:extLst>
            <a:ext uri="{FF2B5EF4-FFF2-40B4-BE49-F238E27FC236}">
              <a16:creationId xmlns:a16="http://schemas.microsoft.com/office/drawing/2014/main" id="{EBDF0BE4-8679-4145-AA42-E6D97CB6E2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1" name="AutoShape 8">
          <a:extLst>
            <a:ext uri="{FF2B5EF4-FFF2-40B4-BE49-F238E27FC236}">
              <a16:creationId xmlns:a16="http://schemas.microsoft.com/office/drawing/2014/main" id="{A883CF6A-F551-4FFF-A902-930AF43D73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2" name="AutoShape 6">
          <a:extLst>
            <a:ext uri="{FF2B5EF4-FFF2-40B4-BE49-F238E27FC236}">
              <a16:creationId xmlns:a16="http://schemas.microsoft.com/office/drawing/2014/main" id="{61620B06-440E-402D-9CB0-29D3B4F3C0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3" name="AutoShape 2">
          <a:extLst>
            <a:ext uri="{FF2B5EF4-FFF2-40B4-BE49-F238E27FC236}">
              <a16:creationId xmlns:a16="http://schemas.microsoft.com/office/drawing/2014/main" id="{9FA7BB3B-75C0-4116-B43E-3DA2C17303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4" name="AutoShape 44">
          <a:extLst>
            <a:ext uri="{FF2B5EF4-FFF2-40B4-BE49-F238E27FC236}">
              <a16:creationId xmlns:a16="http://schemas.microsoft.com/office/drawing/2014/main" id="{87801868-6317-4B61-8373-8FFFFAAF0C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5" name="AutoShape 42">
          <a:extLst>
            <a:ext uri="{FF2B5EF4-FFF2-40B4-BE49-F238E27FC236}">
              <a16:creationId xmlns:a16="http://schemas.microsoft.com/office/drawing/2014/main" id="{E35122F2-1893-4F3E-9109-AD67E60FE8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6" name="AutoShape 40">
          <a:extLst>
            <a:ext uri="{FF2B5EF4-FFF2-40B4-BE49-F238E27FC236}">
              <a16:creationId xmlns:a16="http://schemas.microsoft.com/office/drawing/2014/main" id="{053E5501-E5B0-4F92-B8E9-0DA6507B89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7" name="AutoShape 38">
          <a:extLst>
            <a:ext uri="{FF2B5EF4-FFF2-40B4-BE49-F238E27FC236}">
              <a16:creationId xmlns:a16="http://schemas.microsoft.com/office/drawing/2014/main" id="{2C9F6A26-E196-481F-933F-166222A4BD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8" name="AutoShape 22">
          <a:extLst>
            <a:ext uri="{FF2B5EF4-FFF2-40B4-BE49-F238E27FC236}">
              <a16:creationId xmlns:a16="http://schemas.microsoft.com/office/drawing/2014/main" id="{51C20999-171C-4E79-9E01-24E8558277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59" name="AutoShape 18">
          <a:extLst>
            <a:ext uri="{FF2B5EF4-FFF2-40B4-BE49-F238E27FC236}">
              <a16:creationId xmlns:a16="http://schemas.microsoft.com/office/drawing/2014/main" id="{AEF2CB81-09AB-4E6D-99BF-128EE24C7E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0" name="AutoShape 10">
          <a:extLst>
            <a:ext uri="{FF2B5EF4-FFF2-40B4-BE49-F238E27FC236}">
              <a16:creationId xmlns:a16="http://schemas.microsoft.com/office/drawing/2014/main" id="{55B859B6-59C7-4424-9989-69BB8D95E1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1" name="AutoShape 8">
          <a:extLst>
            <a:ext uri="{FF2B5EF4-FFF2-40B4-BE49-F238E27FC236}">
              <a16:creationId xmlns:a16="http://schemas.microsoft.com/office/drawing/2014/main" id="{2A512252-27C1-43C4-AE23-1598C730E3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2" name="AutoShape 6">
          <a:extLst>
            <a:ext uri="{FF2B5EF4-FFF2-40B4-BE49-F238E27FC236}">
              <a16:creationId xmlns:a16="http://schemas.microsoft.com/office/drawing/2014/main" id="{D0E2948E-87D9-4BA1-94C1-5941692AD9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3" name="AutoShape 2">
          <a:extLst>
            <a:ext uri="{FF2B5EF4-FFF2-40B4-BE49-F238E27FC236}">
              <a16:creationId xmlns:a16="http://schemas.microsoft.com/office/drawing/2014/main" id="{54BE3B3A-F5FA-4032-A843-825EC70B23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4" name="AutoShape 44">
          <a:extLst>
            <a:ext uri="{FF2B5EF4-FFF2-40B4-BE49-F238E27FC236}">
              <a16:creationId xmlns:a16="http://schemas.microsoft.com/office/drawing/2014/main" id="{BDA4F85B-53AF-432C-B832-1B49C647F7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5" name="AutoShape 42">
          <a:extLst>
            <a:ext uri="{FF2B5EF4-FFF2-40B4-BE49-F238E27FC236}">
              <a16:creationId xmlns:a16="http://schemas.microsoft.com/office/drawing/2014/main" id="{581F7CD7-255C-48EF-B4C6-CBB8D21BB6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6" name="AutoShape 40">
          <a:extLst>
            <a:ext uri="{FF2B5EF4-FFF2-40B4-BE49-F238E27FC236}">
              <a16:creationId xmlns:a16="http://schemas.microsoft.com/office/drawing/2014/main" id="{A9D08FB4-9ECF-4B98-8F11-FB10523A65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7" name="AutoShape 38">
          <a:extLst>
            <a:ext uri="{FF2B5EF4-FFF2-40B4-BE49-F238E27FC236}">
              <a16:creationId xmlns:a16="http://schemas.microsoft.com/office/drawing/2014/main" id="{FFD590DE-4F36-428B-9EB4-579101AFD6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8" name="AutoShape 22">
          <a:extLst>
            <a:ext uri="{FF2B5EF4-FFF2-40B4-BE49-F238E27FC236}">
              <a16:creationId xmlns:a16="http://schemas.microsoft.com/office/drawing/2014/main" id="{4EAE87E9-731A-4FBC-9FD4-41424AED5D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69" name="AutoShape 18">
          <a:extLst>
            <a:ext uri="{FF2B5EF4-FFF2-40B4-BE49-F238E27FC236}">
              <a16:creationId xmlns:a16="http://schemas.microsoft.com/office/drawing/2014/main" id="{A8BA7436-97B1-4A73-910A-AB85E13AF7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0" name="AutoShape 10">
          <a:extLst>
            <a:ext uri="{FF2B5EF4-FFF2-40B4-BE49-F238E27FC236}">
              <a16:creationId xmlns:a16="http://schemas.microsoft.com/office/drawing/2014/main" id="{779ED4C0-AE93-4820-8D8E-A7C4C2338C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1" name="AutoShape 8">
          <a:extLst>
            <a:ext uri="{FF2B5EF4-FFF2-40B4-BE49-F238E27FC236}">
              <a16:creationId xmlns:a16="http://schemas.microsoft.com/office/drawing/2014/main" id="{F085E68C-7F8E-4694-80E7-A82C2AF1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2" name="AutoShape 6">
          <a:extLst>
            <a:ext uri="{FF2B5EF4-FFF2-40B4-BE49-F238E27FC236}">
              <a16:creationId xmlns:a16="http://schemas.microsoft.com/office/drawing/2014/main" id="{1CA0DB0A-F0E4-418F-9D02-35F4C57F20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3" name="AutoShape 2">
          <a:extLst>
            <a:ext uri="{FF2B5EF4-FFF2-40B4-BE49-F238E27FC236}">
              <a16:creationId xmlns:a16="http://schemas.microsoft.com/office/drawing/2014/main" id="{6E867825-26E2-492D-A3D7-E6C0ADE297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4" name="AutoShape 44">
          <a:extLst>
            <a:ext uri="{FF2B5EF4-FFF2-40B4-BE49-F238E27FC236}">
              <a16:creationId xmlns:a16="http://schemas.microsoft.com/office/drawing/2014/main" id="{2F56F2D7-D33B-47CA-832D-25AB4DC3E84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5" name="AutoShape 42">
          <a:extLst>
            <a:ext uri="{FF2B5EF4-FFF2-40B4-BE49-F238E27FC236}">
              <a16:creationId xmlns:a16="http://schemas.microsoft.com/office/drawing/2014/main" id="{889C38E4-D697-46E9-9A85-93E530EB61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6" name="AutoShape 40">
          <a:extLst>
            <a:ext uri="{FF2B5EF4-FFF2-40B4-BE49-F238E27FC236}">
              <a16:creationId xmlns:a16="http://schemas.microsoft.com/office/drawing/2014/main" id="{2052D2A2-DDBE-42DF-A3D5-5E500F2B50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7" name="AutoShape 38">
          <a:extLst>
            <a:ext uri="{FF2B5EF4-FFF2-40B4-BE49-F238E27FC236}">
              <a16:creationId xmlns:a16="http://schemas.microsoft.com/office/drawing/2014/main" id="{3E1B9E92-FFEA-416C-B78E-E6116BD23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8" name="AutoShape 22">
          <a:extLst>
            <a:ext uri="{FF2B5EF4-FFF2-40B4-BE49-F238E27FC236}">
              <a16:creationId xmlns:a16="http://schemas.microsoft.com/office/drawing/2014/main" id="{F717819A-B7F8-4A43-A10A-AA2DF0124C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79" name="AutoShape 18">
          <a:extLst>
            <a:ext uri="{FF2B5EF4-FFF2-40B4-BE49-F238E27FC236}">
              <a16:creationId xmlns:a16="http://schemas.microsoft.com/office/drawing/2014/main" id="{DC3A98ED-2BDB-4BF1-94A7-081FB07152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0" name="AutoShape 10">
          <a:extLst>
            <a:ext uri="{FF2B5EF4-FFF2-40B4-BE49-F238E27FC236}">
              <a16:creationId xmlns:a16="http://schemas.microsoft.com/office/drawing/2014/main" id="{A107020F-0125-4651-9CF6-CF77A06F08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1" name="AutoShape 8">
          <a:extLst>
            <a:ext uri="{FF2B5EF4-FFF2-40B4-BE49-F238E27FC236}">
              <a16:creationId xmlns:a16="http://schemas.microsoft.com/office/drawing/2014/main" id="{93521FD8-6709-48FD-8B39-9D261B30C6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2" name="AutoShape 6">
          <a:extLst>
            <a:ext uri="{FF2B5EF4-FFF2-40B4-BE49-F238E27FC236}">
              <a16:creationId xmlns:a16="http://schemas.microsoft.com/office/drawing/2014/main" id="{FA13C3DB-6EF5-4C5D-A7A4-7E651012C4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3" name="AutoShape 2">
          <a:extLst>
            <a:ext uri="{FF2B5EF4-FFF2-40B4-BE49-F238E27FC236}">
              <a16:creationId xmlns:a16="http://schemas.microsoft.com/office/drawing/2014/main" id="{F7EE6A43-2DF2-454A-9197-A249CB26CD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4" name="AutoShape 44">
          <a:extLst>
            <a:ext uri="{FF2B5EF4-FFF2-40B4-BE49-F238E27FC236}">
              <a16:creationId xmlns:a16="http://schemas.microsoft.com/office/drawing/2014/main" id="{5DAB2A02-98DA-4ECA-8366-0C63BA5F24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5" name="AutoShape 42">
          <a:extLst>
            <a:ext uri="{FF2B5EF4-FFF2-40B4-BE49-F238E27FC236}">
              <a16:creationId xmlns:a16="http://schemas.microsoft.com/office/drawing/2014/main" id="{B918DA6A-E4A4-4D7C-93F7-B71B9EEBC4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6" name="AutoShape 40">
          <a:extLst>
            <a:ext uri="{FF2B5EF4-FFF2-40B4-BE49-F238E27FC236}">
              <a16:creationId xmlns:a16="http://schemas.microsoft.com/office/drawing/2014/main" id="{9D0DE857-DCE6-4A01-8B34-D8FFF94371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7" name="AutoShape 38">
          <a:extLst>
            <a:ext uri="{FF2B5EF4-FFF2-40B4-BE49-F238E27FC236}">
              <a16:creationId xmlns:a16="http://schemas.microsoft.com/office/drawing/2014/main" id="{F2F5326F-9F54-4566-B032-82EA3DD629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8" name="AutoShape 22">
          <a:extLst>
            <a:ext uri="{FF2B5EF4-FFF2-40B4-BE49-F238E27FC236}">
              <a16:creationId xmlns:a16="http://schemas.microsoft.com/office/drawing/2014/main" id="{849F4176-E583-4B76-A550-24EC8F53EC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89" name="AutoShape 18">
          <a:extLst>
            <a:ext uri="{FF2B5EF4-FFF2-40B4-BE49-F238E27FC236}">
              <a16:creationId xmlns:a16="http://schemas.microsoft.com/office/drawing/2014/main" id="{451EECE8-BC7A-49D3-AB64-4DFC01285B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0" name="AutoShape 10">
          <a:extLst>
            <a:ext uri="{FF2B5EF4-FFF2-40B4-BE49-F238E27FC236}">
              <a16:creationId xmlns:a16="http://schemas.microsoft.com/office/drawing/2014/main" id="{6CF07266-2819-408E-A3D6-73C61DE0E4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1" name="AutoShape 8">
          <a:extLst>
            <a:ext uri="{FF2B5EF4-FFF2-40B4-BE49-F238E27FC236}">
              <a16:creationId xmlns:a16="http://schemas.microsoft.com/office/drawing/2014/main" id="{C7B59D3C-83D2-4027-A7D8-BFFD85C952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2" name="AutoShape 6">
          <a:extLst>
            <a:ext uri="{FF2B5EF4-FFF2-40B4-BE49-F238E27FC236}">
              <a16:creationId xmlns:a16="http://schemas.microsoft.com/office/drawing/2014/main" id="{65C1855C-139B-4E3F-91DB-F7A5068A31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id="{E16E3322-4C12-47D4-AED6-52FE3653A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4" name="AutoShape 44">
          <a:extLst>
            <a:ext uri="{FF2B5EF4-FFF2-40B4-BE49-F238E27FC236}">
              <a16:creationId xmlns:a16="http://schemas.microsoft.com/office/drawing/2014/main" id="{7EF022AD-07CA-401B-A49F-B9068401DF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5" name="AutoShape 42">
          <a:extLst>
            <a:ext uri="{FF2B5EF4-FFF2-40B4-BE49-F238E27FC236}">
              <a16:creationId xmlns:a16="http://schemas.microsoft.com/office/drawing/2014/main" id="{64A9C5B2-0530-4CBD-B242-1287232345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6" name="AutoShape 40">
          <a:extLst>
            <a:ext uri="{FF2B5EF4-FFF2-40B4-BE49-F238E27FC236}">
              <a16:creationId xmlns:a16="http://schemas.microsoft.com/office/drawing/2014/main" id="{4ACA447B-6521-45C9-8C5D-154C8C17ED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7" name="AutoShape 38">
          <a:extLst>
            <a:ext uri="{FF2B5EF4-FFF2-40B4-BE49-F238E27FC236}">
              <a16:creationId xmlns:a16="http://schemas.microsoft.com/office/drawing/2014/main" id="{6D169FF4-CBBD-479E-AB35-961E3C76A4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8" name="AutoShape 22">
          <a:extLst>
            <a:ext uri="{FF2B5EF4-FFF2-40B4-BE49-F238E27FC236}">
              <a16:creationId xmlns:a16="http://schemas.microsoft.com/office/drawing/2014/main" id="{6105EEB3-80EA-4325-BEE1-EFB7B272ED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599" name="AutoShape 18">
          <a:extLst>
            <a:ext uri="{FF2B5EF4-FFF2-40B4-BE49-F238E27FC236}">
              <a16:creationId xmlns:a16="http://schemas.microsoft.com/office/drawing/2014/main" id="{8BF9CB4B-259F-4C8B-8C7B-DF6D0CC036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0" name="AutoShape 10">
          <a:extLst>
            <a:ext uri="{FF2B5EF4-FFF2-40B4-BE49-F238E27FC236}">
              <a16:creationId xmlns:a16="http://schemas.microsoft.com/office/drawing/2014/main" id="{0DF50E54-CA80-4495-B266-3AFB48E8CA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1" name="AutoShape 8">
          <a:extLst>
            <a:ext uri="{FF2B5EF4-FFF2-40B4-BE49-F238E27FC236}">
              <a16:creationId xmlns:a16="http://schemas.microsoft.com/office/drawing/2014/main" id="{5D0C241A-4118-44B0-A689-2ADBA7E7A4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2" name="AutoShape 6">
          <a:extLst>
            <a:ext uri="{FF2B5EF4-FFF2-40B4-BE49-F238E27FC236}">
              <a16:creationId xmlns:a16="http://schemas.microsoft.com/office/drawing/2014/main" id="{4D4D2448-ABF2-4AB6-9D7F-BBAFBF4835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3" name="AutoShape 2">
          <a:extLst>
            <a:ext uri="{FF2B5EF4-FFF2-40B4-BE49-F238E27FC236}">
              <a16:creationId xmlns:a16="http://schemas.microsoft.com/office/drawing/2014/main" id="{123FCFD5-5E5E-481F-ABD5-6066A0F5EF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4" name="AutoShape 44">
          <a:extLst>
            <a:ext uri="{FF2B5EF4-FFF2-40B4-BE49-F238E27FC236}">
              <a16:creationId xmlns:a16="http://schemas.microsoft.com/office/drawing/2014/main" id="{BB03C2C4-3476-4F8C-98F7-2DB3807E4B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5" name="AutoShape 42">
          <a:extLst>
            <a:ext uri="{FF2B5EF4-FFF2-40B4-BE49-F238E27FC236}">
              <a16:creationId xmlns:a16="http://schemas.microsoft.com/office/drawing/2014/main" id="{05B70A13-4224-4D88-BA15-E2EC5F0210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6" name="AutoShape 40">
          <a:extLst>
            <a:ext uri="{FF2B5EF4-FFF2-40B4-BE49-F238E27FC236}">
              <a16:creationId xmlns:a16="http://schemas.microsoft.com/office/drawing/2014/main" id="{CC5FC930-7D1F-4684-8936-31992FCD5A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7" name="AutoShape 38">
          <a:extLst>
            <a:ext uri="{FF2B5EF4-FFF2-40B4-BE49-F238E27FC236}">
              <a16:creationId xmlns:a16="http://schemas.microsoft.com/office/drawing/2014/main" id="{48FD9B6E-36B0-48BC-8F89-32574B7A29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8" name="AutoShape 22">
          <a:extLst>
            <a:ext uri="{FF2B5EF4-FFF2-40B4-BE49-F238E27FC236}">
              <a16:creationId xmlns:a16="http://schemas.microsoft.com/office/drawing/2014/main" id="{E43C0527-3EB9-4265-ABF5-D25163050D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09" name="AutoShape 10">
          <a:extLst>
            <a:ext uri="{FF2B5EF4-FFF2-40B4-BE49-F238E27FC236}">
              <a16:creationId xmlns:a16="http://schemas.microsoft.com/office/drawing/2014/main" id="{AB44DBA9-9F64-444D-8600-4B8FCAB156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0" name="AutoShape 8">
          <a:extLst>
            <a:ext uri="{FF2B5EF4-FFF2-40B4-BE49-F238E27FC236}">
              <a16:creationId xmlns:a16="http://schemas.microsoft.com/office/drawing/2014/main" id="{8C432151-394F-4078-8071-537AE8127F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1" name="AutoShape 6">
          <a:extLst>
            <a:ext uri="{FF2B5EF4-FFF2-40B4-BE49-F238E27FC236}">
              <a16:creationId xmlns:a16="http://schemas.microsoft.com/office/drawing/2014/main" id="{10D51979-4C4C-44DF-8E66-312FEE9367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2" name="AutoShape 2">
          <a:extLst>
            <a:ext uri="{FF2B5EF4-FFF2-40B4-BE49-F238E27FC236}">
              <a16:creationId xmlns:a16="http://schemas.microsoft.com/office/drawing/2014/main" id="{3724D048-1E13-42BC-8079-630DCA1F14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3" name="AutoShape 44">
          <a:extLst>
            <a:ext uri="{FF2B5EF4-FFF2-40B4-BE49-F238E27FC236}">
              <a16:creationId xmlns:a16="http://schemas.microsoft.com/office/drawing/2014/main" id="{06B3E666-48B1-4EA9-A32D-0F373C19AB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4" name="AutoShape 42">
          <a:extLst>
            <a:ext uri="{FF2B5EF4-FFF2-40B4-BE49-F238E27FC236}">
              <a16:creationId xmlns:a16="http://schemas.microsoft.com/office/drawing/2014/main" id="{AB42CC91-D7DC-406D-B519-26E35C0FEF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5" name="AutoShape 40">
          <a:extLst>
            <a:ext uri="{FF2B5EF4-FFF2-40B4-BE49-F238E27FC236}">
              <a16:creationId xmlns:a16="http://schemas.microsoft.com/office/drawing/2014/main" id="{9D52F6C8-04B0-48BD-9E4E-DFB4A39B0D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6" name="AutoShape 38">
          <a:extLst>
            <a:ext uri="{FF2B5EF4-FFF2-40B4-BE49-F238E27FC236}">
              <a16:creationId xmlns:a16="http://schemas.microsoft.com/office/drawing/2014/main" id="{AB9E96E5-0E44-496F-9176-EF752263C2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7" name="AutoShape 22">
          <a:extLst>
            <a:ext uri="{FF2B5EF4-FFF2-40B4-BE49-F238E27FC236}">
              <a16:creationId xmlns:a16="http://schemas.microsoft.com/office/drawing/2014/main" id="{4E5D060D-4979-40CE-9BCC-525346450A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8" name="AutoShape 10">
          <a:extLst>
            <a:ext uri="{FF2B5EF4-FFF2-40B4-BE49-F238E27FC236}">
              <a16:creationId xmlns:a16="http://schemas.microsoft.com/office/drawing/2014/main" id="{0B45F2AD-1113-44D7-A26E-1BFD41B5F74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19" name="AutoShape 8">
          <a:extLst>
            <a:ext uri="{FF2B5EF4-FFF2-40B4-BE49-F238E27FC236}">
              <a16:creationId xmlns:a16="http://schemas.microsoft.com/office/drawing/2014/main" id="{AD7F0BC6-5EE5-4F6F-AB42-5864D5881D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0" name="AutoShape 6">
          <a:extLst>
            <a:ext uri="{FF2B5EF4-FFF2-40B4-BE49-F238E27FC236}">
              <a16:creationId xmlns:a16="http://schemas.microsoft.com/office/drawing/2014/main" id="{68A0A769-7CE2-4992-AA42-73AE33C13F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1" name="AutoShape 2">
          <a:extLst>
            <a:ext uri="{FF2B5EF4-FFF2-40B4-BE49-F238E27FC236}">
              <a16:creationId xmlns:a16="http://schemas.microsoft.com/office/drawing/2014/main" id="{1EE922BF-D5B8-4FE8-BFB0-0FDD35175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2" name="AutoShape 44">
          <a:extLst>
            <a:ext uri="{FF2B5EF4-FFF2-40B4-BE49-F238E27FC236}">
              <a16:creationId xmlns:a16="http://schemas.microsoft.com/office/drawing/2014/main" id="{F6DAB31D-31A0-490A-B199-F5D686FA71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3" name="AutoShape 42">
          <a:extLst>
            <a:ext uri="{FF2B5EF4-FFF2-40B4-BE49-F238E27FC236}">
              <a16:creationId xmlns:a16="http://schemas.microsoft.com/office/drawing/2014/main" id="{040BF322-87CB-455D-AAD2-C10E608F0A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4" name="AutoShape 40">
          <a:extLst>
            <a:ext uri="{FF2B5EF4-FFF2-40B4-BE49-F238E27FC236}">
              <a16:creationId xmlns:a16="http://schemas.microsoft.com/office/drawing/2014/main" id="{18874A2E-8FCD-4E74-B08D-417FB9D6D5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5" name="AutoShape 38">
          <a:extLst>
            <a:ext uri="{FF2B5EF4-FFF2-40B4-BE49-F238E27FC236}">
              <a16:creationId xmlns:a16="http://schemas.microsoft.com/office/drawing/2014/main" id="{B52EC609-DD8F-4BE7-B109-3265B02A4F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6" name="AutoShape 22">
          <a:extLst>
            <a:ext uri="{FF2B5EF4-FFF2-40B4-BE49-F238E27FC236}">
              <a16:creationId xmlns:a16="http://schemas.microsoft.com/office/drawing/2014/main" id="{EF625E10-EFBC-4575-9C31-538188D006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7" name="AutoShape 10">
          <a:extLst>
            <a:ext uri="{FF2B5EF4-FFF2-40B4-BE49-F238E27FC236}">
              <a16:creationId xmlns:a16="http://schemas.microsoft.com/office/drawing/2014/main" id="{7C5368EB-BD05-4151-A944-CD8C89A2B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8" name="AutoShape 8">
          <a:extLst>
            <a:ext uri="{FF2B5EF4-FFF2-40B4-BE49-F238E27FC236}">
              <a16:creationId xmlns:a16="http://schemas.microsoft.com/office/drawing/2014/main" id="{C5F7440E-E6B4-4E75-9ACE-8720826659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29" name="AutoShape 6">
          <a:extLst>
            <a:ext uri="{FF2B5EF4-FFF2-40B4-BE49-F238E27FC236}">
              <a16:creationId xmlns:a16="http://schemas.microsoft.com/office/drawing/2014/main" id="{0ECC110B-5F13-42AF-B05D-A555C2BF6A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0" name="AutoShape 2">
          <a:extLst>
            <a:ext uri="{FF2B5EF4-FFF2-40B4-BE49-F238E27FC236}">
              <a16:creationId xmlns:a16="http://schemas.microsoft.com/office/drawing/2014/main" id="{8AF3A22F-CE62-4BCA-800D-ECB4C7A4F5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1" name="AutoShape 44">
          <a:extLst>
            <a:ext uri="{FF2B5EF4-FFF2-40B4-BE49-F238E27FC236}">
              <a16:creationId xmlns:a16="http://schemas.microsoft.com/office/drawing/2014/main" id="{33449D1D-3C83-4C78-B17B-AFF1DFC347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2" name="AutoShape 42">
          <a:extLst>
            <a:ext uri="{FF2B5EF4-FFF2-40B4-BE49-F238E27FC236}">
              <a16:creationId xmlns:a16="http://schemas.microsoft.com/office/drawing/2014/main" id="{C21ACF4B-5D28-4D36-894E-140FC352D1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3" name="AutoShape 40">
          <a:extLst>
            <a:ext uri="{FF2B5EF4-FFF2-40B4-BE49-F238E27FC236}">
              <a16:creationId xmlns:a16="http://schemas.microsoft.com/office/drawing/2014/main" id="{4B54A20A-AEC9-4D25-8632-26F157A99F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4" name="AutoShape 38">
          <a:extLst>
            <a:ext uri="{FF2B5EF4-FFF2-40B4-BE49-F238E27FC236}">
              <a16:creationId xmlns:a16="http://schemas.microsoft.com/office/drawing/2014/main" id="{07DEC101-9F59-4E0E-9866-4D2B55EA91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5" name="AutoShape 22">
          <a:extLst>
            <a:ext uri="{FF2B5EF4-FFF2-40B4-BE49-F238E27FC236}">
              <a16:creationId xmlns:a16="http://schemas.microsoft.com/office/drawing/2014/main" id="{331092AB-D8F4-43AE-8641-260251B6B5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6" name="AutoShape 10">
          <a:extLst>
            <a:ext uri="{FF2B5EF4-FFF2-40B4-BE49-F238E27FC236}">
              <a16:creationId xmlns:a16="http://schemas.microsoft.com/office/drawing/2014/main" id="{D7FD74C1-F360-4798-B33D-0D983D253B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7" name="AutoShape 8">
          <a:extLst>
            <a:ext uri="{FF2B5EF4-FFF2-40B4-BE49-F238E27FC236}">
              <a16:creationId xmlns:a16="http://schemas.microsoft.com/office/drawing/2014/main" id="{6973260A-F37B-4C96-AD85-9808E417AE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8" name="AutoShape 6">
          <a:extLst>
            <a:ext uri="{FF2B5EF4-FFF2-40B4-BE49-F238E27FC236}">
              <a16:creationId xmlns:a16="http://schemas.microsoft.com/office/drawing/2014/main" id="{7E7136C1-B668-4F37-8414-51D80D241A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39" name="AutoShape 2">
          <a:extLst>
            <a:ext uri="{FF2B5EF4-FFF2-40B4-BE49-F238E27FC236}">
              <a16:creationId xmlns:a16="http://schemas.microsoft.com/office/drawing/2014/main" id="{7D89CB4D-16B4-4708-8EB7-A235578087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0" name="AutoShape 44">
          <a:extLst>
            <a:ext uri="{FF2B5EF4-FFF2-40B4-BE49-F238E27FC236}">
              <a16:creationId xmlns:a16="http://schemas.microsoft.com/office/drawing/2014/main" id="{B617EA17-0B07-44EE-BD09-EF298D6646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1" name="AutoShape 42">
          <a:extLst>
            <a:ext uri="{FF2B5EF4-FFF2-40B4-BE49-F238E27FC236}">
              <a16:creationId xmlns:a16="http://schemas.microsoft.com/office/drawing/2014/main" id="{472F8C6E-8485-496E-B35E-A5AB02BCB0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2" name="AutoShape 40">
          <a:extLst>
            <a:ext uri="{FF2B5EF4-FFF2-40B4-BE49-F238E27FC236}">
              <a16:creationId xmlns:a16="http://schemas.microsoft.com/office/drawing/2014/main" id="{F2EC290A-D158-4DF2-9A12-97B6AC94A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3" name="AutoShape 38">
          <a:extLst>
            <a:ext uri="{FF2B5EF4-FFF2-40B4-BE49-F238E27FC236}">
              <a16:creationId xmlns:a16="http://schemas.microsoft.com/office/drawing/2014/main" id="{BAC6AB23-4B6C-461C-8518-7AC7AFC664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4" name="AutoShape 22">
          <a:extLst>
            <a:ext uri="{FF2B5EF4-FFF2-40B4-BE49-F238E27FC236}">
              <a16:creationId xmlns:a16="http://schemas.microsoft.com/office/drawing/2014/main" id="{EC41A02E-64F4-44EF-B2D0-B74C01921C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5" name="AutoShape 10">
          <a:extLst>
            <a:ext uri="{FF2B5EF4-FFF2-40B4-BE49-F238E27FC236}">
              <a16:creationId xmlns:a16="http://schemas.microsoft.com/office/drawing/2014/main" id="{DE876934-541D-42F0-BC39-37BBD606D8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6" name="AutoShape 8">
          <a:extLst>
            <a:ext uri="{FF2B5EF4-FFF2-40B4-BE49-F238E27FC236}">
              <a16:creationId xmlns:a16="http://schemas.microsoft.com/office/drawing/2014/main" id="{2F6A85C5-1845-4BF9-A9B4-00131CCAEF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7" name="AutoShape 6">
          <a:extLst>
            <a:ext uri="{FF2B5EF4-FFF2-40B4-BE49-F238E27FC236}">
              <a16:creationId xmlns:a16="http://schemas.microsoft.com/office/drawing/2014/main" id="{6C62B40E-F60B-4200-B245-72F68F25A7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8" name="AutoShape 2">
          <a:extLst>
            <a:ext uri="{FF2B5EF4-FFF2-40B4-BE49-F238E27FC236}">
              <a16:creationId xmlns:a16="http://schemas.microsoft.com/office/drawing/2014/main" id="{832C46D4-99F4-4B89-9376-A7D5B389C2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49" name="AutoShape 44">
          <a:extLst>
            <a:ext uri="{FF2B5EF4-FFF2-40B4-BE49-F238E27FC236}">
              <a16:creationId xmlns:a16="http://schemas.microsoft.com/office/drawing/2014/main" id="{A96EB30C-4F64-4C82-B9FB-483CA06603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0" name="AutoShape 42">
          <a:extLst>
            <a:ext uri="{FF2B5EF4-FFF2-40B4-BE49-F238E27FC236}">
              <a16:creationId xmlns:a16="http://schemas.microsoft.com/office/drawing/2014/main" id="{1FC22BEE-8C0D-41CE-8415-1284A5E296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1" name="AutoShape 40">
          <a:extLst>
            <a:ext uri="{FF2B5EF4-FFF2-40B4-BE49-F238E27FC236}">
              <a16:creationId xmlns:a16="http://schemas.microsoft.com/office/drawing/2014/main" id="{AF054176-2C90-41B5-AAF5-1869147F09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2" name="AutoShape 38">
          <a:extLst>
            <a:ext uri="{FF2B5EF4-FFF2-40B4-BE49-F238E27FC236}">
              <a16:creationId xmlns:a16="http://schemas.microsoft.com/office/drawing/2014/main" id="{24C71866-457B-4BE4-99B8-4BA476A348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3" name="AutoShape 22">
          <a:extLst>
            <a:ext uri="{FF2B5EF4-FFF2-40B4-BE49-F238E27FC236}">
              <a16:creationId xmlns:a16="http://schemas.microsoft.com/office/drawing/2014/main" id="{042080FD-B504-4F8F-814F-0FD60D88F5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4" name="AutoShape 10">
          <a:extLst>
            <a:ext uri="{FF2B5EF4-FFF2-40B4-BE49-F238E27FC236}">
              <a16:creationId xmlns:a16="http://schemas.microsoft.com/office/drawing/2014/main" id="{C349C6C5-283F-4CF1-8F13-CEEC4A15AA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5" name="AutoShape 8">
          <a:extLst>
            <a:ext uri="{FF2B5EF4-FFF2-40B4-BE49-F238E27FC236}">
              <a16:creationId xmlns:a16="http://schemas.microsoft.com/office/drawing/2014/main" id="{C95D7953-8A15-4951-B55D-C42F28BCBC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6" name="AutoShape 6">
          <a:extLst>
            <a:ext uri="{FF2B5EF4-FFF2-40B4-BE49-F238E27FC236}">
              <a16:creationId xmlns:a16="http://schemas.microsoft.com/office/drawing/2014/main" id="{18DC9131-5D37-4BB6-92E5-72ABD22296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7" name="AutoShape 2">
          <a:extLst>
            <a:ext uri="{FF2B5EF4-FFF2-40B4-BE49-F238E27FC236}">
              <a16:creationId xmlns:a16="http://schemas.microsoft.com/office/drawing/2014/main" id="{348BC647-11F0-4154-AD96-215EA3F511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8" name="AutoShape 44">
          <a:extLst>
            <a:ext uri="{FF2B5EF4-FFF2-40B4-BE49-F238E27FC236}">
              <a16:creationId xmlns:a16="http://schemas.microsoft.com/office/drawing/2014/main" id="{2CA9945E-EDDB-45AA-8C84-DB090AACC6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59" name="AutoShape 42">
          <a:extLst>
            <a:ext uri="{FF2B5EF4-FFF2-40B4-BE49-F238E27FC236}">
              <a16:creationId xmlns:a16="http://schemas.microsoft.com/office/drawing/2014/main" id="{BD16E57C-71A7-4ED6-AB32-3E5EC937E1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0" name="AutoShape 40">
          <a:extLst>
            <a:ext uri="{FF2B5EF4-FFF2-40B4-BE49-F238E27FC236}">
              <a16:creationId xmlns:a16="http://schemas.microsoft.com/office/drawing/2014/main" id="{6706D3CA-7905-4239-AE53-9CE366A5DD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1" name="AutoShape 38">
          <a:extLst>
            <a:ext uri="{FF2B5EF4-FFF2-40B4-BE49-F238E27FC236}">
              <a16:creationId xmlns:a16="http://schemas.microsoft.com/office/drawing/2014/main" id="{94A45490-4EDF-4D44-943E-A896D87EDE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2" name="AutoShape 22">
          <a:extLst>
            <a:ext uri="{FF2B5EF4-FFF2-40B4-BE49-F238E27FC236}">
              <a16:creationId xmlns:a16="http://schemas.microsoft.com/office/drawing/2014/main" id="{29262A52-51FA-4CEB-805D-F886C997F4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3" name="AutoShape 10">
          <a:extLst>
            <a:ext uri="{FF2B5EF4-FFF2-40B4-BE49-F238E27FC236}">
              <a16:creationId xmlns:a16="http://schemas.microsoft.com/office/drawing/2014/main" id="{99EDC8ED-5DF0-4E09-9F19-E51F283E4D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4" name="AutoShape 8">
          <a:extLst>
            <a:ext uri="{FF2B5EF4-FFF2-40B4-BE49-F238E27FC236}">
              <a16:creationId xmlns:a16="http://schemas.microsoft.com/office/drawing/2014/main" id="{9917786F-D09C-48B1-99AC-F84562719A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5" name="AutoShape 6">
          <a:extLst>
            <a:ext uri="{FF2B5EF4-FFF2-40B4-BE49-F238E27FC236}">
              <a16:creationId xmlns:a16="http://schemas.microsoft.com/office/drawing/2014/main" id="{71F257A0-7B2B-4D23-8489-E574333AF8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6" name="AutoShape 2">
          <a:extLst>
            <a:ext uri="{FF2B5EF4-FFF2-40B4-BE49-F238E27FC236}">
              <a16:creationId xmlns:a16="http://schemas.microsoft.com/office/drawing/2014/main" id="{5A120C48-2AC7-45B6-BA0D-3D8531AA3B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7" name="AutoShape 44">
          <a:extLst>
            <a:ext uri="{FF2B5EF4-FFF2-40B4-BE49-F238E27FC236}">
              <a16:creationId xmlns:a16="http://schemas.microsoft.com/office/drawing/2014/main" id="{D59422DE-8340-4649-AC8F-23FBDE2CB2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8" name="AutoShape 42">
          <a:extLst>
            <a:ext uri="{FF2B5EF4-FFF2-40B4-BE49-F238E27FC236}">
              <a16:creationId xmlns:a16="http://schemas.microsoft.com/office/drawing/2014/main" id="{1F6A62C1-090B-41BD-AC92-2F24DC3F2F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69" name="AutoShape 40">
          <a:extLst>
            <a:ext uri="{FF2B5EF4-FFF2-40B4-BE49-F238E27FC236}">
              <a16:creationId xmlns:a16="http://schemas.microsoft.com/office/drawing/2014/main" id="{42B5E4D3-99C7-4214-BD7E-1ACBCD5A03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0" name="AutoShape 38">
          <a:extLst>
            <a:ext uri="{FF2B5EF4-FFF2-40B4-BE49-F238E27FC236}">
              <a16:creationId xmlns:a16="http://schemas.microsoft.com/office/drawing/2014/main" id="{959A1F11-C17D-4CFC-A7F2-1053433286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1" name="AutoShape 22">
          <a:extLst>
            <a:ext uri="{FF2B5EF4-FFF2-40B4-BE49-F238E27FC236}">
              <a16:creationId xmlns:a16="http://schemas.microsoft.com/office/drawing/2014/main" id="{5D6C7038-261B-48C9-89C5-0947DF214A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2" name="AutoShape 10">
          <a:extLst>
            <a:ext uri="{FF2B5EF4-FFF2-40B4-BE49-F238E27FC236}">
              <a16:creationId xmlns:a16="http://schemas.microsoft.com/office/drawing/2014/main" id="{C0E1F3ED-0EFE-4F14-9160-885A9328FB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3" name="AutoShape 8">
          <a:extLst>
            <a:ext uri="{FF2B5EF4-FFF2-40B4-BE49-F238E27FC236}">
              <a16:creationId xmlns:a16="http://schemas.microsoft.com/office/drawing/2014/main" id="{0D0E75C2-D161-41AE-BFD7-4471CE2B39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4" name="AutoShape 6">
          <a:extLst>
            <a:ext uri="{FF2B5EF4-FFF2-40B4-BE49-F238E27FC236}">
              <a16:creationId xmlns:a16="http://schemas.microsoft.com/office/drawing/2014/main" id="{714631FD-C98C-4C0C-B954-EF095F382A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5" name="AutoShape 2">
          <a:extLst>
            <a:ext uri="{FF2B5EF4-FFF2-40B4-BE49-F238E27FC236}">
              <a16:creationId xmlns:a16="http://schemas.microsoft.com/office/drawing/2014/main" id="{5FA5F43A-A23F-4E42-8AA0-11E34312C7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6" name="AutoShape 44">
          <a:extLst>
            <a:ext uri="{FF2B5EF4-FFF2-40B4-BE49-F238E27FC236}">
              <a16:creationId xmlns:a16="http://schemas.microsoft.com/office/drawing/2014/main" id="{ED46A5ED-7210-4BEE-A7D5-B65E09ECF4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7" name="AutoShape 42">
          <a:extLst>
            <a:ext uri="{FF2B5EF4-FFF2-40B4-BE49-F238E27FC236}">
              <a16:creationId xmlns:a16="http://schemas.microsoft.com/office/drawing/2014/main" id="{28C815E0-2E47-45B1-8F7A-961ED505C3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8" name="AutoShape 40">
          <a:extLst>
            <a:ext uri="{FF2B5EF4-FFF2-40B4-BE49-F238E27FC236}">
              <a16:creationId xmlns:a16="http://schemas.microsoft.com/office/drawing/2014/main" id="{2318F40C-8C08-476A-AFCE-17C394CD36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79" name="AutoShape 38">
          <a:extLst>
            <a:ext uri="{FF2B5EF4-FFF2-40B4-BE49-F238E27FC236}">
              <a16:creationId xmlns:a16="http://schemas.microsoft.com/office/drawing/2014/main" id="{B8E5DE76-FEDF-4774-892A-86FB598D7E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0" name="AutoShape 22">
          <a:extLst>
            <a:ext uri="{FF2B5EF4-FFF2-40B4-BE49-F238E27FC236}">
              <a16:creationId xmlns:a16="http://schemas.microsoft.com/office/drawing/2014/main" id="{2EF0EBF7-160E-4FB9-BF49-38DF1F5463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1" name="AutoShape 10">
          <a:extLst>
            <a:ext uri="{FF2B5EF4-FFF2-40B4-BE49-F238E27FC236}">
              <a16:creationId xmlns:a16="http://schemas.microsoft.com/office/drawing/2014/main" id="{C8036317-9840-4E2E-92E3-712BED27C6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2" name="AutoShape 8">
          <a:extLst>
            <a:ext uri="{FF2B5EF4-FFF2-40B4-BE49-F238E27FC236}">
              <a16:creationId xmlns:a16="http://schemas.microsoft.com/office/drawing/2014/main" id="{C6A83096-B8E8-4267-866B-15F05A0E57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3" name="AutoShape 6">
          <a:extLst>
            <a:ext uri="{FF2B5EF4-FFF2-40B4-BE49-F238E27FC236}">
              <a16:creationId xmlns:a16="http://schemas.microsoft.com/office/drawing/2014/main" id="{8953D9E3-3BEC-4395-9BD2-4E67CAC627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4" name="AutoShape 2">
          <a:extLst>
            <a:ext uri="{FF2B5EF4-FFF2-40B4-BE49-F238E27FC236}">
              <a16:creationId xmlns:a16="http://schemas.microsoft.com/office/drawing/2014/main" id="{F33F5DCF-2DF7-4FC5-96DC-A06AA036F4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5" name="AutoShape 44">
          <a:extLst>
            <a:ext uri="{FF2B5EF4-FFF2-40B4-BE49-F238E27FC236}">
              <a16:creationId xmlns:a16="http://schemas.microsoft.com/office/drawing/2014/main" id="{2688C822-CDA4-4FED-B0C3-5ED222269C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6" name="AutoShape 42">
          <a:extLst>
            <a:ext uri="{FF2B5EF4-FFF2-40B4-BE49-F238E27FC236}">
              <a16:creationId xmlns:a16="http://schemas.microsoft.com/office/drawing/2014/main" id="{566072DF-A3CB-4CA3-9885-64B2B459CE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7" name="AutoShape 40">
          <a:extLst>
            <a:ext uri="{FF2B5EF4-FFF2-40B4-BE49-F238E27FC236}">
              <a16:creationId xmlns:a16="http://schemas.microsoft.com/office/drawing/2014/main" id="{C1EAC56E-7CBD-466F-99CC-C1CC7463FE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8" name="AutoShape 38">
          <a:extLst>
            <a:ext uri="{FF2B5EF4-FFF2-40B4-BE49-F238E27FC236}">
              <a16:creationId xmlns:a16="http://schemas.microsoft.com/office/drawing/2014/main" id="{CF0E0058-BF5B-4805-9C75-C33F6C7FFC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89" name="AutoShape 22">
          <a:extLst>
            <a:ext uri="{FF2B5EF4-FFF2-40B4-BE49-F238E27FC236}">
              <a16:creationId xmlns:a16="http://schemas.microsoft.com/office/drawing/2014/main" id="{7F849375-BDD2-4143-9A17-F2FD201B51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0" name="AutoShape 10">
          <a:extLst>
            <a:ext uri="{FF2B5EF4-FFF2-40B4-BE49-F238E27FC236}">
              <a16:creationId xmlns:a16="http://schemas.microsoft.com/office/drawing/2014/main" id="{7C695AD9-A2EC-40E0-B33C-6376008A36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1" name="AutoShape 8">
          <a:extLst>
            <a:ext uri="{FF2B5EF4-FFF2-40B4-BE49-F238E27FC236}">
              <a16:creationId xmlns:a16="http://schemas.microsoft.com/office/drawing/2014/main" id="{CF6CE1E5-711A-43BB-95D0-5ED8E445E4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2" name="AutoShape 6">
          <a:extLst>
            <a:ext uri="{FF2B5EF4-FFF2-40B4-BE49-F238E27FC236}">
              <a16:creationId xmlns:a16="http://schemas.microsoft.com/office/drawing/2014/main" id="{BD0917DE-91A8-4738-B0ED-78AC23E0E9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3" name="AutoShape 2">
          <a:extLst>
            <a:ext uri="{FF2B5EF4-FFF2-40B4-BE49-F238E27FC236}">
              <a16:creationId xmlns:a16="http://schemas.microsoft.com/office/drawing/2014/main" id="{24F4D3F3-F2C0-4C86-8ED2-6EED8E1A29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4" name="AutoShape 44">
          <a:extLst>
            <a:ext uri="{FF2B5EF4-FFF2-40B4-BE49-F238E27FC236}">
              <a16:creationId xmlns:a16="http://schemas.microsoft.com/office/drawing/2014/main" id="{A457620A-7C55-475D-AD7D-474DA2517F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5" name="AutoShape 42">
          <a:extLst>
            <a:ext uri="{FF2B5EF4-FFF2-40B4-BE49-F238E27FC236}">
              <a16:creationId xmlns:a16="http://schemas.microsoft.com/office/drawing/2014/main" id="{A534A37B-235F-484F-B0D1-1F41892A57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6" name="AutoShape 40">
          <a:extLst>
            <a:ext uri="{FF2B5EF4-FFF2-40B4-BE49-F238E27FC236}">
              <a16:creationId xmlns:a16="http://schemas.microsoft.com/office/drawing/2014/main" id="{BE43852A-8DF8-42A3-A4BF-9DB2A9C053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7" name="AutoShape 38">
          <a:extLst>
            <a:ext uri="{FF2B5EF4-FFF2-40B4-BE49-F238E27FC236}">
              <a16:creationId xmlns:a16="http://schemas.microsoft.com/office/drawing/2014/main" id="{9555CF39-8A61-472C-87DC-091465C827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8" name="AutoShape 22">
          <a:extLst>
            <a:ext uri="{FF2B5EF4-FFF2-40B4-BE49-F238E27FC236}">
              <a16:creationId xmlns:a16="http://schemas.microsoft.com/office/drawing/2014/main" id="{157B503E-A973-42F5-8BA0-4906BF08FD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699" name="AutoShape 10">
          <a:extLst>
            <a:ext uri="{FF2B5EF4-FFF2-40B4-BE49-F238E27FC236}">
              <a16:creationId xmlns:a16="http://schemas.microsoft.com/office/drawing/2014/main" id="{CFDC68A3-019A-4D97-9DAB-FD3929E87F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700" name="AutoShape 8">
          <a:extLst>
            <a:ext uri="{FF2B5EF4-FFF2-40B4-BE49-F238E27FC236}">
              <a16:creationId xmlns:a16="http://schemas.microsoft.com/office/drawing/2014/main" id="{4D8EB074-39D3-494E-B7AC-78A26AF1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701" name="AutoShape 6">
          <a:extLst>
            <a:ext uri="{FF2B5EF4-FFF2-40B4-BE49-F238E27FC236}">
              <a16:creationId xmlns:a16="http://schemas.microsoft.com/office/drawing/2014/main" id="{E3873999-EA0E-4947-8BAA-A72329C2A4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19050</xdr:colOff>
      <xdr:row>49</xdr:row>
      <xdr:rowOff>76200</xdr:rowOff>
    </xdr:to>
    <xdr:sp macro="" textlink="">
      <xdr:nvSpPr>
        <xdr:cNvPr id="702" name="AutoShape 2">
          <a:extLst>
            <a:ext uri="{FF2B5EF4-FFF2-40B4-BE49-F238E27FC236}">
              <a16:creationId xmlns:a16="http://schemas.microsoft.com/office/drawing/2014/main" id="{A3AC71D6-735F-469E-9F3B-C6AFC448C3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706100" cy="9229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EE5AE-7750-9112-C2AD-A0705BCBA4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1" name="AutoShape 19">
          <a:extLst>
            <a:ext uri="{FF2B5EF4-FFF2-40B4-BE49-F238E27FC236}">
              <a16:creationId xmlns:a16="http://schemas.microsoft.com/office/drawing/2014/main" id="{D2E5953E-BBE0-7738-AB36-6E618B707A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D8B709DD-1505-2378-37C0-729A6AAFBD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6C48B668-BFE1-EAA7-B982-F763424915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553BDF14-8136-4E67-15F8-59227E1B70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DA60932-88BA-D14E-B8C2-47B5B524CC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CFD3BE3A-2F65-8A1A-AD77-56CBA04B2A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45827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703" name="AutoShape 19">
          <a:extLst>
            <a:ext uri="{FF2B5EF4-FFF2-40B4-BE49-F238E27FC236}">
              <a16:creationId xmlns:a16="http://schemas.microsoft.com/office/drawing/2014/main" id="{847875E0-817C-3E59-9049-A18717146A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2" name="AutoShape 18">
          <a:extLst>
            <a:ext uri="{FF2B5EF4-FFF2-40B4-BE49-F238E27FC236}">
              <a16:creationId xmlns:a16="http://schemas.microsoft.com/office/drawing/2014/main" id="{90ADCA38-7C12-150C-35DC-C5C90926FA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3" name="AutoShape 17">
          <a:extLst>
            <a:ext uri="{FF2B5EF4-FFF2-40B4-BE49-F238E27FC236}">
              <a16:creationId xmlns:a16="http://schemas.microsoft.com/office/drawing/2014/main" id="{12A7E5E6-EA76-187E-B57E-0B26E4659B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4" name="AutoShape 16">
          <a:extLst>
            <a:ext uri="{FF2B5EF4-FFF2-40B4-BE49-F238E27FC236}">
              <a16:creationId xmlns:a16="http://schemas.microsoft.com/office/drawing/2014/main" id="{5637B912-E2AC-937F-61E0-B4577115C1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5" name="AutoShape 15">
          <a:extLst>
            <a:ext uri="{FF2B5EF4-FFF2-40B4-BE49-F238E27FC236}">
              <a16:creationId xmlns:a16="http://schemas.microsoft.com/office/drawing/2014/main" id="{800A8769-2648-D400-6196-2D39EFF5EE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6" name="AutoShape 14">
          <a:extLst>
            <a:ext uri="{FF2B5EF4-FFF2-40B4-BE49-F238E27FC236}">
              <a16:creationId xmlns:a16="http://schemas.microsoft.com/office/drawing/2014/main" id="{F7B7CA44-ACDB-C541-F109-214954BAA1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7" name="AutoShape 19">
          <a:extLst>
            <a:ext uri="{FF2B5EF4-FFF2-40B4-BE49-F238E27FC236}">
              <a16:creationId xmlns:a16="http://schemas.microsoft.com/office/drawing/2014/main" id="{EDD617C4-6F04-64FE-5B5C-AB13C27B04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8" name="AutoShape 18">
          <a:extLst>
            <a:ext uri="{FF2B5EF4-FFF2-40B4-BE49-F238E27FC236}">
              <a16:creationId xmlns:a16="http://schemas.microsoft.com/office/drawing/2014/main" id="{38452DE7-506B-DDD0-B012-CAB31941AE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79" name="AutoShape 17">
          <a:extLst>
            <a:ext uri="{FF2B5EF4-FFF2-40B4-BE49-F238E27FC236}">
              <a16:creationId xmlns:a16="http://schemas.microsoft.com/office/drawing/2014/main" id="{F2E6F1B4-A94B-57C8-1701-1A6968223A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0" name="AutoShape 16">
          <a:extLst>
            <a:ext uri="{FF2B5EF4-FFF2-40B4-BE49-F238E27FC236}">
              <a16:creationId xmlns:a16="http://schemas.microsoft.com/office/drawing/2014/main" id="{BEF74E1B-6969-0E75-E999-6FE0219107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1" name="AutoShape 15">
          <a:extLst>
            <a:ext uri="{FF2B5EF4-FFF2-40B4-BE49-F238E27FC236}">
              <a16:creationId xmlns:a16="http://schemas.microsoft.com/office/drawing/2014/main" id="{3C2C8CCD-6BE1-BB51-39A5-9DCC4D3A43F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2" name="AutoShape 19">
          <a:extLst>
            <a:ext uri="{FF2B5EF4-FFF2-40B4-BE49-F238E27FC236}">
              <a16:creationId xmlns:a16="http://schemas.microsoft.com/office/drawing/2014/main" id="{CE42A3D0-B986-BC06-6BAD-7D16A9ACBC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3" name="AutoShape 18">
          <a:extLst>
            <a:ext uri="{FF2B5EF4-FFF2-40B4-BE49-F238E27FC236}">
              <a16:creationId xmlns:a16="http://schemas.microsoft.com/office/drawing/2014/main" id="{DE23F61E-62F4-91D8-A36F-5DC06A50DC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4" name="AutoShape 17">
          <a:extLst>
            <a:ext uri="{FF2B5EF4-FFF2-40B4-BE49-F238E27FC236}">
              <a16:creationId xmlns:a16="http://schemas.microsoft.com/office/drawing/2014/main" id="{9E138D10-14E1-53E2-D4A3-0EC4BB10A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85" name="AutoShape 16">
          <a:extLst>
            <a:ext uri="{FF2B5EF4-FFF2-40B4-BE49-F238E27FC236}">
              <a16:creationId xmlns:a16="http://schemas.microsoft.com/office/drawing/2014/main" id="{18E06B8F-6EA2-6959-AAA3-C200C9702C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3" name="AutoShape 15">
          <a:extLst>
            <a:ext uri="{FF2B5EF4-FFF2-40B4-BE49-F238E27FC236}">
              <a16:creationId xmlns:a16="http://schemas.microsoft.com/office/drawing/2014/main" id="{5E92E518-0C58-DE0D-E59D-43CFBEA168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4" name="AutoShape 19">
          <a:extLst>
            <a:ext uri="{FF2B5EF4-FFF2-40B4-BE49-F238E27FC236}">
              <a16:creationId xmlns:a16="http://schemas.microsoft.com/office/drawing/2014/main" id="{3A74E2AB-9426-FE5C-047D-C8AF2D2AB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5" name="AutoShape 18">
          <a:extLst>
            <a:ext uri="{FF2B5EF4-FFF2-40B4-BE49-F238E27FC236}">
              <a16:creationId xmlns:a16="http://schemas.microsoft.com/office/drawing/2014/main" id="{5C4FE267-DE05-D6E9-3646-43E64448E9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6" name="AutoShape 17">
          <a:extLst>
            <a:ext uri="{FF2B5EF4-FFF2-40B4-BE49-F238E27FC236}">
              <a16:creationId xmlns:a16="http://schemas.microsoft.com/office/drawing/2014/main" id="{7F0AB2E4-C9F0-05DA-5B1D-380D358782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7" name="AutoShape 16">
          <a:extLst>
            <a:ext uri="{FF2B5EF4-FFF2-40B4-BE49-F238E27FC236}">
              <a16:creationId xmlns:a16="http://schemas.microsoft.com/office/drawing/2014/main" id="{1EB83FB5-419D-FC00-BA8D-FE13D3B414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8" name="AutoShape 15">
          <a:extLst>
            <a:ext uri="{FF2B5EF4-FFF2-40B4-BE49-F238E27FC236}">
              <a16:creationId xmlns:a16="http://schemas.microsoft.com/office/drawing/2014/main" id="{BB411E26-A92A-4018-DCBB-80BD697D23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099" name="AutoShape 19">
          <a:extLst>
            <a:ext uri="{FF2B5EF4-FFF2-40B4-BE49-F238E27FC236}">
              <a16:creationId xmlns:a16="http://schemas.microsoft.com/office/drawing/2014/main" id="{531AB692-9797-4F27-875B-A1FBD08E54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100" name="AutoShape 18">
          <a:extLst>
            <a:ext uri="{FF2B5EF4-FFF2-40B4-BE49-F238E27FC236}">
              <a16:creationId xmlns:a16="http://schemas.microsoft.com/office/drawing/2014/main" id="{3FF6B8A1-A47E-2CF0-20F9-920F58BF43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101" name="AutoShape 17">
          <a:extLst>
            <a:ext uri="{FF2B5EF4-FFF2-40B4-BE49-F238E27FC236}">
              <a16:creationId xmlns:a16="http://schemas.microsoft.com/office/drawing/2014/main" id="{268295E0-6A65-16BC-91B3-BD2CE01DB4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102" name="AutoShape 16">
          <a:extLst>
            <a:ext uri="{FF2B5EF4-FFF2-40B4-BE49-F238E27FC236}">
              <a16:creationId xmlns:a16="http://schemas.microsoft.com/office/drawing/2014/main" id="{7F18E292-344D-6813-41A0-BD679755ED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533400</xdr:colOff>
      <xdr:row>51</xdr:row>
      <xdr:rowOff>76200</xdr:rowOff>
    </xdr:to>
    <xdr:sp macro="" textlink="">
      <xdr:nvSpPr>
        <xdr:cNvPr id="3103" name="AutoShape 15">
          <a:extLst>
            <a:ext uri="{FF2B5EF4-FFF2-40B4-BE49-F238E27FC236}">
              <a16:creationId xmlns:a16="http://schemas.microsoft.com/office/drawing/2014/main" id="{026855F7-3F44-DCCC-514B-A0651CE667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5268575" cy="96107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28575</xdr:colOff>
      <xdr:row>165</xdr:row>
      <xdr:rowOff>161925</xdr:rowOff>
    </xdr:from>
    <xdr:to>
      <xdr:col>1</xdr:col>
      <xdr:colOff>25399</xdr:colOff>
      <xdr:row>166</xdr:row>
      <xdr:rowOff>333375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F1DC4155-20F5-A122-D7CE-AA63E2B77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1851600"/>
          <a:ext cx="939799" cy="361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360</xdr:rowOff>
    </xdr:from>
    <xdr:to>
      <xdr:col>8</xdr:col>
      <xdr:colOff>12600</xdr:colOff>
      <xdr:row>62</xdr:row>
      <xdr:rowOff>3240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578F240B-18B1-4BE3-9F10-59B7B7F8425A}"/>
            </a:ext>
          </a:extLst>
        </xdr:cNvPr>
        <xdr:cNvSpPr/>
      </xdr:nvSpPr>
      <xdr:spPr>
        <a:xfrm>
          <a:off x="0" y="360"/>
          <a:ext cx="8118375" cy="105756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12600</xdr:colOff>
      <xdr:row>62</xdr:row>
      <xdr:rowOff>3240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520FF0CA-E463-4987-9706-3EFB37D53C99}"/>
            </a:ext>
          </a:extLst>
        </xdr:cNvPr>
        <xdr:cNvSpPr/>
      </xdr:nvSpPr>
      <xdr:spPr>
        <a:xfrm>
          <a:off x="0" y="360"/>
          <a:ext cx="8118375" cy="105756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12960</xdr:colOff>
      <xdr:row>62</xdr:row>
      <xdr:rowOff>3240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55756251-23AE-4F5A-BE9C-54AA7CD540BE}"/>
            </a:ext>
          </a:extLst>
        </xdr:cNvPr>
        <xdr:cNvSpPr/>
      </xdr:nvSpPr>
      <xdr:spPr>
        <a:xfrm>
          <a:off x="0" y="360"/>
          <a:ext cx="8118735" cy="105756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12960</xdr:colOff>
      <xdr:row>62</xdr:row>
      <xdr:rowOff>3240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1D03116D-645E-44B5-826D-277DE8D2F3BC}"/>
            </a:ext>
          </a:extLst>
        </xdr:cNvPr>
        <xdr:cNvSpPr/>
      </xdr:nvSpPr>
      <xdr:spPr>
        <a:xfrm>
          <a:off x="0" y="360"/>
          <a:ext cx="8118735" cy="105756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13320</xdr:colOff>
      <xdr:row>62</xdr:row>
      <xdr:rowOff>3600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9B10D36C-E838-4541-8A7A-7EA118545F75}"/>
            </a:ext>
          </a:extLst>
        </xdr:cNvPr>
        <xdr:cNvSpPr/>
      </xdr:nvSpPr>
      <xdr:spPr>
        <a:xfrm>
          <a:off x="0" y="360"/>
          <a:ext cx="8119095" cy="10575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13320</xdr:colOff>
      <xdr:row>62</xdr:row>
      <xdr:rowOff>3600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73B98FF8-753D-44E7-BCD9-559A75EE45B5}"/>
            </a:ext>
          </a:extLst>
        </xdr:cNvPr>
        <xdr:cNvSpPr/>
      </xdr:nvSpPr>
      <xdr:spPr>
        <a:xfrm>
          <a:off x="0" y="360"/>
          <a:ext cx="8119095" cy="10575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4A21BB8C-F1A3-45AC-8369-2A3EA4954E62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16A69E5F-E3D3-4B6A-997C-6EE46969239E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4F1CD195-1938-4CF1-BDD3-D86CA63C6439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BE305868-D453-4806-9CE8-4810DBD4D736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F3D97BAA-78E1-4A50-9D9E-ACC063DE6986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13680</xdr:colOff>
      <xdr:row>62</xdr:row>
      <xdr:rowOff>3960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A67BD889-33F3-4D6F-9962-74F40F70A254}"/>
            </a:ext>
          </a:extLst>
        </xdr:cNvPr>
        <xdr:cNvSpPr/>
      </xdr:nvSpPr>
      <xdr:spPr>
        <a:xfrm>
          <a:off x="0" y="360"/>
          <a:ext cx="8119455" cy="1057635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472CD235-E0A5-430D-B608-D95538515977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BB13F5CE-7BE3-4EB1-A339-DA5F33456F1A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94AD6BB4-16D8-4740-891E-56894E06462E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55651B5A-B4FC-4757-99D9-1C751EDA60C3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63B8CC63-981E-4FE4-9596-F9C51C9F985D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14040</xdr:colOff>
      <xdr:row>62</xdr:row>
      <xdr:rowOff>4320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38F8F637-838D-48DB-81D5-5BCB7E345CCE}"/>
            </a:ext>
          </a:extLst>
        </xdr:cNvPr>
        <xdr:cNvSpPr/>
      </xdr:nvSpPr>
      <xdr:spPr>
        <a:xfrm>
          <a:off x="0" y="360"/>
          <a:ext cx="8119815" cy="105767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32DCDEB4-E978-46BB-B0A8-090DF755B17E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F96EF8F1-570B-494B-B2E4-3D2A94A2D8EF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924BBA8-0286-4E6F-A83E-BAE34C7BC735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3CB41B2C-6838-4622-97E6-BCF80B92D8D4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988789FA-8A69-4062-8B92-A2495F3A6968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68EFD649-89F5-4ED1-93E4-993D590DE7EA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2111C148-7F31-4E74-A47E-E601148C71A3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14400</xdr:colOff>
      <xdr:row>62</xdr:row>
      <xdr:rowOff>4680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DFE1110D-91AC-4A7C-821B-4413A87BC4B7}"/>
            </a:ext>
          </a:extLst>
        </xdr:cNvPr>
        <xdr:cNvSpPr/>
      </xdr:nvSpPr>
      <xdr:spPr>
        <a:xfrm>
          <a:off x="0" y="360"/>
          <a:ext cx="8120175" cy="105770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2367DA88-30A6-4ACE-90B0-D1343D4DAF91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168005AC-A37A-4231-BFB3-4564CEE7E47D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E8BF89C0-B529-4A43-9667-9FCDC7AFD874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C3DA402B-61CD-467D-B110-80BF59CB27DC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2C92BDFE-BC34-490F-A978-9DA20C8E2E08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C67D863-5791-4432-9741-DA99EAC655F7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6B582212-A65A-45EE-BFB0-C29C484097C3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14760</xdr:colOff>
      <xdr:row>62</xdr:row>
      <xdr:rowOff>5040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1B1C8337-141B-4EAE-8E11-5C6F096D898F}"/>
            </a:ext>
          </a:extLst>
        </xdr:cNvPr>
        <xdr:cNvSpPr/>
      </xdr:nvSpPr>
      <xdr:spPr>
        <a:xfrm>
          <a:off x="0" y="360"/>
          <a:ext cx="8120535" cy="1057743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D6DF25DF-B92A-46B9-8343-F32068F733FE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E080C72B-2FA3-46BC-8E17-9E4E3D8D5731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A258B03-FF15-4509-A9A7-7ADE93DFA060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920BB426-DF16-4D6C-ABAA-632CC40BC6A0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F9892A3A-5C88-4605-B174-2564F04B0A07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A3E5DD8F-F77D-4A70-8E99-1E0D48A79598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ABAE845F-D65D-4841-8503-C7689A720DE2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8F41CC1B-C52E-427D-82D7-419143C3DED0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705D5C0C-E68C-4D2C-A2B7-A9283650FF16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15120</xdr:colOff>
      <xdr:row>62</xdr:row>
      <xdr:rowOff>5400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208DFF71-40A3-436F-BF8A-1B08D2C4ABD5}"/>
            </a:ext>
          </a:extLst>
        </xdr:cNvPr>
        <xdr:cNvSpPr/>
      </xdr:nvSpPr>
      <xdr:spPr>
        <a:xfrm>
          <a:off x="0" y="360"/>
          <a:ext cx="8120895" cy="105777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4AF138BB-EA1B-4A2B-8E4B-895411D270C7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BA124F98-E147-4384-A950-A33010E9D0CA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B4471345-E3FF-4FBE-9CB4-E7203579288E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33CF90E6-19F6-4EDC-9A8F-047F4208A8C4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96D4D9F7-1337-4A2E-B7A3-270B015B0FEF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70F44D75-F4A5-4DB7-813C-37F4F112ABD6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3BED52AB-64BE-4428-9203-ECC0F9C14FD9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2CF27FAB-6042-4795-830D-9A9F0F7E29E5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76068C18-ED85-4322-8A0E-7A9D734837F4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15840</xdr:colOff>
      <xdr:row>62</xdr:row>
      <xdr:rowOff>6120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9031201F-74DE-4A1C-B858-91B43EF1D959}"/>
            </a:ext>
          </a:extLst>
        </xdr:cNvPr>
        <xdr:cNvSpPr/>
      </xdr:nvSpPr>
      <xdr:spPr>
        <a:xfrm>
          <a:off x="0" y="360"/>
          <a:ext cx="8121615" cy="1057851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309C11FF-A58C-4CDC-8100-93A6F2E58B64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3A27C050-9E7C-4945-AC97-D86A48D0F673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1D897912-6B7D-4616-8CE7-D98A32EC6C84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EE70D4D-CF93-40B6-8E72-0445C2C301CC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35156B4E-2942-4E21-BF51-116108F4BFC9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3A661221-343E-4329-9DDC-14976C75DC9C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3C69759B-E952-43EE-8EA5-815535BB44C4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22617F30-EFA2-4782-BD3C-420D47ACBB5B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A27AA390-F435-4A05-B210-80EF9F8A29E0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16200</xdr:colOff>
      <xdr:row>62</xdr:row>
      <xdr:rowOff>6480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EEEF4CFB-2B49-457A-8E26-7199B240EF58}"/>
            </a:ext>
          </a:extLst>
        </xdr:cNvPr>
        <xdr:cNvSpPr/>
      </xdr:nvSpPr>
      <xdr:spPr>
        <a:xfrm>
          <a:off x="0" y="360"/>
          <a:ext cx="8121975" cy="1057887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DC8EDB01-4A22-4B23-9C80-3C4FE98A0C2E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8CC599A6-8ACF-49F5-8C1E-D3A47B8FCE17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5B32F9FC-280D-4AFC-84A3-EF3596F98C61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7BCDD7CC-2027-4A79-80A3-46894E614259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3ACCEA6A-11F4-4D56-A402-4D10823E79FB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E2F3D14B-CDAB-48D3-90F3-DC62816EBBDC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842DC877-C060-45C1-A0F8-A0F759697804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B6CE34D0-F7F0-4E15-B786-BB11657C2FA6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83A397DC-F504-424B-97CB-C8CE6A0F06D8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9DD5F774-1884-4518-9D05-6991A85FBBB5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D8BAE571-159F-4E12-A2C3-B3013701F6BD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35550D0B-9187-428C-95AC-C04104202A0D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5DBAAA94-74D5-4176-B91D-7CE2EFE1741C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A8C58830-255D-4492-A477-B78235868A51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A3262DDC-4AE6-49E5-83C5-10F285FAAA76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D7F18004-5EFC-47FC-999A-206987D88088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360</xdr:rowOff>
    </xdr:from>
    <xdr:to>
      <xdr:col>8</xdr:col>
      <xdr:colOff>16920</xdr:colOff>
      <xdr:row>62</xdr:row>
      <xdr:rowOff>7200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20843A62-0E97-45DF-8DDB-307FB920E27D}"/>
            </a:ext>
          </a:extLst>
        </xdr:cNvPr>
        <xdr:cNvSpPr/>
      </xdr:nvSpPr>
      <xdr:spPr>
        <a:xfrm>
          <a:off x="0" y="360"/>
          <a:ext cx="8122695" cy="105795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F6030862-B0FE-4A12-9734-2EDD02CBFBF0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CDE91F66-FE33-4416-8101-DCD4847B6E38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ACDE115-65DE-4C21-A4BB-CEF840412F3C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81027FCC-33EC-4ECA-831E-0859BC62C85B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472A44F4-2DE5-4D02-8B2B-6BA826F7B706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EAE1B32D-8E60-4512-8B35-67BC78971C6A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C71A29FB-5BAF-4CEC-8F73-26BFC0EEB485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6762955C-402E-461F-9257-9044D09CA4E4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4D537E93-F112-458D-8C9D-7BF489639D08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A01B7884-0781-4198-84DB-D3600DEC9165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F713107C-5CA9-4C40-A844-4334E0FED154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99FFBF18-78E7-4A77-8A16-F1A11766B7AC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CFD3C050-03E0-4884-9C08-6DE159AA3F8B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388B1593-85FD-4D8A-8A06-67801AF4CFF7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85BD5617-4790-4525-8C51-928F7A56CC4B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14579CE0-44AB-4E8C-BF9F-1B7625B7CB80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18000</xdr:colOff>
      <xdr:row>62</xdr:row>
      <xdr:rowOff>75240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4016DC23-D56D-4E67-B4CA-F5A75543A65F}"/>
            </a:ext>
          </a:extLst>
        </xdr:cNvPr>
        <xdr:cNvSpPr/>
      </xdr:nvSpPr>
      <xdr:spPr>
        <a:xfrm>
          <a:off x="0" y="0"/>
          <a:ext cx="8123775" cy="1064799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D9E4E3F3-B48F-413F-8063-163D0515352F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2C898733-D280-47E5-83E0-6C6A07E22B75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9584AB3B-F48B-459E-BF2D-5F04A9595230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6CA40BB9-5B48-4833-B284-A317D9B79B30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B4AF53EF-4BEC-43EF-9AE7-7364869515FD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D703F774-E880-41DC-B6F4-BD186A013B58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614277CF-75E2-4DAC-B5B0-62076A9DFEE6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CED147B5-2700-477D-9909-471D31CACAC8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558CDB07-9C34-4B47-8BE1-A548A41F65CB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34510A9C-B9EA-4136-B253-5BFAAA062359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2509F0A2-CBC5-4D97-9AA4-620FC7F8ECE3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864950AB-89D8-4C7D-9DCB-BE28E9FEB570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7FD21D3D-4D1A-4D9C-9935-4F4D023BA79C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5394E8C9-43E3-4DCF-BFA7-654A55B28183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6192D13C-8453-4738-B9C2-C4EDB0926936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D5249A8A-0864-404D-821B-060B4501BBFE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F97B88D9-CBE9-4D61-96CE-7E89AC81942B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718C39ED-8B55-4ED5-B86A-76CDDFB1F64F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873DA151-39A4-4A33-B643-2353361E0E19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9C40DBA4-2D13-47C3-B233-149ED8D31B96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4E2CBBC7-4ABE-4987-A7A0-F3E40EF328DA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18360</xdr:colOff>
      <xdr:row>61</xdr:row>
      <xdr:rowOff>75600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DFD5961C-BEF7-4A2A-A85E-E8AC80BF0D74}"/>
            </a:ext>
          </a:extLst>
        </xdr:cNvPr>
        <xdr:cNvSpPr/>
      </xdr:nvSpPr>
      <xdr:spPr>
        <a:xfrm>
          <a:off x="0" y="0"/>
          <a:ext cx="8124135" cy="10457850"/>
        </a:xfrm>
        <a:prstGeom prst="rect">
          <a:avLst/>
        </a:prstGeom>
        <a:solidFill>
          <a:srgbClr val="FFFFFF"/>
        </a:solidFill>
        <a:ln w="9360"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C0251EC-C91E-41B6-9338-CBAC06D0F3B2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75A26AC1-6170-4193-9EB0-6DA7DCA2AE51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98E9B942-2928-43E8-BD6B-E2F6AD3BCF62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9A3B2DA-2EC7-4AB8-BF2A-B3B153AB73B7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9BB08DDE-BC0D-4B53-95F4-43D7A83C4674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93F4E5C7-74D3-4F63-8D72-FC6C37E7E414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4324586A-FBC8-43B2-9BE2-8A476A86291D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80BF03A2-F8A4-429A-9DE6-71871341EA90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555BBF44-C1C1-441F-9CDA-9C73D0B82EAE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1BFA058E-3EEC-495B-AB71-CEB345561AE1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41A01F68-D622-45E9-8B1E-6D97450088DB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38A32077-B107-418C-98CC-DE32BF7E9A7C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C2F7B233-A8E1-4BFB-83AC-5A4B3DD78E11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CDC5C3F1-37FE-4C3D-A944-79EE24E2BF25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23A9FAC4-6128-4FDC-B2C6-65965758EF36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58CCCF91-823E-4CBD-A01C-3CDE06DF6BD1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F42CDB0F-D110-4D33-8A75-3DA6655DFE06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AF68CE7A-6C62-415B-95B7-EF55B6A7459C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BDCF61FF-9AB7-4BC1-AC60-0BEEFD262CE4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446C2287-E537-4013-9CB8-F873E9FADE1D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CAB1EE92-8CD9-433B-8AD0-5086B892311D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18720</xdr:colOff>
      <xdr:row>61</xdr:row>
      <xdr:rowOff>75960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3CA422ED-C175-4EC5-A5A1-9B0FF2D5C0E1}"/>
            </a:ext>
          </a:extLst>
        </xdr:cNvPr>
        <xdr:cNvSpPr/>
      </xdr:nvSpPr>
      <xdr:spPr>
        <a:xfrm>
          <a:off x="0" y="0"/>
          <a:ext cx="8124495" cy="1045821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4" name="AutoShape 44">
          <a:extLst>
            <a:ext uri="{FF2B5EF4-FFF2-40B4-BE49-F238E27FC236}">
              <a16:creationId xmlns:a16="http://schemas.microsoft.com/office/drawing/2014/main" id="{50AA0706-3D69-4451-AFF8-CACC839271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5" name="AutoShape 42">
          <a:extLst>
            <a:ext uri="{FF2B5EF4-FFF2-40B4-BE49-F238E27FC236}">
              <a16:creationId xmlns:a16="http://schemas.microsoft.com/office/drawing/2014/main" id="{D5B961B6-FA13-40F1-ADD2-2097FA5434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6" name="AutoShape 40">
          <a:extLst>
            <a:ext uri="{FF2B5EF4-FFF2-40B4-BE49-F238E27FC236}">
              <a16:creationId xmlns:a16="http://schemas.microsoft.com/office/drawing/2014/main" id="{77BFFBBD-3A8A-4FC9-86E6-274FFD8D29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7" name="AutoShape 38">
          <a:extLst>
            <a:ext uri="{FF2B5EF4-FFF2-40B4-BE49-F238E27FC236}">
              <a16:creationId xmlns:a16="http://schemas.microsoft.com/office/drawing/2014/main" id="{059CEA13-2F22-4385-BD4C-7CB2966AB5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8" name="AutoShape 36">
          <a:extLst>
            <a:ext uri="{FF2B5EF4-FFF2-40B4-BE49-F238E27FC236}">
              <a16:creationId xmlns:a16="http://schemas.microsoft.com/office/drawing/2014/main" id="{0AFDD3CA-1764-48C7-B98C-32259E3C12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49" name="AutoShape 34">
          <a:extLst>
            <a:ext uri="{FF2B5EF4-FFF2-40B4-BE49-F238E27FC236}">
              <a16:creationId xmlns:a16="http://schemas.microsoft.com/office/drawing/2014/main" id="{EF772F40-94C7-44CB-B364-57B38A6264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0" name="AutoShape 32">
          <a:extLst>
            <a:ext uri="{FF2B5EF4-FFF2-40B4-BE49-F238E27FC236}">
              <a16:creationId xmlns:a16="http://schemas.microsoft.com/office/drawing/2014/main" id="{B64B0601-6F4D-49C6-A1C3-A616FE4F4E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1" name="AutoShape 30">
          <a:extLst>
            <a:ext uri="{FF2B5EF4-FFF2-40B4-BE49-F238E27FC236}">
              <a16:creationId xmlns:a16="http://schemas.microsoft.com/office/drawing/2014/main" id="{BDE008BE-7A2E-41FB-9D1B-6D04F88C60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2" name="AutoShape 28">
          <a:extLst>
            <a:ext uri="{FF2B5EF4-FFF2-40B4-BE49-F238E27FC236}">
              <a16:creationId xmlns:a16="http://schemas.microsoft.com/office/drawing/2014/main" id="{6A54F989-FE2D-4949-8B1D-A9BAF402E2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3" name="AutoShape 26">
          <a:extLst>
            <a:ext uri="{FF2B5EF4-FFF2-40B4-BE49-F238E27FC236}">
              <a16:creationId xmlns:a16="http://schemas.microsoft.com/office/drawing/2014/main" id="{E90927B6-FE73-41F6-8317-7F822ACB7C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4" name="AutoShape 24">
          <a:extLst>
            <a:ext uri="{FF2B5EF4-FFF2-40B4-BE49-F238E27FC236}">
              <a16:creationId xmlns:a16="http://schemas.microsoft.com/office/drawing/2014/main" id="{A98A0379-4E9D-460C-857D-611612B149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5" name="AutoShape 22">
          <a:extLst>
            <a:ext uri="{FF2B5EF4-FFF2-40B4-BE49-F238E27FC236}">
              <a16:creationId xmlns:a16="http://schemas.microsoft.com/office/drawing/2014/main" id="{8C605089-9D72-4B30-BAC3-25F3988B72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6" name="AutoShape 20">
          <a:extLst>
            <a:ext uri="{FF2B5EF4-FFF2-40B4-BE49-F238E27FC236}">
              <a16:creationId xmlns:a16="http://schemas.microsoft.com/office/drawing/2014/main" id="{BD089967-9FC4-4B19-A9AA-3E37DAF8B6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7" name="AutoShape 18">
          <a:extLst>
            <a:ext uri="{FF2B5EF4-FFF2-40B4-BE49-F238E27FC236}">
              <a16:creationId xmlns:a16="http://schemas.microsoft.com/office/drawing/2014/main" id="{7F9BDAF5-1082-498F-9950-98EFE826A4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8" name="AutoShape 16">
          <a:extLst>
            <a:ext uri="{FF2B5EF4-FFF2-40B4-BE49-F238E27FC236}">
              <a16:creationId xmlns:a16="http://schemas.microsoft.com/office/drawing/2014/main" id="{42517624-5A2C-4C5A-8EF8-8EE3AC99D6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59" name="AutoShape 14">
          <a:extLst>
            <a:ext uri="{FF2B5EF4-FFF2-40B4-BE49-F238E27FC236}">
              <a16:creationId xmlns:a16="http://schemas.microsoft.com/office/drawing/2014/main" id="{C6E11FFD-C858-4696-9090-33104E6300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0" name="AutoShape 12">
          <a:extLst>
            <a:ext uri="{FF2B5EF4-FFF2-40B4-BE49-F238E27FC236}">
              <a16:creationId xmlns:a16="http://schemas.microsoft.com/office/drawing/2014/main" id="{3D0398C0-C0C2-4AA5-BE0B-C67C2BC7DE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1" name="AutoShape 10">
          <a:extLst>
            <a:ext uri="{FF2B5EF4-FFF2-40B4-BE49-F238E27FC236}">
              <a16:creationId xmlns:a16="http://schemas.microsoft.com/office/drawing/2014/main" id="{2E1508D2-3BCB-4098-ACB1-1A01453360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2" name="AutoShape 8">
          <a:extLst>
            <a:ext uri="{FF2B5EF4-FFF2-40B4-BE49-F238E27FC236}">
              <a16:creationId xmlns:a16="http://schemas.microsoft.com/office/drawing/2014/main" id="{5D1201B3-86DB-4223-8DDF-9D9653E265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3" name="AutoShape 6">
          <a:extLst>
            <a:ext uri="{FF2B5EF4-FFF2-40B4-BE49-F238E27FC236}">
              <a16:creationId xmlns:a16="http://schemas.microsoft.com/office/drawing/2014/main" id="{ED85BF22-18AE-4A08-9CA1-CDC804B4B5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4" name="AutoShape 4">
          <a:extLst>
            <a:ext uri="{FF2B5EF4-FFF2-40B4-BE49-F238E27FC236}">
              <a16:creationId xmlns:a16="http://schemas.microsoft.com/office/drawing/2014/main" id="{D1339691-D54D-4240-B811-2E6E4D53E0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5" name="AutoShape 2">
          <a:extLst>
            <a:ext uri="{FF2B5EF4-FFF2-40B4-BE49-F238E27FC236}">
              <a16:creationId xmlns:a16="http://schemas.microsoft.com/office/drawing/2014/main" id="{10444121-F556-4070-9BEA-B2FDDFB7EA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6" name="AutoShape 44">
          <a:extLst>
            <a:ext uri="{FF2B5EF4-FFF2-40B4-BE49-F238E27FC236}">
              <a16:creationId xmlns:a16="http://schemas.microsoft.com/office/drawing/2014/main" id="{18AC3521-6F23-468D-AD69-E319E8D9233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7" name="AutoShape 42">
          <a:extLst>
            <a:ext uri="{FF2B5EF4-FFF2-40B4-BE49-F238E27FC236}">
              <a16:creationId xmlns:a16="http://schemas.microsoft.com/office/drawing/2014/main" id="{6DAEBDBE-71AD-4E4A-B192-42E89B526D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8" name="AutoShape 40">
          <a:extLst>
            <a:ext uri="{FF2B5EF4-FFF2-40B4-BE49-F238E27FC236}">
              <a16:creationId xmlns:a16="http://schemas.microsoft.com/office/drawing/2014/main" id="{2207FADD-A5D0-4108-8BC3-F6888249D1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69" name="AutoShape 38">
          <a:extLst>
            <a:ext uri="{FF2B5EF4-FFF2-40B4-BE49-F238E27FC236}">
              <a16:creationId xmlns:a16="http://schemas.microsoft.com/office/drawing/2014/main" id="{5046962A-40D3-46B4-921E-873F6ED57DD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0" name="AutoShape 36">
          <a:extLst>
            <a:ext uri="{FF2B5EF4-FFF2-40B4-BE49-F238E27FC236}">
              <a16:creationId xmlns:a16="http://schemas.microsoft.com/office/drawing/2014/main" id="{722C2C2D-5E5D-407C-80B4-3C3082C3C7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1" name="AutoShape 34">
          <a:extLst>
            <a:ext uri="{FF2B5EF4-FFF2-40B4-BE49-F238E27FC236}">
              <a16:creationId xmlns:a16="http://schemas.microsoft.com/office/drawing/2014/main" id="{64B71EE6-CB99-41A2-8176-A1A226030F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2" name="AutoShape 32">
          <a:extLst>
            <a:ext uri="{FF2B5EF4-FFF2-40B4-BE49-F238E27FC236}">
              <a16:creationId xmlns:a16="http://schemas.microsoft.com/office/drawing/2014/main" id="{9A502045-A367-4B58-93EF-95DEA7D765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3" name="AutoShape 30">
          <a:extLst>
            <a:ext uri="{FF2B5EF4-FFF2-40B4-BE49-F238E27FC236}">
              <a16:creationId xmlns:a16="http://schemas.microsoft.com/office/drawing/2014/main" id="{5CB271A9-72A2-4564-AE07-E7BEB49E6B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4" name="AutoShape 28">
          <a:extLst>
            <a:ext uri="{FF2B5EF4-FFF2-40B4-BE49-F238E27FC236}">
              <a16:creationId xmlns:a16="http://schemas.microsoft.com/office/drawing/2014/main" id="{1EE6EF9C-4C5A-474A-95EB-A0E2F26C93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5" name="AutoShape 26">
          <a:extLst>
            <a:ext uri="{FF2B5EF4-FFF2-40B4-BE49-F238E27FC236}">
              <a16:creationId xmlns:a16="http://schemas.microsoft.com/office/drawing/2014/main" id="{AFA0DDAE-90FE-4C03-BF0E-D9BE4506D5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6" name="AutoShape 24">
          <a:extLst>
            <a:ext uri="{FF2B5EF4-FFF2-40B4-BE49-F238E27FC236}">
              <a16:creationId xmlns:a16="http://schemas.microsoft.com/office/drawing/2014/main" id="{255F9C52-43B2-48F2-BABA-5BA194B6A9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7" name="AutoShape 22">
          <a:extLst>
            <a:ext uri="{FF2B5EF4-FFF2-40B4-BE49-F238E27FC236}">
              <a16:creationId xmlns:a16="http://schemas.microsoft.com/office/drawing/2014/main" id="{5978E41D-C77A-4228-80A4-ADF7F4CB908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8" name="AutoShape 20">
          <a:extLst>
            <a:ext uri="{FF2B5EF4-FFF2-40B4-BE49-F238E27FC236}">
              <a16:creationId xmlns:a16="http://schemas.microsoft.com/office/drawing/2014/main" id="{8D201916-4E12-4240-8588-E984C5AAC5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79" name="AutoShape 18">
          <a:extLst>
            <a:ext uri="{FF2B5EF4-FFF2-40B4-BE49-F238E27FC236}">
              <a16:creationId xmlns:a16="http://schemas.microsoft.com/office/drawing/2014/main" id="{90181960-5F64-4F85-80AE-63CB890FA3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0" name="AutoShape 16">
          <a:extLst>
            <a:ext uri="{FF2B5EF4-FFF2-40B4-BE49-F238E27FC236}">
              <a16:creationId xmlns:a16="http://schemas.microsoft.com/office/drawing/2014/main" id="{C4CE1831-FDDE-4DFC-B211-D57F369BD4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1" name="AutoShape 14">
          <a:extLst>
            <a:ext uri="{FF2B5EF4-FFF2-40B4-BE49-F238E27FC236}">
              <a16:creationId xmlns:a16="http://schemas.microsoft.com/office/drawing/2014/main" id="{C9C1F3DC-E136-4D8A-89D0-801E5EA210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2" name="AutoShape 12">
          <a:extLst>
            <a:ext uri="{FF2B5EF4-FFF2-40B4-BE49-F238E27FC236}">
              <a16:creationId xmlns:a16="http://schemas.microsoft.com/office/drawing/2014/main" id="{5B409AE0-F438-4555-8CFA-83A28749FE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3" name="AutoShape 10">
          <a:extLst>
            <a:ext uri="{FF2B5EF4-FFF2-40B4-BE49-F238E27FC236}">
              <a16:creationId xmlns:a16="http://schemas.microsoft.com/office/drawing/2014/main" id="{2F5497F9-800F-48BD-8E11-09F641A578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4" name="AutoShape 8">
          <a:extLst>
            <a:ext uri="{FF2B5EF4-FFF2-40B4-BE49-F238E27FC236}">
              <a16:creationId xmlns:a16="http://schemas.microsoft.com/office/drawing/2014/main" id="{14C8CD78-8A89-4F15-ACE7-3D29BDE508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5" name="AutoShape 6">
          <a:extLst>
            <a:ext uri="{FF2B5EF4-FFF2-40B4-BE49-F238E27FC236}">
              <a16:creationId xmlns:a16="http://schemas.microsoft.com/office/drawing/2014/main" id="{5451923E-8DDF-4D88-BE0F-9E503A1007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6" name="AutoShape 4">
          <a:extLst>
            <a:ext uri="{FF2B5EF4-FFF2-40B4-BE49-F238E27FC236}">
              <a16:creationId xmlns:a16="http://schemas.microsoft.com/office/drawing/2014/main" id="{D310DB26-23B7-4AC0-BCDE-94A13E4764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7" name="AutoShape 2">
          <a:extLst>
            <a:ext uri="{FF2B5EF4-FFF2-40B4-BE49-F238E27FC236}">
              <a16:creationId xmlns:a16="http://schemas.microsoft.com/office/drawing/2014/main" id="{5E33BD8F-12BC-4FD1-8BCB-800523D0AB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8" name="AutoShape 44">
          <a:extLst>
            <a:ext uri="{FF2B5EF4-FFF2-40B4-BE49-F238E27FC236}">
              <a16:creationId xmlns:a16="http://schemas.microsoft.com/office/drawing/2014/main" id="{09F75887-751F-4277-A7C3-7FC97DF07D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89" name="AutoShape 42">
          <a:extLst>
            <a:ext uri="{FF2B5EF4-FFF2-40B4-BE49-F238E27FC236}">
              <a16:creationId xmlns:a16="http://schemas.microsoft.com/office/drawing/2014/main" id="{3328F8BF-A539-426B-9256-CFE2F0D351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0" name="AutoShape 40">
          <a:extLst>
            <a:ext uri="{FF2B5EF4-FFF2-40B4-BE49-F238E27FC236}">
              <a16:creationId xmlns:a16="http://schemas.microsoft.com/office/drawing/2014/main" id="{75147A86-8A0D-4525-9914-0F06D50D82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1" name="AutoShape 38">
          <a:extLst>
            <a:ext uri="{FF2B5EF4-FFF2-40B4-BE49-F238E27FC236}">
              <a16:creationId xmlns:a16="http://schemas.microsoft.com/office/drawing/2014/main" id="{D40D996C-D7E9-4681-A8DF-13A85D4E1A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2" name="AutoShape 36">
          <a:extLst>
            <a:ext uri="{FF2B5EF4-FFF2-40B4-BE49-F238E27FC236}">
              <a16:creationId xmlns:a16="http://schemas.microsoft.com/office/drawing/2014/main" id="{C6FA9B08-25B4-4747-B316-A9790FFF3A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3" name="AutoShape 34">
          <a:extLst>
            <a:ext uri="{FF2B5EF4-FFF2-40B4-BE49-F238E27FC236}">
              <a16:creationId xmlns:a16="http://schemas.microsoft.com/office/drawing/2014/main" id="{9FD9FD4E-0779-4AD7-A9A9-F18340700B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4" name="AutoShape 32">
          <a:extLst>
            <a:ext uri="{FF2B5EF4-FFF2-40B4-BE49-F238E27FC236}">
              <a16:creationId xmlns:a16="http://schemas.microsoft.com/office/drawing/2014/main" id="{96D15250-2277-4224-B512-9708735993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5" name="AutoShape 30">
          <a:extLst>
            <a:ext uri="{FF2B5EF4-FFF2-40B4-BE49-F238E27FC236}">
              <a16:creationId xmlns:a16="http://schemas.microsoft.com/office/drawing/2014/main" id="{5D8980E5-D2E4-466B-9242-2967C975EB2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6" name="AutoShape 28">
          <a:extLst>
            <a:ext uri="{FF2B5EF4-FFF2-40B4-BE49-F238E27FC236}">
              <a16:creationId xmlns:a16="http://schemas.microsoft.com/office/drawing/2014/main" id="{C28AD311-3662-4403-81BE-2CF40E685C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7" name="AutoShape 26">
          <a:extLst>
            <a:ext uri="{FF2B5EF4-FFF2-40B4-BE49-F238E27FC236}">
              <a16:creationId xmlns:a16="http://schemas.microsoft.com/office/drawing/2014/main" id="{39A89603-83BF-4C0E-917C-7BC3E9BDCD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8" name="AutoShape 24">
          <a:extLst>
            <a:ext uri="{FF2B5EF4-FFF2-40B4-BE49-F238E27FC236}">
              <a16:creationId xmlns:a16="http://schemas.microsoft.com/office/drawing/2014/main" id="{F0081531-7AE5-4094-9224-F176B5BE23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199" name="AutoShape 22">
          <a:extLst>
            <a:ext uri="{FF2B5EF4-FFF2-40B4-BE49-F238E27FC236}">
              <a16:creationId xmlns:a16="http://schemas.microsoft.com/office/drawing/2014/main" id="{135A136D-0856-4B95-9884-F63AF34E3B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0" name="AutoShape 20">
          <a:extLst>
            <a:ext uri="{FF2B5EF4-FFF2-40B4-BE49-F238E27FC236}">
              <a16:creationId xmlns:a16="http://schemas.microsoft.com/office/drawing/2014/main" id="{549FB6C4-D3D4-4CA8-BFDE-247C14AB72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1" name="AutoShape 18">
          <a:extLst>
            <a:ext uri="{FF2B5EF4-FFF2-40B4-BE49-F238E27FC236}">
              <a16:creationId xmlns:a16="http://schemas.microsoft.com/office/drawing/2014/main" id="{7A65F054-8A39-4119-957B-773AD00462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2" name="AutoShape 16">
          <a:extLst>
            <a:ext uri="{FF2B5EF4-FFF2-40B4-BE49-F238E27FC236}">
              <a16:creationId xmlns:a16="http://schemas.microsoft.com/office/drawing/2014/main" id="{6415C113-5B18-4D4C-8921-4FB11D21BE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3" name="AutoShape 14">
          <a:extLst>
            <a:ext uri="{FF2B5EF4-FFF2-40B4-BE49-F238E27FC236}">
              <a16:creationId xmlns:a16="http://schemas.microsoft.com/office/drawing/2014/main" id="{28E67285-73A7-4D6F-84B8-7B17391BBC3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4" name="AutoShape 12">
          <a:extLst>
            <a:ext uri="{FF2B5EF4-FFF2-40B4-BE49-F238E27FC236}">
              <a16:creationId xmlns:a16="http://schemas.microsoft.com/office/drawing/2014/main" id="{EB23C66B-7655-4649-897D-3C649364EF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5" name="AutoShape 10">
          <a:extLst>
            <a:ext uri="{FF2B5EF4-FFF2-40B4-BE49-F238E27FC236}">
              <a16:creationId xmlns:a16="http://schemas.microsoft.com/office/drawing/2014/main" id="{1F85AEA2-CD43-4092-8D43-54E7D738CC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6" name="AutoShape 8">
          <a:extLst>
            <a:ext uri="{FF2B5EF4-FFF2-40B4-BE49-F238E27FC236}">
              <a16:creationId xmlns:a16="http://schemas.microsoft.com/office/drawing/2014/main" id="{8BB1210E-032B-44E9-9E4F-9505B0F132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7" name="AutoShape 6">
          <a:extLst>
            <a:ext uri="{FF2B5EF4-FFF2-40B4-BE49-F238E27FC236}">
              <a16:creationId xmlns:a16="http://schemas.microsoft.com/office/drawing/2014/main" id="{25C6C7DE-984B-4178-9E96-BBA6E44202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4738DD46-C14A-4329-9DFE-DFA5D7FB9B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09" name="AutoShape 2">
          <a:extLst>
            <a:ext uri="{FF2B5EF4-FFF2-40B4-BE49-F238E27FC236}">
              <a16:creationId xmlns:a16="http://schemas.microsoft.com/office/drawing/2014/main" id="{137B2037-410A-4ECC-AD4F-F3ABF0BD80D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0" name="AutoShape 44">
          <a:extLst>
            <a:ext uri="{FF2B5EF4-FFF2-40B4-BE49-F238E27FC236}">
              <a16:creationId xmlns:a16="http://schemas.microsoft.com/office/drawing/2014/main" id="{3AF4C397-F485-4075-A75B-FA25E8570D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1" name="AutoShape 42">
          <a:extLst>
            <a:ext uri="{FF2B5EF4-FFF2-40B4-BE49-F238E27FC236}">
              <a16:creationId xmlns:a16="http://schemas.microsoft.com/office/drawing/2014/main" id="{1F4D2A83-E2A6-4057-AD65-5D1730DE99D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2" name="AutoShape 40">
          <a:extLst>
            <a:ext uri="{FF2B5EF4-FFF2-40B4-BE49-F238E27FC236}">
              <a16:creationId xmlns:a16="http://schemas.microsoft.com/office/drawing/2014/main" id="{26D757FF-90A1-4684-884D-FAD12F9DB9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3" name="AutoShape 38">
          <a:extLst>
            <a:ext uri="{FF2B5EF4-FFF2-40B4-BE49-F238E27FC236}">
              <a16:creationId xmlns:a16="http://schemas.microsoft.com/office/drawing/2014/main" id="{FD88DFC7-2D54-4E0C-BCB7-CBA00E5C4D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4" name="AutoShape 36">
          <a:extLst>
            <a:ext uri="{FF2B5EF4-FFF2-40B4-BE49-F238E27FC236}">
              <a16:creationId xmlns:a16="http://schemas.microsoft.com/office/drawing/2014/main" id="{44D9FB15-8AC7-4C52-8AA1-A622E90BB2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5" name="AutoShape 34">
          <a:extLst>
            <a:ext uri="{FF2B5EF4-FFF2-40B4-BE49-F238E27FC236}">
              <a16:creationId xmlns:a16="http://schemas.microsoft.com/office/drawing/2014/main" id="{DF83947B-12B4-48C3-81BA-C478336BAD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6" name="AutoShape 32">
          <a:extLst>
            <a:ext uri="{FF2B5EF4-FFF2-40B4-BE49-F238E27FC236}">
              <a16:creationId xmlns:a16="http://schemas.microsoft.com/office/drawing/2014/main" id="{3F095121-A65C-47D4-B89B-A5733C1B40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7" name="AutoShape 30">
          <a:extLst>
            <a:ext uri="{FF2B5EF4-FFF2-40B4-BE49-F238E27FC236}">
              <a16:creationId xmlns:a16="http://schemas.microsoft.com/office/drawing/2014/main" id="{D89B9AB3-DA53-4CED-8AB0-DB8E5A11CB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8" name="AutoShape 28">
          <a:extLst>
            <a:ext uri="{FF2B5EF4-FFF2-40B4-BE49-F238E27FC236}">
              <a16:creationId xmlns:a16="http://schemas.microsoft.com/office/drawing/2014/main" id="{B8174D6F-7B6F-4EBF-A8D3-586B717057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19" name="AutoShape 26">
          <a:extLst>
            <a:ext uri="{FF2B5EF4-FFF2-40B4-BE49-F238E27FC236}">
              <a16:creationId xmlns:a16="http://schemas.microsoft.com/office/drawing/2014/main" id="{948EBDDB-F398-4A4D-8528-D29072F88D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0" name="AutoShape 24">
          <a:extLst>
            <a:ext uri="{FF2B5EF4-FFF2-40B4-BE49-F238E27FC236}">
              <a16:creationId xmlns:a16="http://schemas.microsoft.com/office/drawing/2014/main" id="{BA2FD53C-8BAF-48D5-B414-DB18CB767E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1" name="AutoShape 22">
          <a:extLst>
            <a:ext uri="{FF2B5EF4-FFF2-40B4-BE49-F238E27FC236}">
              <a16:creationId xmlns:a16="http://schemas.microsoft.com/office/drawing/2014/main" id="{E8AD2CDD-43CC-43B1-B9B9-4B62EC8D73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2" name="AutoShape 20">
          <a:extLst>
            <a:ext uri="{FF2B5EF4-FFF2-40B4-BE49-F238E27FC236}">
              <a16:creationId xmlns:a16="http://schemas.microsoft.com/office/drawing/2014/main" id="{C1963BFD-2DC7-44B3-803E-CC5DCABF54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3" name="AutoShape 18">
          <a:extLst>
            <a:ext uri="{FF2B5EF4-FFF2-40B4-BE49-F238E27FC236}">
              <a16:creationId xmlns:a16="http://schemas.microsoft.com/office/drawing/2014/main" id="{7DCC1095-471C-4332-93CA-01D1E085CF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4" name="AutoShape 16">
          <a:extLst>
            <a:ext uri="{FF2B5EF4-FFF2-40B4-BE49-F238E27FC236}">
              <a16:creationId xmlns:a16="http://schemas.microsoft.com/office/drawing/2014/main" id="{2D54577C-C428-4C35-9B1E-9BE3C8DB68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5" name="AutoShape 14">
          <a:extLst>
            <a:ext uri="{FF2B5EF4-FFF2-40B4-BE49-F238E27FC236}">
              <a16:creationId xmlns:a16="http://schemas.microsoft.com/office/drawing/2014/main" id="{36FC6C8A-E510-4576-948E-6EDC4F02EF2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6" name="AutoShape 12">
          <a:extLst>
            <a:ext uri="{FF2B5EF4-FFF2-40B4-BE49-F238E27FC236}">
              <a16:creationId xmlns:a16="http://schemas.microsoft.com/office/drawing/2014/main" id="{0880082A-6D7D-4A54-84D0-3420186042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7" name="AutoShape 10">
          <a:extLst>
            <a:ext uri="{FF2B5EF4-FFF2-40B4-BE49-F238E27FC236}">
              <a16:creationId xmlns:a16="http://schemas.microsoft.com/office/drawing/2014/main" id="{18ED901F-9695-499B-8F87-CAD370135D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8" name="AutoShape 8">
          <a:extLst>
            <a:ext uri="{FF2B5EF4-FFF2-40B4-BE49-F238E27FC236}">
              <a16:creationId xmlns:a16="http://schemas.microsoft.com/office/drawing/2014/main" id="{E3D7428E-77A2-4D02-9F8A-A1ADA2C705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29" name="AutoShape 6">
          <a:extLst>
            <a:ext uri="{FF2B5EF4-FFF2-40B4-BE49-F238E27FC236}">
              <a16:creationId xmlns:a16="http://schemas.microsoft.com/office/drawing/2014/main" id="{CC886507-729E-459E-AE2F-8BA7A939FC1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0" name="AutoShape 4">
          <a:extLst>
            <a:ext uri="{FF2B5EF4-FFF2-40B4-BE49-F238E27FC236}">
              <a16:creationId xmlns:a16="http://schemas.microsoft.com/office/drawing/2014/main" id="{4AE6BA56-3762-4645-A2E9-14D362E316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1" name="AutoShape 2">
          <a:extLst>
            <a:ext uri="{FF2B5EF4-FFF2-40B4-BE49-F238E27FC236}">
              <a16:creationId xmlns:a16="http://schemas.microsoft.com/office/drawing/2014/main" id="{B660D253-A9F3-4F30-B985-FFCC163517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2" name="AutoShape 44">
          <a:extLst>
            <a:ext uri="{FF2B5EF4-FFF2-40B4-BE49-F238E27FC236}">
              <a16:creationId xmlns:a16="http://schemas.microsoft.com/office/drawing/2014/main" id="{39BD10D2-2BF2-4FF0-A8B7-3F473CCD34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3" name="AutoShape 42">
          <a:extLst>
            <a:ext uri="{FF2B5EF4-FFF2-40B4-BE49-F238E27FC236}">
              <a16:creationId xmlns:a16="http://schemas.microsoft.com/office/drawing/2014/main" id="{EE802944-5B33-4CEB-96BA-118BB09D98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4" name="AutoShape 40">
          <a:extLst>
            <a:ext uri="{FF2B5EF4-FFF2-40B4-BE49-F238E27FC236}">
              <a16:creationId xmlns:a16="http://schemas.microsoft.com/office/drawing/2014/main" id="{53EE7B8D-5588-4A30-8AEB-6995A2C5B2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5" name="AutoShape 38">
          <a:extLst>
            <a:ext uri="{FF2B5EF4-FFF2-40B4-BE49-F238E27FC236}">
              <a16:creationId xmlns:a16="http://schemas.microsoft.com/office/drawing/2014/main" id="{98464EF3-4493-4C65-9274-0166D956CB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6" name="AutoShape 36">
          <a:extLst>
            <a:ext uri="{FF2B5EF4-FFF2-40B4-BE49-F238E27FC236}">
              <a16:creationId xmlns:a16="http://schemas.microsoft.com/office/drawing/2014/main" id="{879684D1-0175-4C9A-B658-E56271D974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7" name="AutoShape 34">
          <a:extLst>
            <a:ext uri="{FF2B5EF4-FFF2-40B4-BE49-F238E27FC236}">
              <a16:creationId xmlns:a16="http://schemas.microsoft.com/office/drawing/2014/main" id="{092C00D7-9ED1-4B5F-8639-66139AF075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8" name="AutoShape 32">
          <a:extLst>
            <a:ext uri="{FF2B5EF4-FFF2-40B4-BE49-F238E27FC236}">
              <a16:creationId xmlns:a16="http://schemas.microsoft.com/office/drawing/2014/main" id="{A8C35CCF-BEBB-402E-A73D-E51B87F679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39" name="AutoShape 30">
          <a:extLst>
            <a:ext uri="{FF2B5EF4-FFF2-40B4-BE49-F238E27FC236}">
              <a16:creationId xmlns:a16="http://schemas.microsoft.com/office/drawing/2014/main" id="{C3A89A2E-B095-4597-A603-7E43A96D62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0" name="AutoShape 28">
          <a:extLst>
            <a:ext uri="{FF2B5EF4-FFF2-40B4-BE49-F238E27FC236}">
              <a16:creationId xmlns:a16="http://schemas.microsoft.com/office/drawing/2014/main" id="{CE501A6D-77CD-40EF-BAEE-88DBB8364A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1" name="AutoShape 26">
          <a:extLst>
            <a:ext uri="{FF2B5EF4-FFF2-40B4-BE49-F238E27FC236}">
              <a16:creationId xmlns:a16="http://schemas.microsoft.com/office/drawing/2014/main" id="{97F94F95-2201-4049-84D0-440E8CB73D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2" name="AutoShape 24">
          <a:extLst>
            <a:ext uri="{FF2B5EF4-FFF2-40B4-BE49-F238E27FC236}">
              <a16:creationId xmlns:a16="http://schemas.microsoft.com/office/drawing/2014/main" id="{23513468-8A36-41F9-8D25-DC43009B6B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3" name="AutoShape 22">
          <a:extLst>
            <a:ext uri="{FF2B5EF4-FFF2-40B4-BE49-F238E27FC236}">
              <a16:creationId xmlns:a16="http://schemas.microsoft.com/office/drawing/2014/main" id="{A87F6A55-6E1A-44EA-BA8D-41260B999D5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4" name="AutoShape 20">
          <a:extLst>
            <a:ext uri="{FF2B5EF4-FFF2-40B4-BE49-F238E27FC236}">
              <a16:creationId xmlns:a16="http://schemas.microsoft.com/office/drawing/2014/main" id="{FBEFC57D-68FE-49A6-AF20-E33A2B98D36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5" name="AutoShape 18">
          <a:extLst>
            <a:ext uri="{FF2B5EF4-FFF2-40B4-BE49-F238E27FC236}">
              <a16:creationId xmlns:a16="http://schemas.microsoft.com/office/drawing/2014/main" id="{CB876B79-C753-4C1F-9113-40631B866D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6" name="AutoShape 16">
          <a:extLst>
            <a:ext uri="{FF2B5EF4-FFF2-40B4-BE49-F238E27FC236}">
              <a16:creationId xmlns:a16="http://schemas.microsoft.com/office/drawing/2014/main" id="{640DFFF6-2BF0-4E7A-86DB-9AEF37E2E2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7" name="AutoShape 14">
          <a:extLst>
            <a:ext uri="{FF2B5EF4-FFF2-40B4-BE49-F238E27FC236}">
              <a16:creationId xmlns:a16="http://schemas.microsoft.com/office/drawing/2014/main" id="{10AC5E41-5A30-451C-B3C5-38FC7F19EA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8" name="AutoShape 12">
          <a:extLst>
            <a:ext uri="{FF2B5EF4-FFF2-40B4-BE49-F238E27FC236}">
              <a16:creationId xmlns:a16="http://schemas.microsoft.com/office/drawing/2014/main" id="{47D77821-1B15-4A1A-88AA-D1F96783A2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49" name="AutoShape 10">
          <a:extLst>
            <a:ext uri="{FF2B5EF4-FFF2-40B4-BE49-F238E27FC236}">
              <a16:creationId xmlns:a16="http://schemas.microsoft.com/office/drawing/2014/main" id="{2F962AEF-7722-4770-9E3E-5A9A58F097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0" name="AutoShape 8">
          <a:extLst>
            <a:ext uri="{FF2B5EF4-FFF2-40B4-BE49-F238E27FC236}">
              <a16:creationId xmlns:a16="http://schemas.microsoft.com/office/drawing/2014/main" id="{ADAAE24C-363F-4160-8253-7C4B952B7D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1" name="AutoShape 6">
          <a:extLst>
            <a:ext uri="{FF2B5EF4-FFF2-40B4-BE49-F238E27FC236}">
              <a16:creationId xmlns:a16="http://schemas.microsoft.com/office/drawing/2014/main" id="{D89BF78E-9C9A-4E0C-8FD2-612AF2BE97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2" name="AutoShape 4">
          <a:extLst>
            <a:ext uri="{FF2B5EF4-FFF2-40B4-BE49-F238E27FC236}">
              <a16:creationId xmlns:a16="http://schemas.microsoft.com/office/drawing/2014/main" id="{A62BDA60-5EE7-4F9C-BA26-7451ABEF56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3" name="AutoShape 2">
          <a:extLst>
            <a:ext uri="{FF2B5EF4-FFF2-40B4-BE49-F238E27FC236}">
              <a16:creationId xmlns:a16="http://schemas.microsoft.com/office/drawing/2014/main" id="{07EAD86B-C656-4778-96A5-16C2EA9B5C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4" name="AutoShape 44">
          <a:extLst>
            <a:ext uri="{FF2B5EF4-FFF2-40B4-BE49-F238E27FC236}">
              <a16:creationId xmlns:a16="http://schemas.microsoft.com/office/drawing/2014/main" id="{BF83D4B4-26C5-48B7-93D7-3FBD540729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5" name="AutoShape 42">
          <a:extLst>
            <a:ext uri="{FF2B5EF4-FFF2-40B4-BE49-F238E27FC236}">
              <a16:creationId xmlns:a16="http://schemas.microsoft.com/office/drawing/2014/main" id="{C44FE906-5D99-4271-9159-1892EA0775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6" name="AutoShape 40">
          <a:extLst>
            <a:ext uri="{FF2B5EF4-FFF2-40B4-BE49-F238E27FC236}">
              <a16:creationId xmlns:a16="http://schemas.microsoft.com/office/drawing/2014/main" id="{511195FD-43B9-45BB-8DC6-2915C93F1C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7" name="AutoShape 38">
          <a:extLst>
            <a:ext uri="{FF2B5EF4-FFF2-40B4-BE49-F238E27FC236}">
              <a16:creationId xmlns:a16="http://schemas.microsoft.com/office/drawing/2014/main" id="{0EB0CD25-6EA6-48C0-BAA0-14B992AA9C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8" name="AutoShape 32">
          <a:extLst>
            <a:ext uri="{FF2B5EF4-FFF2-40B4-BE49-F238E27FC236}">
              <a16:creationId xmlns:a16="http://schemas.microsoft.com/office/drawing/2014/main" id="{98EBE0D9-607A-4275-91D2-ED02D94DC9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59" name="AutoShape 30">
          <a:extLst>
            <a:ext uri="{FF2B5EF4-FFF2-40B4-BE49-F238E27FC236}">
              <a16:creationId xmlns:a16="http://schemas.microsoft.com/office/drawing/2014/main" id="{82B2F22E-0E69-4115-84DC-766028AB01F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0" name="AutoShape 28">
          <a:extLst>
            <a:ext uri="{FF2B5EF4-FFF2-40B4-BE49-F238E27FC236}">
              <a16:creationId xmlns:a16="http://schemas.microsoft.com/office/drawing/2014/main" id="{61F94F40-86DF-430C-B232-FCBE9B839C1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1" name="AutoShape 26">
          <a:extLst>
            <a:ext uri="{FF2B5EF4-FFF2-40B4-BE49-F238E27FC236}">
              <a16:creationId xmlns:a16="http://schemas.microsoft.com/office/drawing/2014/main" id="{353D4EA2-91F3-4E87-912D-96E98DA131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2" name="AutoShape 22">
          <a:extLst>
            <a:ext uri="{FF2B5EF4-FFF2-40B4-BE49-F238E27FC236}">
              <a16:creationId xmlns:a16="http://schemas.microsoft.com/office/drawing/2014/main" id="{7C296DCD-C427-4F4E-9199-80B4693DB0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3" name="AutoShape 18">
          <a:extLst>
            <a:ext uri="{FF2B5EF4-FFF2-40B4-BE49-F238E27FC236}">
              <a16:creationId xmlns:a16="http://schemas.microsoft.com/office/drawing/2014/main" id="{2F83DD4F-A4A7-431A-8C13-96859D2A0E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4" name="AutoShape 16">
          <a:extLst>
            <a:ext uri="{FF2B5EF4-FFF2-40B4-BE49-F238E27FC236}">
              <a16:creationId xmlns:a16="http://schemas.microsoft.com/office/drawing/2014/main" id="{EAE28CCE-8674-49DA-93E8-1606BDD8C8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5" name="AutoShape 10">
          <a:extLst>
            <a:ext uri="{FF2B5EF4-FFF2-40B4-BE49-F238E27FC236}">
              <a16:creationId xmlns:a16="http://schemas.microsoft.com/office/drawing/2014/main" id="{89A613F1-C81F-4E9D-A06A-88CBD50309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6" name="AutoShape 8">
          <a:extLst>
            <a:ext uri="{FF2B5EF4-FFF2-40B4-BE49-F238E27FC236}">
              <a16:creationId xmlns:a16="http://schemas.microsoft.com/office/drawing/2014/main" id="{C9B48311-8BFC-4AED-AB6E-BB92798428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7" name="AutoShape 6">
          <a:extLst>
            <a:ext uri="{FF2B5EF4-FFF2-40B4-BE49-F238E27FC236}">
              <a16:creationId xmlns:a16="http://schemas.microsoft.com/office/drawing/2014/main" id="{6E05AC68-527D-41E5-9F60-4EB1151223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8" name="AutoShape 4">
          <a:extLst>
            <a:ext uri="{FF2B5EF4-FFF2-40B4-BE49-F238E27FC236}">
              <a16:creationId xmlns:a16="http://schemas.microsoft.com/office/drawing/2014/main" id="{5EC4FC3F-CC06-4182-9638-3A9BF1CDBB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69" name="AutoShape 2">
          <a:extLst>
            <a:ext uri="{FF2B5EF4-FFF2-40B4-BE49-F238E27FC236}">
              <a16:creationId xmlns:a16="http://schemas.microsoft.com/office/drawing/2014/main" id="{0CF03735-012F-48FE-9015-460E51CF0F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0" name="AutoShape 44">
          <a:extLst>
            <a:ext uri="{FF2B5EF4-FFF2-40B4-BE49-F238E27FC236}">
              <a16:creationId xmlns:a16="http://schemas.microsoft.com/office/drawing/2014/main" id="{279051C8-1A7A-4A99-AA2F-086CC091CF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1" name="AutoShape 42">
          <a:extLst>
            <a:ext uri="{FF2B5EF4-FFF2-40B4-BE49-F238E27FC236}">
              <a16:creationId xmlns:a16="http://schemas.microsoft.com/office/drawing/2014/main" id="{3DC123EC-8FB1-4680-B609-83E23CBCCE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2" name="AutoShape 40">
          <a:extLst>
            <a:ext uri="{FF2B5EF4-FFF2-40B4-BE49-F238E27FC236}">
              <a16:creationId xmlns:a16="http://schemas.microsoft.com/office/drawing/2014/main" id="{0472E8C1-F42D-42F0-8DCB-FA05353532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3" name="AutoShape 38">
          <a:extLst>
            <a:ext uri="{FF2B5EF4-FFF2-40B4-BE49-F238E27FC236}">
              <a16:creationId xmlns:a16="http://schemas.microsoft.com/office/drawing/2014/main" id="{B0704C58-5D6B-4206-81AE-0D6D18631A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4" name="AutoShape 32">
          <a:extLst>
            <a:ext uri="{FF2B5EF4-FFF2-40B4-BE49-F238E27FC236}">
              <a16:creationId xmlns:a16="http://schemas.microsoft.com/office/drawing/2014/main" id="{FC766CEF-EFE9-4EDD-BF2F-D4614228B5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5" name="AutoShape 30">
          <a:extLst>
            <a:ext uri="{FF2B5EF4-FFF2-40B4-BE49-F238E27FC236}">
              <a16:creationId xmlns:a16="http://schemas.microsoft.com/office/drawing/2014/main" id="{F9AF938B-F0B0-4C27-8905-B2A1F73BD2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6" name="AutoShape 28">
          <a:extLst>
            <a:ext uri="{FF2B5EF4-FFF2-40B4-BE49-F238E27FC236}">
              <a16:creationId xmlns:a16="http://schemas.microsoft.com/office/drawing/2014/main" id="{3871166B-77A6-441A-928A-176A3B75FC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7" name="AutoShape 26">
          <a:extLst>
            <a:ext uri="{FF2B5EF4-FFF2-40B4-BE49-F238E27FC236}">
              <a16:creationId xmlns:a16="http://schemas.microsoft.com/office/drawing/2014/main" id="{E9E27BC6-40D1-4A72-AC18-A2D1211A4E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8" name="AutoShape 22">
          <a:extLst>
            <a:ext uri="{FF2B5EF4-FFF2-40B4-BE49-F238E27FC236}">
              <a16:creationId xmlns:a16="http://schemas.microsoft.com/office/drawing/2014/main" id="{3EF34D4B-21F7-44D7-B96D-0C822376FA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79" name="AutoShape 18">
          <a:extLst>
            <a:ext uri="{FF2B5EF4-FFF2-40B4-BE49-F238E27FC236}">
              <a16:creationId xmlns:a16="http://schemas.microsoft.com/office/drawing/2014/main" id="{E14D8970-BFCB-4D3A-B7D5-975028BD19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0" name="AutoShape 16">
          <a:extLst>
            <a:ext uri="{FF2B5EF4-FFF2-40B4-BE49-F238E27FC236}">
              <a16:creationId xmlns:a16="http://schemas.microsoft.com/office/drawing/2014/main" id="{DD1579D8-F0CB-4AB4-9CF8-B5AC56E0E5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1" name="AutoShape 10">
          <a:extLst>
            <a:ext uri="{FF2B5EF4-FFF2-40B4-BE49-F238E27FC236}">
              <a16:creationId xmlns:a16="http://schemas.microsoft.com/office/drawing/2014/main" id="{B45E8EFD-E0C9-45F0-A1AB-C6D9025A9E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2" name="AutoShape 8">
          <a:extLst>
            <a:ext uri="{FF2B5EF4-FFF2-40B4-BE49-F238E27FC236}">
              <a16:creationId xmlns:a16="http://schemas.microsoft.com/office/drawing/2014/main" id="{2D929ECB-59C5-4A40-BBD1-4F4AFC0D6C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3" name="AutoShape 6">
          <a:extLst>
            <a:ext uri="{FF2B5EF4-FFF2-40B4-BE49-F238E27FC236}">
              <a16:creationId xmlns:a16="http://schemas.microsoft.com/office/drawing/2014/main" id="{793C7CFB-E336-4EED-8DB5-D4A2927801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4" name="AutoShape 4">
          <a:extLst>
            <a:ext uri="{FF2B5EF4-FFF2-40B4-BE49-F238E27FC236}">
              <a16:creationId xmlns:a16="http://schemas.microsoft.com/office/drawing/2014/main" id="{B004A9AC-2216-4D2E-9CC5-37042E758C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5" name="AutoShape 2">
          <a:extLst>
            <a:ext uri="{FF2B5EF4-FFF2-40B4-BE49-F238E27FC236}">
              <a16:creationId xmlns:a16="http://schemas.microsoft.com/office/drawing/2014/main" id="{E25E3A75-DE28-4385-9B4E-EFB518CF8F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6" name="AutoShape 44">
          <a:extLst>
            <a:ext uri="{FF2B5EF4-FFF2-40B4-BE49-F238E27FC236}">
              <a16:creationId xmlns:a16="http://schemas.microsoft.com/office/drawing/2014/main" id="{843B4909-256B-42AD-A0A3-E78539CCDA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7" name="AutoShape 42">
          <a:extLst>
            <a:ext uri="{FF2B5EF4-FFF2-40B4-BE49-F238E27FC236}">
              <a16:creationId xmlns:a16="http://schemas.microsoft.com/office/drawing/2014/main" id="{9FECBBF9-AE1B-4D4D-92C9-B8617907E7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8" name="AutoShape 40">
          <a:extLst>
            <a:ext uri="{FF2B5EF4-FFF2-40B4-BE49-F238E27FC236}">
              <a16:creationId xmlns:a16="http://schemas.microsoft.com/office/drawing/2014/main" id="{65C3C26A-91CE-4387-BB14-7BEF298543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89" name="AutoShape 38">
          <a:extLst>
            <a:ext uri="{FF2B5EF4-FFF2-40B4-BE49-F238E27FC236}">
              <a16:creationId xmlns:a16="http://schemas.microsoft.com/office/drawing/2014/main" id="{29DAED29-FB2D-4FC8-903D-A5C848241C2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0" name="AutoShape 32">
          <a:extLst>
            <a:ext uri="{FF2B5EF4-FFF2-40B4-BE49-F238E27FC236}">
              <a16:creationId xmlns:a16="http://schemas.microsoft.com/office/drawing/2014/main" id="{F0125049-42FE-43A2-97B4-BBADD6C6CA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1" name="AutoShape 30">
          <a:extLst>
            <a:ext uri="{FF2B5EF4-FFF2-40B4-BE49-F238E27FC236}">
              <a16:creationId xmlns:a16="http://schemas.microsoft.com/office/drawing/2014/main" id="{4E538ADD-4140-4F9C-B013-1D9B43ACFD4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2" name="AutoShape 28">
          <a:extLst>
            <a:ext uri="{FF2B5EF4-FFF2-40B4-BE49-F238E27FC236}">
              <a16:creationId xmlns:a16="http://schemas.microsoft.com/office/drawing/2014/main" id="{B469D4A8-97E8-402E-9AF7-B36BA27F6C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3" name="AutoShape 26">
          <a:extLst>
            <a:ext uri="{FF2B5EF4-FFF2-40B4-BE49-F238E27FC236}">
              <a16:creationId xmlns:a16="http://schemas.microsoft.com/office/drawing/2014/main" id="{1CD3CB7B-4207-45C0-8CC8-B9F1ABDB12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4" name="AutoShape 22">
          <a:extLst>
            <a:ext uri="{FF2B5EF4-FFF2-40B4-BE49-F238E27FC236}">
              <a16:creationId xmlns:a16="http://schemas.microsoft.com/office/drawing/2014/main" id="{3FF3B681-FB56-4E4A-BAD6-7B2550C7B9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5" name="AutoShape 18">
          <a:extLst>
            <a:ext uri="{FF2B5EF4-FFF2-40B4-BE49-F238E27FC236}">
              <a16:creationId xmlns:a16="http://schemas.microsoft.com/office/drawing/2014/main" id="{7D42508B-3CAE-4DF2-AA84-52B89B0737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6" name="AutoShape 16">
          <a:extLst>
            <a:ext uri="{FF2B5EF4-FFF2-40B4-BE49-F238E27FC236}">
              <a16:creationId xmlns:a16="http://schemas.microsoft.com/office/drawing/2014/main" id="{E7216FC3-B674-42F6-9A89-3DBF819C7D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7" name="AutoShape 10">
          <a:extLst>
            <a:ext uri="{FF2B5EF4-FFF2-40B4-BE49-F238E27FC236}">
              <a16:creationId xmlns:a16="http://schemas.microsoft.com/office/drawing/2014/main" id="{1853AC0A-5AEE-4135-96A2-40EF940A6D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8" name="AutoShape 8">
          <a:extLst>
            <a:ext uri="{FF2B5EF4-FFF2-40B4-BE49-F238E27FC236}">
              <a16:creationId xmlns:a16="http://schemas.microsoft.com/office/drawing/2014/main" id="{A1D913B1-0472-4B2C-8B16-28193AAFCF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299" name="AutoShape 6">
          <a:extLst>
            <a:ext uri="{FF2B5EF4-FFF2-40B4-BE49-F238E27FC236}">
              <a16:creationId xmlns:a16="http://schemas.microsoft.com/office/drawing/2014/main" id="{8449816C-7C79-4E1E-A25B-3C9B69B3A2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C7AB0E98-E783-453B-AAD5-3D0F7AC142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1" name="AutoShape 2">
          <a:extLst>
            <a:ext uri="{FF2B5EF4-FFF2-40B4-BE49-F238E27FC236}">
              <a16:creationId xmlns:a16="http://schemas.microsoft.com/office/drawing/2014/main" id="{AEE565A6-3782-4C44-808C-8884F726E0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2" name="AutoShape 44">
          <a:extLst>
            <a:ext uri="{FF2B5EF4-FFF2-40B4-BE49-F238E27FC236}">
              <a16:creationId xmlns:a16="http://schemas.microsoft.com/office/drawing/2014/main" id="{E9C03DEA-CD9E-405A-B556-CD7D93473A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3" name="AutoShape 42">
          <a:extLst>
            <a:ext uri="{FF2B5EF4-FFF2-40B4-BE49-F238E27FC236}">
              <a16:creationId xmlns:a16="http://schemas.microsoft.com/office/drawing/2014/main" id="{23B207C7-C183-400A-B5E6-CBB9EDFDB9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4" name="AutoShape 40">
          <a:extLst>
            <a:ext uri="{FF2B5EF4-FFF2-40B4-BE49-F238E27FC236}">
              <a16:creationId xmlns:a16="http://schemas.microsoft.com/office/drawing/2014/main" id="{2AAEB07A-4856-4F05-ABAA-ED50504116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5" name="AutoShape 38">
          <a:extLst>
            <a:ext uri="{FF2B5EF4-FFF2-40B4-BE49-F238E27FC236}">
              <a16:creationId xmlns:a16="http://schemas.microsoft.com/office/drawing/2014/main" id="{9B06BE85-DC2F-4208-B46C-120EDBB4AD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6" name="AutoShape 32">
          <a:extLst>
            <a:ext uri="{FF2B5EF4-FFF2-40B4-BE49-F238E27FC236}">
              <a16:creationId xmlns:a16="http://schemas.microsoft.com/office/drawing/2014/main" id="{03EBC22E-02CB-4BEC-9CE5-0CFB844FA2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7" name="AutoShape 30">
          <a:extLst>
            <a:ext uri="{FF2B5EF4-FFF2-40B4-BE49-F238E27FC236}">
              <a16:creationId xmlns:a16="http://schemas.microsoft.com/office/drawing/2014/main" id="{5F423245-424E-4F7D-8760-C97B733ECBE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8" name="AutoShape 28">
          <a:extLst>
            <a:ext uri="{FF2B5EF4-FFF2-40B4-BE49-F238E27FC236}">
              <a16:creationId xmlns:a16="http://schemas.microsoft.com/office/drawing/2014/main" id="{6AD122DA-569F-427B-84D9-C0F41E288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09" name="AutoShape 26">
          <a:extLst>
            <a:ext uri="{FF2B5EF4-FFF2-40B4-BE49-F238E27FC236}">
              <a16:creationId xmlns:a16="http://schemas.microsoft.com/office/drawing/2014/main" id="{6DEA0E61-5314-45B3-AB6B-B1FD44E05E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0" name="AutoShape 22">
          <a:extLst>
            <a:ext uri="{FF2B5EF4-FFF2-40B4-BE49-F238E27FC236}">
              <a16:creationId xmlns:a16="http://schemas.microsoft.com/office/drawing/2014/main" id="{3CB35162-AE70-442C-9876-149BE14462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1" name="AutoShape 18">
          <a:extLst>
            <a:ext uri="{FF2B5EF4-FFF2-40B4-BE49-F238E27FC236}">
              <a16:creationId xmlns:a16="http://schemas.microsoft.com/office/drawing/2014/main" id="{4EA2E698-F494-4867-A0B1-273B98B282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2" name="AutoShape 16">
          <a:extLst>
            <a:ext uri="{FF2B5EF4-FFF2-40B4-BE49-F238E27FC236}">
              <a16:creationId xmlns:a16="http://schemas.microsoft.com/office/drawing/2014/main" id="{BF1604A6-D944-4928-BD2F-0328E0B9159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3" name="AutoShape 10">
          <a:extLst>
            <a:ext uri="{FF2B5EF4-FFF2-40B4-BE49-F238E27FC236}">
              <a16:creationId xmlns:a16="http://schemas.microsoft.com/office/drawing/2014/main" id="{09D53B51-E444-4B8A-9B34-A7CC0E363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4" name="AutoShape 8">
          <a:extLst>
            <a:ext uri="{FF2B5EF4-FFF2-40B4-BE49-F238E27FC236}">
              <a16:creationId xmlns:a16="http://schemas.microsoft.com/office/drawing/2014/main" id="{76AF5084-965B-4826-A2F8-E41BF10665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5" name="AutoShape 6">
          <a:extLst>
            <a:ext uri="{FF2B5EF4-FFF2-40B4-BE49-F238E27FC236}">
              <a16:creationId xmlns:a16="http://schemas.microsoft.com/office/drawing/2014/main" id="{86CE7BFC-ED30-4A64-A91F-2C234D1BA9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6" name="AutoShape 4">
          <a:extLst>
            <a:ext uri="{FF2B5EF4-FFF2-40B4-BE49-F238E27FC236}">
              <a16:creationId xmlns:a16="http://schemas.microsoft.com/office/drawing/2014/main" id="{9D01A730-3C05-4DE0-B6BE-FC5067B89E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7" name="AutoShape 2">
          <a:extLst>
            <a:ext uri="{FF2B5EF4-FFF2-40B4-BE49-F238E27FC236}">
              <a16:creationId xmlns:a16="http://schemas.microsoft.com/office/drawing/2014/main" id="{106CB6A4-2DB3-4FAE-9FA8-9465F03FED9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8" name="AutoShape 44">
          <a:extLst>
            <a:ext uri="{FF2B5EF4-FFF2-40B4-BE49-F238E27FC236}">
              <a16:creationId xmlns:a16="http://schemas.microsoft.com/office/drawing/2014/main" id="{83D60FC9-171C-451C-9E66-370C93CA82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19" name="AutoShape 42">
          <a:extLst>
            <a:ext uri="{FF2B5EF4-FFF2-40B4-BE49-F238E27FC236}">
              <a16:creationId xmlns:a16="http://schemas.microsoft.com/office/drawing/2014/main" id="{329C4673-B9D1-4474-8855-6955B0F43A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0" name="AutoShape 40">
          <a:extLst>
            <a:ext uri="{FF2B5EF4-FFF2-40B4-BE49-F238E27FC236}">
              <a16:creationId xmlns:a16="http://schemas.microsoft.com/office/drawing/2014/main" id="{8D930359-B839-4867-A895-5C471A6C09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1" name="AutoShape 38">
          <a:extLst>
            <a:ext uri="{FF2B5EF4-FFF2-40B4-BE49-F238E27FC236}">
              <a16:creationId xmlns:a16="http://schemas.microsoft.com/office/drawing/2014/main" id="{685F7555-A4FA-4007-BCEC-E11EE22B85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2" name="AutoShape 22">
          <a:extLst>
            <a:ext uri="{FF2B5EF4-FFF2-40B4-BE49-F238E27FC236}">
              <a16:creationId xmlns:a16="http://schemas.microsoft.com/office/drawing/2014/main" id="{2A503C71-8629-47F7-8BED-2E5214D889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3" name="AutoShape 18">
          <a:extLst>
            <a:ext uri="{FF2B5EF4-FFF2-40B4-BE49-F238E27FC236}">
              <a16:creationId xmlns:a16="http://schemas.microsoft.com/office/drawing/2014/main" id="{ECD3C4B8-6B3E-484C-A499-1284630438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4" name="AutoShape 16">
          <a:extLst>
            <a:ext uri="{FF2B5EF4-FFF2-40B4-BE49-F238E27FC236}">
              <a16:creationId xmlns:a16="http://schemas.microsoft.com/office/drawing/2014/main" id="{F9DBA9CF-4D32-417E-8B44-D13670D988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5" name="AutoShape 10">
          <a:extLst>
            <a:ext uri="{FF2B5EF4-FFF2-40B4-BE49-F238E27FC236}">
              <a16:creationId xmlns:a16="http://schemas.microsoft.com/office/drawing/2014/main" id="{BFC325DA-344F-4896-BCBC-C3F0F86F80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6" name="AutoShape 8">
          <a:extLst>
            <a:ext uri="{FF2B5EF4-FFF2-40B4-BE49-F238E27FC236}">
              <a16:creationId xmlns:a16="http://schemas.microsoft.com/office/drawing/2014/main" id="{9CE20D70-162D-44E7-BF48-80431893BE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7" name="AutoShape 6">
          <a:extLst>
            <a:ext uri="{FF2B5EF4-FFF2-40B4-BE49-F238E27FC236}">
              <a16:creationId xmlns:a16="http://schemas.microsoft.com/office/drawing/2014/main" id="{F637ACCB-809F-438D-92EC-DEEE316E1C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8" name="AutoShape 4">
          <a:extLst>
            <a:ext uri="{FF2B5EF4-FFF2-40B4-BE49-F238E27FC236}">
              <a16:creationId xmlns:a16="http://schemas.microsoft.com/office/drawing/2014/main" id="{6DB26804-563A-46B7-9675-CA19111E3C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29" name="AutoShape 2">
          <a:extLst>
            <a:ext uri="{FF2B5EF4-FFF2-40B4-BE49-F238E27FC236}">
              <a16:creationId xmlns:a16="http://schemas.microsoft.com/office/drawing/2014/main" id="{BC5004B1-E38C-4752-9145-753C5AED29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0" name="AutoShape 44">
          <a:extLst>
            <a:ext uri="{FF2B5EF4-FFF2-40B4-BE49-F238E27FC236}">
              <a16:creationId xmlns:a16="http://schemas.microsoft.com/office/drawing/2014/main" id="{6F3A8BE6-493B-4D1D-BFA9-29E31B4D51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1" name="AutoShape 42">
          <a:extLst>
            <a:ext uri="{FF2B5EF4-FFF2-40B4-BE49-F238E27FC236}">
              <a16:creationId xmlns:a16="http://schemas.microsoft.com/office/drawing/2014/main" id="{A9590B36-D0F7-4973-97DD-503FA9AC9D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2" name="AutoShape 40">
          <a:extLst>
            <a:ext uri="{FF2B5EF4-FFF2-40B4-BE49-F238E27FC236}">
              <a16:creationId xmlns:a16="http://schemas.microsoft.com/office/drawing/2014/main" id="{13969A7B-16E1-4403-B6E6-523753EB239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3" name="AutoShape 38">
          <a:extLst>
            <a:ext uri="{FF2B5EF4-FFF2-40B4-BE49-F238E27FC236}">
              <a16:creationId xmlns:a16="http://schemas.microsoft.com/office/drawing/2014/main" id="{54EB3120-6A67-4446-ACDC-D059D15644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4" name="AutoShape 22">
          <a:extLst>
            <a:ext uri="{FF2B5EF4-FFF2-40B4-BE49-F238E27FC236}">
              <a16:creationId xmlns:a16="http://schemas.microsoft.com/office/drawing/2014/main" id="{C44D560A-9E35-4BD8-B5C6-A0A5ED20E2B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5" name="AutoShape 18">
          <a:extLst>
            <a:ext uri="{FF2B5EF4-FFF2-40B4-BE49-F238E27FC236}">
              <a16:creationId xmlns:a16="http://schemas.microsoft.com/office/drawing/2014/main" id="{89C5A4FF-3410-46FB-B3FD-8671261FDD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6" name="AutoShape 16">
          <a:extLst>
            <a:ext uri="{FF2B5EF4-FFF2-40B4-BE49-F238E27FC236}">
              <a16:creationId xmlns:a16="http://schemas.microsoft.com/office/drawing/2014/main" id="{6C24A9D1-3AB5-41D7-AA5A-73E3FAD01B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7" name="AutoShape 10">
          <a:extLst>
            <a:ext uri="{FF2B5EF4-FFF2-40B4-BE49-F238E27FC236}">
              <a16:creationId xmlns:a16="http://schemas.microsoft.com/office/drawing/2014/main" id="{77B3D76D-8641-47AE-96D9-AB1FBD25F33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8" name="AutoShape 8">
          <a:extLst>
            <a:ext uri="{FF2B5EF4-FFF2-40B4-BE49-F238E27FC236}">
              <a16:creationId xmlns:a16="http://schemas.microsoft.com/office/drawing/2014/main" id="{32BE237A-D48E-457E-8A93-BEE6497A0C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39" name="AutoShape 6">
          <a:extLst>
            <a:ext uri="{FF2B5EF4-FFF2-40B4-BE49-F238E27FC236}">
              <a16:creationId xmlns:a16="http://schemas.microsoft.com/office/drawing/2014/main" id="{1E050A86-6B55-41E1-A941-BBCAAB33A2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0" name="AutoShape 4">
          <a:extLst>
            <a:ext uri="{FF2B5EF4-FFF2-40B4-BE49-F238E27FC236}">
              <a16:creationId xmlns:a16="http://schemas.microsoft.com/office/drawing/2014/main" id="{53BEE6A7-887A-4DA6-8188-96ADF30E20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1" name="AutoShape 2">
          <a:extLst>
            <a:ext uri="{FF2B5EF4-FFF2-40B4-BE49-F238E27FC236}">
              <a16:creationId xmlns:a16="http://schemas.microsoft.com/office/drawing/2014/main" id="{C48E63F6-311D-40F1-BF71-F62091206E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2" name="AutoShape 44">
          <a:extLst>
            <a:ext uri="{FF2B5EF4-FFF2-40B4-BE49-F238E27FC236}">
              <a16:creationId xmlns:a16="http://schemas.microsoft.com/office/drawing/2014/main" id="{18CDDADB-31DB-4913-8AE9-3184A9D137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3" name="AutoShape 42">
          <a:extLst>
            <a:ext uri="{FF2B5EF4-FFF2-40B4-BE49-F238E27FC236}">
              <a16:creationId xmlns:a16="http://schemas.microsoft.com/office/drawing/2014/main" id="{C95A6A25-E037-4AF6-8F57-C6A0DD59F0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4" name="AutoShape 40">
          <a:extLst>
            <a:ext uri="{FF2B5EF4-FFF2-40B4-BE49-F238E27FC236}">
              <a16:creationId xmlns:a16="http://schemas.microsoft.com/office/drawing/2014/main" id="{640C28A9-793E-42F0-9F73-BB07D843B6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5" name="AutoShape 38">
          <a:extLst>
            <a:ext uri="{FF2B5EF4-FFF2-40B4-BE49-F238E27FC236}">
              <a16:creationId xmlns:a16="http://schemas.microsoft.com/office/drawing/2014/main" id="{3AFFC03A-4F49-4156-AE81-1710898464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6" name="AutoShape 22">
          <a:extLst>
            <a:ext uri="{FF2B5EF4-FFF2-40B4-BE49-F238E27FC236}">
              <a16:creationId xmlns:a16="http://schemas.microsoft.com/office/drawing/2014/main" id="{6EAD5B28-68CE-4CA2-9570-02428F4F80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7" name="AutoShape 18">
          <a:extLst>
            <a:ext uri="{FF2B5EF4-FFF2-40B4-BE49-F238E27FC236}">
              <a16:creationId xmlns:a16="http://schemas.microsoft.com/office/drawing/2014/main" id="{EDB75645-EE4C-435A-A2A9-509DCC261DF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8" name="AutoShape 16">
          <a:extLst>
            <a:ext uri="{FF2B5EF4-FFF2-40B4-BE49-F238E27FC236}">
              <a16:creationId xmlns:a16="http://schemas.microsoft.com/office/drawing/2014/main" id="{AE33C880-6904-45CE-BA6A-965451B5DA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49" name="AutoShape 10">
          <a:extLst>
            <a:ext uri="{FF2B5EF4-FFF2-40B4-BE49-F238E27FC236}">
              <a16:creationId xmlns:a16="http://schemas.microsoft.com/office/drawing/2014/main" id="{01171FFE-F7B9-4DCD-A05E-CAB6D38CA9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0" name="AutoShape 8">
          <a:extLst>
            <a:ext uri="{FF2B5EF4-FFF2-40B4-BE49-F238E27FC236}">
              <a16:creationId xmlns:a16="http://schemas.microsoft.com/office/drawing/2014/main" id="{6D3551C2-42EB-4FFE-A639-BAA30C378E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1" name="AutoShape 6">
          <a:extLst>
            <a:ext uri="{FF2B5EF4-FFF2-40B4-BE49-F238E27FC236}">
              <a16:creationId xmlns:a16="http://schemas.microsoft.com/office/drawing/2014/main" id="{57051DB8-D795-492A-9E38-C5B6CFF0B1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2" name="AutoShape 4">
          <a:extLst>
            <a:ext uri="{FF2B5EF4-FFF2-40B4-BE49-F238E27FC236}">
              <a16:creationId xmlns:a16="http://schemas.microsoft.com/office/drawing/2014/main" id="{1F99F0B8-029C-4236-B48A-69CA6389D4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3" name="AutoShape 2">
          <a:extLst>
            <a:ext uri="{FF2B5EF4-FFF2-40B4-BE49-F238E27FC236}">
              <a16:creationId xmlns:a16="http://schemas.microsoft.com/office/drawing/2014/main" id="{AE7301DD-1435-4B56-ABE7-2F56E1E51F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4" name="AutoShape 44">
          <a:extLst>
            <a:ext uri="{FF2B5EF4-FFF2-40B4-BE49-F238E27FC236}">
              <a16:creationId xmlns:a16="http://schemas.microsoft.com/office/drawing/2014/main" id="{8D52F826-F2F8-4B13-B0F8-1D3B04BC22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5" name="AutoShape 42">
          <a:extLst>
            <a:ext uri="{FF2B5EF4-FFF2-40B4-BE49-F238E27FC236}">
              <a16:creationId xmlns:a16="http://schemas.microsoft.com/office/drawing/2014/main" id="{6DD2929F-3560-499F-B251-A0FA3ADB6F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6" name="AutoShape 40">
          <a:extLst>
            <a:ext uri="{FF2B5EF4-FFF2-40B4-BE49-F238E27FC236}">
              <a16:creationId xmlns:a16="http://schemas.microsoft.com/office/drawing/2014/main" id="{3ECB23E9-4427-432A-9399-22EDC6F04C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7" name="AutoShape 38">
          <a:extLst>
            <a:ext uri="{FF2B5EF4-FFF2-40B4-BE49-F238E27FC236}">
              <a16:creationId xmlns:a16="http://schemas.microsoft.com/office/drawing/2014/main" id="{2680C9BA-5D09-496C-B667-6BCFD060C8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8" name="AutoShape 22">
          <a:extLst>
            <a:ext uri="{FF2B5EF4-FFF2-40B4-BE49-F238E27FC236}">
              <a16:creationId xmlns:a16="http://schemas.microsoft.com/office/drawing/2014/main" id="{DEDE114C-FB27-415C-A053-CA275DE8B2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59" name="AutoShape 18">
          <a:extLst>
            <a:ext uri="{FF2B5EF4-FFF2-40B4-BE49-F238E27FC236}">
              <a16:creationId xmlns:a16="http://schemas.microsoft.com/office/drawing/2014/main" id="{06283FD3-ED5C-411A-8ADB-5F0A053A87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0" name="AutoShape 16">
          <a:extLst>
            <a:ext uri="{FF2B5EF4-FFF2-40B4-BE49-F238E27FC236}">
              <a16:creationId xmlns:a16="http://schemas.microsoft.com/office/drawing/2014/main" id="{0E973EF4-C581-429B-A1F4-285AAB9CE0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1" name="AutoShape 10">
          <a:extLst>
            <a:ext uri="{FF2B5EF4-FFF2-40B4-BE49-F238E27FC236}">
              <a16:creationId xmlns:a16="http://schemas.microsoft.com/office/drawing/2014/main" id="{DD9E82D6-4F75-4A6B-8C81-FF203B5B85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2" name="AutoShape 8">
          <a:extLst>
            <a:ext uri="{FF2B5EF4-FFF2-40B4-BE49-F238E27FC236}">
              <a16:creationId xmlns:a16="http://schemas.microsoft.com/office/drawing/2014/main" id="{369641C9-4A14-44FE-AEF4-4C5CD65735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3" name="AutoShape 6">
          <a:extLst>
            <a:ext uri="{FF2B5EF4-FFF2-40B4-BE49-F238E27FC236}">
              <a16:creationId xmlns:a16="http://schemas.microsoft.com/office/drawing/2014/main" id="{00462DA1-F3BD-47EE-AD9D-54F36E5073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4" name="AutoShape 4">
          <a:extLst>
            <a:ext uri="{FF2B5EF4-FFF2-40B4-BE49-F238E27FC236}">
              <a16:creationId xmlns:a16="http://schemas.microsoft.com/office/drawing/2014/main" id="{48210A1E-E519-49AA-9095-3FD9CDCB9F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5" name="AutoShape 2">
          <a:extLst>
            <a:ext uri="{FF2B5EF4-FFF2-40B4-BE49-F238E27FC236}">
              <a16:creationId xmlns:a16="http://schemas.microsoft.com/office/drawing/2014/main" id="{4D3B0A50-05BD-4C0C-9962-CB2B4B5339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6" name="AutoShape 44">
          <a:extLst>
            <a:ext uri="{FF2B5EF4-FFF2-40B4-BE49-F238E27FC236}">
              <a16:creationId xmlns:a16="http://schemas.microsoft.com/office/drawing/2014/main" id="{D9DAF534-32EA-4A83-9A04-20A4184689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7" name="AutoShape 42">
          <a:extLst>
            <a:ext uri="{FF2B5EF4-FFF2-40B4-BE49-F238E27FC236}">
              <a16:creationId xmlns:a16="http://schemas.microsoft.com/office/drawing/2014/main" id="{B9E05851-63D3-4884-8F70-DD5E335311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8" name="AutoShape 40">
          <a:extLst>
            <a:ext uri="{FF2B5EF4-FFF2-40B4-BE49-F238E27FC236}">
              <a16:creationId xmlns:a16="http://schemas.microsoft.com/office/drawing/2014/main" id="{2939E84F-0F58-4C78-9147-87673D67A2A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69" name="AutoShape 38">
          <a:extLst>
            <a:ext uri="{FF2B5EF4-FFF2-40B4-BE49-F238E27FC236}">
              <a16:creationId xmlns:a16="http://schemas.microsoft.com/office/drawing/2014/main" id="{14AB6FF0-F79A-467C-8C7B-D57A6CC6FD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0" name="AutoShape 22">
          <a:extLst>
            <a:ext uri="{FF2B5EF4-FFF2-40B4-BE49-F238E27FC236}">
              <a16:creationId xmlns:a16="http://schemas.microsoft.com/office/drawing/2014/main" id="{BC377F06-AC2C-4110-BB46-C1F4D27921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1" name="AutoShape 18">
          <a:extLst>
            <a:ext uri="{FF2B5EF4-FFF2-40B4-BE49-F238E27FC236}">
              <a16:creationId xmlns:a16="http://schemas.microsoft.com/office/drawing/2014/main" id="{038FFF57-92D3-42FB-876B-8F228309D3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2" name="AutoShape 16">
          <a:extLst>
            <a:ext uri="{FF2B5EF4-FFF2-40B4-BE49-F238E27FC236}">
              <a16:creationId xmlns:a16="http://schemas.microsoft.com/office/drawing/2014/main" id="{FD29C321-784C-4DCB-8522-EB8A1E12BB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3" name="AutoShape 10">
          <a:extLst>
            <a:ext uri="{FF2B5EF4-FFF2-40B4-BE49-F238E27FC236}">
              <a16:creationId xmlns:a16="http://schemas.microsoft.com/office/drawing/2014/main" id="{F8EA6EA0-14B5-4112-B786-25C94703FA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4" name="AutoShape 8">
          <a:extLst>
            <a:ext uri="{FF2B5EF4-FFF2-40B4-BE49-F238E27FC236}">
              <a16:creationId xmlns:a16="http://schemas.microsoft.com/office/drawing/2014/main" id="{43C0794B-1F04-4652-B226-E803258B65D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5" name="AutoShape 6">
          <a:extLst>
            <a:ext uri="{FF2B5EF4-FFF2-40B4-BE49-F238E27FC236}">
              <a16:creationId xmlns:a16="http://schemas.microsoft.com/office/drawing/2014/main" id="{EA4D87CC-83F3-4978-8040-47363B6C85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6" name="AutoShape 4">
          <a:extLst>
            <a:ext uri="{FF2B5EF4-FFF2-40B4-BE49-F238E27FC236}">
              <a16:creationId xmlns:a16="http://schemas.microsoft.com/office/drawing/2014/main" id="{D2D87245-D128-489E-B7B7-BF0E9149CF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7" name="AutoShape 2">
          <a:extLst>
            <a:ext uri="{FF2B5EF4-FFF2-40B4-BE49-F238E27FC236}">
              <a16:creationId xmlns:a16="http://schemas.microsoft.com/office/drawing/2014/main" id="{47C95546-C405-462B-A20F-EA628E8C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8" name="AutoShape 44">
          <a:extLst>
            <a:ext uri="{FF2B5EF4-FFF2-40B4-BE49-F238E27FC236}">
              <a16:creationId xmlns:a16="http://schemas.microsoft.com/office/drawing/2014/main" id="{8864C399-E560-492D-BF5C-FCA58737977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79" name="AutoShape 42">
          <a:extLst>
            <a:ext uri="{FF2B5EF4-FFF2-40B4-BE49-F238E27FC236}">
              <a16:creationId xmlns:a16="http://schemas.microsoft.com/office/drawing/2014/main" id="{BE20A409-254D-4D62-9D17-350228F5E8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0" name="AutoShape 40">
          <a:extLst>
            <a:ext uri="{FF2B5EF4-FFF2-40B4-BE49-F238E27FC236}">
              <a16:creationId xmlns:a16="http://schemas.microsoft.com/office/drawing/2014/main" id="{8ACE3C77-9FBF-47C4-8F3D-FD8CAF4DC6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1" name="AutoShape 38">
          <a:extLst>
            <a:ext uri="{FF2B5EF4-FFF2-40B4-BE49-F238E27FC236}">
              <a16:creationId xmlns:a16="http://schemas.microsoft.com/office/drawing/2014/main" id="{3E633A6C-1531-4FF6-BF8C-B8B269C61B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2" name="AutoShape 22">
          <a:extLst>
            <a:ext uri="{FF2B5EF4-FFF2-40B4-BE49-F238E27FC236}">
              <a16:creationId xmlns:a16="http://schemas.microsoft.com/office/drawing/2014/main" id="{20F227DA-4A6B-4958-9CFD-50272AA37F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3" name="AutoShape 18">
          <a:extLst>
            <a:ext uri="{FF2B5EF4-FFF2-40B4-BE49-F238E27FC236}">
              <a16:creationId xmlns:a16="http://schemas.microsoft.com/office/drawing/2014/main" id="{302C5FF6-0CFA-4454-BDB9-E7B445C36A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4" name="AutoShape 16">
          <a:extLst>
            <a:ext uri="{FF2B5EF4-FFF2-40B4-BE49-F238E27FC236}">
              <a16:creationId xmlns:a16="http://schemas.microsoft.com/office/drawing/2014/main" id="{1A5DE2FB-A4A5-4F6A-92BB-F3E6E3D2224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5" name="AutoShape 10">
          <a:extLst>
            <a:ext uri="{FF2B5EF4-FFF2-40B4-BE49-F238E27FC236}">
              <a16:creationId xmlns:a16="http://schemas.microsoft.com/office/drawing/2014/main" id="{BA3CE0A1-B4BA-4B33-AD9C-0A846B0F2AF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6" name="AutoShape 8">
          <a:extLst>
            <a:ext uri="{FF2B5EF4-FFF2-40B4-BE49-F238E27FC236}">
              <a16:creationId xmlns:a16="http://schemas.microsoft.com/office/drawing/2014/main" id="{1AD30477-533E-40E2-99E9-00C0DD32DC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7" name="AutoShape 6">
          <a:extLst>
            <a:ext uri="{FF2B5EF4-FFF2-40B4-BE49-F238E27FC236}">
              <a16:creationId xmlns:a16="http://schemas.microsoft.com/office/drawing/2014/main" id="{9A17C094-4358-4F0F-B4C1-2025833080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E1EF84E9-1B10-42F7-9B1E-48C3F15AD5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89" name="AutoShape 2">
          <a:extLst>
            <a:ext uri="{FF2B5EF4-FFF2-40B4-BE49-F238E27FC236}">
              <a16:creationId xmlns:a16="http://schemas.microsoft.com/office/drawing/2014/main" id="{37A2D341-0DE5-494D-B162-71794745639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0" name="AutoShape 44">
          <a:extLst>
            <a:ext uri="{FF2B5EF4-FFF2-40B4-BE49-F238E27FC236}">
              <a16:creationId xmlns:a16="http://schemas.microsoft.com/office/drawing/2014/main" id="{6656CA35-824C-4830-9F82-3B61FBAD25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1" name="AutoShape 42">
          <a:extLst>
            <a:ext uri="{FF2B5EF4-FFF2-40B4-BE49-F238E27FC236}">
              <a16:creationId xmlns:a16="http://schemas.microsoft.com/office/drawing/2014/main" id="{C21D1853-1C11-4FB6-A443-E53D4D8765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2" name="AutoShape 40">
          <a:extLst>
            <a:ext uri="{FF2B5EF4-FFF2-40B4-BE49-F238E27FC236}">
              <a16:creationId xmlns:a16="http://schemas.microsoft.com/office/drawing/2014/main" id="{D8CFF841-7E1B-4B6A-80A0-D27D1AE87AF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3" name="AutoShape 38">
          <a:extLst>
            <a:ext uri="{FF2B5EF4-FFF2-40B4-BE49-F238E27FC236}">
              <a16:creationId xmlns:a16="http://schemas.microsoft.com/office/drawing/2014/main" id="{5C8ABE99-5FA9-4347-BC7E-ADFF277458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4" name="AutoShape 22">
          <a:extLst>
            <a:ext uri="{FF2B5EF4-FFF2-40B4-BE49-F238E27FC236}">
              <a16:creationId xmlns:a16="http://schemas.microsoft.com/office/drawing/2014/main" id="{A71E9350-9223-4F24-9F49-9E58FA8407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5" name="AutoShape 18">
          <a:extLst>
            <a:ext uri="{FF2B5EF4-FFF2-40B4-BE49-F238E27FC236}">
              <a16:creationId xmlns:a16="http://schemas.microsoft.com/office/drawing/2014/main" id="{2D64DB57-D3AE-45DD-B199-19EB3D86E6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6" name="AutoShape 16">
          <a:extLst>
            <a:ext uri="{FF2B5EF4-FFF2-40B4-BE49-F238E27FC236}">
              <a16:creationId xmlns:a16="http://schemas.microsoft.com/office/drawing/2014/main" id="{D58A2EDF-4926-4748-8A8C-AEF4A9956D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7" name="AutoShape 10">
          <a:extLst>
            <a:ext uri="{FF2B5EF4-FFF2-40B4-BE49-F238E27FC236}">
              <a16:creationId xmlns:a16="http://schemas.microsoft.com/office/drawing/2014/main" id="{43AF1CBC-C3C3-443B-8884-0CE5740E0F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8" name="AutoShape 8">
          <a:extLst>
            <a:ext uri="{FF2B5EF4-FFF2-40B4-BE49-F238E27FC236}">
              <a16:creationId xmlns:a16="http://schemas.microsoft.com/office/drawing/2014/main" id="{6AA64732-202E-4103-AE95-9F8EA32647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399" name="AutoShape 6">
          <a:extLst>
            <a:ext uri="{FF2B5EF4-FFF2-40B4-BE49-F238E27FC236}">
              <a16:creationId xmlns:a16="http://schemas.microsoft.com/office/drawing/2014/main" id="{FA451F2C-84AB-4607-A805-7E386E4D3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0" name="AutoShape 4">
          <a:extLst>
            <a:ext uri="{FF2B5EF4-FFF2-40B4-BE49-F238E27FC236}">
              <a16:creationId xmlns:a16="http://schemas.microsoft.com/office/drawing/2014/main" id="{84B4E1A9-EFCF-4952-A55F-EA829B2861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1" name="AutoShape 2">
          <a:extLst>
            <a:ext uri="{FF2B5EF4-FFF2-40B4-BE49-F238E27FC236}">
              <a16:creationId xmlns:a16="http://schemas.microsoft.com/office/drawing/2014/main" id="{C4297676-D39F-48FC-A9BC-D62C73750D0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2" name="AutoShape 44">
          <a:extLst>
            <a:ext uri="{FF2B5EF4-FFF2-40B4-BE49-F238E27FC236}">
              <a16:creationId xmlns:a16="http://schemas.microsoft.com/office/drawing/2014/main" id="{7DD259E2-56DE-48E8-BE99-F1AA286592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3" name="AutoShape 42">
          <a:extLst>
            <a:ext uri="{FF2B5EF4-FFF2-40B4-BE49-F238E27FC236}">
              <a16:creationId xmlns:a16="http://schemas.microsoft.com/office/drawing/2014/main" id="{22B33B14-77CC-4E72-8F1E-BD1B02B737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4" name="AutoShape 40">
          <a:extLst>
            <a:ext uri="{FF2B5EF4-FFF2-40B4-BE49-F238E27FC236}">
              <a16:creationId xmlns:a16="http://schemas.microsoft.com/office/drawing/2014/main" id="{313878FD-02BA-499F-916E-310FB63E7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5" name="AutoShape 38">
          <a:extLst>
            <a:ext uri="{FF2B5EF4-FFF2-40B4-BE49-F238E27FC236}">
              <a16:creationId xmlns:a16="http://schemas.microsoft.com/office/drawing/2014/main" id="{575D2B68-B64E-4F23-B322-6A7DA3FBC0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6" name="AutoShape 22">
          <a:extLst>
            <a:ext uri="{FF2B5EF4-FFF2-40B4-BE49-F238E27FC236}">
              <a16:creationId xmlns:a16="http://schemas.microsoft.com/office/drawing/2014/main" id="{B65C906D-09F9-483F-A10C-EAF6B87C2E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7" name="AutoShape 18">
          <a:extLst>
            <a:ext uri="{FF2B5EF4-FFF2-40B4-BE49-F238E27FC236}">
              <a16:creationId xmlns:a16="http://schemas.microsoft.com/office/drawing/2014/main" id="{A5D70600-A9C2-4F30-991D-DCD0B481822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8" name="AutoShape 16">
          <a:extLst>
            <a:ext uri="{FF2B5EF4-FFF2-40B4-BE49-F238E27FC236}">
              <a16:creationId xmlns:a16="http://schemas.microsoft.com/office/drawing/2014/main" id="{BB69E88E-7C33-4BCB-9558-B1A6C80465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09" name="AutoShape 10">
          <a:extLst>
            <a:ext uri="{FF2B5EF4-FFF2-40B4-BE49-F238E27FC236}">
              <a16:creationId xmlns:a16="http://schemas.microsoft.com/office/drawing/2014/main" id="{F3891FA0-A62E-493F-A226-777D4078347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0" name="AutoShape 8">
          <a:extLst>
            <a:ext uri="{FF2B5EF4-FFF2-40B4-BE49-F238E27FC236}">
              <a16:creationId xmlns:a16="http://schemas.microsoft.com/office/drawing/2014/main" id="{1D156541-DA46-43F6-88B9-A0CCEF5B0D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1" name="AutoShape 6">
          <a:extLst>
            <a:ext uri="{FF2B5EF4-FFF2-40B4-BE49-F238E27FC236}">
              <a16:creationId xmlns:a16="http://schemas.microsoft.com/office/drawing/2014/main" id="{BC921457-862C-4CFB-B68A-3C9E54DC144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2" name="AutoShape 4">
          <a:extLst>
            <a:ext uri="{FF2B5EF4-FFF2-40B4-BE49-F238E27FC236}">
              <a16:creationId xmlns:a16="http://schemas.microsoft.com/office/drawing/2014/main" id="{4E0DC878-624C-456C-ACC5-58A2281C35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3" name="AutoShape 2">
          <a:extLst>
            <a:ext uri="{FF2B5EF4-FFF2-40B4-BE49-F238E27FC236}">
              <a16:creationId xmlns:a16="http://schemas.microsoft.com/office/drawing/2014/main" id="{F8F2DD11-AF46-46CB-92EE-83621446B49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4" name="AutoShape 44">
          <a:extLst>
            <a:ext uri="{FF2B5EF4-FFF2-40B4-BE49-F238E27FC236}">
              <a16:creationId xmlns:a16="http://schemas.microsoft.com/office/drawing/2014/main" id="{9CFDFD29-9854-40EE-A459-17DE8D03CAF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5" name="AutoShape 42">
          <a:extLst>
            <a:ext uri="{FF2B5EF4-FFF2-40B4-BE49-F238E27FC236}">
              <a16:creationId xmlns:a16="http://schemas.microsoft.com/office/drawing/2014/main" id="{1BA66092-5EAF-42DB-8FC0-A78111FE88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6" name="AutoShape 40">
          <a:extLst>
            <a:ext uri="{FF2B5EF4-FFF2-40B4-BE49-F238E27FC236}">
              <a16:creationId xmlns:a16="http://schemas.microsoft.com/office/drawing/2014/main" id="{5C7E10B9-AAE7-4361-8DC8-7D388BE8F6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7" name="AutoShape 38">
          <a:extLst>
            <a:ext uri="{FF2B5EF4-FFF2-40B4-BE49-F238E27FC236}">
              <a16:creationId xmlns:a16="http://schemas.microsoft.com/office/drawing/2014/main" id="{1B9F50FC-A5F6-4FEE-BCF6-5904B1F1D6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8" name="AutoShape 22">
          <a:extLst>
            <a:ext uri="{FF2B5EF4-FFF2-40B4-BE49-F238E27FC236}">
              <a16:creationId xmlns:a16="http://schemas.microsoft.com/office/drawing/2014/main" id="{1FD77595-E5B3-4493-88D8-1F95DE5229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19" name="AutoShape 18">
          <a:extLst>
            <a:ext uri="{FF2B5EF4-FFF2-40B4-BE49-F238E27FC236}">
              <a16:creationId xmlns:a16="http://schemas.microsoft.com/office/drawing/2014/main" id="{3487A3DA-C959-48B5-9D8E-37EDEF63CC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0" name="AutoShape 16">
          <a:extLst>
            <a:ext uri="{FF2B5EF4-FFF2-40B4-BE49-F238E27FC236}">
              <a16:creationId xmlns:a16="http://schemas.microsoft.com/office/drawing/2014/main" id="{33401A9A-F501-442B-8D12-B17981E455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1" name="AutoShape 10">
          <a:extLst>
            <a:ext uri="{FF2B5EF4-FFF2-40B4-BE49-F238E27FC236}">
              <a16:creationId xmlns:a16="http://schemas.microsoft.com/office/drawing/2014/main" id="{B96FBB37-724B-4DA1-A1E9-7DA588ADC5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2" name="AutoShape 8">
          <a:extLst>
            <a:ext uri="{FF2B5EF4-FFF2-40B4-BE49-F238E27FC236}">
              <a16:creationId xmlns:a16="http://schemas.microsoft.com/office/drawing/2014/main" id="{CE26260A-B379-466C-9F4A-76A6F1F94C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3" name="AutoShape 6">
          <a:extLst>
            <a:ext uri="{FF2B5EF4-FFF2-40B4-BE49-F238E27FC236}">
              <a16:creationId xmlns:a16="http://schemas.microsoft.com/office/drawing/2014/main" id="{D13A32A5-3EF9-41CF-96B6-914EA6663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4" name="AutoShape 4">
          <a:extLst>
            <a:ext uri="{FF2B5EF4-FFF2-40B4-BE49-F238E27FC236}">
              <a16:creationId xmlns:a16="http://schemas.microsoft.com/office/drawing/2014/main" id="{446B845A-7F64-4CDF-AD64-9CDD55D80B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5" name="AutoShape 2">
          <a:extLst>
            <a:ext uri="{FF2B5EF4-FFF2-40B4-BE49-F238E27FC236}">
              <a16:creationId xmlns:a16="http://schemas.microsoft.com/office/drawing/2014/main" id="{92452DB5-2666-42B6-B307-902235FEDC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6" name="AutoShape 44">
          <a:extLst>
            <a:ext uri="{FF2B5EF4-FFF2-40B4-BE49-F238E27FC236}">
              <a16:creationId xmlns:a16="http://schemas.microsoft.com/office/drawing/2014/main" id="{0C699D32-34A6-4B39-A652-A3809A2029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7" name="AutoShape 42">
          <a:extLst>
            <a:ext uri="{FF2B5EF4-FFF2-40B4-BE49-F238E27FC236}">
              <a16:creationId xmlns:a16="http://schemas.microsoft.com/office/drawing/2014/main" id="{468EC65F-22A0-45D6-9A34-8E6587452A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8" name="AutoShape 40">
          <a:extLst>
            <a:ext uri="{FF2B5EF4-FFF2-40B4-BE49-F238E27FC236}">
              <a16:creationId xmlns:a16="http://schemas.microsoft.com/office/drawing/2014/main" id="{0B9831CD-C686-4583-8853-F2DD65C129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29" name="AutoShape 38">
          <a:extLst>
            <a:ext uri="{FF2B5EF4-FFF2-40B4-BE49-F238E27FC236}">
              <a16:creationId xmlns:a16="http://schemas.microsoft.com/office/drawing/2014/main" id="{5F79C453-C37F-42D1-AE13-1141E42F62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0" name="AutoShape 22">
          <a:extLst>
            <a:ext uri="{FF2B5EF4-FFF2-40B4-BE49-F238E27FC236}">
              <a16:creationId xmlns:a16="http://schemas.microsoft.com/office/drawing/2014/main" id="{D7D18A5B-FE78-428D-B793-13C46A3DF4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1" name="AutoShape 18">
          <a:extLst>
            <a:ext uri="{FF2B5EF4-FFF2-40B4-BE49-F238E27FC236}">
              <a16:creationId xmlns:a16="http://schemas.microsoft.com/office/drawing/2014/main" id="{8E920FD4-EC2A-4FCC-84C5-BE95F20A9C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2" name="AutoShape 10">
          <a:extLst>
            <a:ext uri="{FF2B5EF4-FFF2-40B4-BE49-F238E27FC236}">
              <a16:creationId xmlns:a16="http://schemas.microsoft.com/office/drawing/2014/main" id="{9E43A4F9-7980-4E15-9155-ADD3B43661F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3" name="AutoShape 8">
          <a:extLst>
            <a:ext uri="{FF2B5EF4-FFF2-40B4-BE49-F238E27FC236}">
              <a16:creationId xmlns:a16="http://schemas.microsoft.com/office/drawing/2014/main" id="{2469D6F6-EE4D-4EB8-AC66-3F73D6AC21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4" name="AutoShape 6">
          <a:extLst>
            <a:ext uri="{FF2B5EF4-FFF2-40B4-BE49-F238E27FC236}">
              <a16:creationId xmlns:a16="http://schemas.microsoft.com/office/drawing/2014/main" id="{9694301F-A295-4570-9A42-EE7939F3A1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5" name="AutoShape 4">
          <a:extLst>
            <a:ext uri="{FF2B5EF4-FFF2-40B4-BE49-F238E27FC236}">
              <a16:creationId xmlns:a16="http://schemas.microsoft.com/office/drawing/2014/main" id="{E086C2F5-4D42-40E8-9955-690671696DE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6" name="AutoShape 2">
          <a:extLst>
            <a:ext uri="{FF2B5EF4-FFF2-40B4-BE49-F238E27FC236}">
              <a16:creationId xmlns:a16="http://schemas.microsoft.com/office/drawing/2014/main" id="{F67F3162-C40B-4A39-A72F-A8B1784AA9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7" name="AutoShape 44">
          <a:extLst>
            <a:ext uri="{FF2B5EF4-FFF2-40B4-BE49-F238E27FC236}">
              <a16:creationId xmlns:a16="http://schemas.microsoft.com/office/drawing/2014/main" id="{8B912C08-60EB-455A-B883-6AED07D191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8" name="AutoShape 42">
          <a:extLst>
            <a:ext uri="{FF2B5EF4-FFF2-40B4-BE49-F238E27FC236}">
              <a16:creationId xmlns:a16="http://schemas.microsoft.com/office/drawing/2014/main" id="{96E89FC0-2BAC-49C8-84A2-D1FADCB309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39" name="AutoShape 40">
          <a:extLst>
            <a:ext uri="{FF2B5EF4-FFF2-40B4-BE49-F238E27FC236}">
              <a16:creationId xmlns:a16="http://schemas.microsoft.com/office/drawing/2014/main" id="{FB0A658F-EA34-470D-B205-2D2B09B5FD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0" name="AutoShape 38">
          <a:extLst>
            <a:ext uri="{FF2B5EF4-FFF2-40B4-BE49-F238E27FC236}">
              <a16:creationId xmlns:a16="http://schemas.microsoft.com/office/drawing/2014/main" id="{B08D37BB-7EF8-412E-9E60-F741601DA85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1" name="AutoShape 22">
          <a:extLst>
            <a:ext uri="{FF2B5EF4-FFF2-40B4-BE49-F238E27FC236}">
              <a16:creationId xmlns:a16="http://schemas.microsoft.com/office/drawing/2014/main" id="{D419BFA2-E7E5-47AC-BD1A-613670A4CC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2" name="AutoShape 18">
          <a:extLst>
            <a:ext uri="{FF2B5EF4-FFF2-40B4-BE49-F238E27FC236}">
              <a16:creationId xmlns:a16="http://schemas.microsoft.com/office/drawing/2014/main" id="{C23B3C2A-24E4-4756-AD53-D28A76DE1A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3" name="AutoShape 10">
          <a:extLst>
            <a:ext uri="{FF2B5EF4-FFF2-40B4-BE49-F238E27FC236}">
              <a16:creationId xmlns:a16="http://schemas.microsoft.com/office/drawing/2014/main" id="{1C612967-E476-4DE5-A0FC-F0F8761B27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4" name="AutoShape 8">
          <a:extLst>
            <a:ext uri="{FF2B5EF4-FFF2-40B4-BE49-F238E27FC236}">
              <a16:creationId xmlns:a16="http://schemas.microsoft.com/office/drawing/2014/main" id="{11DA2405-C137-4EDF-BA9D-BE6A6C12C7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5" name="AutoShape 6">
          <a:extLst>
            <a:ext uri="{FF2B5EF4-FFF2-40B4-BE49-F238E27FC236}">
              <a16:creationId xmlns:a16="http://schemas.microsoft.com/office/drawing/2014/main" id="{389A8BC6-69AA-489C-9465-2EC745C9D12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6" name="AutoShape 4">
          <a:extLst>
            <a:ext uri="{FF2B5EF4-FFF2-40B4-BE49-F238E27FC236}">
              <a16:creationId xmlns:a16="http://schemas.microsoft.com/office/drawing/2014/main" id="{A9758028-5D41-41DB-970C-F69F5B4395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7" name="AutoShape 2">
          <a:extLst>
            <a:ext uri="{FF2B5EF4-FFF2-40B4-BE49-F238E27FC236}">
              <a16:creationId xmlns:a16="http://schemas.microsoft.com/office/drawing/2014/main" id="{70C539B9-4591-4AA5-8EC6-EF3336052D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8" name="AutoShape 44">
          <a:extLst>
            <a:ext uri="{FF2B5EF4-FFF2-40B4-BE49-F238E27FC236}">
              <a16:creationId xmlns:a16="http://schemas.microsoft.com/office/drawing/2014/main" id="{2EF7D616-664C-4379-801F-46108D752F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49" name="AutoShape 42">
          <a:extLst>
            <a:ext uri="{FF2B5EF4-FFF2-40B4-BE49-F238E27FC236}">
              <a16:creationId xmlns:a16="http://schemas.microsoft.com/office/drawing/2014/main" id="{DED41108-D126-47D9-B081-25D5DE5FB5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0" name="AutoShape 40">
          <a:extLst>
            <a:ext uri="{FF2B5EF4-FFF2-40B4-BE49-F238E27FC236}">
              <a16:creationId xmlns:a16="http://schemas.microsoft.com/office/drawing/2014/main" id="{E094172B-09FE-4857-B316-9D2C739697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1" name="AutoShape 38">
          <a:extLst>
            <a:ext uri="{FF2B5EF4-FFF2-40B4-BE49-F238E27FC236}">
              <a16:creationId xmlns:a16="http://schemas.microsoft.com/office/drawing/2014/main" id="{EDD6734A-9906-4B20-8858-C2BABF77862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2" name="AutoShape 22">
          <a:extLst>
            <a:ext uri="{FF2B5EF4-FFF2-40B4-BE49-F238E27FC236}">
              <a16:creationId xmlns:a16="http://schemas.microsoft.com/office/drawing/2014/main" id="{111B1ADA-F4EB-4AF8-9FF8-C270456E72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3" name="AutoShape 18">
          <a:extLst>
            <a:ext uri="{FF2B5EF4-FFF2-40B4-BE49-F238E27FC236}">
              <a16:creationId xmlns:a16="http://schemas.microsoft.com/office/drawing/2014/main" id="{7A25E3ED-272A-4BE8-9990-D6271F287F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4" name="AutoShape 10">
          <a:extLst>
            <a:ext uri="{FF2B5EF4-FFF2-40B4-BE49-F238E27FC236}">
              <a16:creationId xmlns:a16="http://schemas.microsoft.com/office/drawing/2014/main" id="{37CD64C5-C596-41D2-852E-34BB49097AD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5" name="AutoShape 8">
          <a:extLst>
            <a:ext uri="{FF2B5EF4-FFF2-40B4-BE49-F238E27FC236}">
              <a16:creationId xmlns:a16="http://schemas.microsoft.com/office/drawing/2014/main" id="{E2AAF413-D412-45E9-A711-5F8721CC00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6" name="AutoShape 6">
          <a:extLst>
            <a:ext uri="{FF2B5EF4-FFF2-40B4-BE49-F238E27FC236}">
              <a16:creationId xmlns:a16="http://schemas.microsoft.com/office/drawing/2014/main" id="{238A1DE6-107A-4313-BB24-E207B43603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7" name="AutoShape 4">
          <a:extLst>
            <a:ext uri="{FF2B5EF4-FFF2-40B4-BE49-F238E27FC236}">
              <a16:creationId xmlns:a16="http://schemas.microsoft.com/office/drawing/2014/main" id="{39436CE0-37B7-4527-B932-90B5DD48CB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8" name="AutoShape 2">
          <a:extLst>
            <a:ext uri="{FF2B5EF4-FFF2-40B4-BE49-F238E27FC236}">
              <a16:creationId xmlns:a16="http://schemas.microsoft.com/office/drawing/2014/main" id="{78C95B08-CEE9-4294-89E2-A86B8F6D28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59" name="AutoShape 44">
          <a:extLst>
            <a:ext uri="{FF2B5EF4-FFF2-40B4-BE49-F238E27FC236}">
              <a16:creationId xmlns:a16="http://schemas.microsoft.com/office/drawing/2014/main" id="{5878A95D-7A79-4248-8E90-3C7A5E1EE8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0" name="AutoShape 42">
          <a:extLst>
            <a:ext uri="{FF2B5EF4-FFF2-40B4-BE49-F238E27FC236}">
              <a16:creationId xmlns:a16="http://schemas.microsoft.com/office/drawing/2014/main" id="{6EF86199-8C92-4B45-B373-2B58D3869A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1" name="AutoShape 40">
          <a:extLst>
            <a:ext uri="{FF2B5EF4-FFF2-40B4-BE49-F238E27FC236}">
              <a16:creationId xmlns:a16="http://schemas.microsoft.com/office/drawing/2014/main" id="{E87F2110-6E29-4D6A-8634-9EDE9FB0F5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2" name="AutoShape 38">
          <a:extLst>
            <a:ext uri="{FF2B5EF4-FFF2-40B4-BE49-F238E27FC236}">
              <a16:creationId xmlns:a16="http://schemas.microsoft.com/office/drawing/2014/main" id="{4369D85F-4104-489A-B048-341C0DCB16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3" name="AutoShape 22">
          <a:extLst>
            <a:ext uri="{FF2B5EF4-FFF2-40B4-BE49-F238E27FC236}">
              <a16:creationId xmlns:a16="http://schemas.microsoft.com/office/drawing/2014/main" id="{37AABBB3-3A5F-4236-ABE1-D97FB2906D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4" name="AutoShape 18">
          <a:extLst>
            <a:ext uri="{FF2B5EF4-FFF2-40B4-BE49-F238E27FC236}">
              <a16:creationId xmlns:a16="http://schemas.microsoft.com/office/drawing/2014/main" id="{6A6C1191-999B-44AE-9E13-CFDB60B492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5" name="AutoShape 10">
          <a:extLst>
            <a:ext uri="{FF2B5EF4-FFF2-40B4-BE49-F238E27FC236}">
              <a16:creationId xmlns:a16="http://schemas.microsoft.com/office/drawing/2014/main" id="{B062BCCB-6D62-417D-A432-89F57C4B3B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6" name="AutoShape 8">
          <a:extLst>
            <a:ext uri="{FF2B5EF4-FFF2-40B4-BE49-F238E27FC236}">
              <a16:creationId xmlns:a16="http://schemas.microsoft.com/office/drawing/2014/main" id="{A45EF7FF-6F30-40A7-9C9F-88855411236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7" name="AutoShape 6">
          <a:extLst>
            <a:ext uri="{FF2B5EF4-FFF2-40B4-BE49-F238E27FC236}">
              <a16:creationId xmlns:a16="http://schemas.microsoft.com/office/drawing/2014/main" id="{236A6AF5-69E9-4AD8-99E5-879AD32F8D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8" name="AutoShape 4">
          <a:extLst>
            <a:ext uri="{FF2B5EF4-FFF2-40B4-BE49-F238E27FC236}">
              <a16:creationId xmlns:a16="http://schemas.microsoft.com/office/drawing/2014/main" id="{C2E66DF7-D204-4F28-B846-2EBA25EA929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69" name="AutoShape 2">
          <a:extLst>
            <a:ext uri="{FF2B5EF4-FFF2-40B4-BE49-F238E27FC236}">
              <a16:creationId xmlns:a16="http://schemas.microsoft.com/office/drawing/2014/main" id="{A0CE18E3-6596-47A1-BAF3-88E943B8ED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0" name="AutoShape 44">
          <a:extLst>
            <a:ext uri="{FF2B5EF4-FFF2-40B4-BE49-F238E27FC236}">
              <a16:creationId xmlns:a16="http://schemas.microsoft.com/office/drawing/2014/main" id="{A416D1E6-992A-46CD-AC08-A0030D931C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1" name="AutoShape 42">
          <a:extLst>
            <a:ext uri="{FF2B5EF4-FFF2-40B4-BE49-F238E27FC236}">
              <a16:creationId xmlns:a16="http://schemas.microsoft.com/office/drawing/2014/main" id="{645FFCF6-C27F-4E0F-9747-B667041051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2" name="AutoShape 40">
          <a:extLst>
            <a:ext uri="{FF2B5EF4-FFF2-40B4-BE49-F238E27FC236}">
              <a16:creationId xmlns:a16="http://schemas.microsoft.com/office/drawing/2014/main" id="{00887D7D-C8D1-4970-93AD-2BF2CD33BF9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3" name="AutoShape 38">
          <a:extLst>
            <a:ext uri="{FF2B5EF4-FFF2-40B4-BE49-F238E27FC236}">
              <a16:creationId xmlns:a16="http://schemas.microsoft.com/office/drawing/2014/main" id="{ADA476D1-6E3A-48BA-BD00-0E1272F87ED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4" name="AutoShape 22">
          <a:extLst>
            <a:ext uri="{FF2B5EF4-FFF2-40B4-BE49-F238E27FC236}">
              <a16:creationId xmlns:a16="http://schemas.microsoft.com/office/drawing/2014/main" id="{42A81252-5197-4724-BDEB-F77A4001F8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5" name="AutoShape 18">
          <a:extLst>
            <a:ext uri="{FF2B5EF4-FFF2-40B4-BE49-F238E27FC236}">
              <a16:creationId xmlns:a16="http://schemas.microsoft.com/office/drawing/2014/main" id="{8D6BC52A-0131-4578-98C1-2A0B86246E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6" name="AutoShape 10">
          <a:extLst>
            <a:ext uri="{FF2B5EF4-FFF2-40B4-BE49-F238E27FC236}">
              <a16:creationId xmlns:a16="http://schemas.microsoft.com/office/drawing/2014/main" id="{B5BA9CF0-6A4F-4F85-B029-EB3371F338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7" name="AutoShape 8">
          <a:extLst>
            <a:ext uri="{FF2B5EF4-FFF2-40B4-BE49-F238E27FC236}">
              <a16:creationId xmlns:a16="http://schemas.microsoft.com/office/drawing/2014/main" id="{DD7FCCAD-AB1C-4102-83BB-A046F7CFEA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8" name="AutoShape 6">
          <a:extLst>
            <a:ext uri="{FF2B5EF4-FFF2-40B4-BE49-F238E27FC236}">
              <a16:creationId xmlns:a16="http://schemas.microsoft.com/office/drawing/2014/main" id="{E68DB0B0-A39A-4176-B2C2-6F7C9C8506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5F126D25-29C7-41C5-8FAA-2BE04F2A404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0" name="AutoShape 2">
          <a:extLst>
            <a:ext uri="{FF2B5EF4-FFF2-40B4-BE49-F238E27FC236}">
              <a16:creationId xmlns:a16="http://schemas.microsoft.com/office/drawing/2014/main" id="{2C283DB5-114E-480C-A944-886CD3B512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1" name="AutoShape 44">
          <a:extLst>
            <a:ext uri="{FF2B5EF4-FFF2-40B4-BE49-F238E27FC236}">
              <a16:creationId xmlns:a16="http://schemas.microsoft.com/office/drawing/2014/main" id="{CC11F398-D50F-400F-A5FE-E14E26309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2" name="AutoShape 42">
          <a:extLst>
            <a:ext uri="{FF2B5EF4-FFF2-40B4-BE49-F238E27FC236}">
              <a16:creationId xmlns:a16="http://schemas.microsoft.com/office/drawing/2014/main" id="{59DFB574-91E8-4E42-84E2-02F653CA38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3" name="AutoShape 40">
          <a:extLst>
            <a:ext uri="{FF2B5EF4-FFF2-40B4-BE49-F238E27FC236}">
              <a16:creationId xmlns:a16="http://schemas.microsoft.com/office/drawing/2014/main" id="{F3BB8B58-94C7-4566-AC12-20160132EA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4" name="AutoShape 38">
          <a:extLst>
            <a:ext uri="{FF2B5EF4-FFF2-40B4-BE49-F238E27FC236}">
              <a16:creationId xmlns:a16="http://schemas.microsoft.com/office/drawing/2014/main" id="{9CC2CD24-32DD-4EEC-B8E5-DC92E600DA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5" name="AutoShape 22">
          <a:extLst>
            <a:ext uri="{FF2B5EF4-FFF2-40B4-BE49-F238E27FC236}">
              <a16:creationId xmlns:a16="http://schemas.microsoft.com/office/drawing/2014/main" id="{14067003-10BE-412F-8A4A-5734DBF743C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6" name="AutoShape 18">
          <a:extLst>
            <a:ext uri="{FF2B5EF4-FFF2-40B4-BE49-F238E27FC236}">
              <a16:creationId xmlns:a16="http://schemas.microsoft.com/office/drawing/2014/main" id="{660BDA87-B4FF-46CD-AB89-17745AE9E4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7" name="AutoShape 10">
          <a:extLst>
            <a:ext uri="{FF2B5EF4-FFF2-40B4-BE49-F238E27FC236}">
              <a16:creationId xmlns:a16="http://schemas.microsoft.com/office/drawing/2014/main" id="{99283E70-23EE-4A68-89C0-FDD05B5A71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8" name="AutoShape 8">
          <a:extLst>
            <a:ext uri="{FF2B5EF4-FFF2-40B4-BE49-F238E27FC236}">
              <a16:creationId xmlns:a16="http://schemas.microsoft.com/office/drawing/2014/main" id="{9941E21C-AE7E-4D5A-9A1D-97F64EC0A9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89" name="AutoShape 6">
          <a:extLst>
            <a:ext uri="{FF2B5EF4-FFF2-40B4-BE49-F238E27FC236}">
              <a16:creationId xmlns:a16="http://schemas.microsoft.com/office/drawing/2014/main" id="{5BC0191B-0A71-405B-82FD-B29DB4FC95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0" name="AutoShape 4">
          <a:extLst>
            <a:ext uri="{FF2B5EF4-FFF2-40B4-BE49-F238E27FC236}">
              <a16:creationId xmlns:a16="http://schemas.microsoft.com/office/drawing/2014/main" id="{0A1528FE-BA91-4B87-9BFB-F595CA7F98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1" name="AutoShape 2">
          <a:extLst>
            <a:ext uri="{FF2B5EF4-FFF2-40B4-BE49-F238E27FC236}">
              <a16:creationId xmlns:a16="http://schemas.microsoft.com/office/drawing/2014/main" id="{4174B9C8-0621-46A1-AF73-B018C2ECBB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2" name="AutoShape 44">
          <a:extLst>
            <a:ext uri="{FF2B5EF4-FFF2-40B4-BE49-F238E27FC236}">
              <a16:creationId xmlns:a16="http://schemas.microsoft.com/office/drawing/2014/main" id="{3E3E9872-88A1-47B9-90EF-BF4DE8CA9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3" name="AutoShape 42">
          <a:extLst>
            <a:ext uri="{FF2B5EF4-FFF2-40B4-BE49-F238E27FC236}">
              <a16:creationId xmlns:a16="http://schemas.microsoft.com/office/drawing/2014/main" id="{BDE28381-E9B8-4E73-BFE8-4E737332DE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4" name="AutoShape 40">
          <a:extLst>
            <a:ext uri="{FF2B5EF4-FFF2-40B4-BE49-F238E27FC236}">
              <a16:creationId xmlns:a16="http://schemas.microsoft.com/office/drawing/2014/main" id="{4B5003A5-1942-41D4-AD89-8DD178C37C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5" name="AutoShape 38">
          <a:extLst>
            <a:ext uri="{FF2B5EF4-FFF2-40B4-BE49-F238E27FC236}">
              <a16:creationId xmlns:a16="http://schemas.microsoft.com/office/drawing/2014/main" id="{EAFBF40B-8B2D-43B0-81BE-D0649B9105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6" name="AutoShape 22">
          <a:extLst>
            <a:ext uri="{FF2B5EF4-FFF2-40B4-BE49-F238E27FC236}">
              <a16:creationId xmlns:a16="http://schemas.microsoft.com/office/drawing/2014/main" id="{E965742C-D53C-4087-9648-16A6E49372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7" name="AutoShape 18">
          <a:extLst>
            <a:ext uri="{FF2B5EF4-FFF2-40B4-BE49-F238E27FC236}">
              <a16:creationId xmlns:a16="http://schemas.microsoft.com/office/drawing/2014/main" id="{5149E015-FD41-404D-92B1-2E6A384EEA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8" name="AutoShape 10">
          <a:extLst>
            <a:ext uri="{FF2B5EF4-FFF2-40B4-BE49-F238E27FC236}">
              <a16:creationId xmlns:a16="http://schemas.microsoft.com/office/drawing/2014/main" id="{84475EA3-4FE5-42DB-992C-6BB9ACE242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499" name="AutoShape 8">
          <a:extLst>
            <a:ext uri="{FF2B5EF4-FFF2-40B4-BE49-F238E27FC236}">
              <a16:creationId xmlns:a16="http://schemas.microsoft.com/office/drawing/2014/main" id="{3B304D65-C650-4A84-82F1-C82083C4FF5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0" name="AutoShape 6">
          <a:extLst>
            <a:ext uri="{FF2B5EF4-FFF2-40B4-BE49-F238E27FC236}">
              <a16:creationId xmlns:a16="http://schemas.microsoft.com/office/drawing/2014/main" id="{1F6BB4FC-F1AA-4C34-A595-D31F46C6BC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1" name="AutoShape 4">
          <a:extLst>
            <a:ext uri="{FF2B5EF4-FFF2-40B4-BE49-F238E27FC236}">
              <a16:creationId xmlns:a16="http://schemas.microsoft.com/office/drawing/2014/main" id="{BA1CD974-C2C8-45E6-AB0F-9FD7714F00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2" name="AutoShape 2">
          <a:extLst>
            <a:ext uri="{FF2B5EF4-FFF2-40B4-BE49-F238E27FC236}">
              <a16:creationId xmlns:a16="http://schemas.microsoft.com/office/drawing/2014/main" id="{29C02B4E-2AF5-465E-8D79-67B877B0808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3" name="AutoShape 44">
          <a:extLst>
            <a:ext uri="{FF2B5EF4-FFF2-40B4-BE49-F238E27FC236}">
              <a16:creationId xmlns:a16="http://schemas.microsoft.com/office/drawing/2014/main" id="{FC487561-52B0-4BE1-B5E0-D2075F86FD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4" name="AutoShape 42">
          <a:extLst>
            <a:ext uri="{FF2B5EF4-FFF2-40B4-BE49-F238E27FC236}">
              <a16:creationId xmlns:a16="http://schemas.microsoft.com/office/drawing/2014/main" id="{52418B8A-DDC5-4C11-8DA4-AE6591B973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5" name="AutoShape 40">
          <a:extLst>
            <a:ext uri="{FF2B5EF4-FFF2-40B4-BE49-F238E27FC236}">
              <a16:creationId xmlns:a16="http://schemas.microsoft.com/office/drawing/2014/main" id="{CFDB1746-1376-4809-9A89-BEC3F8AC4A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6" name="AutoShape 38">
          <a:extLst>
            <a:ext uri="{FF2B5EF4-FFF2-40B4-BE49-F238E27FC236}">
              <a16:creationId xmlns:a16="http://schemas.microsoft.com/office/drawing/2014/main" id="{CDACF8DA-1128-4285-B2B8-944217C8F9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7" name="AutoShape 22">
          <a:extLst>
            <a:ext uri="{FF2B5EF4-FFF2-40B4-BE49-F238E27FC236}">
              <a16:creationId xmlns:a16="http://schemas.microsoft.com/office/drawing/2014/main" id="{7B630C27-23D8-41EE-A79F-62E69A4CF10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8" name="AutoShape 18">
          <a:extLst>
            <a:ext uri="{FF2B5EF4-FFF2-40B4-BE49-F238E27FC236}">
              <a16:creationId xmlns:a16="http://schemas.microsoft.com/office/drawing/2014/main" id="{2E56D16A-9F9B-4F0B-835B-DF2A366D15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09" name="AutoShape 10">
          <a:extLst>
            <a:ext uri="{FF2B5EF4-FFF2-40B4-BE49-F238E27FC236}">
              <a16:creationId xmlns:a16="http://schemas.microsoft.com/office/drawing/2014/main" id="{12CF328A-3C55-469D-9F4B-7AFDD65D1D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0" name="AutoShape 8">
          <a:extLst>
            <a:ext uri="{FF2B5EF4-FFF2-40B4-BE49-F238E27FC236}">
              <a16:creationId xmlns:a16="http://schemas.microsoft.com/office/drawing/2014/main" id="{CD07A56F-8B72-489D-9F24-1B695428AF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1" name="AutoShape 6">
          <a:extLst>
            <a:ext uri="{FF2B5EF4-FFF2-40B4-BE49-F238E27FC236}">
              <a16:creationId xmlns:a16="http://schemas.microsoft.com/office/drawing/2014/main" id="{D71F4564-DD1A-49CE-84A9-7D9E383681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2" name="AutoShape 4">
          <a:extLst>
            <a:ext uri="{FF2B5EF4-FFF2-40B4-BE49-F238E27FC236}">
              <a16:creationId xmlns:a16="http://schemas.microsoft.com/office/drawing/2014/main" id="{5BF19947-42A9-4D94-B2EB-CA79FB6048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3" name="AutoShape 2">
          <a:extLst>
            <a:ext uri="{FF2B5EF4-FFF2-40B4-BE49-F238E27FC236}">
              <a16:creationId xmlns:a16="http://schemas.microsoft.com/office/drawing/2014/main" id="{18F7B116-133E-447B-B394-C40B74E7A3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4" name="AutoShape 44">
          <a:extLst>
            <a:ext uri="{FF2B5EF4-FFF2-40B4-BE49-F238E27FC236}">
              <a16:creationId xmlns:a16="http://schemas.microsoft.com/office/drawing/2014/main" id="{0EB3696C-B96F-46B0-9E6B-6DD01CE696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5" name="AutoShape 42">
          <a:extLst>
            <a:ext uri="{FF2B5EF4-FFF2-40B4-BE49-F238E27FC236}">
              <a16:creationId xmlns:a16="http://schemas.microsoft.com/office/drawing/2014/main" id="{85059655-082C-4876-9764-C45E12CAFCA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6" name="AutoShape 40">
          <a:extLst>
            <a:ext uri="{FF2B5EF4-FFF2-40B4-BE49-F238E27FC236}">
              <a16:creationId xmlns:a16="http://schemas.microsoft.com/office/drawing/2014/main" id="{D5E55AA9-EF38-4B44-B905-E783A11E49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7" name="AutoShape 38">
          <a:extLst>
            <a:ext uri="{FF2B5EF4-FFF2-40B4-BE49-F238E27FC236}">
              <a16:creationId xmlns:a16="http://schemas.microsoft.com/office/drawing/2014/main" id="{EF6C1C0F-37D9-4CB3-B914-3C3E64A875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8" name="AutoShape 22">
          <a:extLst>
            <a:ext uri="{FF2B5EF4-FFF2-40B4-BE49-F238E27FC236}">
              <a16:creationId xmlns:a16="http://schemas.microsoft.com/office/drawing/2014/main" id="{D7FE0761-CB82-4038-8C4A-6A370D9098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19" name="AutoShape 18">
          <a:extLst>
            <a:ext uri="{FF2B5EF4-FFF2-40B4-BE49-F238E27FC236}">
              <a16:creationId xmlns:a16="http://schemas.microsoft.com/office/drawing/2014/main" id="{05F18D36-53A9-4269-A728-8A6C22DE9F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0" name="AutoShape 10">
          <a:extLst>
            <a:ext uri="{FF2B5EF4-FFF2-40B4-BE49-F238E27FC236}">
              <a16:creationId xmlns:a16="http://schemas.microsoft.com/office/drawing/2014/main" id="{9D0A9CD4-D969-432A-8151-FEC382BD7F3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1" name="AutoShape 8">
          <a:extLst>
            <a:ext uri="{FF2B5EF4-FFF2-40B4-BE49-F238E27FC236}">
              <a16:creationId xmlns:a16="http://schemas.microsoft.com/office/drawing/2014/main" id="{4EBCEA1A-0C39-4A4C-9A6C-28F5C0DC5E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2" name="AutoShape 6">
          <a:extLst>
            <a:ext uri="{FF2B5EF4-FFF2-40B4-BE49-F238E27FC236}">
              <a16:creationId xmlns:a16="http://schemas.microsoft.com/office/drawing/2014/main" id="{4EE3D200-FA3F-4D45-984F-075C1FD674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3" name="AutoShape 4">
          <a:extLst>
            <a:ext uri="{FF2B5EF4-FFF2-40B4-BE49-F238E27FC236}">
              <a16:creationId xmlns:a16="http://schemas.microsoft.com/office/drawing/2014/main" id="{7D68593C-E2B4-4994-9F0B-5862D7BFD1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4" name="AutoShape 2">
          <a:extLst>
            <a:ext uri="{FF2B5EF4-FFF2-40B4-BE49-F238E27FC236}">
              <a16:creationId xmlns:a16="http://schemas.microsoft.com/office/drawing/2014/main" id="{B5715464-4294-449C-9864-F78FCD0F88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5" name="AutoShape 44">
          <a:extLst>
            <a:ext uri="{FF2B5EF4-FFF2-40B4-BE49-F238E27FC236}">
              <a16:creationId xmlns:a16="http://schemas.microsoft.com/office/drawing/2014/main" id="{4736A25C-289A-4870-8B7B-F8A33525DB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6" name="AutoShape 42">
          <a:extLst>
            <a:ext uri="{FF2B5EF4-FFF2-40B4-BE49-F238E27FC236}">
              <a16:creationId xmlns:a16="http://schemas.microsoft.com/office/drawing/2014/main" id="{473CC038-1F03-4193-91D0-11C0EE0224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7" name="AutoShape 40">
          <a:extLst>
            <a:ext uri="{FF2B5EF4-FFF2-40B4-BE49-F238E27FC236}">
              <a16:creationId xmlns:a16="http://schemas.microsoft.com/office/drawing/2014/main" id="{FE120C8B-1273-4B66-8126-263E62DAE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8" name="AutoShape 38">
          <a:extLst>
            <a:ext uri="{FF2B5EF4-FFF2-40B4-BE49-F238E27FC236}">
              <a16:creationId xmlns:a16="http://schemas.microsoft.com/office/drawing/2014/main" id="{22C36ADA-92EF-47B6-9F75-7E96926EDA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29" name="AutoShape 22">
          <a:extLst>
            <a:ext uri="{FF2B5EF4-FFF2-40B4-BE49-F238E27FC236}">
              <a16:creationId xmlns:a16="http://schemas.microsoft.com/office/drawing/2014/main" id="{E51D5B79-C748-4A0A-B616-F25D3C56D7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0" name="AutoShape 18">
          <a:extLst>
            <a:ext uri="{FF2B5EF4-FFF2-40B4-BE49-F238E27FC236}">
              <a16:creationId xmlns:a16="http://schemas.microsoft.com/office/drawing/2014/main" id="{F5626612-F6A8-43B8-996A-C56BFC2591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1" name="AutoShape 10">
          <a:extLst>
            <a:ext uri="{FF2B5EF4-FFF2-40B4-BE49-F238E27FC236}">
              <a16:creationId xmlns:a16="http://schemas.microsoft.com/office/drawing/2014/main" id="{7F0D1726-0FD0-4F56-9D9D-715019BC33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2" name="AutoShape 8">
          <a:extLst>
            <a:ext uri="{FF2B5EF4-FFF2-40B4-BE49-F238E27FC236}">
              <a16:creationId xmlns:a16="http://schemas.microsoft.com/office/drawing/2014/main" id="{417A4507-C8AF-4536-AD9F-ACFBC4EB6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3" name="AutoShape 6">
          <a:extLst>
            <a:ext uri="{FF2B5EF4-FFF2-40B4-BE49-F238E27FC236}">
              <a16:creationId xmlns:a16="http://schemas.microsoft.com/office/drawing/2014/main" id="{CD809860-4337-41A4-A474-05D8520BCD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4" name="AutoShape 2">
          <a:extLst>
            <a:ext uri="{FF2B5EF4-FFF2-40B4-BE49-F238E27FC236}">
              <a16:creationId xmlns:a16="http://schemas.microsoft.com/office/drawing/2014/main" id="{7645074D-C7D9-4640-98B6-1C3E9A6833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5" name="AutoShape 44">
          <a:extLst>
            <a:ext uri="{FF2B5EF4-FFF2-40B4-BE49-F238E27FC236}">
              <a16:creationId xmlns:a16="http://schemas.microsoft.com/office/drawing/2014/main" id="{05172FC6-E48F-46E1-8D93-86E5105925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6" name="AutoShape 42">
          <a:extLst>
            <a:ext uri="{FF2B5EF4-FFF2-40B4-BE49-F238E27FC236}">
              <a16:creationId xmlns:a16="http://schemas.microsoft.com/office/drawing/2014/main" id="{2D6623F4-FEEC-4244-8AD3-2622AE6691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7" name="AutoShape 40">
          <a:extLst>
            <a:ext uri="{FF2B5EF4-FFF2-40B4-BE49-F238E27FC236}">
              <a16:creationId xmlns:a16="http://schemas.microsoft.com/office/drawing/2014/main" id="{59B85B4F-C0B2-43C7-9F58-078D87FF8E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8" name="AutoShape 38">
          <a:extLst>
            <a:ext uri="{FF2B5EF4-FFF2-40B4-BE49-F238E27FC236}">
              <a16:creationId xmlns:a16="http://schemas.microsoft.com/office/drawing/2014/main" id="{7AECF31B-BE4A-4FE9-BF70-C7010FF6C6A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39" name="AutoShape 22">
          <a:extLst>
            <a:ext uri="{FF2B5EF4-FFF2-40B4-BE49-F238E27FC236}">
              <a16:creationId xmlns:a16="http://schemas.microsoft.com/office/drawing/2014/main" id="{1B45E934-3E45-45A4-A1F2-1709C5055D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0" name="AutoShape 18">
          <a:extLst>
            <a:ext uri="{FF2B5EF4-FFF2-40B4-BE49-F238E27FC236}">
              <a16:creationId xmlns:a16="http://schemas.microsoft.com/office/drawing/2014/main" id="{239C025F-EBC7-4948-A2E2-70D5E6ABE9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1" name="AutoShape 10">
          <a:extLst>
            <a:ext uri="{FF2B5EF4-FFF2-40B4-BE49-F238E27FC236}">
              <a16:creationId xmlns:a16="http://schemas.microsoft.com/office/drawing/2014/main" id="{10D199BB-17A7-44E3-8B13-6329A197D99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2" name="AutoShape 8">
          <a:extLst>
            <a:ext uri="{FF2B5EF4-FFF2-40B4-BE49-F238E27FC236}">
              <a16:creationId xmlns:a16="http://schemas.microsoft.com/office/drawing/2014/main" id="{26F9DD6D-8C83-42CD-B1B1-F4BAD27237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3" name="AutoShape 6">
          <a:extLst>
            <a:ext uri="{FF2B5EF4-FFF2-40B4-BE49-F238E27FC236}">
              <a16:creationId xmlns:a16="http://schemas.microsoft.com/office/drawing/2014/main" id="{E19225C2-79B8-4790-BBDE-663829DED1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4" name="AutoShape 2">
          <a:extLst>
            <a:ext uri="{FF2B5EF4-FFF2-40B4-BE49-F238E27FC236}">
              <a16:creationId xmlns:a16="http://schemas.microsoft.com/office/drawing/2014/main" id="{2C4C1DB7-3681-49EA-A0FE-3EFF0CE38F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5" name="AutoShape 44">
          <a:extLst>
            <a:ext uri="{FF2B5EF4-FFF2-40B4-BE49-F238E27FC236}">
              <a16:creationId xmlns:a16="http://schemas.microsoft.com/office/drawing/2014/main" id="{DC84E3A1-1ADA-4493-B0CB-C35515AD376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6" name="AutoShape 42">
          <a:extLst>
            <a:ext uri="{FF2B5EF4-FFF2-40B4-BE49-F238E27FC236}">
              <a16:creationId xmlns:a16="http://schemas.microsoft.com/office/drawing/2014/main" id="{7FB7E915-C62F-4D3C-91A3-BE99023B7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7" name="AutoShape 40">
          <a:extLst>
            <a:ext uri="{FF2B5EF4-FFF2-40B4-BE49-F238E27FC236}">
              <a16:creationId xmlns:a16="http://schemas.microsoft.com/office/drawing/2014/main" id="{E448F4F5-EF72-4CAE-BACC-8BF9D49E8D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8" name="AutoShape 38">
          <a:extLst>
            <a:ext uri="{FF2B5EF4-FFF2-40B4-BE49-F238E27FC236}">
              <a16:creationId xmlns:a16="http://schemas.microsoft.com/office/drawing/2014/main" id="{B32A7D79-9A52-478A-9E52-589CC9C0963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49" name="AutoShape 22">
          <a:extLst>
            <a:ext uri="{FF2B5EF4-FFF2-40B4-BE49-F238E27FC236}">
              <a16:creationId xmlns:a16="http://schemas.microsoft.com/office/drawing/2014/main" id="{C6CB4E18-9E3A-4070-84B1-2C56F909EF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0" name="AutoShape 18">
          <a:extLst>
            <a:ext uri="{FF2B5EF4-FFF2-40B4-BE49-F238E27FC236}">
              <a16:creationId xmlns:a16="http://schemas.microsoft.com/office/drawing/2014/main" id="{20CED748-192F-4DEB-9430-316F017424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1" name="AutoShape 10">
          <a:extLst>
            <a:ext uri="{FF2B5EF4-FFF2-40B4-BE49-F238E27FC236}">
              <a16:creationId xmlns:a16="http://schemas.microsoft.com/office/drawing/2014/main" id="{40B192D7-718D-4235-BE8B-1030EDD7673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2" name="AutoShape 8">
          <a:extLst>
            <a:ext uri="{FF2B5EF4-FFF2-40B4-BE49-F238E27FC236}">
              <a16:creationId xmlns:a16="http://schemas.microsoft.com/office/drawing/2014/main" id="{9D6559A0-9204-4757-96B9-62B6DC46D1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3" name="AutoShape 6">
          <a:extLst>
            <a:ext uri="{FF2B5EF4-FFF2-40B4-BE49-F238E27FC236}">
              <a16:creationId xmlns:a16="http://schemas.microsoft.com/office/drawing/2014/main" id="{EECB71E9-0F44-449D-9D39-4DA55F7871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4" name="AutoShape 2">
          <a:extLst>
            <a:ext uri="{FF2B5EF4-FFF2-40B4-BE49-F238E27FC236}">
              <a16:creationId xmlns:a16="http://schemas.microsoft.com/office/drawing/2014/main" id="{5AF4ECC5-B501-4590-A982-0510D0C82A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5" name="AutoShape 44">
          <a:extLst>
            <a:ext uri="{FF2B5EF4-FFF2-40B4-BE49-F238E27FC236}">
              <a16:creationId xmlns:a16="http://schemas.microsoft.com/office/drawing/2014/main" id="{113B299B-D631-4BE9-9E2C-C351A5E498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6" name="AutoShape 42">
          <a:extLst>
            <a:ext uri="{FF2B5EF4-FFF2-40B4-BE49-F238E27FC236}">
              <a16:creationId xmlns:a16="http://schemas.microsoft.com/office/drawing/2014/main" id="{C074211D-01BC-429A-A956-F0B24D249B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7" name="AutoShape 40">
          <a:extLst>
            <a:ext uri="{FF2B5EF4-FFF2-40B4-BE49-F238E27FC236}">
              <a16:creationId xmlns:a16="http://schemas.microsoft.com/office/drawing/2014/main" id="{C0FCDDF3-BE38-4E9A-AE38-13BDAFAECA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8" name="AutoShape 38">
          <a:extLst>
            <a:ext uri="{FF2B5EF4-FFF2-40B4-BE49-F238E27FC236}">
              <a16:creationId xmlns:a16="http://schemas.microsoft.com/office/drawing/2014/main" id="{51DBEC15-74FA-437F-B819-8A9F8D6C7C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59" name="AutoShape 22">
          <a:extLst>
            <a:ext uri="{FF2B5EF4-FFF2-40B4-BE49-F238E27FC236}">
              <a16:creationId xmlns:a16="http://schemas.microsoft.com/office/drawing/2014/main" id="{7A5E7B6F-F35E-4679-A8C7-37864938BA6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0" name="AutoShape 18">
          <a:extLst>
            <a:ext uri="{FF2B5EF4-FFF2-40B4-BE49-F238E27FC236}">
              <a16:creationId xmlns:a16="http://schemas.microsoft.com/office/drawing/2014/main" id="{D096BB3C-281B-4EB2-AD56-B2F3603F19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1" name="AutoShape 10">
          <a:extLst>
            <a:ext uri="{FF2B5EF4-FFF2-40B4-BE49-F238E27FC236}">
              <a16:creationId xmlns:a16="http://schemas.microsoft.com/office/drawing/2014/main" id="{22F00318-1523-4045-AA1B-9F5381C0AF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2" name="AutoShape 8">
          <a:extLst>
            <a:ext uri="{FF2B5EF4-FFF2-40B4-BE49-F238E27FC236}">
              <a16:creationId xmlns:a16="http://schemas.microsoft.com/office/drawing/2014/main" id="{6972BF32-D941-42BB-A1D8-C21315661B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3" name="AutoShape 6">
          <a:extLst>
            <a:ext uri="{FF2B5EF4-FFF2-40B4-BE49-F238E27FC236}">
              <a16:creationId xmlns:a16="http://schemas.microsoft.com/office/drawing/2014/main" id="{B9838119-633A-429A-87F8-3FE3AE4C75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4" name="AutoShape 2">
          <a:extLst>
            <a:ext uri="{FF2B5EF4-FFF2-40B4-BE49-F238E27FC236}">
              <a16:creationId xmlns:a16="http://schemas.microsoft.com/office/drawing/2014/main" id="{61FF775D-F26F-480B-A411-19BF01BA94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5" name="AutoShape 44">
          <a:extLst>
            <a:ext uri="{FF2B5EF4-FFF2-40B4-BE49-F238E27FC236}">
              <a16:creationId xmlns:a16="http://schemas.microsoft.com/office/drawing/2014/main" id="{43ED1231-FB89-49EE-ABB5-EFCDFBED2F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6" name="AutoShape 42">
          <a:extLst>
            <a:ext uri="{FF2B5EF4-FFF2-40B4-BE49-F238E27FC236}">
              <a16:creationId xmlns:a16="http://schemas.microsoft.com/office/drawing/2014/main" id="{389719DF-76B1-4790-A0FB-028CCEB699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7" name="AutoShape 40">
          <a:extLst>
            <a:ext uri="{FF2B5EF4-FFF2-40B4-BE49-F238E27FC236}">
              <a16:creationId xmlns:a16="http://schemas.microsoft.com/office/drawing/2014/main" id="{B0680E87-34FE-42CB-92C7-27782616A33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8" name="AutoShape 38">
          <a:extLst>
            <a:ext uri="{FF2B5EF4-FFF2-40B4-BE49-F238E27FC236}">
              <a16:creationId xmlns:a16="http://schemas.microsoft.com/office/drawing/2014/main" id="{579EDCAA-21C6-47B0-8BAC-8C0C5ED3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69" name="AutoShape 22">
          <a:extLst>
            <a:ext uri="{FF2B5EF4-FFF2-40B4-BE49-F238E27FC236}">
              <a16:creationId xmlns:a16="http://schemas.microsoft.com/office/drawing/2014/main" id="{E4C73367-D381-4264-8B0B-086F8542927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0" name="AutoShape 18">
          <a:extLst>
            <a:ext uri="{FF2B5EF4-FFF2-40B4-BE49-F238E27FC236}">
              <a16:creationId xmlns:a16="http://schemas.microsoft.com/office/drawing/2014/main" id="{07287A68-6DB7-43AF-BF2E-8C3A8A8E953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1" name="AutoShape 10">
          <a:extLst>
            <a:ext uri="{FF2B5EF4-FFF2-40B4-BE49-F238E27FC236}">
              <a16:creationId xmlns:a16="http://schemas.microsoft.com/office/drawing/2014/main" id="{54F9835A-6DCB-4E57-8AE2-D737D324DC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2" name="AutoShape 8">
          <a:extLst>
            <a:ext uri="{FF2B5EF4-FFF2-40B4-BE49-F238E27FC236}">
              <a16:creationId xmlns:a16="http://schemas.microsoft.com/office/drawing/2014/main" id="{7EDA844F-9D27-4668-AD43-96D6FD8A354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3" name="AutoShape 6">
          <a:extLst>
            <a:ext uri="{FF2B5EF4-FFF2-40B4-BE49-F238E27FC236}">
              <a16:creationId xmlns:a16="http://schemas.microsoft.com/office/drawing/2014/main" id="{754EA2B3-EE19-4CE0-BC6F-15B7D41B98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4" name="AutoShape 2">
          <a:extLst>
            <a:ext uri="{FF2B5EF4-FFF2-40B4-BE49-F238E27FC236}">
              <a16:creationId xmlns:a16="http://schemas.microsoft.com/office/drawing/2014/main" id="{49A12D98-FE83-47F3-9289-664AA2DBDF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5" name="AutoShape 44">
          <a:extLst>
            <a:ext uri="{FF2B5EF4-FFF2-40B4-BE49-F238E27FC236}">
              <a16:creationId xmlns:a16="http://schemas.microsoft.com/office/drawing/2014/main" id="{F1C52E4E-7F42-4FDB-8B37-4B7CFB5E8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6" name="AutoShape 42">
          <a:extLst>
            <a:ext uri="{FF2B5EF4-FFF2-40B4-BE49-F238E27FC236}">
              <a16:creationId xmlns:a16="http://schemas.microsoft.com/office/drawing/2014/main" id="{D457AB8A-0DD1-448C-89DB-1E691940CB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7" name="AutoShape 40">
          <a:extLst>
            <a:ext uri="{FF2B5EF4-FFF2-40B4-BE49-F238E27FC236}">
              <a16:creationId xmlns:a16="http://schemas.microsoft.com/office/drawing/2014/main" id="{76DB3426-44C9-4790-B557-1CECCA02788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8" name="AutoShape 38">
          <a:extLst>
            <a:ext uri="{FF2B5EF4-FFF2-40B4-BE49-F238E27FC236}">
              <a16:creationId xmlns:a16="http://schemas.microsoft.com/office/drawing/2014/main" id="{68B732E2-1F6B-49DB-9F81-69466890FA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79" name="AutoShape 22">
          <a:extLst>
            <a:ext uri="{FF2B5EF4-FFF2-40B4-BE49-F238E27FC236}">
              <a16:creationId xmlns:a16="http://schemas.microsoft.com/office/drawing/2014/main" id="{84A8785A-B31A-457A-AC6C-7016649D0A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0" name="AutoShape 18">
          <a:extLst>
            <a:ext uri="{FF2B5EF4-FFF2-40B4-BE49-F238E27FC236}">
              <a16:creationId xmlns:a16="http://schemas.microsoft.com/office/drawing/2014/main" id="{9E81E8C9-2AE2-4197-B0E5-9AD09ADE057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1" name="AutoShape 10">
          <a:extLst>
            <a:ext uri="{FF2B5EF4-FFF2-40B4-BE49-F238E27FC236}">
              <a16:creationId xmlns:a16="http://schemas.microsoft.com/office/drawing/2014/main" id="{64D00A73-BCB4-4B3D-BD7F-E3A4738DF22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2" name="AutoShape 8">
          <a:extLst>
            <a:ext uri="{FF2B5EF4-FFF2-40B4-BE49-F238E27FC236}">
              <a16:creationId xmlns:a16="http://schemas.microsoft.com/office/drawing/2014/main" id="{28BA6B98-90CE-4DE0-8B11-A3100C64E7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3" name="AutoShape 6">
          <a:extLst>
            <a:ext uri="{FF2B5EF4-FFF2-40B4-BE49-F238E27FC236}">
              <a16:creationId xmlns:a16="http://schemas.microsoft.com/office/drawing/2014/main" id="{681016E5-A9ED-44A4-AF62-0244F5979B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4" name="AutoShape 2">
          <a:extLst>
            <a:ext uri="{FF2B5EF4-FFF2-40B4-BE49-F238E27FC236}">
              <a16:creationId xmlns:a16="http://schemas.microsoft.com/office/drawing/2014/main" id="{1E19DBBA-8780-4DD0-B3BC-F966D7AFF2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5" name="AutoShape 44">
          <a:extLst>
            <a:ext uri="{FF2B5EF4-FFF2-40B4-BE49-F238E27FC236}">
              <a16:creationId xmlns:a16="http://schemas.microsoft.com/office/drawing/2014/main" id="{60CC2EE8-EC60-4369-90ED-BD36126F829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6" name="AutoShape 42">
          <a:extLst>
            <a:ext uri="{FF2B5EF4-FFF2-40B4-BE49-F238E27FC236}">
              <a16:creationId xmlns:a16="http://schemas.microsoft.com/office/drawing/2014/main" id="{02CA6DD6-80DE-4FEC-87A7-98A099293CE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7" name="AutoShape 40">
          <a:extLst>
            <a:ext uri="{FF2B5EF4-FFF2-40B4-BE49-F238E27FC236}">
              <a16:creationId xmlns:a16="http://schemas.microsoft.com/office/drawing/2014/main" id="{DD640B6F-6D1A-4D1D-8F64-990B8AFF33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8" name="AutoShape 38">
          <a:extLst>
            <a:ext uri="{FF2B5EF4-FFF2-40B4-BE49-F238E27FC236}">
              <a16:creationId xmlns:a16="http://schemas.microsoft.com/office/drawing/2014/main" id="{8ED5F570-F29E-46CC-B2BA-3E961DF1B82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89" name="AutoShape 22">
          <a:extLst>
            <a:ext uri="{FF2B5EF4-FFF2-40B4-BE49-F238E27FC236}">
              <a16:creationId xmlns:a16="http://schemas.microsoft.com/office/drawing/2014/main" id="{FD8FA7E3-4316-4B9C-992D-99646DABE2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0" name="AutoShape 10">
          <a:extLst>
            <a:ext uri="{FF2B5EF4-FFF2-40B4-BE49-F238E27FC236}">
              <a16:creationId xmlns:a16="http://schemas.microsoft.com/office/drawing/2014/main" id="{032BAB1A-D742-4B5D-A45A-6D6C9B9B9A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1" name="AutoShape 8">
          <a:extLst>
            <a:ext uri="{FF2B5EF4-FFF2-40B4-BE49-F238E27FC236}">
              <a16:creationId xmlns:a16="http://schemas.microsoft.com/office/drawing/2014/main" id="{69046268-F9C8-4A29-9B3B-20D8EDBA001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2" name="AutoShape 6">
          <a:extLst>
            <a:ext uri="{FF2B5EF4-FFF2-40B4-BE49-F238E27FC236}">
              <a16:creationId xmlns:a16="http://schemas.microsoft.com/office/drawing/2014/main" id="{D5CDB26B-F5FD-4E8B-AC61-7926DF1185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3" name="AutoShape 2">
          <a:extLst>
            <a:ext uri="{FF2B5EF4-FFF2-40B4-BE49-F238E27FC236}">
              <a16:creationId xmlns:a16="http://schemas.microsoft.com/office/drawing/2014/main" id="{109A9FB0-418A-4BCD-B712-9DF66833CA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4" name="AutoShape 44">
          <a:extLst>
            <a:ext uri="{FF2B5EF4-FFF2-40B4-BE49-F238E27FC236}">
              <a16:creationId xmlns:a16="http://schemas.microsoft.com/office/drawing/2014/main" id="{5C95151B-7877-4FE8-AAA4-AA9E94D92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5" name="AutoShape 42">
          <a:extLst>
            <a:ext uri="{FF2B5EF4-FFF2-40B4-BE49-F238E27FC236}">
              <a16:creationId xmlns:a16="http://schemas.microsoft.com/office/drawing/2014/main" id="{187231C6-801B-490F-9884-92E38E23555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6" name="AutoShape 40">
          <a:extLst>
            <a:ext uri="{FF2B5EF4-FFF2-40B4-BE49-F238E27FC236}">
              <a16:creationId xmlns:a16="http://schemas.microsoft.com/office/drawing/2014/main" id="{DBE836CF-EB83-4E93-8EE1-D7F64CA409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7" name="AutoShape 38">
          <a:extLst>
            <a:ext uri="{FF2B5EF4-FFF2-40B4-BE49-F238E27FC236}">
              <a16:creationId xmlns:a16="http://schemas.microsoft.com/office/drawing/2014/main" id="{82DB0E1E-FF69-4C00-823F-41FB0395A2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8" name="AutoShape 22">
          <a:extLst>
            <a:ext uri="{FF2B5EF4-FFF2-40B4-BE49-F238E27FC236}">
              <a16:creationId xmlns:a16="http://schemas.microsoft.com/office/drawing/2014/main" id="{9011F9B9-E555-4124-8580-D5A4468727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599" name="AutoShape 10">
          <a:extLst>
            <a:ext uri="{FF2B5EF4-FFF2-40B4-BE49-F238E27FC236}">
              <a16:creationId xmlns:a16="http://schemas.microsoft.com/office/drawing/2014/main" id="{43D9C339-5A6D-43B7-AD81-9703D4D2B5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0" name="AutoShape 8">
          <a:extLst>
            <a:ext uri="{FF2B5EF4-FFF2-40B4-BE49-F238E27FC236}">
              <a16:creationId xmlns:a16="http://schemas.microsoft.com/office/drawing/2014/main" id="{299B5C89-D853-4DDD-8C06-09B05372EA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1" name="AutoShape 6">
          <a:extLst>
            <a:ext uri="{FF2B5EF4-FFF2-40B4-BE49-F238E27FC236}">
              <a16:creationId xmlns:a16="http://schemas.microsoft.com/office/drawing/2014/main" id="{647E5C1C-6BAE-45B2-BD5C-0D28C3E961D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2" name="AutoShape 2">
          <a:extLst>
            <a:ext uri="{FF2B5EF4-FFF2-40B4-BE49-F238E27FC236}">
              <a16:creationId xmlns:a16="http://schemas.microsoft.com/office/drawing/2014/main" id="{30C08B6B-C892-4F75-86A5-654DE37DD51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3" name="AutoShape 44">
          <a:extLst>
            <a:ext uri="{FF2B5EF4-FFF2-40B4-BE49-F238E27FC236}">
              <a16:creationId xmlns:a16="http://schemas.microsoft.com/office/drawing/2014/main" id="{7CD8CCB3-0043-4F05-96FC-A619E249FF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4" name="AutoShape 42">
          <a:extLst>
            <a:ext uri="{FF2B5EF4-FFF2-40B4-BE49-F238E27FC236}">
              <a16:creationId xmlns:a16="http://schemas.microsoft.com/office/drawing/2014/main" id="{53FE846D-FC4A-4E8C-A615-28E455ACCEB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5" name="AutoShape 40">
          <a:extLst>
            <a:ext uri="{FF2B5EF4-FFF2-40B4-BE49-F238E27FC236}">
              <a16:creationId xmlns:a16="http://schemas.microsoft.com/office/drawing/2014/main" id="{A36F394E-2155-49A1-A77E-648E906E3C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6" name="AutoShape 38">
          <a:extLst>
            <a:ext uri="{FF2B5EF4-FFF2-40B4-BE49-F238E27FC236}">
              <a16:creationId xmlns:a16="http://schemas.microsoft.com/office/drawing/2014/main" id="{60EE2B28-DCA5-476E-B6D5-9387D7C4C3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7" name="AutoShape 22">
          <a:extLst>
            <a:ext uri="{FF2B5EF4-FFF2-40B4-BE49-F238E27FC236}">
              <a16:creationId xmlns:a16="http://schemas.microsoft.com/office/drawing/2014/main" id="{BAC8B5ED-FCD2-4292-BAC7-E274B0D0C4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8" name="AutoShape 10">
          <a:extLst>
            <a:ext uri="{FF2B5EF4-FFF2-40B4-BE49-F238E27FC236}">
              <a16:creationId xmlns:a16="http://schemas.microsoft.com/office/drawing/2014/main" id="{65C4AE9F-0F96-498F-B4A8-484AB987FD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09" name="AutoShape 8">
          <a:extLst>
            <a:ext uri="{FF2B5EF4-FFF2-40B4-BE49-F238E27FC236}">
              <a16:creationId xmlns:a16="http://schemas.microsoft.com/office/drawing/2014/main" id="{A9BABAEB-1510-472B-9839-564EB05F40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0" name="AutoShape 6">
          <a:extLst>
            <a:ext uri="{FF2B5EF4-FFF2-40B4-BE49-F238E27FC236}">
              <a16:creationId xmlns:a16="http://schemas.microsoft.com/office/drawing/2014/main" id="{C2B0D7C9-9880-47D3-AA60-05C22065ECC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1" name="AutoShape 2">
          <a:extLst>
            <a:ext uri="{FF2B5EF4-FFF2-40B4-BE49-F238E27FC236}">
              <a16:creationId xmlns:a16="http://schemas.microsoft.com/office/drawing/2014/main" id="{A0DE2063-8BBC-4D6F-B514-2FB3D625B5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2" name="AutoShape 44">
          <a:extLst>
            <a:ext uri="{FF2B5EF4-FFF2-40B4-BE49-F238E27FC236}">
              <a16:creationId xmlns:a16="http://schemas.microsoft.com/office/drawing/2014/main" id="{90B3F877-F6F6-4C00-8199-63FAF46AC2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3" name="AutoShape 42">
          <a:extLst>
            <a:ext uri="{FF2B5EF4-FFF2-40B4-BE49-F238E27FC236}">
              <a16:creationId xmlns:a16="http://schemas.microsoft.com/office/drawing/2014/main" id="{6109B8C5-87FF-427B-8847-CE440068E77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4" name="AutoShape 40">
          <a:extLst>
            <a:ext uri="{FF2B5EF4-FFF2-40B4-BE49-F238E27FC236}">
              <a16:creationId xmlns:a16="http://schemas.microsoft.com/office/drawing/2014/main" id="{767E74B0-C91F-4497-BAB9-D608DC40D3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5" name="AutoShape 38">
          <a:extLst>
            <a:ext uri="{FF2B5EF4-FFF2-40B4-BE49-F238E27FC236}">
              <a16:creationId xmlns:a16="http://schemas.microsoft.com/office/drawing/2014/main" id="{1DA5BE6F-8D9E-4EFF-BCF9-722E4826DD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6" name="AutoShape 22">
          <a:extLst>
            <a:ext uri="{FF2B5EF4-FFF2-40B4-BE49-F238E27FC236}">
              <a16:creationId xmlns:a16="http://schemas.microsoft.com/office/drawing/2014/main" id="{5C3F631F-426A-49CA-9179-1603779972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7" name="AutoShape 10">
          <a:extLst>
            <a:ext uri="{FF2B5EF4-FFF2-40B4-BE49-F238E27FC236}">
              <a16:creationId xmlns:a16="http://schemas.microsoft.com/office/drawing/2014/main" id="{DAF3FA67-B514-4D80-B024-842D1CC971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8" name="AutoShape 8">
          <a:extLst>
            <a:ext uri="{FF2B5EF4-FFF2-40B4-BE49-F238E27FC236}">
              <a16:creationId xmlns:a16="http://schemas.microsoft.com/office/drawing/2014/main" id="{41356750-7986-4B36-8F5E-5A3A839FBD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19" name="AutoShape 6">
          <a:extLst>
            <a:ext uri="{FF2B5EF4-FFF2-40B4-BE49-F238E27FC236}">
              <a16:creationId xmlns:a16="http://schemas.microsoft.com/office/drawing/2014/main" id="{DE915B9A-B3D7-44EE-A06B-07788E72070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0" name="AutoShape 2">
          <a:extLst>
            <a:ext uri="{FF2B5EF4-FFF2-40B4-BE49-F238E27FC236}">
              <a16:creationId xmlns:a16="http://schemas.microsoft.com/office/drawing/2014/main" id="{1E5D9164-13E8-4157-8FD1-1B35C4AD1C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1" name="AutoShape 44">
          <a:extLst>
            <a:ext uri="{FF2B5EF4-FFF2-40B4-BE49-F238E27FC236}">
              <a16:creationId xmlns:a16="http://schemas.microsoft.com/office/drawing/2014/main" id="{05BC3C2B-3D0C-4182-85C0-8D0324CFCF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2" name="AutoShape 42">
          <a:extLst>
            <a:ext uri="{FF2B5EF4-FFF2-40B4-BE49-F238E27FC236}">
              <a16:creationId xmlns:a16="http://schemas.microsoft.com/office/drawing/2014/main" id="{598A37EC-39BC-4A51-9527-334505492D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3" name="AutoShape 40">
          <a:extLst>
            <a:ext uri="{FF2B5EF4-FFF2-40B4-BE49-F238E27FC236}">
              <a16:creationId xmlns:a16="http://schemas.microsoft.com/office/drawing/2014/main" id="{695F7551-224A-488B-8B20-D9CA870E187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4" name="AutoShape 38">
          <a:extLst>
            <a:ext uri="{FF2B5EF4-FFF2-40B4-BE49-F238E27FC236}">
              <a16:creationId xmlns:a16="http://schemas.microsoft.com/office/drawing/2014/main" id="{178E9754-336A-43EB-A438-28F07279592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5" name="AutoShape 22">
          <a:extLst>
            <a:ext uri="{FF2B5EF4-FFF2-40B4-BE49-F238E27FC236}">
              <a16:creationId xmlns:a16="http://schemas.microsoft.com/office/drawing/2014/main" id="{7D782931-FB33-470D-9283-65D96FD88C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6" name="AutoShape 10">
          <a:extLst>
            <a:ext uri="{FF2B5EF4-FFF2-40B4-BE49-F238E27FC236}">
              <a16:creationId xmlns:a16="http://schemas.microsoft.com/office/drawing/2014/main" id="{A71427DF-89F2-4EA9-BAFE-0FE5D2AA0D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7" name="AutoShape 8">
          <a:extLst>
            <a:ext uri="{FF2B5EF4-FFF2-40B4-BE49-F238E27FC236}">
              <a16:creationId xmlns:a16="http://schemas.microsoft.com/office/drawing/2014/main" id="{F790635E-CE24-4385-B692-1365FCF9B3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8" name="AutoShape 6">
          <a:extLst>
            <a:ext uri="{FF2B5EF4-FFF2-40B4-BE49-F238E27FC236}">
              <a16:creationId xmlns:a16="http://schemas.microsoft.com/office/drawing/2014/main" id="{1FE32A33-4933-497E-ADFF-6FFD902788A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29" name="AutoShape 2">
          <a:extLst>
            <a:ext uri="{FF2B5EF4-FFF2-40B4-BE49-F238E27FC236}">
              <a16:creationId xmlns:a16="http://schemas.microsoft.com/office/drawing/2014/main" id="{BB74F54A-93B0-43CB-BB78-17E7610FC3A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0" name="AutoShape 44">
          <a:extLst>
            <a:ext uri="{FF2B5EF4-FFF2-40B4-BE49-F238E27FC236}">
              <a16:creationId xmlns:a16="http://schemas.microsoft.com/office/drawing/2014/main" id="{42B815F9-47F2-4042-B646-27214BBAE36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1" name="AutoShape 42">
          <a:extLst>
            <a:ext uri="{FF2B5EF4-FFF2-40B4-BE49-F238E27FC236}">
              <a16:creationId xmlns:a16="http://schemas.microsoft.com/office/drawing/2014/main" id="{FF95AD85-394E-4DD7-B7E9-3A942E8A64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2" name="AutoShape 40">
          <a:extLst>
            <a:ext uri="{FF2B5EF4-FFF2-40B4-BE49-F238E27FC236}">
              <a16:creationId xmlns:a16="http://schemas.microsoft.com/office/drawing/2014/main" id="{DAE1F7FD-9247-4074-9106-4A28AFC83D6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3" name="AutoShape 38">
          <a:extLst>
            <a:ext uri="{FF2B5EF4-FFF2-40B4-BE49-F238E27FC236}">
              <a16:creationId xmlns:a16="http://schemas.microsoft.com/office/drawing/2014/main" id="{83C5A498-2F79-4447-BE68-4866087D25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4" name="AutoShape 22">
          <a:extLst>
            <a:ext uri="{FF2B5EF4-FFF2-40B4-BE49-F238E27FC236}">
              <a16:creationId xmlns:a16="http://schemas.microsoft.com/office/drawing/2014/main" id="{B954BFA7-1118-4BC2-BF89-5E9AAFD8F1A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5" name="AutoShape 10">
          <a:extLst>
            <a:ext uri="{FF2B5EF4-FFF2-40B4-BE49-F238E27FC236}">
              <a16:creationId xmlns:a16="http://schemas.microsoft.com/office/drawing/2014/main" id="{AE79A257-2B3B-49B5-B840-A028338F42F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6" name="AutoShape 8">
          <a:extLst>
            <a:ext uri="{FF2B5EF4-FFF2-40B4-BE49-F238E27FC236}">
              <a16:creationId xmlns:a16="http://schemas.microsoft.com/office/drawing/2014/main" id="{7F7796CC-1DCC-4BB0-AF7D-355FC40285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7" name="AutoShape 6">
          <a:extLst>
            <a:ext uri="{FF2B5EF4-FFF2-40B4-BE49-F238E27FC236}">
              <a16:creationId xmlns:a16="http://schemas.microsoft.com/office/drawing/2014/main" id="{54B9E88D-B81F-4591-B2D7-5015D5ECCE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8" name="AutoShape 2">
          <a:extLst>
            <a:ext uri="{FF2B5EF4-FFF2-40B4-BE49-F238E27FC236}">
              <a16:creationId xmlns:a16="http://schemas.microsoft.com/office/drawing/2014/main" id="{B45CF70B-0DE6-4A9E-BD85-780A83F30BC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39" name="AutoShape 44">
          <a:extLst>
            <a:ext uri="{FF2B5EF4-FFF2-40B4-BE49-F238E27FC236}">
              <a16:creationId xmlns:a16="http://schemas.microsoft.com/office/drawing/2014/main" id="{0F80301D-AE6E-4C6A-A595-B7F06EDAD3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0" name="AutoShape 42">
          <a:extLst>
            <a:ext uri="{FF2B5EF4-FFF2-40B4-BE49-F238E27FC236}">
              <a16:creationId xmlns:a16="http://schemas.microsoft.com/office/drawing/2014/main" id="{ADD6F4F3-9C71-47BE-9EA5-1CA4F7CCF2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1" name="AutoShape 40">
          <a:extLst>
            <a:ext uri="{FF2B5EF4-FFF2-40B4-BE49-F238E27FC236}">
              <a16:creationId xmlns:a16="http://schemas.microsoft.com/office/drawing/2014/main" id="{33996B7B-8D26-4A10-94C0-9A4FEEBCFED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2" name="AutoShape 38">
          <a:extLst>
            <a:ext uri="{FF2B5EF4-FFF2-40B4-BE49-F238E27FC236}">
              <a16:creationId xmlns:a16="http://schemas.microsoft.com/office/drawing/2014/main" id="{C0747BA3-7784-4710-A3AB-AF200C43F6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3" name="AutoShape 22">
          <a:extLst>
            <a:ext uri="{FF2B5EF4-FFF2-40B4-BE49-F238E27FC236}">
              <a16:creationId xmlns:a16="http://schemas.microsoft.com/office/drawing/2014/main" id="{D3F5EE9E-9289-4E6B-A5B1-C4F44820D2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4" name="AutoShape 10">
          <a:extLst>
            <a:ext uri="{FF2B5EF4-FFF2-40B4-BE49-F238E27FC236}">
              <a16:creationId xmlns:a16="http://schemas.microsoft.com/office/drawing/2014/main" id="{20597466-ED1A-4240-9D8D-E21CAD74FCB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5" name="AutoShape 8">
          <a:extLst>
            <a:ext uri="{FF2B5EF4-FFF2-40B4-BE49-F238E27FC236}">
              <a16:creationId xmlns:a16="http://schemas.microsoft.com/office/drawing/2014/main" id="{29B623D9-65A5-4509-A04F-DD4A1B074A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6" name="AutoShape 6">
          <a:extLst>
            <a:ext uri="{FF2B5EF4-FFF2-40B4-BE49-F238E27FC236}">
              <a16:creationId xmlns:a16="http://schemas.microsoft.com/office/drawing/2014/main" id="{A5CD1EA9-69A5-4B84-93D8-CBF72B48D5B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7" name="AutoShape 2">
          <a:extLst>
            <a:ext uri="{FF2B5EF4-FFF2-40B4-BE49-F238E27FC236}">
              <a16:creationId xmlns:a16="http://schemas.microsoft.com/office/drawing/2014/main" id="{359D994D-A9D5-4343-A35E-521AA2379C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8" name="AutoShape 44">
          <a:extLst>
            <a:ext uri="{FF2B5EF4-FFF2-40B4-BE49-F238E27FC236}">
              <a16:creationId xmlns:a16="http://schemas.microsoft.com/office/drawing/2014/main" id="{E72EDA1A-E882-4ACD-A8E0-28747DE9426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49" name="AutoShape 42">
          <a:extLst>
            <a:ext uri="{FF2B5EF4-FFF2-40B4-BE49-F238E27FC236}">
              <a16:creationId xmlns:a16="http://schemas.microsoft.com/office/drawing/2014/main" id="{E84A9362-119C-472D-8A3C-7AF7E432F4A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0" name="AutoShape 40">
          <a:extLst>
            <a:ext uri="{FF2B5EF4-FFF2-40B4-BE49-F238E27FC236}">
              <a16:creationId xmlns:a16="http://schemas.microsoft.com/office/drawing/2014/main" id="{B7CFDB85-CA01-4F8E-8A86-F3B38548E6B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1" name="AutoShape 38">
          <a:extLst>
            <a:ext uri="{FF2B5EF4-FFF2-40B4-BE49-F238E27FC236}">
              <a16:creationId xmlns:a16="http://schemas.microsoft.com/office/drawing/2014/main" id="{4F421ECB-B0AB-4FD1-BD6C-3F90C3DF43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2" name="AutoShape 22">
          <a:extLst>
            <a:ext uri="{FF2B5EF4-FFF2-40B4-BE49-F238E27FC236}">
              <a16:creationId xmlns:a16="http://schemas.microsoft.com/office/drawing/2014/main" id="{2A722073-E94B-401D-AE6C-969FD4E784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3" name="AutoShape 10">
          <a:extLst>
            <a:ext uri="{FF2B5EF4-FFF2-40B4-BE49-F238E27FC236}">
              <a16:creationId xmlns:a16="http://schemas.microsoft.com/office/drawing/2014/main" id="{F9791B66-A455-4CFA-B125-9A566F78A2D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4" name="AutoShape 8">
          <a:extLst>
            <a:ext uri="{FF2B5EF4-FFF2-40B4-BE49-F238E27FC236}">
              <a16:creationId xmlns:a16="http://schemas.microsoft.com/office/drawing/2014/main" id="{010AB319-EDA2-4ED1-BAFE-8379C459C2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5" name="AutoShape 6">
          <a:extLst>
            <a:ext uri="{FF2B5EF4-FFF2-40B4-BE49-F238E27FC236}">
              <a16:creationId xmlns:a16="http://schemas.microsoft.com/office/drawing/2014/main" id="{770C32BF-0E2E-4666-9F8D-84CE8180BD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6" name="AutoShape 2">
          <a:extLst>
            <a:ext uri="{FF2B5EF4-FFF2-40B4-BE49-F238E27FC236}">
              <a16:creationId xmlns:a16="http://schemas.microsoft.com/office/drawing/2014/main" id="{3E09A69F-70C8-4299-B067-46301CDED24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7" name="AutoShape 44">
          <a:extLst>
            <a:ext uri="{FF2B5EF4-FFF2-40B4-BE49-F238E27FC236}">
              <a16:creationId xmlns:a16="http://schemas.microsoft.com/office/drawing/2014/main" id="{C955DF86-EE3F-48F0-B272-D36BAB0B0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8" name="AutoShape 42">
          <a:extLst>
            <a:ext uri="{FF2B5EF4-FFF2-40B4-BE49-F238E27FC236}">
              <a16:creationId xmlns:a16="http://schemas.microsoft.com/office/drawing/2014/main" id="{081B1885-A9CD-48E3-A869-F17EA51107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59" name="AutoShape 40">
          <a:extLst>
            <a:ext uri="{FF2B5EF4-FFF2-40B4-BE49-F238E27FC236}">
              <a16:creationId xmlns:a16="http://schemas.microsoft.com/office/drawing/2014/main" id="{E72B07DC-F0AF-4037-8C94-0485B6CF0F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0" name="AutoShape 38">
          <a:extLst>
            <a:ext uri="{FF2B5EF4-FFF2-40B4-BE49-F238E27FC236}">
              <a16:creationId xmlns:a16="http://schemas.microsoft.com/office/drawing/2014/main" id="{4B1F742F-E304-428E-A6B9-E3F2D4351F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1" name="AutoShape 22">
          <a:extLst>
            <a:ext uri="{FF2B5EF4-FFF2-40B4-BE49-F238E27FC236}">
              <a16:creationId xmlns:a16="http://schemas.microsoft.com/office/drawing/2014/main" id="{092E372B-31AB-4511-BF3B-87FA30DA1F2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2" name="AutoShape 10">
          <a:extLst>
            <a:ext uri="{FF2B5EF4-FFF2-40B4-BE49-F238E27FC236}">
              <a16:creationId xmlns:a16="http://schemas.microsoft.com/office/drawing/2014/main" id="{84D591E8-5A1F-4989-B659-BEA2561AB6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3" name="AutoShape 8">
          <a:extLst>
            <a:ext uri="{FF2B5EF4-FFF2-40B4-BE49-F238E27FC236}">
              <a16:creationId xmlns:a16="http://schemas.microsoft.com/office/drawing/2014/main" id="{BD689BB3-2DCB-49F2-9B44-5FD051D7FBD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4" name="AutoShape 6">
          <a:extLst>
            <a:ext uri="{FF2B5EF4-FFF2-40B4-BE49-F238E27FC236}">
              <a16:creationId xmlns:a16="http://schemas.microsoft.com/office/drawing/2014/main" id="{1F61E203-BC81-4E16-BCE5-002A8A01F85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5" name="AutoShape 2">
          <a:extLst>
            <a:ext uri="{FF2B5EF4-FFF2-40B4-BE49-F238E27FC236}">
              <a16:creationId xmlns:a16="http://schemas.microsoft.com/office/drawing/2014/main" id="{47A1222E-BB35-4CDC-8877-83277CCA79C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6" name="AutoShape 44">
          <a:extLst>
            <a:ext uri="{FF2B5EF4-FFF2-40B4-BE49-F238E27FC236}">
              <a16:creationId xmlns:a16="http://schemas.microsoft.com/office/drawing/2014/main" id="{C8544077-9CB9-49C8-B358-B7B589223F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7" name="AutoShape 42">
          <a:extLst>
            <a:ext uri="{FF2B5EF4-FFF2-40B4-BE49-F238E27FC236}">
              <a16:creationId xmlns:a16="http://schemas.microsoft.com/office/drawing/2014/main" id="{7B23FDCB-06BD-4112-84C6-8BBA58BFD3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8" name="AutoShape 40">
          <a:extLst>
            <a:ext uri="{FF2B5EF4-FFF2-40B4-BE49-F238E27FC236}">
              <a16:creationId xmlns:a16="http://schemas.microsoft.com/office/drawing/2014/main" id="{85A4EFDC-8F0C-4C5E-AA71-6FB4A91142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69" name="AutoShape 38">
          <a:extLst>
            <a:ext uri="{FF2B5EF4-FFF2-40B4-BE49-F238E27FC236}">
              <a16:creationId xmlns:a16="http://schemas.microsoft.com/office/drawing/2014/main" id="{C0247663-7B47-4BB6-9E98-540F5397B40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0" name="AutoShape 22">
          <a:extLst>
            <a:ext uri="{FF2B5EF4-FFF2-40B4-BE49-F238E27FC236}">
              <a16:creationId xmlns:a16="http://schemas.microsoft.com/office/drawing/2014/main" id="{A7294183-76E0-4E67-B3EE-E68143FDA18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1" name="AutoShape 10">
          <a:extLst>
            <a:ext uri="{FF2B5EF4-FFF2-40B4-BE49-F238E27FC236}">
              <a16:creationId xmlns:a16="http://schemas.microsoft.com/office/drawing/2014/main" id="{E07903E7-B7A9-41EE-A6D6-F0BB88C5AB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2" name="AutoShape 8">
          <a:extLst>
            <a:ext uri="{FF2B5EF4-FFF2-40B4-BE49-F238E27FC236}">
              <a16:creationId xmlns:a16="http://schemas.microsoft.com/office/drawing/2014/main" id="{D5F2FA33-F1CE-47E9-A78C-7F3BB1DB8F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3" name="AutoShape 6">
          <a:extLst>
            <a:ext uri="{FF2B5EF4-FFF2-40B4-BE49-F238E27FC236}">
              <a16:creationId xmlns:a16="http://schemas.microsoft.com/office/drawing/2014/main" id="{31326BB1-5009-46CC-A5AB-21ECF8523F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4" name="AutoShape 2">
          <a:extLst>
            <a:ext uri="{FF2B5EF4-FFF2-40B4-BE49-F238E27FC236}">
              <a16:creationId xmlns:a16="http://schemas.microsoft.com/office/drawing/2014/main" id="{E386F935-DB0D-4457-8612-26173204D5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5" name="AutoShape 44">
          <a:extLst>
            <a:ext uri="{FF2B5EF4-FFF2-40B4-BE49-F238E27FC236}">
              <a16:creationId xmlns:a16="http://schemas.microsoft.com/office/drawing/2014/main" id="{E2B12D75-C96C-4E6C-BD12-7839547E66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6" name="AutoShape 42">
          <a:extLst>
            <a:ext uri="{FF2B5EF4-FFF2-40B4-BE49-F238E27FC236}">
              <a16:creationId xmlns:a16="http://schemas.microsoft.com/office/drawing/2014/main" id="{BFBCF3BC-A077-400F-B0C7-82D146C5F2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7" name="AutoShape 40">
          <a:extLst>
            <a:ext uri="{FF2B5EF4-FFF2-40B4-BE49-F238E27FC236}">
              <a16:creationId xmlns:a16="http://schemas.microsoft.com/office/drawing/2014/main" id="{6FA2C151-1A78-4912-9ABB-2F31C9BF97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8" name="AutoShape 38">
          <a:extLst>
            <a:ext uri="{FF2B5EF4-FFF2-40B4-BE49-F238E27FC236}">
              <a16:creationId xmlns:a16="http://schemas.microsoft.com/office/drawing/2014/main" id="{9A9DE6DB-B4A0-45ED-998E-B87F045879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79" name="AutoShape 22">
          <a:extLst>
            <a:ext uri="{FF2B5EF4-FFF2-40B4-BE49-F238E27FC236}">
              <a16:creationId xmlns:a16="http://schemas.microsoft.com/office/drawing/2014/main" id="{53C2DB86-91B4-4535-B650-B428BF12BFA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80" name="AutoShape 10">
          <a:extLst>
            <a:ext uri="{FF2B5EF4-FFF2-40B4-BE49-F238E27FC236}">
              <a16:creationId xmlns:a16="http://schemas.microsoft.com/office/drawing/2014/main" id="{F86D033E-80C5-4019-82FE-44F1DC8DE18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81" name="AutoShape 8">
          <a:extLst>
            <a:ext uri="{FF2B5EF4-FFF2-40B4-BE49-F238E27FC236}">
              <a16:creationId xmlns:a16="http://schemas.microsoft.com/office/drawing/2014/main" id="{F64AC4DB-2E12-47C1-A87D-2DA75A5B1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82" name="AutoShape 6">
          <a:extLst>
            <a:ext uri="{FF2B5EF4-FFF2-40B4-BE49-F238E27FC236}">
              <a16:creationId xmlns:a16="http://schemas.microsoft.com/office/drawing/2014/main" id="{F77BED9A-CEBD-4C14-97D9-4183B2F4065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8</xdr:col>
      <xdr:colOff>19050</xdr:colOff>
      <xdr:row>61</xdr:row>
      <xdr:rowOff>76200</xdr:rowOff>
    </xdr:to>
    <xdr:sp macro="" textlink="">
      <xdr:nvSpPr>
        <xdr:cNvPr id="683" name="AutoShape 2">
          <a:extLst>
            <a:ext uri="{FF2B5EF4-FFF2-40B4-BE49-F238E27FC236}">
              <a16:creationId xmlns:a16="http://schemas.microsoft.com/office/drawing/2014/main" id="{3AB779BE-4A5B-474F-A035-64360AF09D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124825" cy="10458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4" name="AutoShape 20">
          <a:extLst>
            <a:ext uri="{FF2B5EF4-FFF2-40B4-BE49-F238E27FC236}">
              <a16:creationId xmlns:a16="http://schemas.microsoft.com/office/drawing/2014/main" id="{C7CCBB8D-357B-44C9-9BF5-4068EB2961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5" name="AutoShape 19">
          <a:extLst>
            <a:ext uri="{FF2B5EF4-FFF2-40B4-BE49-F238E27FC236}">
              <a16:creationId xmlns:a16="http://schemas.microsoft.com/office/drawing/2014/main" id="{85F866B5-3105-42DB-8B88-56416A91B6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6" name="AutoShape 18">
          <a:extLst>
            <a:ext uri="{FF2B5EF4-FFF2-40B4-BE49-F238E27FC236}">
              <a16:creationId xmlns:a16="http://schemas.microsoft.com/office/drawing/2014/main" id="{DCC691CC-AECC-4DB3-B33B-32D7A7E604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7" name="AutoShape 17">
          <a:extLst>
            <a:ext uri="{FF2B5EF4-FFF2-40B4-BE49-F238E27FC236}">
              <a16:creationId xmlns:a16="http://schemas.microsoft.com/office/drawing/2014/main" id="{B81BEFC0-8D7F-41ED-AC60-3D34949D14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8" name="AutoShape 16">
          <a:extLst>
            <a:ext uri="{FF2B5EF4-FFF2-40B4-BE49-F238E27FC236}">
              <a16:creationId xmlns:a16="http://schemas.microsoft.com/office/drawing/2014/main" id="{40A8077C-7D71-4B79-A738-8BCEBF59773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89" name="AutoShape 15">
          <a:extLst>
            <a:ext uri="{FF2B5EF4-FFF2-40B4-BE49-F238E27FC236}">
              <a16:creationId xmlns:a16="http://schemas.microsoft.com/office/drawing/2014/main" id="{DAC636CB-2970-44A1-ACEF-4190CD21E96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0" name="AutoShape 14">
          <a:extLst>
            <a:ext uri="{FF2B5EF4-FFF2-40B4-BE49-F238E27FC236}">
              <a16:creationId xmlns:a16="http://schemas.microsoft.com/office/drawing/2014/main" id="{B9A3CFCB-2929-400B-AAD3-6832844FD82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1" name="AutoShape 19">
          <a:extLst>
            <a:ext uri="{FF2B5EF4-FFF2-40B4-BE49-F238E27FC236}">
              <a16:creationId xmlns:a16="http://schemas.microsoft.com/office/drawing/2014/main" id="{0578C539-82D1-433C-8132-371286788C8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2" name="AutoShape 18">
          <a:extLst>
            <a:ext uri="{FF2B5EF4-FFF2-40B4-BE49-F238E27FC236}">
              <a16:creationId xmlns:a16="http://schemas.microsoft.com/office/drawing/2014/main" id="{ECD3C529-DD0B-49C2-804F-519862C33EC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3" name="AutoShape 17">
          <a:extLst>
            <a:ext uri="{FF2B5EF4-FFF2-40B4-BE49-F238E27FC236}">
              <a16:creationId xmlns:a16="http://schemas.microsoft.com/office/drawing/2014/main" id="{0B5F5787-11FA-4935-BDDD-A0582C73E7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4" name="AutoShape 16">
          <a:extLst>
            <a:ext uri="{FF2B5EF4-FFF2-40B4-BE49-F238E27FC236}">
              <a16:creationId xmlns:a16="http://schemas.microsoft.com/office/drawing/2014/main" id="{DED417D5-2D2A-4E0A-8CCA-2AC93DE3C7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5" name="AutoShape 15">
          <a:extLst>
            <a:ext uri="{FF2B5EF4-FFF2-40B4-BE49-F238E27FC236}">
              <a16:creationId xmlns:a16="http://schemas.microsoft.com/office/drawing/2014/main" id="{DF1A9AC2-08B8-4145-BDA6-FC6B33F392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6" name="AutoShape 14">
          <a:extLst>
            <a:ext uri="{FF2B5EF4-FFF2-40B4-BE49-F238E27FC236}">
              <a16:creationId xmlns:a16="http://schemas.microsoft.com/office/drawing/2014/main" id="{CBEFD16B-1863-4C3E-9ED7-1367804D001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7" name="AutoShape 19">
          <a:extLst>
            <a:ext uri="{FF2B5EF4-FFF2-40B4-BE49-F238E27FC236}">
              <a16:creationId xmlns:a16="http://schemas.microsoft.com/office/drawing/2014/main" id="{1B44ED3B-D3BB-4E4F-84DD-9D06338C44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8" name="AutoShape 18">
          <a:extLst>
            <a:ext uri="{FF2B5EF4-FFF2-40B4-BE49-F238E27FC236}">
              <a16:creationId xmlns:a16="http://schemas.microsoft.com/office/drawing/2014/main" id="{785E0323-60E8-41E8-A54A-C737D56574B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699" name="AutoShape 17">
          <a:extLst>
            <a:ext uri="{FF2B5EF4-FFF2-40B4-BE49-F238E27FC236}">
              <a16:creationId xmlns:a16="http://schemas.microsoft.com/office/drawing/2014/main" id="{91EBE5D9-8DFA-4A05-BD01-C4673011DB9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0" name="AutoShape 16">
          <a:extLst>
            <a:ext uri="{FF2B5EF4-FFF2-40B4-BE49-F238E27FC236}">
              <a16:creationId xmlns:a16="http://schemas.microsoft.com/office/drawing/2014/main" id="{BC762044-DC03-4891-9657-11575F3671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1" name="AutoShape 15">
          <a:extLst>
            <a:ext uri="{FF2B5EF4-FFF2-40B4-BE49-F238E27FC236}">
              <a16:creationId xmlns:a16="http://schemas.microsoft.com/office/drawing/2014/main" id="{4D6F256E-4378-49CF-9F4F-E3E786ADA0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2" name="AutoShape 19">
          <a:extLst>
            <a:ext uri="{FF2B5EF4-FFF2-40B4-BE49-F238E27FC236}">
              <a16:creationId xmlns:a16="http://schemas.microsoft.com/office/drawing/2014/main" id="{35F276F9-4320-47FF-9D5D-B03FAE22D48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3" name="AutoShape 18">
          <a:extLst>
            <a:ext uri="{FF2B5EF4-FFF2-40B4-BE49-F238E27FC236}">
              <a16:creationId xmlns:a16="http://schemas.microsoft.com/office/drawing/2014/main" id="{CD25F6F1-186F-4D92-BF68-4B2A377FCB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4" name="AutoShape 17">
          <a:extLst>
            <a:ext uri="{FF2B5EF4-FFF2-40B4-BE49-F238E27FC236}">
              <a16:creationId xmlns:a16="http://schemas.microsoft.com/office/drawing/2014/main" id="{BFCD1CCF-8644-45B9-A581-4CE9226B11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5" name="AutoShape 16">
          <a:extLst>
            <a:ext uri="{FF2B5EF4-FFF2-40B4-BE49-F238E27FC236}">
              <a16:creationId xmlns:a16="http://schemas.microsoft.com/office/drawing/2014/main" id="{6B07F708-6B33-4D85-96DF-6F884BCD45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6" name="AutoShape 15">
          <a:extLst>
            <a:ext uri="{FF2B5EF4-FFF2-40B4-BE49-F238E27FC236}">
              <a16:creationId xmlns:a16="http://schemas.microsoft.com/office/drawing/2014/main" id="{FC932888-1708-4B91-91C7-D26919602F1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7" name="AutoShape 19">
          <a:extLst>
            <a:ext uri="{FF2B5EF4-FFF2-40B4-BE49-F238E27FC236}">
              <a16:creationId xmlns:a16="http://schemas.microsoft.com/office/drawing/2014/main" id="{35B6B08D-503A-435A-85D5-2FA83B1252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8" name="AutoShape 18">
          <a:extLst>
            <a:ext uri="{FF2B5EF4-FFF2-40B4-BE49-F238E27FC236}">
              <a16:creationId xmlns:a16="http://schemas.microsoft.com/office/drawing/2014/main" id="{1C32DE18-A299-4158-B378-A1139B5327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09" name="AutoShape 17">
          <a:extLst>
            <a:ext uri="{FF2B5EF4-FFF2-40B4-BE49-F238E27FC236}">
              <a16:creationId xmlns:a16="http://schemas.microsoft.com/office/drawing/2014/main" id="{4DF39513-59F9-474B-BF00-D1B40D7EAD5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0" name="AutoShape 16">
          <a:extLst>
            <a:ext uri="{FF2B5EF4-FFF2-40B4-BE49-F238E27FC236}">
              <a16:creationId xmlns:a16="http://schemas.microsoft.com/office/drawing/2014/main" id="{FD8E5CC1-C8BD-466B-9AB1-29DA1AAF75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1" name="AutoShape 15">
          <a:extLst>
            <a:ext uri="{FF2B5EF4-FFF2-40B4-BE49-F238E27FC236}">
              <a16:creationId xmlns:a16="http://schemas.microsoft.com/office/drawing/2014/main" id="{06736F24-7177-432D-8D95-1C6E5C415D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2" name="AutoShape 19">
          <a:extLst>
            <a:ext uri="{FF2B5EF4-FFF2-40B4-BE49-F238E27FC236}">
              <a16:creationId xmlns:a16="http://schemas.microsoft.com/office/drawing/2014/main" id="{EA1776B1-A58D-497D-BB92-CC674D8A41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3" name="AutoShape 18">
          <a:extLst>
            <a:ext uri="{FF2B5EF4-FFF2-40B4-BE49-F238E27FC236}">
              <a16:creationId xmlns:a16="http://schemas.microsoft.com/office/drawing/2014/main" id="{C1D79A56-ADE8-4FF0-9E68-A64DD55BAAA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4" name="AutoShape 17">
          <a:extLst>
            <a:ext uri="{FF2B5EF4-FFF2-40B4-BE49-F238E27FC236}">
              <a16:creationId xmlns:a16="http://schemas.microsoft.com/office/drawing/2014/main" id="{A0FB4E1E-92D7-49AF-AEFF-CCCEB8D0F3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5" name="AutoShape 16">
          <a:extLst>
            <a:ext uri="{FF2B5EF4-FFF2-40B4-BE49-F238E27FC236}">
              <a16:creationId xmlns:a16="http://schemas.microsoft.com/office/drawing/2014/main" id="{9B30F050-89DF-4BF5-8F46-75133FD66C7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533400</xdr:colOff>
      <xdr:row>63</xdr:row>
      <xdr:rowOff>76200</xdr:rowOff>
    </xdr:to>
    <xdr:sp macro="" textlink="">
      <xdr:nvSpPr>
        <xdr:cNvPr id="716" name="AutoShape 15">
          <a:extLst>
            <a:ext uri="{FF2B5EF4-FFF2-40B4-BE49-F238E27FC236}">
              <a16:creationId xmlns:a16="http://schemas.microsoft.com/office/drawing/2014/main" id="{67A7EA77-D89D-4083-AA22-852B002FB64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0191750" cy="108394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28575</xdr:colOff>
      <xdr:row>185</xdr:row>
      <xdr:rowOff>161925</xdr:rowOff>
    </xdr:from>
    <xdr:to>
      <xdr:col>2</xdr:col>
      <xdr:colOff>34289</xdr:colOff>
      <xdr:row>186</xdr:row>
      <xdr:rowOff>339725</xdr:rowOff>
    </xdr:to>
    <xdr:pic>
      <xdr:nvPicPr>
        <xdr:cNvPr id="717" name="Рисунок 716">
          <a:extLst>
            <a:ext uri="{FF2B5EF4-FFF2-40B4-BE49-F238E27FC236}">
              <a16:creationId xmlns:a16="http://schemas.microsoft.com/office/drawing/2014/main" id="{5BFD1CC8-CD44-47D2-A174-4EAA0744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32232600"/>
          <a:ext cx="939799" cy="361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Таблица3" displayName="Таблица3" ref="A1:J205" totalsRowShown="0" headerRowDxfId="24" tableBorderDxfId="23">
  <autoFilter ref="A1:J205"/>
  <tableColumns count="10">
    <tableColumn id="1" name="НАЗВАНИЕ ОБЪЕКТА" dataDxfId="22"/>
    <tableColumn id="2" name="АДРЕС ОБЪЕКТА" dataDxfId="21"/>
    <tableColumn id="3" name="ЮРИДИЧЕСКОЕ (ФИЗИЧЕСКОЕ) ЛИЦО" dataDxfId="20"/>
    <tableColumn id="4" name="НАИМЕНОВАНИЕ" dataDxfId="19"/>
    <tableColumn id="11" name="Столбец1" dataDxfId="18"/>
    <tableColumn id="7" name="Тариф" dataDxfId="17"/>
    <tableColumn id="8" name="Показатели" dataDxfId="16"/>
    <tableColumn id="9" name="Сумма" dataDxfId="15"/>
    <tableColumn id="10" name="Авансы" dataDxfId="14"/>
    <tableColumn id="5" name="грудень 2022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Таблица32" displayName="Таблица32" ref="B1:K232" totalsRowShown="0" headerRowDxfId="12" tableBorderDxfId="11">
  <autoFilter ref="B1:K232"/>
  <tableColumns count="10">
    <tableColumn id="1" name="НАЗВАНИЕ ОБЪЕКТА" dataDxfId="10"/>
    <tableColumn id="2" name="АДРЕС ОБЪЕКТА" dataDxfId="9"/>
    <tableColumn id="3" name="ЮРИДИЧЕСКОЕ (ФИЗИЧЕСКОЕ) ЛИЦО" dataDxfId="8"/>
    <tableColumn id="4" name="НАИМЕНОВАНИЕ" dataDxfId="7"/>
    <tableColumn id="11" name="Столбец1" dataDxfId="6"/>
    <tableColumn id="7" name="Тариф" dataDxfId="5"/>
    <tableColumn id="8" name="Показатели" dataDxfId="4"/>
    <tableColumn id="9" name="Сумма" dataDxfId="3"/>
    <tableColumn id="10" name="Авансы" dataDxfId="2"/>
    <tableColumn id="5" name="грудень 202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E43"/>
  <sheetViews>
    <sheetView tabSelected="1" view="pageBreakPreview" zoomScale="60" zoomScaleNormal="100" workbookViewId="0">
      <selection activeCell="O36" sqref="O36"/>
    </sheetView>
  </sheetViews>
  <sheetFormatPr defaultRowHeight="15"/>
  <cols>
    <col min="1" max="1" width="12.5703125" customWidth="1"/>
    <col min="2" max="2" width="55.85546875" customWidth="1"/>
    <col min="3" max="3" width="19.28515625" customWidth="1"/>
    <col min="5" max="5" width="11.85546875" customWidth="1"/>
  </cols>
  <sheetData>
    <row r="1" spans="1:5">
      <c r="A1" s="690"/>
      <c r="B1" s="690"/>
      <c r="C1" s="690"/>
    </row>
    <row r="2" spans="1:5">
      <c r="A2" s="690"/>
      <c r="B2" s="690" t="s">
        <v>486</v>
      </c>
      <c r="C2" s="690" t="s">
        <v>487</v>
      </c>
      <c r="D2" t="s">
        <v>488</v>
      </c>
      <c r="E2" t="s">
        <v>489</v>
      </c>
    </row>
    <row r="3" spans="1:5">
      <c r="A3" s="690"/>
      <c r="B3" s="690" t="s">
        <v>490</v>
      </c>
      <c r="C3" s="690" t="s">
        <v>491</v>
      </c>
      <c r="D3" t="s">
        <v>492</v>
      </c>
      <c r="E3" t="s">
        <v>493</v>
      </c>
    </row>
    <row r="4" spans="1:5">
      <c r="A4" s="690"/>
      <c r="B4" s="690" t="s">
        <v>494</v>
      </c>
      <c r="C4" s="690" t="s">
        <v>495</v>
      </c>
      <c r="D4" t="s">
        <v>496</v>
      </c>
      <c r="E4" t="s">
        <v>497</v>
      </c>
    </row>
    <row r="5" spans="1:5" ht="15.75" thickBot="1">
      <c r="A5" s="691"/>
      <c r="B5" s="691" t="s">
        <v>505</v>
      </c>
      <c r="C5" s="691">
        <v>39775097</v>
      </c>
      <c r="D5" t="s">
        <v>499</v>
      </c>
      <c r="E5" t="s">
        <v>498</v>
      </c>
    </row>
    <row r="6" spans="1:5" ht="117.75" customHeight="1" thickBot="1">
      <c r="A6" s="688" t="s">
        <v>512</v>
      </c>
      <c r="B6" s="692" t="s">
        <v>517</v>
      </c>
      <c r="C6" s="689">
        <v>43305015</v>
      </c>
      <c r="D6" t="s">
        <v>499</v>
      </c>
      <c r="E6" t="s">
        <v>500</v>
      </c>
    </row>
    <row r="7" spans="1:5" ht="15.75" thickBot="1">
      <c r="A7" s="688" t="s">
        <v>513</v>
      </c>
      <c r="B7" s="693" t="s">
        <v>516</v>
      </c>
      <c r="C7" s="689">
        <v>54299019</v>
      </c>
      <c r="D7" t="s">
        <v>499</v>
      </c>
      <c r="E7" t="s">
        <v>500</v>
      </c>
    </row>
    <row r="8" spans="1:5" ht="15.75" thickBot="1">
      <c r="A8" s="688" t="s">
        <v>512</v>
      </c>
      <c r="B8" s="694" t="s">
        <v>524</v>
      </c>
      <c r="C8" s="689" t="s">
        <v>514</v>
      </c>
    </row>
    <row r="9" spans="1:5" ht="15.75" thickBot="1">
      <c r="A9" s="688" t="s">
        <v>513</v>
      </c>
      <c r="B9" s="694" t="s">
        <v>518</v>
      </c>
      <c r="C9" s="689" t="s">
        <v>515</v>
      </c>
    </row>
    <row r="10" spans="1:5" ht="30.75" thickBot="1">
      <c r="A10" s="688" t="s">
        <v>507</v>
      </c>
      <c r="B10" s="692" t="s">
        <v>509</v>
      </c>
      <c r="C10" s="689" t="s">
        <v>508</v>
      </c>
    </row>
    <row r="11" spans="1:5" ht="45.75" customHeight="1" thickBot="1">
      <c r="A11" s="688" t="s">
        <v>507</v>
      </c>
      <c r="B11" s="692" t="s">
        <v>523</v>
      </c>
      <c r="C11" s="689">
        <v>220077408</v>
      </c>
      <c r="D11" t="s">
        <v>499</v>
      </c>
      <c r="E11" t="s">
        <v>498</v>
      </c>
    </row>
    <row r="12" spans="1:5" ht="31.5" customHeight="1" thickBot="1">
      <c r="A12" s="688" t="s">
        <v>507</v>
      </c>
      <c r="B12" s="692" t="s">
        <v>522</v>
      </c>
      <c r="C12" s="689">
        <v>220102339</v>
      </c>
    </row>
    <row r="13" spans="1:5" ht="45.75" thickBot="1">
      <c r="A13" s="688" t="s">
        <v>507</v>
      </c>
      <c r="B13" s="692" t="s">
        <v>521</v>
      </c>
      <c r="C13" s="689">
        <v>220105913</v>
      </c>
    </row>
    <row r="14" spans="1:5" ht="30.75" thickBot="1">
      <c r="A14" s="688" t="s">
        <v>510</v>
      </c>
      <c r="B14" s="692" t="s">
        <v>520</v>
      </c>
      <c r="C14" s="689">
        <v>220090824</v>
      </c>
    </row>
    <row r="15" spans="1:5" ht="45.75" thickBot="1">
      <c r="A15" s="688" t="s">
        <v>510</v>
      </c>
      <c r="B15" s="692" t="s">
        <v>511</v>
      </c>
      <c r="C15" s="689">
        <v>220104936</v>
      </c>
    </row>
    <row r="16" spans="1:5" ht="30.75" thickBot="1">
      <c r="A16" s="688" t="s">
        <v>510</v>
      </c>
      <c r="B16" s="692" t="s">
        <v>519</v>
      </c>
      <c r="C16" s="689">
        <v>220105089</v>
      </c>
    </row>
    <row r="17" spans="2:5">
      <c r="B17" s="579"/>
      <c r="C17" s="687"/>
    </row>
    <row r="18" spans="2:5">
      <c r="B18" s="579"/>
      <c r="C18" s="687"/>
    </row>
    <row r="19" spans="2:5">
      <c r="B19" s="579"/>
      <c r="C19" s="687"/>
    </row>
    <row r="20" spans="2:5">
      <c r="B20" s="579"/>
      <c r="C20" s="687"/>
    </row>
    <row r="21" spans="2:5">
      <c r="B21" s="579"/>
      <c r="C21" s="687"/>
    </row>
    <row r="22" spans="2:5">
      <c r="B22" s="579"/>
      <c r="C22" s="687"/>
    </row>
    <row r="23" spans="2:5">
      <c r="B23" s="579"/>
      <c r="C23" s="687"/>
    </row>
    <row r="24" spans="2:5">
      <c r="B24" s="579"/>
      <c r="C24" s="687"/>
    </row>
    <row r="25" spans="2:5">
      <c r="B25" s="579"/>
      <c r="C25" s="687"/>
    </row>
    <row r="26" spans="2:5">
      <c r="B26" s="579"/>
      <c r="C26" s="687"/>
    </row>
    <row r="27" spans="2:5">
      <c r="B27" s="579"/>
      <c r="C27" s="687"/>
    </row>
    <row r="28" spans="2:5">
      <c r="B28" s="579"/>
      <c r="C28" s="687"/>
    </row>
    <row r="29" spans="2:5">
      <c r="B29" s="579"/>
      <c r="C29" s="687"/>
    </row>
    <row r="30" spans="2:5">
      <c r="B30" s="579"/>
      <c r="C30" s="687"/>
    </row>
    <row r="31" spans="2:5">
      <c r="B31" s="686" t="s">
        <v>525</v>
      </c>
      <c r="C31">
        <v>420077408</v>
      </c>
      <c r="D31" t="s">
        <v>499</v>
      </c>
      <c r="E31" t="s">
        <v>498</v>
      </c>
    </row>
    <row r="32" spans="2:5">
      <c r="B32" s="686" t="s">
        <v>525</v>
      </c>
      <c r="C32">
        <v>420077408</v>
      </c>
    </row>
    <row r="33" spans="2:5">
      <c r="B33" t="s">
        <v>506</v>
      </c>
    </row>
    <row r="34" spans="2:5">
      <c r="B34" t="s">
        <v>503</v>
      </c>
      <c r="C34">
        <v>420084292</v>
      </c>
      <c r="D34" t="s">
        <v>499</v>
      </c>
      <c r="E34" t="s">
        <v>502</v>
      </c>
    </row>
    <row r="35" spans="2:5">
      <c r="B35" t="s">
        <v>504</v>
      </c>
      <c r="C35">
        <v>2606413815</v>
      </c>
      <c r="D35" t="s">
        <v>499</v>
      </c>
      <c r="E35" t="s">
        <v>498</v>
      </c>
    </row>
    <row r="43" spans="2:5">
      <c r="B43" t="s">
        <v>501</v>
      </c>
      <c r="C43">
        <v>220083760</v>
      </c>
      <c r="D43" t="s">
        <v>499</v>
      </c>
      <c r="E43" t="s">
        <v>502</v>
      </c>
    </row>
  </sheetData>
  <pageMargins left="0.7" right="0.7" top="0.75" bottom="0.75" header="0.3" footer="0.3"/>
  <pageSetup paperSize="9" scale="99" orientation="portrait" r:id="rId1"/>
  <rowBreaks count="1" manualBreakCount="1">
    <brk id="18" max="16383" man="1"/>
  </rowBreaks>
  <colBreaks count="1" manualBreakCount="1">
    <brk id="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"/>
  <dimension ref="A1:DB1082"/>
  <sheetViews>
    <sheetView topLeftCell="A154" workbookViewId="0">
      <selection activeCell="C178" sqref="C178:D182"/>
    </sheetView>
  </sheetViews>
  <sheetFormatPr defaultColWidth="9.42578125" defaultRowHeight="18"/>
  <cols>
    <col min="1" max="2" width="2.7109375" style="800" customWidth="1"/>
    <col min="3" max="3" width="9.7109375" style="800" customWidth="1"/>
    <col min="4" max="4" width="9.140625" style="800" customWidth="1"/>
    <col min="5" max="7" width="9.7109375" style="800" customWidth="1"/>
    <col min="8" max="9" width="9.7109375" style="1403" customWidth="1"/>
    <col min="10" max="11" width="9.7109375" style="1290" customWidth="1"/>
    <col min="12" max="12" width="11.42578125" style="1290" customWidth="1"/>
    <col min="13" max="14" width="9.7109375" style="1404" customWidth="1"/>
    <col min="15" max="15" width="9.7109375" style="1405" customWidth="1"/>
    <col min="16" max="17" width="9.7109375" style="1406" customWidth="1"/>
    <col min="18" max="18" width="9.7109375" style="1407" customWidth="1"/>
    <col min="19" max="19" width="11.5703125" style="1290" customWidth="1"/>
    <col min="20" max="20" width="9.7109375" style="1291" customWidth="1"/>
    <col min="21" max="21" width="34.85546875" style="800" customWidth="1"/>
    <col min="22" max="22" width="28.85546875" style="800" customWidth="1"/>
    <col min="23" max="45" width="9.7109375" style="800" customWidth="1"/>
    <col min="46" max="46" width="9.140625" style="800" customWidth="1"/>
    <col min="47" max="47" width="9.42578125" style="800"/>
    <col min="48" max="52" width="9.140625" style="800" customWidth="1"/>
    <col min="53" max="53" width="9.42578125" style="800"/>
    <col min="54" max="106" width="9.140625" style="800" customWidth="1"/>
  </cols>
  <sheetData>
    <row r="1" spans="3:106" ht="12.75" customHeight="1" thickBot="1">
      <c r="C1" s="801"/>
      <c r="D1" s="801"/>
      <c r="E1" s="801"/>
      <c r="F1" s="801"/>
      <c r="G1" s="801"/>
      <c r="H1" s="802"/>
      <c r="I1" s="802"/>
      <c r="J1" s="802"/>
      <c r="K1" s="803"/>
      <c r="L1" s="803"/>
      <c r="M1" s="804"/>
      <c r="N1" s="804"/>
      <c r="O1" s="805"/>
      <c r="P1" s="806"/>
      <c r="Q1" s="806"/>
      <c r="R1" s="806"/>
      <c r="S1" s="807"/>
      <c r="T1" s="808"/>
      <c r="U1" s="809"/>
      <c r="V1" s="810"/>
      <c r="W1" s="810"/>
      <c r="X1" s="810"/>
      <c r="Y1" s="810"/>
      <c r="Z1" s="810"/>
      <c r="AA1" s="810"/>
      <c r="AB1" s="810"/>
      <c r="AC1" s="810"/>
      <c r="AD1" s="810"/>
      <c r="AE1" s="810"/>
      <c r="AF1" s="810"/>
      <c r="AG1" s="810"/>
      <c r="AH1" s="810"/>
      <c r="AI1" s="810"/>
      <c r="AJ1" s="810"/>
      <c r="AK1" s="810"/>
      <c r="AL1" s="810"/>
      <c r="AM1" s="810"/>
      <c r="AN1" s="810"/>
      <c r="AO1" s="810"/>
      <c r="AP1" s="810"/>
      <c r="AQ1" s="810"/>
      <c r="AR1" s="810"/>
      <c r="AS1" s="811"/>
      <c r="AT1" s="811"/>
      <c r="AU1" s="811"/>
      <c r="AV1" s="811"/>
      <c r="AW1" s="811"/>
      <c r="AX1" s="811"/>
      <c r="AY1" s="811"/>
      <c r="AZ1" s="811"/>
      <c r="BA1" s="811"/>
      <c r="BB1" s="811"/>
      <c r="BC1" s="811"/>
      <c r="BD1" s="812"/>
      <c r="BE1" s="812"/>
      <c r="BF1" s="812"/>
      <c r="BG1" s="812"/>
      <c r="BH1" s="812"/>
      <c r="BI1" s="812"/>
      <c r="BJ1" s="812"/>
      <c r="BK1" s="812"/>
      <c r="BL1" s="812"/>
      <c r="BM1" s="811"/>
      <c r="BN1" s="811"/>
      <c r="BO1" s="811"/>
      <c r="BP1" s="811"/>
      <c r="BQ1" s="811"/>
      <c r="BR1" s="811"/>
      <c r="BS1" s="811"/>
      <c r="BT1" s="811"/>
      <c r="BU1" s="811"/>
      <c r="BV1" s="811"/>
      <c r="BW1" s="811"/>
      <c r="BX1" s="811"/>
      <c r="BY1" s="813"/>
      <c r="BZ1" s="813"/>
      <c r="CA1" s="813"/>
      <c r="CB1" s="813"/>
      <c r="CC1" s="813"/>
      <c r="CD1" s="813"/>
      <c r="CE1" s="813"/>
      <c r="CF1" s="813"/>
      <c r="CG1" s="813"/>
      <c r="CH1" s="813"/>
      <c r="CI1" s="813"/>
      <c r="CJ1" s="813"/>
      <c r="CK1" s="813"/>
      <c r="CL1" s="813"/>
      <c r="CM1" s="813"/>
      <c r="CN1" s="813"/>
      <c r="CO1" s="813"/>
      <c r="CP1" s="813"/>
      <c r="CQ1" s="813"/>
      <c r="CR1" s="813"/>
      <c r="CS1" s="813"/>
      <c r="CT1" s="813"/>
      <c r="CU1" s="813"/>
      <c r="CV1" s="813"/>
      <c r="CW1" s="813"/>
      <c r="CX1" s="813"/>
      <c r="CY1" s="813"/>
      <c r="CZ1" s="813"/>
      <c r="DA1" s="813"/>
      <c r="DB1" s="813"/>
    </row>
    <row r="2" spans="3:106" ht="37.9" customHeight="1" thickBot="1">
      <c r="C2" s="1833" t="s">
        <v>0</v>
      </c>
      <c r="D2" s="1833"/>
      <c r="E2" s="1835" t="s">
        <v>1</v>
      </c>
      <c r="F2" s="1835"/>
      <c r="G2" s="1835"/>
      <c r="H2" s="1914" t="s">
        <v>2</v>
      </c>
      <c r="I2" s="1914"/>
      <c r="J2" s="1914"/>
      <c r="K2" s="1915" t="s">
        <v>3</v>
      </c>
      <c r="L2" s="1915"/>
      <c r="M2" s="1916" t="s">
        <v>559</v>
      </c>
      <c r="N2" s="1916"/>
      <c r="O2" s="1917" t="s">
        <v>4</v>
      </c>
      <c r="P2" s="1907" t="s">
        <v>560</v>
      </c>
      <c r="Q2" s="1907"/>
      <c r="R2" s="1907"/>
      <c r="S2" s="1907"/>
      <c r="T2" s="1907"/>
      <c r="U2" s="1908" t="s">
        <v>561</v>
      </c>
      <c r="V2" s="1620" t="s">
        <v>1174</v>
      </c>
      <c r="W2" s="810"/>
      <c r="X2" s="810"/>
      <c r="Y2" s="810"/>
      <c r="Z2" s="810"/>
      <c r="AA2" s="810"/>
      <c r="AB2" s="810"/>
      <c r="AC2" s="810"/>
      <c r="AD2" s="810"/>
      <c r="AE2" s="810"/>
      <c r="AF2" s="810"/>
      <c r="AG2" s="810"/>
      <c r="AH2" s="810"/>
      <c r="AI2" s="810"/>
      <c r="AJ2" s="810"/>
      <c r="AK2" s="810"/>
      <c r="AL2" s="810"/>
      <c r="AM2" s="810"/>
      <c r="AN2" s="810"/>
      <c r="AO2" s="810"/>
      <c r="AP2" s="810"/>
      <c r="AQ2" s="810"/>
      <c r="AR2" s="810"/>
      <c r="AS2" s="811"/>
      <c r="AT2" s="811"/>
      <c r="AU2" s="811"/>
      <c r="AV2" s="811"/>
      <c r="AW2" s="811"/>
      <c r="AX2" s="811"/>
      <c r="AY2" s="811"/>
      <c r="AZ2" s="811"/>
      <c r="BA2" s="811"/>
      <c r="BB2" s="811"/>
      <c r="BC2" s="811"/>
      <c r="BD2" s="812" t="s">
        <v>562</v>
      </c>
      <c r="BE2" s="812"/>
      <c r="BF2" s="812"/>
      <c r="BG2" s="812"/>
      <c r="BH2" s="812" t="s">
        <v>563</v>
      </c>
      <c r="BI2" s="812"/>
      <c r="BJ2" s="812"/>
      <c r="BK2" s="812"/>
      <c r="BL2" s="812"/>
      <c r="BM2" s="811" t="s">
        <v>559</v>
      </c>
      <c r="BN2" s="811"/>
      <c r="BO2" s="811"/>
      <c r="BP2" s="811"/>
      <c r="BQ2" s="811"/>
      <c r="BR2" s="811"/>
      <c r="BS2" s="811"/>
      <c r="BT2" s="811"/>
      <c r="BU2" s="811"/>
      <c r="BV2" s="811"/>
      <c r="BW2" s="811"/>
      <c r="BX2" s="811"/>
      <c r="BY2" s="813" t="s">
        <v>4</v>
      </c>
      <c r="BZ2" s="813"/>
      <c r="CA2" s="813"/>
      <c r="CB2" s="813"/>
      <c r="CC2" s="813" t="s">
        <v>564</v>
      </c>
      <c r="CD2" s="813"/>
      <c r="CE2" s="813"/>
      <c r="CF2" s="813"/>
      <c r="CG2" s="813"/>
      <c r="CH2" s="813"/>
      <c r="CI2" s="813"/>
      <c r="CJ2" s="813"/>
      <c r="CK2" s="813"/>
      <c r="CL2" s="813"/>
      <c r="CM2" s="813"/>
      <c r="CN2" s="813"/>
      <c r="CO2" s="813"/>
      <c r="CP2" s="813"/>
      <c r="CQ2" s="813"/>
      <c r="CR2" s="813"/>
      <c r="CS2" s="813"/>
      <c r="CT2" s="813"/>
      <c r="CU2" s="813"/>
      <c r="CV2" s="813"/>
      <c r="CW2" s="813"/>
      <c r="CX2" s="813"/>
      <c r="CY2" s="813"/>
      <c r="CZ2" s="813"/>
      <c r="DA2" s="813"/>
      <c r="DB2" s="813"/>
    </row>
    <row r="3" spans="3:106" ht="18" customHeight="1" thickBot="1">
      <c r="C3" s="1833"/>
      <c r="D3" s="1833"/>
      <c r="E3" s="1835"/>
      <c r="F3" s="1835"/>
      <c r="G3" s="1835"/>
      <c r="H3" s="1914"/>
      <c r="I3" s="1914"/>
      <c r="J3" s="1914"/>
      <c r="K3" s="1915"/>
      <c r="L3" s="1915"/>
      <c r="M3" s="814" t="s">
        <v>5</v>
      </c>
      <c r="N3" s="815" t="s">
        <v>6</v>
      </c>
      <c r="O3" s="1917"/>
      <c r="P3" s="816" t="s">
        <v>5</v>
      </c>
      <c r="Q3" s="817" t="s">
        <v>6</v>
      </c>
      <c r="R3" s="818" t="s">
        <v>7</v>
      </c>
      <c r="S3" s="819" t="s">
        <v>565</v>
      </c>
      <c r="T3" s="820" t="s">
        <v>566</v>
      </c>
      <c r="U3" s="1908"/>
      <c r="V3" s="1620"/>
      <c r="W3" s="810"/>
      <c r="X3" s="810"/>
      <c r="Y3" s="810"/>
      <c r="Z3" s="810"/>
      <c r="AA3" s="810"/>
      <c r="AB3" s="810"/>
      <c r="AC3" s="810"/>
      <c r="AD3" s="810"/>
      <c r="AE3" s="810"/>
      <c r="AF3" s="810"/>
      <c r="AG3" s="810"/>
      <c r="AH3" s="810"/>
      <c r="AI3" s="810"/>
      <c r="AJ3" s="810"/>
      <c r="AK3" s="810"/>
      <c r="AL3" s="810"/>
      <c r="AM3" s="810"/>
      <c r="AN3" s="810"/>
      <c r="AO3" s="810"/>
      <c r="AP3" s="810"/>
      <c r="AQ3" s="810"/>
      <c r="AR3" s="810"/>
      <c r="AS3" s="811"/>
      <c r="AT3" s="811"/>
      <c r="AU3" s="811"/>
      <c r="AV3" s="811"/>
      <c r="AW3" s="811"/>
      <c r="AX3" s="811"/>
      <c r="AY3" s="811"/>
      <c r="AZ3" s="811"/>
      <c r="BA3" s="811"/>
      <c r="BB3" s="811"/>
      <c r="BC3" s="811"/>
      <c r="BD3" s="812"/>
      <c r="BE3" s="812"/>
      <c r="BF3" s="812"/>
      <c r="BG3" s="812"/>
      <c r="BH3" s="812"/>
      <c r="BI3" s="812"/>
      <c r="BJ3" s="812"/>
      <c r="BK3" s="812"/>
      <c r="BL3" s="812"/>
      <c r="BM3" s="821" t="s">
        <v>5</v>
      </c>
      <c r="BN3" s="821"/>
      <c r="BO3" s="821"/>
      <c r="BP3" s="821"/>
      <c r="BQ3" s="821"/>
      <c r="BR3" s="821"/>
      <c r="BS3" s="821" t="s">
        <v>6</v>
      </c>
      <c r="BT3" s="821"/>
      <c r="BU3" s="821"/>
      <c r="BV3" s="821"/>
      <c r="BW3" s="821"/>
      <c r="BX3" s="821"/>
      <c r="BY3" s="813"/>
      <c r="BZ3" s="813"/>
      <c r="CA3" s="813"/>
      <c r="CB3" s="813"/>
      <c r="CC3" s="821" t="s">
        <v>5</v>
      </c>
      <c r="CD3" s="821"/>
      <c r="CE3" s="821"/>
      <c r="CF3" s="821"/>
      <c r="CG3" s="821"/>
      <c r="CH3" s="821"/>
      <c r="CI3" s="821" t="s">
        <v>6</v>
      </c>
      <c r="CJ3" s="821"/>
      <c r="CK3" s="821"/>
      <c r="CL3" s="821"/>
      <c r="CM3" s="821"/>
      <c r="CN3" s="821"/>
      <c r="CO3" s="821" t="s">
        <v>567</v>
      </c>
      <c r="CP3" s="821"/>
      <c r="CQ3" s="821"/>
      <c r="CR3" s="821"/>
      <c r="CS3" s="821"/>
      <c r="CT3" s="822" t="s">
        <v>565</v>
      </c>
      <c r="CU3" s="822"/>
      <c r="CV3" s="822"/>
      <c r="CW3" s="822"/>
      <c r="CX3" s="822"/>
      <c r="CY3" s="822"/>
      <c r="CZ3" s="822"/>
      <c r="DA3" s="822"/>
      <c r="DB3" s="822" t="s">
        <v>566</v>
      </c>
    </row>
    <row r="4" spans="3:106" ht="5.25" customHeight="1" thickBot="1">
      <c r="C4" s="823"/>
      <c r="D4" s="823"/>
      <c r="E4" s="741"/>
      <c r="F4" s="741"/>
      <c r="G4" s="741"/>
      <c r="H4" s="824"/>
      <c r="I4" s="824"/>
      <c r="J4" s="825"/>
      <c r="K4" s="826"/>
      <c r="L4" s="826"/>
      <c r="M4" s="827"/>
      <c r="N4" s="828"/>
      <c r="O4" s="805"/>
      <c r="P4" s="829"/>
      <c r="Q4" s="830"/>
      <c r="R4" s="831"/>
      <c r="S4" s="832"/>
      <c r="T4" s="833"/>
      <c r="U4" s="834"/>
      <c r="V4" s="810"/>
      <c r="W4" s="810"/>
      <c r="X4" s="810"/>
      <c r="Y4" s="810"/>
      <c r="Z4" s="810"/>
      <c r="AA4" s="810"/>
      <c r="AB4" s="810"/>
      <c r="AC4" s="810"/>
      <c r="AD4" s="810"/>
      <c r="AE4" s="810"/>
      <c r="AF4" s="810"/>
      <c r="AG4" s="810"/>
      <c r="AH4" s="810"/>
      <c r="AI4" s="810"/>
      <c r="AJ4" s="810"/>
      <c r="AK4" s="810"/>
      <c r="AL4" s="810"/>
      <c r="AM4" s="810"/>
      <c r="AN4" s="810"/>
      <c r="AO4" s="810"/>
      <c r="AP4" s="810"/>
      <c r="AQ4" s="810"/>
      <c r="AR4" s="810"/>
      <c r="AS4" s="811"/>
      <c r="AT4" s="811"/>
      <c r="AU4" s="811"/>
      <c r="AV4" s="811"/>
      <c r="AW4" s="811"/>
      <c r="AX4" s="811"/>
      <c r="AY4" s="811"/>
      <c r="AZ4" s="811"/>
      <c r="BA4" s="811"/>
      <c r="BB4" s="811"/>
      <c r="BC4" s="811"/>
      <c r="BD4" s="812"/>
      <c r="BE4" s="812"/>
      <c r="BF4" s="812"/>
      <c r="BG4" s="812"/>
      <c r="BH4" s="812"/>
      <c r="BI4" s="812"/>
      <c r="BJ4" s="812"/>
      <c r="BK4" s="812"/>
      <c r="BL4" s="812"/>
      <c r="BM4" s="821"/>
      <c r="BN4" s="821"/>
      <c r="BO4" s="821"/>
      <c r="BP4" s="821"/>
      <c r="BQ4" s="821"/>
      <c r="BR4" s="821"/>
      <c r="BS4" s="821"/>
      <c r="BT4" s="821"/>
      <c r="BU4" s="821"/>
      <c r="BV4" s="821"/>
      <c r="BW4" s="821"/>
      <c r="BX4" s="821"/>
      <c r="BY4" s="813"/>
      <c r="BZ4" s="813"/>
      <c r="CA4" s="813"/>
      <c r="CB4" s="813"/>
      <c r="CC4" s="821"/>
      <c r="CD4" s="821"/>
      <c r="CE4" s="821"/>
      <c r="CF4" s="821"/>
      <c r="CG4" s="821"/>
      <c r="CH4" s="821"/>
      <c r="CI4" s="821"/>
      <c r="CJ4" s="821"/>
      <c r="CK4" s="821"/>
      <c r="CL4" s="821"/>
      <c r="CM4" s="821"/>
      <c r="CN4" s="821"/>
      <c r="CO4" s="821"/>
      <c r="CP4" s="821"/>
      <c r="CQ4" s="821"/>
      <c r="CR4" s="821"/>
      <c r="CS4" s="821"/>
      <c r="CT4" s="822"/>
      <c r="CU4" s="822"/>
      <c r="CV4" s="822"/>
      <c r="CW4" s="822"/>
      <c r="CX4" s="822"/>
      <c r="CY4" s="822"/>
      <c r="CZ4" s="822"/>
      <c r="DA4" s="822"/>
      <c r="DB4" s="822"/>
    </row>
    <row r="5" spans="3:106" ht="15" customHeight="1" thickBot="1">
      <c r="C5" s="1833" t="s">
        <v>568</v>
      </c>
      <c r="D5" s="1833"/>
      <c r="E5" s="1835" t="s">
        <v>8</v>
      </c>
      <c r="F5" s="1835"/>
      <c r="G5" s="1835"/>
      <c r="H5" s="1909" t="s">
        <v>9</v>
      </c>
      <c r="I5" s="1909"/>
      <c r="J5" s="1909"/>
      <c r="K5" s="1853" t="s">
        <v>10</v>
      </c>
      <c r="L5" s="1853"/>
      <c r="M5" s="835"/>
      <c r="N5" s="836"/>
      <c r="O5" s="837"/>
      <c r="P5" s="838"/>
      <c r="Q5" s="839">
        <v>100</v>
      </c>
      <c r="R5" s="840"/>
      <c r="S5" s="1910">
        <f>Q9+Q8+Q6+Q5+R7</f>
        <v>203696.56</v>
      </c>
      <c r="T5" s="1911">
        <v>80000</v>
      </c>
      <c r="U5" s="1912" t="s">
        <v>569</v>
      </c>
      <c r="V5" s="1624"/>
      <c r="W5" s="810"/>
      <c r="X5" s="810"/>
      <c r="Y5" s="810"/>
      <c r="Z5" s="810"/>
      <c r="AA5" s="810"/>
      <c r="AB5" s="810"/>
      <c r="AC5" s="810"/>
      <c r="AD5" s="810"/>
      <c r="AE5" s="810"/>
      <c r="AF5" s="810"/>
      <c r="AG5" s="810"/>
      <c r="AH5" s="810"/>
      <c r="AI5" s="810"/>
      <c r="AJ5" s="810"/>
      <c r="AK5" s="810"/>
      <c r="AL5" s="810"/>
      <c r="AM5" s="810"/>
      <c r="AN5" s="810"/>
      <c r="AO5" s="810"/>
      <c r="AP5" s="810"/>
      <c r="AQ5" s="810"/>
      <c r="AR5" s="810"/>
      <c r="AS5" s="811"/>
      <c r="AT5" s="811"/>
      <c r="AU5" s="811"/>
      <c r="AV5" s="811"/>
      <c r="AW5" s="811"/>
      <c r="AX5" s="811"/>
      <c r="AY5" s="811"/>
      <c r="AZ5" s="811"/>
      <c r="BA5" s="811"/>
      <c r="BB5" s="811"/>
      <c r="BC5" s="811"/>
      <c r="BD5" s="812"/>
      <c r="BE5" s="812"/>
      <c r="BF5" s="812"/>
      <c r="BG5" s="812"/>
      <c r="BH5" s="812"/>
      <c r="BI5" s="812"/>
      <c r="BJ5" s="812"/>
      <c r="BK5" s="812"/>
      <c r="BL5" s="812"/>
      <c r="BM5" s="821"/>
      <c r="BN5" s="821"/>
      <c r="BO5" s="821"/>
      <c r="BP5" s="821"/>
      <c r="BQ5" s="821"/>
      <c r="BR5" s="821"/>
      <c r="BS5" s="821"/>
      <c r="BT5" s="821"/>
      <c r="BU5" s="821"/>
      <c r="BV5" s="821"/>
      <c r="BW5" s="821"/>
      <c r="BX5" s="821"/>
      <c r="BY5" s="813"/>
      <c r="BZ5" s="813"/>
      <c r="CA5" s="813"/>
      <c r="CB5" s="813"/>
      <c r="CC5" s="821"/>
      <c r="CD5" s="821"/>
      <c r="CE5" s="821"/>
      <c r="CF5" s="821"/>
      <c r="CG5" s="821"/>
      <c r="CH5" s="821"/>
      <c r="CI5" s="821"/>
      <c r="CJ5" s="821"/>
      <c r="CK5" s="821"/>
      <c r="CL5" s="821"/>
      <c r="CM5" s="821"/>
      <c r="CN5" s="821"/>
      <c r="CO5" s="821"/>
      <c r="CP5" s="821"/>
      <c r="CQ5" s="821"/>
      <c r="CR5" s="821"/>
      <c r="CS5" s="821"/>
      <c r="CT5" s="822"/>
      <c r="CU5" s="822"/>
      <c r="CV5" s="822"/>
      <c r="CW5" s="822"/>
      <c r="CX5" s="822"/>
      <c r="CY5" s="822"/>
      <c r="CZ5" s="822"/>
      <c r="DA5" s="822"/>
      <c r="DB5" s="822"/>
    </row>
    <row r="6" spans="3:106" ht="15" customHeight="1" thickBot="1">
      <c r="C6" s="1833"/>
      <c r="D6" s="1833"/>
      <c r="E6" s="1835"/>
      <c r="F6" s="1835"/>
      <c r="G6" s="1835"/>
      <c r="H6" s="1913"/>
      <c r="I6" s="1913"/>
      <c r="J6" s="1913"/>
      <c r="K6" s="1846" t="s">
        <v>11</v>
      </c>
      <c r="L6" s="1846"/>
      <c r="M6" s="841"/>
      <c r="N6" s="842"/>
      <c r="O6" s="843"/>
      <c r="P6" s="844"/>
      <c r="Q6" s="845"/>
      <c r="R6" s="846"/>
      <c r="S6" s="1910"/>
      <c r="T6" s="1911"/>
      <c r="U6" s="1912"/>
      <c r="V6" s="1624"/>
      <c r="W6" s="810"/>
      <c r="X6" s="810"/>
      <c r="Y6" s="810"/>
      <c r="Z6" s="810"/>
      <c r="AA6" s="810"/>
      <c r="AB6" s="810"/>
      <c r="AC6" s="810"/>
      <c r="AD6" s="810"/>
      <c r="AE6" s="810"/>
      <c r="AF6" s="810"/>
      <c r="AG6" s="810"/>
      <c r="AH6" s="810"/>
      <c r="AI6" s="810"/>
      <c r="AJ6" s="810"/>
      <c r="AK6" s="810"/>
      <c r="AL6" s="810"/>
      <c r="AM6" s="810"/>
      <c r="AN6" s="810"/>
      <c r="AO6" s="810"/>
      <c r="AP6" s="810"/>
      <c r="AQ6" s="810"/>
      <c r="AR6" s="810"/>
      <c r="AS6" s="811"/>
      <c r="AT6" s="811"/>
      <c r="AU6" s="811"/>
      <c r="AV6" s="811"/>
      <c r="AW6" s="811"/>
      <c r="AX6" s="811"/>
      <c r="AY6" s="811"/>
      <c r="AZ6" s="811"/>
      <c r="BA6" s="811"/>
      <c r="BB6" s="811"/>
      <c r="BC6" s="811"/>
      <c r="BD6" s="812"/>
      <c r="BE6" s="812"/>
      <c r="BF6" s="812"/>
      <c r="BG6" s="812"/>
      <c r="BH6" s="812"/>
      <c r="BI6" s="812"/>
      <c r="BJ6" s="812"/>
      <c r="BK6" s="812"/>
      <c r="BL6" s="812"/>
      <c r="BM6" s="821"/>
      <c r="BN6" s="821"/>
      <c r="BO6" s="821"/>
      <c r="BP6" s="821"/>
      <c r="BQ6" s="821"/>
      <c r="BR6" s="821"/>
      <c r="BS6" s="821"/>
      <c r="BT6" s="821"/>
      <c r="BU6" s="821"/>
      <c r="BV6" s="821"/>
      <c r="BW6" s="821"/>
      <c r="BX6" s="821"/>
      <c r="BY6" s="813"/>
      <c r="BZ6" s="813"/>
      <c r="CA6" s="813"/>
      <c r="CB6" s="813"/>
      <c r="CC6" s="821"/>
      <c r="CD6" s="821"/>
      <c r="CE6" s="821"/>
      <c r="CF6" s="821"/>
      <c r="CG6" s="821"/>
      <c r="CH6" s="821"/>
      <c r="CI6" s="821"/>
      <c r="CJ6" s="821"/>
      <c r="CK6" s="821"/>
      <c r="CL6" s="821"/>
      <c r="CM6" s="821"/>
      <c r="CN6" s="821"/>
      <c r="CO6" s="821"/>
      <c r="CP6" s="821"/>
      <c r="CQ6" s="821"/>
      <c r="CR6" s="821"/>
      <c r="CS6" s="821"/>
      <c r="CT6" s="822"/>
      <c r="CU6" s="822"/>
      <c r="CV6" s="822"/>
      <c r="CW6" s="822"/>
      <c r="CX6" s="822"/>
      <c r="CY6" s="822"/>
      <c r="CZ6" s="822"/>
      <c r="DA6" s="822"/>
      <c r="DB6" s="822"/>
    </row>
    <row r="7" spans="3:106" ht="25.15" customHeight="1" thickBot="1">
      <c r="C7" s="1833"/>
      <c r="D7" s="1833"/>
      <c r="E7" s="1835"/>
      <c r="F7" s="1835"/>
      <c r="G7" s="1835"/>
      <c r="H7" s="1913" t="s">
        <v>12</v>
      </c>
      <c r="I7" s="1913"/>
      <c r="J7" s="1913"/>
      <c r="K7" s="1846" t="s">
        <v>13</v>
      </c>
      <c r="L7" s="1846"/>
      <c r="M7" s="841"/>
      <c r="N7" s="842"/>
      <c r="O7" s="847">
        <f>Q7/P7</f>
        <v>5.6305557505044304</v>
      </c>
      <c r="P7" s="848">
        <v>45596</v>
      </c>
      <c r="Q7" s="849">
        <v>256730.82</v>
      </c>
      <c r="R7" s="850">
        <v>200000</v>
      </c>
      <c r="S7" s="1910"/>
      <c r="T7" s="1911"/>
      <c r="U7" s="1912"/>
      <c r="V7" s="1624"/>
      <c r="W7" s="810"/>
      <c r="X7" s="810"/>
      <c r="Y7" s="810"/>
      <c r="Z7" s="810"/>
      <c r="AA7" s="810"/>
      <c r="AB7" s="810"/>
      <c r="AC7" s="810"/>
      <c r="AD7" s="810"/>
      <c r="AE7" s="810"/>
      <c r="AF7" s="810"/>
      <c r="AG7" s="810"/>
      <c r="AH7" s="810"/>
      <c r="AI7" s="810"/>
      <c r="AJ7" s="810"/>
      <c r="AK7" s="810"/>
      <c r="AL7" s="810"/>
      <c r="AM7" s="810"/>
      <c r="AN7" s="810"/>
      <c r="AO7" s="810"/>
      <c r="AP7" s="810"/>
      <c r="AQ7" s="810"/>
      <c r="AR7" s="810"/>
      <c r="AS7" s="811"/>
      <c r="AT7" s="811"/>
      <c r="AU7" s="811"/>
      <c r="AV7" s="811"/>
      <c r="AW7" s="811"/>
      <c r="AX7" s="811"/>
      <c r="AY7" s="811"/>
      <c r="AZ7" s="811"/>
      <c r="BA7" s="811"/>
      <c r="BB7" s="811"/>
      <c r="BC7" s="811"/>
      <c r="BD7" s="812"/>
      <c r="BE7" s="812"/>
      <c r="BF7" s="812"/>
      <c r="BG7" s="812"/>
      <c r="BH7" s="812"/>
      <c r="BI7" s="812"/>
      <c r="BJ7" s="812"/>
      <c r="BK7" s="812"/>
      <c r="BL7" s="812"/>
      <c r="BM7" s="821"/>
      <c r="BN7" s="821"/>
      <c r="BO7" s="821"/>
      <c r="BP7" s="821"/>
      <c r="BQ7" s="821"/>
      <c r="BR7" s="821"/>
      <c r="BS7" s="821"/>
      <c r="BT7" s="821"/>
      <c r="BU7" s="821"/>
      <c r="BV7" s="821"/>
      <c r="BW7" s="821"/>
      <c r="BX7" s="821"/>
      <c r="BY7" s="813"/>
      <c r="BZ7" s="813"/>
      <c r="CA7" s="813"/>
      <c r="CB7" s="813"/>
      <c r="CC7" s="821"/>
      <c r="CD7" s="821"/>
      <c r="CE7" s="821"/>
      <c r="CF7" s="821"/>
      <c r="CG7" s="821"/>
      <c r="CH7" s="821"/>
      <c r="CI7" s="821"/>
      <c r="CJ7" s="821"/>
      <c r="CK7" s="821"/>
      <c r="CL7" s="821"/>
      <c r="CM7" s="821"/>
      <c r="CN7" s="821"/>
      <c r="CO7" s="821"/>
      <c r="CP7" s="821"/>
      <c r="CQ7" s="821"/>
      <c r="CR7" s="821"/>
      <c r="CS7" s="821"/>
      <c r="CT7" s="822"/>
      <c r="CU7" s="822"/>
      <c r="CV7" s="822"/>
      <c r="CW7" s="822"/>
      <c r="CX7" s="822"/>
      <c r="CY7" s="822"/>
      <c r="CZ7" s="822"/>
      <c r="DA7" s="822"/>
      <c r="DB7" s="822"/>
    </row>
    <row r="8" spans="3:106" ht="26.45" customHeight="1" thickBot="1">
      <c r="C8" s="1833"/>
      <c r="D8" s="1833"/>
      <c r="E8" s="1835"/>
      <c r="F8" s="1835"/>
      <c r="G8" s="1835"/>
      <c r="H8" s="1913" t="s">
        <v>14</v>
      </c>
      <c r="I8" s="1913"/>
      <c r="J8" s="1913"/>
      <c r="K8" s="1846" t="s">
        <v>15</v>
      </c>
      <c r="L8" s="1846"/>
      <c r="M8" s="851"/>
      <c r="N8" s="852"/>
      <c r="O8" s="853"/>
      <c r="P8" s="854">
        <v>1</v>
      </c>
      <c r="Q8" s="855">
        <v>1395.94</v>
      </c>
      <c r="R8" s="856"/>
      <c r="S8" s="1910"/>
      <c r="T8" s="1911"/>
      <c r="U8" s="1912"/>
      <c r="V8" s="1624"/>
      <c r="W8" s="810"/>
      <c r="X8" s="810"/>
      <c r="Y8" s="810"/>
      <c r="Z8" s="810"/>
      <c r="AA8" s="810"/>
      <c r="AB8" s="810"/>
      <c r="AC8" s="810"/>
      <c r="AD8" s="810"/>
      <c r="AE8" s="810"/>
      <c r="AF8" s="810"/>
      <c r="AG8" s="810"/>
      <c r="AH8" s="810"/>
      <c r="AI8" s="810"/>
      <c r="AJ8" s="810"/>
      <c r="AK8" s="810"/>
      <c r="AL8" s="810"/>
      <c r="AM8" s="810"/>
      <c r="AN8" s="810"/>
      <c r="AO8" s="810"/>
      <c r="AP8" s="810"/>
      <c r="AQ8" s="810"/>
      <c r="AR8" s="810"/>
      <c r="AS8" s="811"/>
      <c r="AT8" s="811"/>
      <c r="AU8" s="811"/>
      <c r="AV8" s="811"/>
      <c r="AW8" s="811"/>
      <c r="AX8" s="811"/>
      <c r="AY8" s="811"/>
      <c r="AZ8" s="811"/>
      <c r="BA8" s="811"/>
      <c r="BB8" s="811"/>
      <c r="BC8" s="811"/>
      <c r="BD8" s="812"/>
      <c r="BE8" s="812"/>
      <c r="BF8" s="812"/>
      <c r="BG8" s="812"/>
      <c r="BH8" s="812"/>
      <c r="BI8" s="812"/>
      <c r="BJ8" s="812"/>
      <c r="BK8" s="812"/>
      <c r="BL8" s="812"/>
      <c r="BM8" s="821"/>
      <c r="BN8" s="821"/>
      <c r="BO8" s="821"/>
      <c r="BP8" s="821"/>
      <c r="BQ8" s="821"/>
      <c r="BR8" s="821"/>
      <c r="BS8" s="821"/>
      <c r="BT8" s="821"/>
      <c r="BU8" s="821"/>
      <c r="BV8" s="821"/>
      <c r="BW8" s="821"/>
      <c r="BX8" s="821"/>
      <c r="BY8" s="813"/>
      <c r="BZ8" s="813"/>
      <c r="CA8" s="813"/>
      <c r="CB8" s="813"/>
      <c r="CC8" s="821"/>
      <c r="CD8" s="821"/>
      <c r="CE8" s="821"/>
      <c r="CF8" s="821"/>
      <c r="CG8" s="821"/>
      <c r="CH8" s="821"/>
      <c r="CI8" s="821"/>
      <c r="CJ8" s="821"/>
      <c r="CK8" s="821"/>
      <c r="CL8" s="821"/>
      <c r="CM8" s="821"/>
      <c r="CN8" s="821"/>
      <c r="CO8" s="821"/>
      <c r="CP8" s="821"/>
      <c r="CQ8" s="821"/>
      <c r="CR8" s="821"/>
      <c r="CS8" s="821"/>
      <c r="CT8" s="822"/>
      <c r="CU8" s="822"/>
      <c r="CV8" s="822"/>
      <c r="CW8" s="822"/>
      <c r="CX8" s="822"/>
      <c r="CY8" s="822"/>
      <c r="CZ8" s="822"/>
      <c r="DA8" s="822"/>
      <c r="DB8" s="822"/>
    </row>
    <row r="9" spans="3:106" ht="15" customHeight="1" thickBot="1">
      <c r="C9" s="1833"/>
      <c r="D9" s="1833"/>
      <c r="E9" s="1835"/>
      <c r="F9" s="1835"/>
      <c r="G9" s="1835"/>
      <c r="H9" s="1830" t="s">
        <v>16</v>
      </c>
      <c r="I9" s="1830"/>
      <c r="J9" s="1830"/>
      <c r="K9" s="1847" t="s">
        <v>17</v>
      </c>
      <c r="L9" s="1847"/>
      <c r="M9" s="857"/>
      <c r="N9" s="858"/>
      <c r="O9" s="859">
        <f>Q9/P9</f>
        <v>37.941724137931033</v>
      </c>
      <c r="P9" s="860">
        <v>58</v>
      </c>
      <c r="Q9" s="861">
        <v>2200.62</v>
      </c>
      <c r="R9" s="862"/>
      <c r="S9" s="1910"/>
      <c r="T9" s="1911"/>
      <c r="U9" s="1912"/>
      <c r="V9" s="1624"/>
      <c r="W9" s="810"/>
      <c r="X9" s="810"/>
      <c r="Y9" s="810"/>
      <c r="Z9" s="810"/>
      <c r="AA9" s="810"/>
      <c r="AB9" s="810"/>
      <c r="AC9" s="810"/>
      <c r="AD9" s="810"/>
      <c r="AE9" s="810"/>
      <c r="AF9" s="810"/>
      <c r="AG9" s="810"/>
      <c r="AH9" s="810"/>
      <c r="AI9" s="810"/>
      <c r="AJ9" s="810"/>
      <c r="AK9" s="810"/>
      <c r="AL9" s="810"/>
      <c r="AM9" s="810"/>
      <c r="AN9" s="810"/>
      <c r="AO9" s="810"/>
      <c r="AP9" s="810"/>
      <c r="AQ9" s="810"/>
      <c r="AR9" s="810"/>
      <c r="AS9" s="811"/>
      <c r="AT9" s="811"/>
      <c r="AU9" s="811"/>
      <c r="AV9" s="811"/>
      <c r="AW9" s="811"/>
      <c r="AX9" s="811"/>
      <c r="AY9" s="811"/>
      <c r="AZ9" s="811"/>
      <c r="BA9" s="811"/>
      <c r="BB9" s="811"/>
      <c r="BC9" s="811"/>
      <c r="BD9" s="812"/>
      <c r="BE9" s="812"/>
      <c r="BF9" s="812"/>
      <c r="BG9" s="812"/>
      <c r="BH9" s="812"/>
      <c r="BI9" s="812"/>
      <c r="BJ9" s="812"/>
      <c r="BK9" s="812"/>
      <c r="BL9" s="812"/>
      <c r="BM9" s="821"/>
      <c r="BN9" s="821"/>
      <c r="BO9" s="821"/>
      <c r="BP9" s="821"/>
      <c r="BQ9" s="821"/>
      <c r="BR9" s="821"/>
      <c r="BS9" s="821"/>
      <c r="BT9" s="821"/>
      <c r="BU9" s="821"/>
      <c r="BV9" s="821"/>
      <c r="BW9" s="821"/>
      <c r="BX9" s="821"/>
      <c r="BY9" s="813"/>
      <c r="BZ9" s="813"/>
      <c r="CA9" s="813"/>
      <c r="CB9" s="813"/>
      <c r="CC9" s="821"/>
      <c r="CD9" s="821"/>
      <c r="CE9" s="821"/>
      <c r="CF9" s="821"/>
      <c r="CG9" s="821"/>
      <c r="CH9" s="821"/>
      <c r="CI9" s="821"/>
      <c r="CJ9" s="821"/>
      <c r="CK9" s="821"/>
      <c r="CL9" s="821"/>
      <c r="CM9" s="821"/>
      <c r="CN9" s="821"/>
      <c r="CO9" s="821"/>
      <c r="CP9" s="821"/>
      <c r="CQ9" s="821"/>
      <c r="CR9" s="821"/>
      <c r="CS9" s="821"/>
      <c r="CT9" s="822"/>
      <c r="CU9" s="822"/>
      <c r="CV9" s="822"/>
      <c r="CW9" s="822"/>
      <c r="CX9" s="822"/>
      <c r="CY9" s="822"/>
      <c r="CZ9" s="822"/>
      <c r="DA9" s="822"/>
      <c r="DB9" s="822"/>
    </row>
    <row r="10" spans="3:106" ht="15" customHeight="1" thickBot="1">
      <c r="C10" s="1833" t="s">
        <v>570</v>
      </c>
      <c r="D10" s="1833"/>
      <c r="E10" s="1835" t="s">
        <v>18</v>
      </c>
      <c r="F10" s="1835"/>
      <c r="G10" s="1835"/>
      <c r="H10" s="1896" t="s">
        <v>19</v>
      </c>
      <c r="I10" s="1896"/>
      <c r="J10" s="1896"/>
      <c r="K10" s="1853" t="s">
        <v>10</v>
      </c>
      <c r="L10" s="1853"/>
      <c r="M10" s="863"/>
      <c r="N10" s="864"/>
      <c r="O10" s="865"/>
      <c r="P10" s="866">
        <f>H719</f>
        <v>2</v>
      </c>
      <c r="Q10" s="867">
        <f>J719</f>
        <v>382.8</v>
      </c>
      <c r="R10" s="868"/>
      <c r="S10" s="1838">
        <f>SUM(Q10:Q14)</f>
        <v>68703.215999999986</v>
      </c>
      <c r="T10" s="1839"/>
      <c r="U10" s="1918" t="s">
        <v>571</v>
      </c>
      <c r="V10" s="1625"/>
    </row>
    <row r="11" spans="3:106" ht="15" customHeight="1" thickBot="1">
      <c r="C11" s="1833"/>
      <c r="D11" s="1833"/>
      <c r="E11" s="1835"/>
      <c r="F11" s="1835"/>
      <c r="G11" s="1835"/>
      <c r="H11" s="1830" t="s">
        <v>20</v>
      </c>
      <c r="I11" s="1830"/>
      <c r="J11" s="1830"/>
      <c r="K11" s="1846" t="s">
        <v>11</v>
      </c>
      <c r="L11" s="1846"/>
      <c r="M11" s="870"/>
      <c r="N11" s="871"/>
      <c r="O11" s="872"/>
      <c r="P11" s="873">
        <v>1</v>
      </c>
      <c r="Q11" s="874">
        <f>1.2*2899.56</f>
        <v>3479.4719999999998</v>
      </c>
      <c r="R11" s="875"/>
      <c r="S11" s="1838"/>
      <c r="T11" s="1839"/>
      <c r="U11" s="1919"/>
      <c r="V11" s="1625"/>
    </row>
    <row r="12" spans="3:106" ht="15" customHeight="1" thickBot="1">
      <c r="C12" s="1833"/>
      <c r="D12" s="1833"/>
      <c r="E12" s="1835"/>
      <c r="F12" s="1835"/>
      <c r="G12" s="1835"/>
      <c r="H12" s="1830"/>
      <c r="I12" s="1830"/>
      <c r="J12" s="1830"/>
      <c r="K12" s="1846" t="s">
        <v>13</v>
      </c>
      <c r="L12" s="1846"/>
      <c r="M12" s="870"/>
      <c r="N12" s="871"/>
      <c r="O12" s="876">
        <f>Q12/P12</f>
        <v>4.7490724314686874</v>
      </c>
      <c r="P12" s="873">
        <v>13461</v>
      </c>
      <c r="Q12" s="874">
        <f>1.2*53272.72</f>
        <v>63927.263999999996</v>
      </c>
      <c r="R12" s="875"/>
      <c r="S12" s="1838"/>
      <c r="T12" s="1839"/>
      <c r="U12" s="1919"/>
      <c r="V12" s="1625"/>
    </row>
    <row r="13" spans="3:106" ht="15" customHeight="1" thickBot="1">
      <c r="C13" s="1833"/>
      <c r="D13" s="1833"/>
      <c r="E13" s="1835"/>
      <c r="F13" s="1835"/>
      <c r="G13" s="1835"/>
      <c r="H13" s="1830"/>
      <c r="I13" s="1830"/>
      <c r="J13" s="1830"/>
      <c r="K13" s="1846" t="s">
        <v>15</v>
      </c>
      <c r="L13" s="1846"/>
      <c r="M13" s="877"/>
      <c r="N13" s="878" t="s">
        <v>572</v>
      </c>
      <c r="O13" s="879"/>
      <c r="P13" s="880">
        <v>1</v>
      </c>
      <c r="Q13" s="881">
        <f>1.2*663.67</f>
        <v>796.40399999999988</v>
      </c>
      <c r="R13" s="882"/>
      <c r="S13" s="1838"/>
      <c r="T13" s="1839"/>
      <c r="U13" s="1919"/>
      <c r="V13" s="1625"/>
    </row>
    <row r="14" spans="3:106" ht="15" customHeight="1" thickBot="1">
      <c r="C14" s="1833"/>
      <c r="D14" s="1833"/>
      <c r="E14" s="1835"/>
      <c r="F14" s="1835"/>
      <c r="G14" s="1835"/>
      <c r="H14" s="1830"/>
      <c r="I14" s="1830"/>
      <c r="J14" s="1830"/>
      <c r="K14" s="1847" t="s">
        <v>17</v>
      </c>
      <c r="L14" s="1847"/>
      <c r="M14" s="883"/>
      <c r="N14" s="884"/>
      <c r="O14" s="885">
        <f>Q14/P14</f>
        <v>30.38238341968912</v>
      </c>
      <c r="P14" s="886">
        <v>3.86</v>
      </c>
      <c r="Q14" s="887">
        <f>1.2*97.73</f>
        <v>117.276</v>
      </c>
      <c r="R14" s="888"/>
      <c r="S14" s="1838"/>
      <c r="T14" s="1839"/>
      <c r="U14" s="1920"/>
      <c r="V14" s="1625"/>
    </row>
    <row r="15" spans="3:106" ht="15" customHeight="1" thickBot="1">
      <c r="C15" s="1833" t="s">
        <v>573</v>
      </c>
      <c r="D15" s="1833"/>
      <c r="E15" s="1835" t="s">
        <v>21</v>
      </c>
      <c r="F15" s="1835"/>
      <c r="G15" s="1835"/>
      <c r="H15" s="1836" t="s">
        <v>19</v>
      </c>
      <c r="I15" s="1836"/>
      <c r="J15" s="1836"/>
      <c r="K15" s="1853" t="s">
        <v>10</v>
      </c>
      <c r="L15" s="1853"/>
      <c r="M15" s="863"/>
      <c r="N15" s="864"/>
      <c r="O15" s="865"/>
      <c r="P15" s="866">
        <f>H720</f>
        <v>6</v>
      </c>
      <c r="Q15" s="867">
        <f>J720</f>
        <v>1148.4000000000001</v>
      </c>
      <c r="R15" s="889"/>
      <c r="S15" s="1838">
        <f>SUM(Q15:Q18)</f>
        <v>97694.363999999987</v>
      </c>
      <c r="T15" s="1839">
        <v>110000</v>
      </c>
      <c r="U15" s="1845" t="s">
        <v>574</v>
      </c>
      <c r="V15" s="1625"/>
    </row>
    <row r="16" spans="3:106" ht="15" customHeight="1" thickBot="1">
      <c r="C16" s="1833"/>
      <c r="D16" s="1833"/>
      <c r="E16" s="1835"/>
      <c r="F16" s="1835"/>
      <c r="G16" s="1835"/>
      <c r="H16" s="1855" t="s">
        <v>575</v>
      </c>
      <c r="I16" s="1855"/>
      <c r="J16" s="1855"/>
      <c r="K16" s="1846" t="s">
        <v>13</v>
      </c>
      <c r="L16" s="1846"/>
      <c r="M16" s="870"/>
      <c r="N16" s="871"/>
      <c r="O16" s="876">
        <f>Q16/P16</f>
        <v>4.6710718419477146</v>
      </c>
      <c r="P16" s="890">
        <v>20044</v>
      </c>
      <c r="Q16" s="891">
        <f>1.2*78022.47</f>
        <v>93626.963999999993</v>
      </c>
      <c r="R16" s="892"/>
      <c r="S16" s="1838"/>
      <c r="T16" s="1839"/>
      <c r="U16" s="1845"/>
      <c r="V16" s="1625"/>
    </row>
    <row r="17" spans="3:22" ht="15" customHeight="1" thickBot="1">
      <c r="C17" s="1833"/>
      <c r="D17" s="1833"/>
      <c r="E17" s="1835"/>
      <c r="F17" s="1835"/>
      <c r="G17" s="1835"/>
      <c r="H17" s="1855" t="s">
        <v>22</v>
      </c>
      <c r="I17" s="1855"/>
      <c r="J17" s="1855"/>
      <c r="K17" s="1846" t="s">
        <v>15</v>
      </c>
      <c r="L17" s="1846"/>
      <c r="M17" s="870"/>
      <c r="N17" s="871"/>
      <c r="O17" s="872"/>
      <c r="P17" s="893"/>
      <c r="Q17" s="891">
        <v>889.96</v>
      </c>
      <c r="R17" s="892"/>
      <c r="S17" s="1838"/>
      <c r="T17" s="1839"/>
      <c r="U17" s="1845"/>
      <c r="V17" s="1625"/>
    </row>
    <row r="18" spans="3:22" ht="15" customHeight="1" thickBot="1">
      <c r="C18" s="1833"/>
      <c r="D18" s="1833"/>
      <c r="E18" s="1835"/>
      <c r="F18" s="1835"/>
      <c r="G18" s="1835"/>
      <c r="H18" s="1856" t="s">
        <v>23</v>
      </c>
      <c r="I18" s="1856"/>
      <c r="J18" s="1856"/>
      <c r="K18" s="1847" t="s">
        <v>17</v>
      </c>
      <c r="L18" s="1847"/>
      <c r="M18" s="883"/>
      <c r="N18" s="884"/>
      <c r="O18" s="885">
        <f>Q18/P18</f>
        <v>32.206984126984125</v>
      </c>
      <c r="P18" s="894">
        <v>63</v>
      </c>
      <c r="Q18" s="887">
        <v>2029.04</v>
      </c>
      <c r="R18" s="895"/>
      <c r="S18" s="1838"/>
      <c r="T18" s="1839"/>
      <c r="U18" s="1845"/>
      <c r="V18" s="1625"/>
    </row>
    <row r="19" spans="3:22" ht="15" customHeight="1" thickBot="1">
      <c r="C19" s="1872" t="s">
        <v>576</v>
      </c>
      <c r="D19" s="1872"/>
      <c r="E19" s="1873" t="s">
        <v>24</v>
      </c>
      <c r="F19" s="1873"/>
      <c r="G19" s="1873"/>
      <c r="H19" s="1896" t="s">
        <v>25</v>
      </c>
      <c r="I19" s="1896"/>
      <c r="J19" s="1896"/>
      <c r="K19" s="1853" t="s">
        <v>10</v>
      </c>
      <c r="L19" s="1853"/>
      <c r="M19" s="863"/>
      <c r="N19" s="864"/>
      <c r="O19" s="865"/>
      <c r="P19" s="866">
        <f>Q718</f>
        <v>9</v>
      </c>
      <c r="Q19" s="867">
        <f>S718</f>
        <v>1980</v>
      </c>
      <c r="R19" s="868"/>
      <c r="S19" s="1838">
        <f>SUM(Q19:Q22)+N20</f>
        <v>91127.865999999995</v>
      </c>
      <c r="T19" s="1839">
        <v>103000</v>
      </c>
      <c r="U19" s="1845" t="s">
        <v>577</v>
      </c>
      <c r="V19" s="1625"/>
    </row>
    <row r="20" spans="3:22" ht="15" customHeight="1" thickBot="1">
      <c r="C20" s="1872"/>
      <c r="D20" s="1872"/>
      <c r="E20" s="1873"/>
      <c r="F20" s="1873"/>
      <c r="G20" s="1873"/>
      <c r="H20" s="1892" t="s">
        <v>26</v>
      </c>
      <c r="I20" s="1892"/>
      <c r="J20" s="1892"/>
      <c r="K20" s="1846" t="s">
        <v>13</v>
      </c>
      <c r="L20" s="1846"/>
      <c r="M20" s="870"/>
      <c r="N20" s="871"/>
      <c r="O20" s="876">
        <f>Q20/P20</f>
        <v>5.2324437758555842</v>
      </c>
      <c r="P20" s="890">
        <v>15954</v>
      </c>
      <c r="Q20" s="891">
        <f>1.2*69565.34</f>
        <v>83478.407999999996</v>
      </c>
      <c r="R20" s="875"/>
      <c r="S20" s="1838"/>
      <c r="T20" s="1839"/>
      <c r="U20" s="1845"/>
      <c r="V20" s="1625"/>
    </row>
    <row r="21" spans="3:22" ht="15" customHeight="1" thickBot="1">
      <c r="C21" s="1872"/>
      <c r="D21" s="1872"/>
      <c r="E21" s="1873"/>
      <c r="F21" s="1873"/>
      <c r="G21" s="1873"/>
      <c r="H21" s="1892"/>
      <c r="I21" s="1892"/>
      <c r="J21" s="1892"/>
      <c r="K21" s="1846" t="s">
        <v>15</v>
      </c>
      <c r="L21" s="1846"/>
      <c r="M21" s="870"/>
      <c r="N21" s="871"/>
      <c r="O21" s="872"/>
      <c r="P21" s="890">
        <v>1</v>
      </c>
      <c r="Q21" s="891">
        <f>1.2*2692.49</f>
        <v>3230.9879999999998</v>
      </c>
      <c r="R21" s="875"/>
      <c r="S21" s="1838"/>
      <c r="T21" s="1839"/>
      <c r="U21" s="1845"/>
      <c r="V21" s="1625"/>
    </row>
    <row r="22" spans="3:22" ht="15" customHeight="1" thickBot="1">
      <c r="C22" s="1872"/>
      <c r="D22" s="1872"/>
      <c r="E22" s="1873"/>
      <c r="F22" s="1873"/>
      <c r="G22" s="1873"/>
      <c r="H22" s="1892"/>
      <c r="I22" s="1892"/>
      <c r="J22" s="1892"/>
      <c r="K22" s="1874" t="s">
        <v>17</v>
      </c>
      <c r="L22" s="1874"/>
      <c r="M22" s="877"/>
      <c r="N22" s="878"/>
      <c r="O22" s="896">
        <f>Q22/P22</f>
        <v>35.85985294117647</v>
      </c>
      <c r="P22" s="897">
        <v>68</v>
      </c>
      <c r="Q22" s="898">
        <v>2438.4699999999998</v>
      </c>
      <c r="R22" s="882"/>
      <c r="S22" s="1838"/>
      <c r="T22" s="1839"/>
      <c r="U22" s="1845"/>
      <c r="V22" s="1625"/>
    </row>
    <row r="23" spans="3:22" ht="15" customHeight="1" thickBot="1">
      <c r="C23" s="1872" t="s">
        <v>578</v>
      </c>
      <c r="D23" s="1872"/>
      <c r="E23" s="1873" t="s">
        <v>27</v>
      </c>
      <c r="F23" s="1873"/>
      <c r="G23" s="1873"/>
      <c r="H23" s="1836" t="s">
        <v>19</v>
      </c>
      <c r="I23" s="1836"/>
      <c r="J23" s="1836"/>
      <c r="K23" s="1853" t="s">
        <v>10</v>
      </c>
      <c r="L23" s="1853"/>
      <c r="M23" s="863"/>
      <c r="N23" s="864"/>
      <c r="O23" s="899"/>
      <c r="P23" s="866">
        <f>H717</f>
        <v>8</v>
      </c>
      <c r="Q23" s="17">
        <f>J717</f>
        <v>1531.2</v>
      </c>
      <c r="R23" s="868"/>
      <c r="S23" s="1838">
        <f>SUM(Q23:Q26)</f>
        <v>90074.364000000001</v>
      </c>
      <c r="T23" s="1839">
        <v>90000</v>
      </c>
      <c r="U23" s="1845" t="s">
        <v>579</v>
      </c>
      <c r="V23" s="1625"/>
    </row>
    <row r="24" spans="3:22" ht="15" customHeight="1" thickBot="1">
      <c r="C24" s="1872"/>
      <c r="D24" s="1872"/>
      <c r="E24" s="1873"/>
      <c r="F24" s="1873"/>
      <c r="G24" s="1873"/>
      <c r="H24" s="1855" t="s">
        <v>580</v>
      </c>
      <c r="I24" s="1855"/>
      <c r="J24" s="1855"/>
      <c r="K24" s="1846" t="s">
        <v>13</v>
      </c>
      <c r="L24" s="1846"/>
      <c r="M24" s="870"/>
      <c r="N24" s="871"/>
      <c r="O24" s="900">
        <f>Q24/P24</f>
        <v>4.6710719690871034</v>
      </c>
      <c r="P24" s="890">
        <v>18633</v>
      </c>
      <c r="Q24" s="901">
        <f>1.2*72530.07</f>
        <v>87036.084000000003</v>
      </c>
      <c r="R24" s="875"/>
      <c r="S24" s="1838"/>
      <c r="T24" s="1839"/>
      <c r="U24" s="1845"/>
      <c r="V24" s="1625"/>
    </row>
    <row r="25" spans="3:22" ht="15" customHeight="1" thickBot="1">
      <c r="C25" s="1872"/>
      <c r="D25" s="1872"/>
      <c r="E25" s="1873"/>
      <c r="F25" s="1873"/>
      <c r="G25" s="1873"/>
      <c r="H25" s="1855" t="s">
        <v>22</v>
      </c>
      <c r="I25" s="1855"/>
      <c r="J25" s="1855"/>
      <c r="K25" s="1846" t="s">
        <v>15</v>
      </c>
      <c r="L25" s="1846"/>
      <c r="M25" s="870"/>
      <c r="N25" s="871"/>
      <c r="O25" s="902"/>
      <c r="P25" s="893"/>
      <c r="Q25" s="903">
        <v>837.26</v>
      </c>
      <c r="R25" s="875"/>
      <c r="S25" s="1838"/>
      <c r="T25" s="1839"/>
      <c r="U25" s="1845"/>
      <c r="V25" s="1625"/>
    </row>
    <row r="26" spans="3:22" ht="15" customHeight="1" thickBot="1">
      <c r="C26" s="1872"/>
      <c r="D26" s="1872"/>
      <c r="E26" s="1873"/>
      <c r="F26" s="1873"/>
      <c r="G26" s="1873"/>
      <c r="H26" s="1871" t="s">
        <v>581</v>
      </c>
      <c r="I26" s="1871"/>
      <c r="J26" s="1871"/>
      <c r="K26" s="1874" t="s">
        <v>17</v>
      </c>
      <c r="L26" s="1874"/>
      <c r="M26" s="877"/>
      <c r="N26" s="878"/>
      <c r="O26" s="904">
        <f>Q26/P26</f>
        <v>30.446363636363639</v>
      </c>
      <c r="P26" s="905">
        <v>22</v>
      </c>
      <c r="Q26" s="10">
        <v>669.82</v>
      </c>
      <c r="R26" s="882"/>
      <c r="S26" s="1838"/>
      <c r="T26" s="1839"/>
      <c r="U26" s="1845"/>
      <c r="V26" s="1625"/>
    </row>
    <row r="27" spans="3:22" ht="15" customHeight="1" thickBot="1">
      <c r="C27" s="1872" t="s">
        <v>582</v>
      </c>
      <c r="D27" s="1872"/>
      <c r="E27" s="1873" t="s">
        <v>28</v>
      </c>
      <c r="F27" s="1873"/>
      <c r="G27" s="1873"/>
      <c r="H27" s="1836" t="s">
        <v>19</v>
      </c>
      <c r="I27" s="1836"/>
      <c r="J27" s="1836"/>
      <c r="K27" s="1853" t="s">
        <v>10</v>
      </c>
      <c r="L27" s="1853"/>
      <c r="M27" s="863"/>
      <c r="N27" s="906"/>
      <c r="O27" s="907"/>
      <c r="P27" s="908">
        <f>H716</f>
        <v>27</v>
      </c>
      <c r="Q27" s="867">
        <f>J716</f>
        <v>5167.8</v>
      </c>
      <c r="R27" s="868"/>
      <c r="S27" s="1838">
        <f>SUM(Q27:Q32)</f>
        <v>251503.32599999997</v>
      </c>
      <c r="T27" s="1839">
        <v>300000</v>
      </c>
      <c r="U27" s="1845" t="s">
        <v>583</v>
      </c>
      <c r="V27" s="1625"/>
    </row>
    <row r="28" spans="3:22" ht="15" customHeight="1" thickBot="1">
      <c r="C28" s="1872"/>
      <c r="D28" s="1872"/>
      <c r="E28" s="1873"/>
      <c r="F28" s="1873"/>
      <c r="G28" s="1873"/>
      <c r="H28" s="1875" t="s">
        <v>29</v>
      </c>
      <c r="I28" s="1875"/>
      <c r="J28" s="1875"/>
      <c r="K28" s="1869" t="s">
        <v>11</v>
      </c>
      <c r="L28" s="1869"/>
      <c r="M28" s="870"/>
      <c r="N28" s="909"/>
      <c r="O28" s="910"/>
      <c r="P28" s="911">
        <v>696.6</v>
      </c>
      <c r="Q28" s="912">
        <v>7280.87</v>
      </c>
      <c r="R28" s="875"/>
      <c r="S28" s="1838"/>
      <c r="T28" s="1839"/>
      <c r="U28" s="1845"/>
      <c r="V28" s="1625"/>
    </row>
    <row r="29" spans="3:22" ht="15" customHeight="1" thickBot="1">
      <c r="C29" s="1872"/>
      <c r="D29" s="1872"/>
      <c r="E29" s="1873"/>
      <c r="F29" s="1873"/>
      <c r="G29" s="1873"/>
      <c r="H29" s="1875"/>
      <c r="I29" s="1875"/>
      <c r="J29" s="1875"/>
      <c r="K29" s="1869"/>
      <c r="L29" s="1869"/>
      <c r="M29" s="870"/>
      <c r="N29" s="909"/>
      <c r="O29" s="910"/>
      <c r="P29" s="913">
        <v>465.4</v>
      </c>
      <c r="Q29" s="914">
        <v>4864.3599999999997</v>
      </c>
      <c r="R29" s="875"/>
      <c r="S29" s="1838"/>
      <c r="T29" s="1839"/>
      <c r="U29" s="1845"/>
      <c r="V29" s="1625"/>
    </row>
    <row r="30" spans="3:22" ht="15" customHeight="1" thickBot="1">
      <c r="C30" s="1872"/>
      <c r="D30" s="1872"/>
      <c r="E30" s="1873"/>
      <c r="F30" s="1873"/>
      <c r="G30" s="1873"/>
      <c r="H30" s="1855" t="s">
        <v>575</v>
      </c>
      <c r="I30" s="1855"/>
      <c r="J30" s="1855"/>
      <c r="K30" s="1846" t="s">
        <v>13</v>
      </c>
      <c r="L30" s="1846"/>
      <c r="M30" s="870"/>
      <c r="N30" s="915"/>
      <c r="O30" s="916">
        <f>Q30/P30</f>
        <v>4.6710719201023077</v>
      </c>
      <c r="P30" s="917">
        <v>49263</v>
      </c>
      <c r="Q30" s="918">
        <f>1.2*191759.18</f>
        <v>230111.01599999997</v>
      </c>
      <c r="R30" s="875"/>
      <c r="S30" s="1838"/>
      <c r="T30" s="1839"/>
      <c r="U30" s="1845"/>
      <c r="V30" s="1625"/>
    </row>
    <row r="31" spans="3:22" ht="15" customHeight="1" thickBot="1">
      <c r="C31" s="1872"/>
      <c r="D31" s="1872"/>
      <c r="E31" s="1873"/>
      <c r="F31" s="1873"/>
      <c r="G31" s="1873"/>
      <c r="H31" s="1855" t="s">
        <v>22</v>
      </c>
      <c r="I31" s="1855"/>
      <c r="J31" s="1855"/>
      <c r="K31" s="1846" t="s">
        <v>15</v>
      </c>
      <c r="L31" s="1846"/>
      <c r="M31" s="870"/>
      <c r="N31" s="915"/>
      <c r="O31" s="910"/>
      <c r="P31" s="919"/>
      <c r="Q31" s="891">
        <v>2187.2800000000002</v>
      </c>
      <c r="R31" s="875"/>
      <c r="S31" s="1838"/>
      <c r="T31" s="1839"/>
      <c r="U31" s="1845"/>
      <c r="V31" s="1625"/>
    </row>
    <row r="32" spans="3:22" ht="15" customHeight="1" thickBot="1">
      <c r="C32" s="1872"/>
      <c r="D32" s="1872"/>
      <c r="E32" s="1873"/>
      <c r="F32" s="1873"/>
      <c r="G32" s="1873"/>
      <c r="H32" s="1871" t="s">
        <v>30</v>
      </c>
      <c r="I32" s="1871"/>
      <c r="J32" s="1871"/>
      <c r="K32" s="1874" t="s">
        <v>17</v>
      </c>
      <c r="L32" s="1874"/>
      <c r="M32" s="877"/>
      <c r="N32" s="920"/>
      <c r="O32" s="921">
        <f>Q32/P32</f>
        <v>1892</v>
      </c>
      <c r="P32" s="922">
        <v>1</v>
      </c>
      <c r="Q32" s="923">
        <v>1892</v>
      </c>
      <c r="R32" s="882"/>
      <c r="S32" s="1838"/>
      <c r="T32" s="1839"/>
      <c r="U32" s="1845"/>
      <c r="V32" s="1625"/>
    </row>
    <row r="33" spans="3:22" ht="15" customHeight="1" thickBot="1">
      <c r="C33" s="1872" t="s">
        <v>584</v>
      </c>
      <c r="D33" s="1872"/>
      <c r="E33" s="1873" t="s">
        <v>31</v>
      </c>
      <c r="F33" s="1873"/>
      <c r="G33" s="1873"/>
      <c r="H33" s="1896" t="s">
        <v>19</v>
      </c>
      <c r="I33" s="1896"/>
      <c r="J33" s="1896"/>
      <c r="K33" s="1853" t="s">
        <v>10</v>
      </c>
      <c r="L33" s="1853"/>
      <c r="M33" s="863"/>
      <c r="N33" s="864"/>
      <c r="O33" s="865"/>
      <c r="P33" s="866">
        <f>H721</f>
        <v>4</v>
      </c>
      <c r="Q33" s="867">
        <f>J721</f>
        <v>765.6</v>
      </c>
      <c r="R33" s="868"/>
      <c r="S33" s="1854">
        <f>SUM(Q33:Q39)+N36</f>
        <v>182338.55999999997</v>
      </c>
      <c r="T33" s="1839">
        <v>385000</v>
      </c>
      <c r="U33" s="1845" t="s">
        <v>585</v>
      </c>
      <c r="V33" s="1625"/>
    </row>
    <row r="34" spans="3:22" ht="15" customHeight="1" thickBot="1">
      <c r="C34" s="1872"/>
      <c r="D34" s="1872"/>
      <c r="E34" s="1873"/>
      <c r="F34" s="1873"/>
      <c r="G34" s="1873"/>
      <c r="H34" s="1892" t="s">
        <v>32</v>
      </c>
      <c r="I34" s="1892"/>
      <c r="J34" s="1892"/>
      <c r="K34" s="1846" t="s">
        <v>11</v>
      </c>
      <c r="L34" s="1846"/>
      <c r="M34" s="870"/>
      <c r="N34" s="871"/>
      <c r="O34" s="872"/>
      <c r="P34" s="873">
        <v>1</v>
      </c>
      <c r="Q34" s="891">
        <f>17607.25+1534.43</f>
        <v>19141.68</v>
      </c>
      <c r="R34" s="875"/>
      <c r="S34" s="1854"/>
      <c r="T34" s="1839"/>
      <c r="U34" s="1845"/>
      <c r="V34" s="1625"/>
    </row>
    <row r="35" spans="3:22" ht="15" customHeight="1" thickBot="1">
      <c r="C35" s="1872"/>
      <c r="D35" s="1872"/>
      <c r="E35" s="1873"/>
      <c r="F35" s="1873"/>
      <c r="G35" s="1873"/>
      <c r="H35" s="1892"/>
      <c r="I35" s="1892"/>
      <c r="J35" s="1892"/>
      <c r="K35" s="1846" t="s">
        <v>15</v>
      </c>
      <c r="L35" s="1846"/>
      <c r="M35" s="870"/>
      <c r="N35" s="871"/>
      <c r="O35" s="872"/>
      <c r="P35" s="897">
        <v>1</v>
      </c>
      <c r="Q35" s="898">
        <f>1.2*1463.16</f>
        <v>1755.7920000000001</v>
      </c>
      <c r="R35" s="875"/>
      <c r="S35" s="1854"/>
      <c r="T35" s="1839"/>
      <c r="U35" s="1845"/>
      <c r="V35" s="1625"/>
    </row>
    <row r="36" spans="3:22" ht="15" customHeight="1" thickBot="1">
      <c r="C36" s="1872"/>
      <c r="D36" s="1872"/>
      <c r="E36" s="1873"/>
      <c r="F36" s="1873"/>
      <c r="G36" s="1873"/>
      <c r="H36" s="1892"/>
      <c r="I36" s="1892"/>
      <c r="J36" s="1892"/>
      <c r="K36" s="1846" t="s">
        <v>13</v>
      </c>
      <c r="L36" s="1846"/>
      <c r="M36" s="924"/>
      <c r="N36" s="925"/>
      <c r="O36" s="876">
        <f>Q36/P36</f>
        <v>4.5406559099437143</v>
      </c>
      <c r="P36" s="926">
        <v>31980</v>
      </c>
      <c r="Q36" s="927">
        <f>1.2*121008.48</f>
        <v>145210.17599999998</v>
      </c>
      <c r="R36" s="875"/>
      <c r="S36" s="1854"/>
      <c r="T36" s="1839"/>
      <c r="U36" s="1845"/>
      <c r="V36" s="1625"/>
    </row>
    <row r="37" spans="3:22" ht="15" customHeight="1" thickBot="1">
      <c r="C37" s="1872"/>
      <c r="D37" s="1872"/>
      <c r="E37" s="1873"/>
      <c r="F37" s="1873"/>
      <c r="G37" s="1873"/>
      <c r="H37" s="1892"/>
      <c r="I37" s="1892"/>
      <c r="J37" s="1892"/>
      <c r="K37" s="1846" t="s">
        <v>586</v>
      </c>
      <c r="L37" s="1846"/>
      <c r="M37" s="870"/>
      <c r="N37" s="871"/>
      <c r="O37" s="872"/>
      <c r="P37" s="873">
        <v>1</v>
      </c>
      <c r="Q37" s="891">
        <f>1.2*(8573.01+3674.15+40.77+17.47)</f>
        <v>14766.48</v>
      </c>
      <c r="R37" s="875"/>
      <c r="S37" s="1854"/>
      <c r="T37" s="1839"/>
      <c r="U37" s="1845"/>
      <c r="V37" s="1625"/>
    </row>
    <row r="38" spans="3:22" ht="15" customHeight="1" thickBot="1">
      <c r="C38" s="1872"/>
      <c r="D38" s="1872"/>
      <c r="E38" s="1873"/>
      <c r="F38" s="1873"/>
      <c r="G38" s="1873"/>
      <c r="H38" s="1892"/>
      <c r="I38" s="1892"/>
      <c r="J38" s="1892"/>
      <c r="K38" s="1846" t="s">
        <v>33</v>
      </c>
      <c r="L38" s="1846"/>
      <c r="M38" s="870"/>
      <c r="N38" s="871"/>
      <c r="O38" s="872"/>
      <c r="P38" s="893">
        <v>0.41</v>
      </c>
      <c r="Q38" s="928"/>
      <c r="R38" s="875"/>
      <c r="S38" s="1854"/>
      <c r="T38" s="1839"/>
      <c r="U38" s="1845"/>
      <c r="V38" s="1625"/>
    </row>
    <row r="39" spans="3:22" ht="15" customHeight="1" thickBot="1">
      <c r="C39" s="1872"/>
      <c r="D39" s="1872"/>
      <c r="E39" s="1873"/>
      <c r="F39" s="1873"/>
      <c r="G39" s="1873"/>
      <c r="H39" s="1892"/>
      <c r="I39" s="1892"/>
      <c r="J39" s="1892"/>
      <c r="K39" s="1874" t="s">
        <v>17</v>
      </c>
      <c r="L39" s="1874"/>
      <c r="M39" s="877"/>
      <c r="N39" s="878"/>
      <c r="O39" s="896"/>
      <c r="P39" s="897">
        <v>23</v>
      </c>
      <c r="Q39" s="898">
        <f>1.2*(309.81+272.55)</f>
        <v>698.83199999999999</v>
      </c>
      <c r="R39" s="882"/>
      <c r="S39" s="1854"/>
      <c r="T39" s="1839"/>
      <c r="U39" s="1845"/>
      <c r="V39" s="1625"/>
    </row>
    <row r="40" spans="3:22" ht="15" customHeight="1" thickBot="1">
      <c r="C40" s="1883" t="s">
        <v>587</v>
      </c>
      <c r="D40" s="1883"/>
      <c r="E40" s="1903" t="s">
        <v>34</v>
      </c>
      <c r="F40" s="1903"/>
      <c r="G40" s="1903"/>
      <c r="H40" s="1864" t="s">
        <v>25</v>
      </c>
      <c r="I40" s="1864"/>
      <c r="J40" s="1864"/>
      <c r="K40" s="1904" t="s">
        <v>10</v>
      </c>
      <c r="L40" s="1904"/>
      <c r="M40" s="929"/>
      <c r="N40" s="930"/>
      <c r="O40" s="931" t="e">
        <f>Q40/P40</f>
        <v>#DIV/0!</v>
      </c>
      <c r="P40" s="929">
        <f>Q717</f>
        <v>0</v>
      </c>
      <c r="Q40" s="932">
        <f>S717</f>
        <v>0</v>
      </c>
      <c r="R40" s="933"/>
      <c r="S40" s="1905">
        <f>SUM(Q40:Q44)+N40</f>
        <v>0</v>
      </c>
      <c r="T40" s="1906">
        <v>255000</v>
      </c>
      <c r="U40" s="1897" t="s">
        <v>588</v>
      </c>
      <c r="V40" s="1625"/>
    </row>
    <row r="41" spans="3:22" ht="15" customHeight="1" thickBot="1">
      <c r="C41" s="1883"/>
      <c r="D41" s="1883"/>
      <c r="E41" s="1903"/>
      <c r="F41" s="1903"/>
      <c r="G41" s="1903"/>
      <c r="H41" s="1898" t="s">
        <v>36</v>
      </c>
      <c r="I41" s="1898"/>
      <c r="J41" s="1898"/>
      <c r="K41" s="1899" t="s">
        <v>11</v>
      </c>
      <c r="L41" s="1899"/>
      <c r="M41" s="934"/>
      <c r="N41" s="935"/>
      <c r="O41" s="936"/>
      <c r="P41" s="937"/>
      <c r="Q41" s="938"/>
      <c r="R41" s="939"/>
      <c r="S41" s="1905"/>
      <c r="T41" s="1906"/>
      <c r="U41" s="1897"/>
      <c r="V41" s="1625"/>
    </row>
    <row r="42" spans="3:22" ht="15" customHeight="1" thickBot="1">
      <c r="C42" s="1883"/>
      <c r="D42" s="1883"/>
      <c r="E42" s="1903"/>
      <c r="F42" s="1903"/>
      <c r="G42" s="1903"/>
      <c r="H42" s="1898" t="s">
        <v>37</v>
      </c>
      <c r="I42" s="1898"/>
      <c r="J42" s="1898"/>
      <c r="K42" s="1900" t="s">
        <v>13</v>
      </c>
      <c r="L42" s="1900"/>
      <c r="M42" s="934"/>
      <c r="N42" s="935"/>
      <c r="O42" s="940" t="e">
        <f>Q42/P42</f>
        <v>#DIV/0!</v>
      </c>
      <c r="P42" s="938"/>
      <c r="Q42" s="938"/>
      <c r="R42" s="939"/>
      <c r="S42" s="1905"/>
      <c r="T42" s="1906"/>
      <c r="U42" s="1897"/>
      <c r="V42" s="1625"/>
    </row>
    <row r="43" spans="3:22" ht="15" customHeight="1" thickBot="1">
      <c r="C43" s="1883"/>
      <c r="D43" s="1883"/>
      <c r="E43" s="1903"/>
      <c r="F43" s="1903"/>
      <c r="G43" s="1903"/>
      <c r="H43" s="1898" t="s">
        <v>38</v>
      </c>
      <c r="I43" s="1898"/>
      <c r="J43" s="1898"/>
      <c r="K43" s="1900" t="s">
        <v>15</v>
      </c>
      <c r="L43" s="1900"/>
      <c r="M43" s="934"/>
      <c r="N43" s="935"/>
      <c r="O43" s="936"/>
      <c r="P43" s="937"/>
      <c r="Q43" s="938"/>
      <c r="R43" s="939"/>
      <c r="S43" s="1905"/>
      <c r="T43" s="1906"/>
      <c r="U43" s="1897"/>
      <c r="V43" s="1625"/>
    </row>
    <row r="44" spans="3:22" ht="15" customHeight="1" thickBot="1">
      <c r="C44" s="1883"/>
      <c r="D44" s="1883"/>
      <c r="E44" s="1903"/>
      <c r="F44" s="1903"/>
      <c r="G44" s="1903"/>
      <c r="H44" s="1901" t="s">
        <v>39</v>
      </c>
      <c r="I44" s="1901"/>
      <c r="J44" s="1901"/>
      <c r="K44" s="1902" t="s">
        <v>17</v>
      </c>
      <c r="L44" s="1902"/>
      <c r="M44" s="941"/>
      <c r="N44" s="942"/>
      <c r="O44" s="943" t="e">
        <f>Q44/P44</f>
        <v>#DIV/0!</v>
      </c>
      <c r="P44" s="944"/>
      <c r="Q44" s="945"/>
      <c r="R44" s="946"/>
      <c r="S44" s="1905"/>
      <c r="T44" s="1906"/>
      <c r="U44" s="1897"/>
      <c r="V44" s="1625"/>
    </row>
    <row r="45" spans="3:22" ht="15" customHeight="1" thickBot="1">
      <c r="C45" s="1872" t="s">
        <v>589</v>
      </c>
      <c r="D45" s="1872"/>
      <c r="E45" s="1873" t="s">
        <v>40</v>
      </c>
      <c r="F45" s="1873"/>
      <c r="G45" s="1873"/>
      <c r="H45" s="1896" t="s">
        <v>25</v>
      </c>
      <c r="I45" s="1896"/>
      <c r="J45" s="1896"/>
      <c r="K45" s="1853" t="s">
        <v>10</v>
      </c>
      <c r="L45" s="1853"/>
      <c r="M45" s="863"/>
      <c r="N45" s="864"/>
      <c r="O45" s="865"/>
      <c r="P45" s="947">
        <f>Q712</f>
        <v>5</v>
      </c>
      <c r="Q45" s="867">
        <f>S712</f>
        <v>1100</v>
      </c>
      <c r="R45" s="868"/>
      <c r="S45" s="1854">
        <f>SUM(Q45:Q48)</f>
        <v>123283.95</v>
      </c>
      <c r="T45" s="1839">
        <v>120000</v>
      </c>
      <c r="U45" s="1845" t="s">
        <v>574</v>
      </c>
      <c r="V45" s="1625"/>
    </row>
    <row r="46" spans="3:22" ht="15" customHeight="1" thickBot="1">
      <c r="C46" s="1872"/>
      <c r="D46" s="1872"/>
      <c r="E46" s="1873"/>
      <c r="F46" s="1873"/>
      <c r="G46" s="1873"/>
      <c r="H46" s="1892" t="s">
        <v>41</v>
      </c>
      <c r="I46" s="1892"/>
      <c r="J46" s="1892"/>
      <c r="K46" s="1869" t="s">
        <v>13</v>
      </c>
      <c r="L46" s="1869"/>
      <c r="M46" s="870"/>
      <c r="N46" s="871"/>
      <c r="O46" s="876">
        <f>Q46/P46</f>
        <v>5.0921636904761902</v>
      </c>
      <c r="P46" s="890">
        <v>23520</v>
      </c>
      <c r="Q46" s="927">
        <v>119767.69</v>
      </c>
      <c r="R46" s="875"/>
      <c r="S46" s="1854"/>
      <c r="T46" s="1839"/>
      <c r="U46" s="1845"/>
      <c r="V46" s="1625"/>
    </row>
    <row r="47" spans="3:22" ht="15" customHeight="1" thickBot="1">
      <c r="C47" s="1872"/>
      <c r="D47" s="1872"/>
      <c r="E47" s="1873"/>
      <c r="F47" s="1873"/>
      <c r="G47" s="1873"/>
      <c r="H47" s="1892"/>
      <c r="I47" s="1892"/>
      <c r="J47" s="1892"/>
      <c r="K47" s="1846" t="s">
        <v>15</v>
      </c>
      <c r="L47" s="1846"/>
      <c r="M47" s="870"/>
      <c r="N47" s="871"/>
      <c r="O47" s="872"/>
      <c r="P47" s="948">
        <v>1</v>
      </c>
      <c r="Q47" s="949">
        <v>2046.47</v>
      </c>
      <c r="R47" s="875"/>
      <c r="S47" s="1854"/>
      <c r="T47" s="1839"/>
      <c r="U47" s="1845"/>
      <c r="V47" s="1625"/>
    </row>
    <row r="48" spans="3:22" ht="15" customHeight="1" thickBot="1">
      <c r="C48" s="1872"/>
      <c r="D48" s="1872"/>
      <c r="E48" s="1873"/>
      <c r="F48" s="1873"/>
      <c r="G48" s="1873"/>
      <c r="H48" s="1892"/>
      <c r="I48" s="1892"/>
      <c r="J48" s="1892"/>
      <c r="K48" s="1874" t="s">
        <v>17</v>
      </c>
      <c r="L48" s="1874"/>
      <c r="M48" s="877"/>
      <c r="N48" s="878"/>
      <c r="O48" s="896">
        <f>Q48/P48</f>
        <v>15.407916666666667</v>
      </c>
      <c r="P48" s="897">
        <v>24</v>
      </c>
      <c r="Q48" s="949">
        <v>369.79</v>
      </c>
      <c r="R48" s="882"/>
      <c r="S48" s="1854"/>
      <c r="T48" s="1839"/>
      <c r="U48" s="1845"/>
      <c r="V48" s="1625"/>
    </row>
    <row r="49" spans="3:22" ht="15" customHeight="1" thickBot="1">
      <c r="C49" s="1888" t="s">
        <v>590</v>
      </c>
      <c r="D49" s="1888"/>
      <c r="E49" s="1873" t="s">
        <v>42</v>
      </c>
      <c r="F49" s="1873"/>
      <c r="G49" s="1873"/>
      <c r="H49" s="1836" t="s">
        <v>19</v>
      </c>
      <c r="I49" s="1836"/>
      <c r="J49" s="1836"/>
      <c r="K49" s="1853" t="s">
        <v>10</v>
      </c>
      <c r="L49" s="1853"/>
      <c r="M49" s="863"/>
      <c r="N49" s="864"/>
      <c r="O49" s="865"/>
      <c r="P49" s="866">
        <f>H722</f>
        <v>7</v>
      </c>
      <c r="Q49" s="17">
        <f>J722</f>
        <v>1339.8</v>
      </c>
      <c r="R49" s="868"/>
      <c r="S49" s="1838">
        <f>SUM(Q49:Q53)</f>
        <v>72374.373999999996</v>
      </c>
      <c r="T49" s="1839">
        <v>85500</v>
      </c>
      <c r="U49" s="1881" t="s">
        <v>591</v>
      </c>
      <c r="V49" s="1625"/>
    </row>
    <row r="50" spans="3:22" ht="15" customHeight="1" thickBot="1">
      <c r="C50" s="1888"/>
      <c r="D50" s="1888"/>
      <c r="E50" s="1873"/>
      <c r="F50" s="1873"/>
      <c r="G50" s="1873"/>
      <c r="H50" s="1855" t="s">
        <v>43</v>
      </c>
      <c r="I50" s="1855"/>
      <c r="J50" s="1855"/>
      <c r="K50" s="1846" t="s">
        <v>11</v>
      </c>
      <c r="L50" s="1846"/>
      <c r="M50" s="870"/>
      <c r="N50" s="871"/>
      <c r="O50" s="872"/>
      <c r="P50" s="893">
        <v>1</v>
      </c>
      <c r="Q50" s="950">
        <v>6000</v>
      </c>
      <c r="R50" s="875"/>
      <c r="S50" s="1838"/>
      <c r="T50" s="1839"/>
      <c r="U50" s="1881"/>
      <c r="V50" s="1625"/>
    </row>
    <row r="51" spans="3:22" ht="15" customHeight="1" thickBot="1">
      <c r="C51" s="1888"/>
      <c r="D51" s="1888"/>
      <c r="E51" s="1873"/>
      <c r="F51" s="1873"/>
      <c r="G51" s="1873"/>
      <c r="H51" s="1855" t="s">
        <v>37</v>
      </c>
      <c r="I51" s="1855"/>
      <c r="J51" s="1855"/>
      <c r="K51" s="1846" t="s">
        <v>13</v>
      </c>
      <c r="L51" s="1846"/>
      <c r="M51" s="870"/>
      <c r="N51" s="871"/>
      <c r="O51" s="876">
        <f>Q51/P51</f>
        <v>4.671071591159409</v>
      </c>
      <c r="P51" s="951">
        <v>13619</v>
      </c>
      <c r="Q51" s="952">
        <f>1.2*53012.77</f>
        <v>63615.323999999993</v>
      </c>
      <c r="R51" s="875"/>
      <c r="S51" s="1838"/>
      <c r="T51" s="1839"/>
      <c r="U51" s="1881"/>
      <c r="V51" s="1625"/>
    </row>
    <row r="52" spans="3:22" ht="15" customHeight="1" thickBot="1">
      <c r="C52" s="1888"/>
      <c r="D52" s="1888"/>
      <c r="E52" s="1873"/>
      <c r="F52" s="1873"/>
      <c r="G52" s="1873"/>
      <c r="H52" s="1868" t="s">
        <v>37</v>
      </c>
      <c r="I52" s="1868"/>
      <c r="J52" s="1868"/>
      <c r="K52" s="1846" t="s">
        <v>15</v>
      </c>
      <c r="L52" s="1846"/>
      <c r="M52" s="877"/>
      <c r="N52" s="878"/>
      <c r="O52" s="879"/>
      <c r="P52" s="893"/>
      <c r="Q52" s="953">
        <v>601.91999999999996</v>
      </c>
      <c r="R52" s="882"/>
      <c r="S52" s="1838"/>
      <c r="T52" s="1839"/>
      <c r="U52" s="1881"/>
      <c r="V52" s="1625"/>
    </row>
    <row r="53" spans="3:22" ht="29.25" customHeight="1" thickBot="1">
      <c r="C53" s="1888"/>
      <c r="D53" s="1888"/>
      <c r="E53" s="1873"/>
      <c r="F53" s="1873"/>
      <c r="G53" s="1873"/>
      <c r="H53" s="1871" t="s">
        <v>176</v>
      </c>
      <c r="I53" s="1871"/>
      <c r="J53" s="1871"/>
      <c r="K53" s="1874" t="s">
        <v>17</v>
      </c>
      <c r="L53" s="1874"/>
      <c r="M53" s="877"/>
      <c r="N53" s="878"/>
      <c r="O53" s="896">
        <f>Q53/P53</f>
        <v>30.384014869888478</v>
      </c>
      <c r="P53" s="954">
        <v>26.9</v>
      </c>
      <c r="Q53" s="18">
        <v>817.33</v>
      </c>
      <c r="R53" s="882"/>
      <c r="S53" s="1838"/>
      <c r="T53" s="1839"/>
      <c r="U53" s="1881"/>
      <c r="V53" s="1625"/>
    </row>
    <row r="54" spans="3:22" ht="15" customHeight="1" thickBot="1">
      <c r="C54" s="1872" t="s">
        <v>592</v>
      </c>
      <c r="D54" s="1872"/>
      <c r="E54" s="1873" t="s">
        <v>44</v>
      </c>
      <c r="F54" s="1873"/>
      <c r="G54" s="1873"/>
      <c r="H54" s="1896" t="s">
        <v>45</v>
      </c>
      <c r="I54" s="1896"/>
      <c r="J54" s="1896"/>
      <c r="K54" s="1853" t="s">
        <v>10</v>
      </c>
      <c r="L54" s="1853"/>
      <c r="M54" s="955"/>
      <c r="N54" s="864"/>
      <c r="O54" s="865"/>
      <c r="P54" s="956">
        <v>39</v>
      </c>
      <c r="Q54" s="957">
        <v>7295.18</v>
      </c>
      <c r="R54" s="868"/>
      <c r="S54" s="1838">
        <f>SUM(Q54:Q60)+N57+N56+N55+N54</f>
        <v>179433.78599999999</v>
      </c>
      <c r="T54" s="1839">
        <v>270000</v>
      </c>
      <c r="U54" s="1845" t="s">
        <v>593</v>
      </c>
      <c r="V54" s="1625"/>
    </row>
    <row r="55" spans="3:22" ht="15" customHeight="1" thickBot="1">
      <c r="C55" s="1872"/>
      <c r="D55" s="1872"/>
      <c r="E55" s="1873"/>
      <c r="F55" s="1873"/>
      <c r="G55" s="1873"/>
      <c r="H55" s="1896"/>
      <c r="I55" s="1896"/>
      <c r="J55" s="1896"/>
      <c r="K55" s="1846" t="s">
        <v>11</v>
      </c>
      <c r="L55" s="1846"/>
      <c r="M55" s="924"/>
      <c r="N55" s="871"/>
      <c r="O55" s="872"/>
      <c r="P55" s="873">
        <v>1</v>
      </c>
      <c r="Q55" s="958">
        <f>1.2*14416.67</f>
        <v>17300.004000000001</v>
      </c>
      <c r="R55" s="875"/>
      <c r="S55" s="1838"/>
      <c r="T55" s="1839"/>
      <c r="U55" s="1845"/>
      <c r="V55" s="1625"/>
    </row>
    <row r="56" spans="3:22" ht="15" customHeight="1" thickBot="1">
      <c r="C56" s="1872"/>
      <c r="D56" s="1872"/>
      <c r="E56" s="1873"/>
      <c r="F56" s="1873"/>
      <c r="G56" s="1873"/>
      <c r="H56" s="1896"/>
      <c r="I56" s="1896"/>
      <c r="J56" s="1896"/>
      <c r="K56" s="1846" t="s">
        <v>46</v>
      </c>
      <c r="L56" s="1846"/>
      <c r="M56" s="924"/>
      <c r="N56" s="925"/>
      <c r="O56" s="872"/>
      <c r="P56" s="873">
        <v>1</v>
      </c>
      <c r="Q56" s="958">
        <f>1.2*13333.33</f>
        <v>15999.995999999999</v>
      </c>
      <c r="R56" s="875"/>
      <c r="S56" s="1838"/>
      <c r="T56" s="1839"/>
      <c r="U56" s="1845"/>
      <c r="V56" s="1625"/>
    </row>
    <row r="57" spans="3:22" ht="15" customHeight="1" thickBot="1">
      <c r="C57" s="1872"/>
      <c r="D57" s="1872"/>
      <c r="E57" s="1873"/>
      <c r="F57" s="1873"/>
      <c r="G57" s="1873"/>
      <c r="H57" s="1896"/>
      <c r="I57" s="1896"/>
      <c r="J57" s="1896"/>
      <c r="K57" s="1846" t="s">
        <v>47</v>
      </c>
      <c r="L57" s="1846"/>
      <c r="M57" s="924"/>
      <c r="N57" s="925"/>
      <c r="O57" s="872"/>
      <c r="P57" s="873">
        <v>1</v>
      </c>
      <c r="Q57" s="958">
        <f>1.2*10833.33</f>
        <v>12999.995999999999</v>
      </c>
      <c r="R57" s="875"/>
      <c r="S57" s="1838"/>
      <c r="T57" s="1839"/>
      <c r="U57" s="1845"/>
      <c r="V57" s="1625"/>
    </row>
    <row r="58" spans="3:22" ht="15" customHeight="1" thickBot="1">
      <c r="C58" s="1872"/>
      <c r="D58" s="1872"/>
      <c r="E58" s="1873"/>
      <c r="F58" s="1873"/>
      <c r="G58" s="1873"/>
      <c r="H58" s="1892" t="s">
        <v>48</v>
      </c>
      <c r="I58" s="1892"/>
      <c r="J58" s="1892"/>
      <c r="K58" s="1846" t="s">
        <v>13</v>
      </c>
      <c r="L58" s="1846"/>
      <c r="M58" s="870"/>
      <c r="N58" s="871"/>
      <c r="O58" s="876">
        <f>Q58/P58</f>
        <v>5.1249239717490651</v>
      </c>
      <c r="P58" s="890">
        <v>24070</v>
      </c>
      <c r="Q58" s="891">
        <v>123356.92</v>
      </c>
      <c r="R58" s="875"/>
      <c r="S58" s="1838"/>
      <c r="T58" s="1839"/>
      <c r="U58" s="1845"/>
      <c r="V58" s="1625"/>
    </row>
    <row r="59" spans="3:22" ht="15" customHeight="1" thickBot="1">
      <c r="C59" s="1872"/>
      <c r="D59" s="1872"/>
      <c r="E59" s="1873"/>
      <c r="F59" s="1873"/>
      <c r="G59" s="1873"/>
      <c r="H59" s="1892"/>
      <c r="I59" s="1892"/>
      <c r="J59" s="1892"/>
      <c r="K59" s="1846" t="s">
        <v>15</v>
      </c>
      <c r="L59" s="1846"/>
      <c r="M59" s="877"/>
      <c r="N59" s="878"/>
      <c r="O59" s="879"/>
      <c r="P59" s="880">
        <v>1</v>
      </c>
      <c r="Q59" s="898">
        <v>998.71</v>
      </c>
      <c r="R59" s="882"/>
      <c r="S59" s="1838"/>
      <c r="T59" s="1839"/>
      <c r="U59" s="1845"/>
      <c r="V59" s="1625"/>
    </row>
    <row r="60" spans="3:22" ht="15" customHeight="1" thickBot="1">
      <c r="C60" s="1872"/>
      <c r="D60" s="1872"/>
      <c r="E60" s="1873"/>
      <c r="F60" s="1873"/>
      <c r="G60" s="1873"/>
      <c r="H60" s="1892"/>
      <c r="I60" s="1892"/>
      <c r="J60" s="1892"/>
      <c r="K60" s="1874" t="s">
        <v>17</v>
      </c>
      <c r="L60" s="1874"/>
      <c r="M60" s="883"/>
      <c r="N60" s="884"/>
      <c r="O60" s="896">
        <f>Q60/P60</f>
        <v>30.38</v>
      </c>
      <c r="P60" s="880">
        <f>Q60/30.38</f>
        <v>48.814351547070444</v>
      </c>
      <c r="Q60" s="923">
        <v>1482.98</v>
      </c>
      <c r="R60" s="882"/>
      <c r="S60" s="1838"/>
      <c r="T60" s="1839"/>
      <c r="U60" s="1845"/>
      <c r="V60" s="1625"/>
    </row>
    <row r="61" spans="3:22" ht="15" customHeight="1" thickBot="1">
      <c r="C61" s="1872" t="s">
        <v>594</v>
      </c>
      <c r="D61" s="1872"/>
      <c r="E61" s="1873" t="s">
        <v>49</v>
      </c>
      <c r="F61" s="1873"/>
      <c r="G61" s="1873"/>
      <c r="H61" s="1836" t="s">
        <v>25</v>
      </c>
      <c r="I61" s="1836"/>
      <c r="J61" s="1836"/>
      <c r="K61" s="1853" t="s">
        <v>10</v>
      </c>
      <c r="L61" s="1853"/>
      <c r="M61" s="863"/>
      <c r="N61" s="864"/>
      <c r="O61" s="865"/>
      <c r="P61" s="866">
        <f>Y713</f>
        <v>6</v>
      </c>
      <c r="Q61" s="867" t="e">
        <f>AA713</f>
        <v>#REF!</v>
      </c>
      <c r="R61" s="889"/>
      <c r="S61" s="1838" t="e">
        <f>SUM(Q61:Q63)</f>
        <v>#REF!</v>
      </c>
      <c r="T61" s="1839">
        <v>165000</v>
      </c>
      <c r="U61" s="1845" t="s">
        <v>593</v>
      </c>
      <c r="V61" s="1625"/>
    </row>
    <row r="62" spans="3:22" ht="15" customHeight="1" thickBot="1">
      <c r="C62" s="1872"/>
      <c r="D62" s="1872"/>
      <c r="E62" s="1873"/>
      <c r="F62" s="1873"/>
      <c r="G62" s="1873"/>
      <c r="H62" s="1855" t="s">
        <v>50</v>
      </c>
      <c r="I62" s="1855"/>
      <c r="J62" s="1855"/>
      <c r="K62" s="1846" t="s">
        <v>13</v>
      </c>
      <c r="L62" s="1846"/>
      <c r="M62" s="870"/>
      <c r="N62" s="871"/>
      <c r="O62" s="876">
        <f>Q62/P62</f>
        <v>5.1223198777104679</v>
      </c>
      <c r="P62" s="926">
        <v>17663</v>
      </c>
      <c r="Q62" s="927">
        <f>1.2*(59877.57+15518.71)</f>
        <v>90475.535999999993</v>
      </c>
      <c r="R62" s="892"/>
      <c r="S62" s="1838"/>
      <c r="T62" s="1839"/>
      <c r="U62" s="1845"/>
      <c r="V62" s="1625"/>
    </row>
    <row r="63" spans="3:22" ht="15" customHeight="1" thickBot="1">
      <c r="C63" s="1872"/>
      <c r="D63" s="1872"/>
      <c r="E63" s="1873"/>
      <c r="F63" s="1873"/>
      <c r="G63" s="1873"/>
      <c r="H63" s="1871"/>
      <c r="I63" s="1871"/>
      <c r="J63" s="1871"/>
      <c r="K63" s="1874" t="s">
        <v>17</v>
      </c>
      <c r="L63" s="1874"/>
      <c r="M63" s="877"/>
      <c r="N63" s="878"/>
      <c r="O63" s="896">
        <f>Q63/P63</f>
        <v>0.11627906976744186</v>
      </c>
      <c r="P63" s="959">
        <v>43</v>
      </c>
      <c r="Q63" s="960">
        <v>5</v>
      </c>
      <c r="R63" s="961"/>
      <c r="S63" s="1838"/>
      <c r="T63" s="1839"/>
      <c r="U63" s="1845"/>
      <c r="V63" s="1625"/>
    </row>
    <row r="64" spans="3:22" ht="15" customHeight="1" thickBot="1">
      <c r="C64" s="1872" t="s">
        <v>595</v>
      </c>
      <c r="D64" s="1872"/>
      <c r="E64" s="1873" t="s">
        <v>51</v>
      </c>
      <c r="F64" s="1873"/>
      <c r="G64" s="1873"/>
      <c r="H64" s="1836" t="s">
        <v>19</v>
      </c>
      <c r="I64" s="1836"/>
      <c r="J64" s="1836"/>
      <c r="K64" s="1853" t="s">
        <v>10</v>
      </c>
      <c r="L64" s="1853"/>
      <c r="M64" s="863"/>
      <c r="N64" s="864"/>
      <c r="O64" s="865"/>
      <c r="P64" s="866">
        <f>H718</f>
        <v>8</v>
      </c>
      <c r="Q64" s="867">
        <f>J718</f>
        <v>1531.2</v>
      </c>
      <c r="R64" s="889"/>
      <c r="S64" s="1838">
        <f>SUM(Q64:Q68)+N68</f>
        <v>104877.8</v>
      </c>
      <c r="T64" s="1839">
        <v>135000</v>
      </c>
      <c r="U64" s="1845" t="s">
        <v>596</v>
      </c>
      <c r="V64" s="1625"/>
    </row>
    <row r="65" spans="3:22" ht="15" customHeight="1" thickBot="1">
      <c r="C65" s="1872"/>
      <c r="D65" s="1872"/>
      <c r="E65" s="1873"/>
      <c r="F65" s="1873"/>
      <c r="G65" s="1873"/>
      <c r="H65" s="1892" t="s">
        <v>52</v>
      </c>
      <c r="I65" s="1892"/>
      <c r="J65" s="1892"/>
      <c r="K65" s="1846" t="s">
        <v>11</v>
      </c>
      <c r="L65" s="1846"/>
      <c r="M65" s="870"/>
      <c r="N65" s="871"/>
      <c r="O65" s="872">
        <f>Q65/P65</f>
        <v>7.3199968384445144</v>
      </c>
      <c r="P65" s="890">
        <v>632.6</v>
      </c>
      <c r="Q65" s="927">
        <v>4630.63</v>
      </c>
      <c r="R65" s="892"/>
      <c r="S65" s="1838"/>
      <c r="T65" s="1839"/>
      <c r="U65" s="1845"/>
      <c r="V65" s="1625"/>
    </row>
    <row r="66" spans="3:22" ht="15" customHeight="1" thickBot="1">
      <c r="C66" s="1872"/>
      <c r="D66" s="1872"/>
      <c r="E66" s="1873"/>
      <c r="F66" s="1873"/>
      <c r="G66" s="1873"/>
      <c r="H66" s="1892"/>
      <c r="I66" s="1892"/>
      <c r="J66" s="1892"/>
      <c r="K66" s="1846" t="s">
        <v>53</v>
      </c>
      <c r="L66" s="1846"/>
      <c r="M66" s="870"/>
      <c r="N66" s="871"/>
      <c r="O66" s="872"/>
      <c r="P66" s="893">
        <v>1</v>
      </c>
      <c r="Q66" s="928">
        <v>0</v>
      </c>
      <c r="R66" s="892"/>
      <c r="S66" s="1838"/>
      <c r="T66" s="1839"/>
      <c r="U66" s="1845"/>
      <c r="V66" s="1625"/>
    </row>
    <row r="67" spans="3:22" ht="15" customHeight="1" thickBot="1">
      <c r="C67" s="1872"/>
      <c r="D67" s="1872"/>
      <c r="E67" s="1873"/>
      <c r="F67" s="1873"/>
      <c r="G67" s="1873"/>
      <c r="H67" s="1892"/>
      <c r="I67" s="1892"/>
      <c r="J67" s="1892"/>
      <c r="K67" s="1846" t="s">
        <v>13</v>
      </c>
      <c r="L67" s="1846"/>
      <c r="M67" s="870"/>
      <c r="N67" s="871"/>
      <c r="O67" s="876">
        <f>Q67/P67</f>
        <v>4.775460065159443</v>
      </c>
      <c r="P67" s="890">
        <v>20258</v>
      </c>
      <c r="Q67" s="927">
        <v>96741.27</v>
      </c>
      <c r="R67" s="892"/>
      <c r="S67" s="1838"/>
      <c r="T67" s="1839"/>
      <c r="U67" s="1845"/>
      <c r="V67" s="1625"/>
    </row>
    <row r="68" spans="3:22" ht="15" customHeight="1" thickBot="1">
      <c r="C68" s="1872"/>
      <c r="D68" s="1872"/>
      <c r="E68" s="1873"/>
      <c r="F68" s="1873"/>
      <c r="G68" s="1873"/>
      <c r="H68" s="1892"/>
      <c r="I68" s="1892"/>
      <c r="J68" s="1892"/>
      <c r="K68" s="1874" t="s">
        <v>17</v>
      </c>
      <c r="L68" s="1874"/>
      <c r="M68" s="877"/>
      <c r="N68" s="877"/>
      <c r="O68" s="896">
        <f>Q68/P68</f>
        <v>30.38</v>
      </c>
      <c r="P68" s="880">
        <v>65</v>
      </c>
      <c r="Q68" s="881">
        <v>1974.7</v>
      </c>
      <c r="R68" s="961"/>
      <c r="S68" s="1838"/>
      <c r="T68" s="1839"/>
      <c r="U68" s="1845"/>
      <c r="V68" s="1625"/>
    </row>
    <row r="69" spans="3:22" ht="15" customHeight="1" thickBot="1">
      <c r="C69" s="1872" t="s">
        <v>597</v>
      </c>
      <c r="D69" s="1872"/>
      <c r="E69" s="1873" t="s">
        <v>54</v>
      </c>
      <c r="F69" s="1873"/>
      <c r="G69" s="1873"/>
      <c r="H69" s="1836" t="s">
        <v>19</v>
      </c>
      <c r="I69" s="1836"/>
      <c r="J69" s="1836"/>
      <c r="K69" s="1853" t="s">
        <v>10</v>
      </c>
      <c r="L69" s="1853"/>
      <c r="M69" s="863"/>
      <c r="N69" s="864"/>
      <c r="O69" s="865"/>
      <c r="P69" s="866">
        <f>H714</f>
        <v>4</v>
      </c>
      <c r="Q69" s="867">
        <f>J714</f>
        <v>765.6</v>
      </c>
      <c r="R69" s="889"/>
      <c r="S69" s="1838">
        <f>SUM(Q69:Q73)</f>
        <v>149608.14800000002</v>
      </c>
      <c r="T69" s="1839">
        <v>169000</v>
      </c>
      <c r="U69" s="1845" t="s">
        <v>598</v>
      </c>
      <c r="V69" s="1625"/>
    </row>
    <row r="70" spans="3:22" ht="15" customHeight="1" thickBot="1">
      <c r="C70" s="1872"/>
      <c r="D70" s="1872"/>
      <c r="E70" s="1873"/>
      <c r="F70" s="1873"/>
      <c r="G70" s="1873"/>
      <c r="H70" s="1855" t="s">
        <v>575</v>
      </c>
      <c r="I70" s="1855"/>
      <c r="J70" s="1855"/>
      <c r="K70" s="1846" t="s">
        <v>13</v>
      </c>
      <c r="L70" s="1846"/>
      <c r="M70" s="870"/>
      <c r="N70" s="871"/>
      <c r="O70" s="876">
        <f>Q70/P70</f>
        <v>4.6710720185107819</v>
      </c>
      <c r="P70" s="891">
        <v>31117</v>
      </c>
      <c r="Q70" s="962">
        <f>1.2*121124.79</f>
        <v>145349.74799999999</v>
      </c>
      <c r="R70" s="892"/>
      <c r="S70" s="1838"/>
      <c r="T70" s="1839"/>
      <c r="U70" s="1845"/>
      <c r="V70" s="1625"/>
    </row>
    <row r="71" spans="3:22" ht="15" customHeight="1" thickBot="1">
      <c r="C71" s="1872"/>
      <c r="D71" s="1872"/>
      <c r="E71" s="1873"/>
      <c r="F71" s="1873"/>
      <c r="G71" s="1873"/>
      <c r="H71" s="1855" t="s">
        <v>22</v>
      </c>
      <c r="I71" s="1855"/>
      <c r="J71" s="1855"/>
      <c r="K71" s="1846" t="s">
        <v>15</v>
      </c>
      <c r="L71" s="1846"/>
      <c r="M71" s="870"/>
      <c r="N71" s="871"/>
      <c r="O71" s="872"/>
      <c r="P71" s="893"/>
      <c r="Q71" s="891">
        <v>1381.6</v>
      </c>
      <c r="R71" s="892"/>
      <c r="S71" s="1838"/>
      <c r="T71" s="1839"/>
      <c r="U71" s="1845"/>
      <c r="V71" s="1625"/>
    </row>
    <row r="72" spans="3:22" ht="15" customHeight="1" thickBot="1">
      <c r="C72" s="1872"/>
      <c r="D72" s="1872"/>
      <c r="E72" s="1873"/>
      <c r="F72" s="1873"/>
      <c r="G72" s="1873"/>
      <c r="H72" s="1892" t="s">
        <v>177</v>
      </c>
      <c r="I72" s="1892"/>
      <c r="J72" s="1892"/>
      <c r="K72" s="1846" t="s">
        <v>55</v>
      </c>
      <c r="L72" s="1846"/>
      <c r="M72" s="870"/>
      <c r="N72" s="871"/>
      <c r="O72" s="872"/>
      <c r="P72" s="893">
        <v>1</v>
      </c>
      <c r="Q72" s="963">
        <f>500.85</f>
        <v>500.85</v>
      </c>
      <c r="R72" s="892"/>
      <c r="S72" s="1838"/>
      <c r="T72" s="1839"/>
      <c r="U72" s="1845"/>
      <c r="V72" s="1625"/>
    </row>
    <row r="73" spans="3:22" ht="15" customHeight="1" thickBot="1">
      <c r="C73" s="1872"/>
      <c r="D73" s="1872"/>
      <c r="E73" s="1873"/>
      <c r="F73" s="1873"/>
      <c r="G73" s="1873"/>
      <c r="H73" s="1892"/>
      <c r="I73" s="1892"/>
      <c r="J73" s="1892"/>
      <c r="K73" s="1874" t="s">
        <v>17</v>
      </c>
      <c r="L73" s="1874"/>
      <c r="M73" s="877"/>
      <c r="N73" s="878"/>
      <c r="O73" s="896">
        <f>Q73/P73</f>
        <v>30.383962264150941</v>
      </c>
      <c r="P73" s="964">
        <v>53</v>
      </c>
      <c r="Q73" s="965">
        <v>1610.35</v>
      </c>
      <c r="R73" s="961"/>
      <c r="S73" s="1838"/>
      <c r="T73" s="1839"/>
      <c r="U73" s="1845"/>
      <c r="V73" s="1625"/>
    </row>
    <row r="74" spans="3:22" ht="15" customHeight="1" thickBot="1">
      <c r="C74" s="1872" t="s">
        <v>599</v>
      </c>
      <c r="D74" s="1872"/>
      <c r="E74" s="1873" t="s">
        <v>56</v>
      </c>
      <c r="F74" s="1873"/>
      <c r="G74" s="1873"/>
      <c r="H74" s="1836" t="s">
        <v>19</v>
      </c>
      <c r="I74" s="1836"/>
      <c r="J74" s="1836"/>
      <c r="K74" s="1853" t="s">
        <v>10</v>
      </c>
      <c r="L74" s="1853"/>
      <c r="M74" s="863"/>
      <c r="N74" s="864"/>
      <c r="O74" s="865"/>
      <c r="P74" s="866">
        <f>H715</f>
        <v>4</v>
      </c>
      <c r="Q74" s="867">
        <f>J715</f>
        <v>765.6</v>
      </c>
      <c r="R74" s="889"/>
      <c r="S74" s="1838">
        <f>SUM(Q74:Q78)</f>
        <v>70681.212</v>
      </c>
      <c r="T74" s="1839">
        <v>66000</v>
      </c>
      <c r="U74" s="1845" t="s">
        <v>596</v>
      </c>
    </row>
    <row r="75" spans="3:22" ht="15" customHeight="1" thickBot="1">
      <c r="C75" s="1872"/>
      <c r="D75" s="1872"/>
      <c r="E75" s="1873"/>
      <c r="F75" s="1873"/>
      <c r="G75" s="1873"/>
      <c r="H75" s="1892" t="s">
        <v>57</v>
      </c>
      <c r="I75" s="1892"/>
      <c r="J75" s="1892"/>
      <c r="K75" s="1846" t="s">
        <v>11</v>
      </c>
      <c r="L75" s="1846"/>
      <c r="M75" s="870"/>
      <c r="N75" s="871"/>
      <c r="O75" s="872"/>
      <c r="P75" s="890">
        <v>1</v>
      </c>
      <c r="Q75" s="912">
        <f>1.2*3933.33</f>
        <v>4719.9960000000001</v>
      </c>
      <c r="R75" s="892"/>
      <c r="S75" s="1838"/>
      <c r="T75" s="1839"/>
      <c r="U75" s="1845"/>
    </row>
    <row r="76" spans="3:22" ht="15" customHeight="1" thickBot="1">
      <c r="C76" s="1872"/>
      <c r="D76" s="1872"/>
      <c r="E76" s="1873"/>
      <c r="F76" s="1873"/>
      <c r="G76" s="1873"/>
      <c r="H76" s="1892"/>
      <c r="I76" s="1892"/>
      <c r="J76" s="1892"/>
      <c r="K76" s="1846" t="s">
        <v>13</v>
      </c>
      <c r="L76" s="1846"/>
      <c r="M76" s="870"/>
      <c r="N76" s="871"/>
      <c r="O76" s="876">
        <f>Q76/P76</f>
        <v>4.6710719999999997</v>
      </c>
      <c r="P76" s="926">
        <v>13750</v>
      </c>
      <c r="Q76" s="927">
        <v>64227.24</v>
      </c>
      <c r="R76" s="892"/>
      <c r="S76" s="1838"/>
      <c r="T76" s="1839"/>
      <c r="U76" s="1845"/>
    </row>
    <row r="77" spans="3:22" ht="15" customHeight="1" thickBot="1">
      <c r="C77" s="1872"/>
      <c r="D77" s="1872"/>
      <c r="E77" s="1873"/>
      <c r="F77" s="1873"/>
      <c r="G77" s="1873"/>
      <c r="H77" s="1892"/>
      <c r="I77" s="1892"/>
      <c r="J77" s="1892"/>
      <c r="K77" s="1846" t="s">
        <v>55</v>
      </c>
      <c r="L77" s="1846"/>
      <c r="M77" s="870"/>
      <c r="N77" s="871"/>
      <c r="O77" s="872"/>
      <c r="P77" s="966"/>
      <c r="Q77" s="874">
        <f>1.2*(225.75+176.11)</f>
        <v>482.23199999999997</v>
      </c>
      <c r="R77" s="892"/>
      <c r="S77" s="1838"/>
      <c r="T77" s="1839"/>
      <c r="U77" s="1845"/>
    </row>
    <row r="78" spans="3:22" ht="15" customHeight="1" thickBot="1">
      <c r="C78" s="1872"/>
      <c r="D78" s="1872"/>
      <c r="E78" s="1873"/>
      <c r="F78" s="1873"/>
      <c r="G78" s="1873"/>
      <c r="H78" s="1892"/>
      <c r="I78" s="1892"/>
      <c r="J78" s="1892"/>
      <c r="K78" s="1874" t="s">
        <v>17</v>
      </c>
      <c r="L78" s="1874"/>
      <c r="M78" s="877"/>
      <c r="N78" s="878"/>
      <c r="O78" s="896">
        <f>Q78/P78</f>
        <v>38.89152</v>
      </c>
      <c r="P78" s="967">
        <v>12.5</v>
      </c>
      <c r="Q78" s="881">
        <f>1.2*405.12</f>
        <v>486.14400000000001</v>
      </c>
      <c r="R78" s="961"/>
      <c r="S78" s="1838"/>
      <c r="T78" s="1839"/>
      <c r="U78" s="1845"/>
    </row>
    <row r="79" spans="3:22" ht="15" customHeight="1" thickBot="1">
      <c r="C79" s="1872" t="s">
        <v>600</v>
      </c>
      <c r="D79" s="1872"/>
      <c r="E79" s="1873" t="s">
        <v>58</v>
      </c>
      <c r="F79" s="1873"/>
      <c r="G79" s="1873"/>
      <c r="H79" s="1836" t="s">
        <v>25</v>
      </c>
      <c r="I79" s="1836"/>
      <c r="J79" s="1836"/>
      <c r="K79" s="1853" t="s">
        <v>10</v>
      </c>
      <c r="L79" s="1853"/>
      <c r="M79" s="863"/>
      <c r="N79" s="864"/>
      <c r="O79" s="865"/>
      <c r="P79" s="866">
        <f>Q716</f>
        <v>17</v>
      </c>
      <c r="Q79" s="867">
        <f>S716</f>
        <v>3740</v>
      </c>
      <c r="R79" s="889"/>
      <c r="S79" s="1838">
        <f>SUM(Q79:Q83)</f>
        <v>147922.59</v>
      </c>
      <c r="T79" s="1839">
        <v>144000</v>
      </c>
      <c r="U79" s="1845" t="s">
        <v>574</v>
      </c>
    </row>
    <row r="80" spans="3:22" ht="15" customHeight="1" thickBot="1">
      <c r="C80" s="1872"/>
      <c r="D80" s="1872"/>
      <c r="E80" s="1873"/>
      <c r="F80" s="1873"/>
      <c r="G80" s="1873"/>
      <c r="H80" s="1830" t="s">
        <v>171</v>
      </c>
      <c r="I80" s="1830"/>
      <c r="J80" s="1830"/>
      <c r="K80" s="1846" t="s">
        <v>13</v>
      </c>
      <c r="L80" s="1846"/>
      <c r="M80" s="870"/>
      <c r="N80" s="871"/>
      <c r="O80" s="876">
        <f>Q80/P80</f>
        <v>5.232499927054155</v>
      </c>
      <c r="P80" s="926">
        <v>27417.599999999999</v>
      </c>
      <c r="Q80" s="927">
        <v>143462.59</v>
      </c>
      <c r="R80" s="892"/>
      <c r="S80" s="1854"/>
      <c r="T80" s="1839"/>
      <c r="U80" s="1845"/>
    </row>
    <row r="81" spans="3:21" ht="15" customHeight="1" thickBot="1">
      <c r="C81" s="1872"/>
      <c r="D81" s="1872"/>
      <c r="E81" s="1873"/>
      <c r="F81" s="1873"/>
      <c r="G81" s="1873"/>
      <c r="H81" s="1830"/>
      <c r="I81" s="1830"/>
      <c r="J81" s="1830"/>
      <c r="K81" s="1846" t="s">
        <v>59</v>
      </c>
      <c r="L81" s="1846"/>
      <c r="M81" s="870"/>
      <c r="N81" s="871"/>
      <c r="O81" s="872"/>
      <c r="P81" s="893">
        <v>1</v>
      </c>
      <c r="Q81" s="928">
        <v>0</v>
      </c>
      <c r="R81" s="892"/>
      <c r="S81" s="1854"/>
      <c r="T81" s="1839"/>
      <c r="U81" s="1845"/>
    </row>
    <row r="82" spans="3:21" ht="15" customHeight="1" thickBot="1">
      <c r="C82" s="1872"/>
      <c r="D82" s="1872"/>
      <c r="E82" s="1873"/>
      <c r="F82" s="1873"/>
      <c r="G82" s="1873"/>
      <c r="H82" s="1830"/>
      <c r="I82" s="1830"/>
      <c r="J82" s="1830"/>
      <c r="K82" s="1846" t="s">
        <v>33</v>
      </c>
      <c r="L82" s="1846"/>
      <c r="M82" s="870"/>
      <c r="N82" s="871"/>
      <c r="O82" s="872"/>
      <c r="P82" s="893"/>
      <c r="Q82" s="928"/>
      <c r="R82" s="892"/>
      <c r="S82" s="1854"/>
      <c r="T82" s="1839"/>
      <c r="U82" s="1845"/>
    </row>
    <row r="83" spans="3:21" ht="15" customHeight="1" thickBot="1">
      <c r="C83" s="1872"/>
      <c r="D83" s="1872"/>
      <c r="E83" s="1873"/>
      <c r="F83" s="1873"/>
      <c r="G83" s="1873"/>
      <c r="H83" s="1830"/>
      <c r="I83" s="1830"/>
      <c r="J83" s="1830"/>
      <c r="K83" s="1874" t="s">
        <v>17</v>
      </c>
      <c r="L83" s="1874"/>
      <c r="M83" s="877"/>
      <c r="N83" s="878"/>
      <c r="O83" s="896">
        <f>Q83/P83</f>
        <v>40</v>
      </c>
      <c r="P83" s="968">
        <v>18</v>
      </c>
      <c r="Q83" s="898">
        <v>720</v>
      </c>
      <c r="R83" s="961"/>
      <c r="S83" s="1854"/>
      <c r="T83" s="1839"/>
      <c r="U83" s="1845"/>
    </row>
    <row r="84" spans="3:21" ht="15" customHeight="1" thickBot="1">
      <c r="C84" s="1872" t="s">
        <v>601</v>
      </c>
      <c r="D84" s="1872"/>
      <c r="E84" s="1873" t="s">
        <v>60</v>
      </c>
      <c r="F84" s="1873"/>
      <c r="G84" s="1873"/>
      <c r="H84" s="1836" t="s">
        <v>19</v>
      </c>
      <c r="I84" s="1836"/>
      <c r="J84" s="1836"/>
      <c r="K84" s="1853" t="s">
        <v>10</v>
      </c>
      <c r="L84" s="1853"/>
      <c r="M84" s="863"/>
      <c r="N84" s="864"/>
      <c r="O84" s="865"/>
      <c r="P84" s="866">
        <f>H713</f>
        <v>3</v>
      </c>
      <c r="Q84" s="867">
        <f>J713</f>
        <v>574.20000000000005</v>
      </c>
      <c r="R84" s="889"/>
      <c r="S84" s="1895">
        <f>SUM(Q84:Q87)</f>
        <v>103184</v>
      </c>
      <c r="T84" s="1839">
        <v>120000</v>
      </c>
      <c r="U84" s="1845" t="s">
        <v>574</v>
      </c>
    </row>
    <row r="85" spans="3:21" ht="15" customHeight="1" thickBot="1">
      <c r="C85" s="1872"/>
      <c r="D85" s="1872"/>
      <c r="E85" s="1873"/>
      <c r="F85" s="1873"/>
      <c r="G85" s="1873"/>
      <c r="H85" s="1892" t="s">
        <v>61</v>
      </c>
      <c r="I85" s="1892"/>
      <c r="J85" s="1892"/>
      <c r="K85" s="1846" t="s">
        <v>13</v>
      </c>
      <c r="L85" s="1846"/>
      <c r="M85" s="870"/>
      <c r="N85" s="871"/>
      <c r="O85" s="876">
        <f>Q85/P85</f>
        <v>4.97</v>
      </c>
      <c r="P85" s="890">
        <v>20100</v>
      </c>
      <c r="Q85" s="891">
        <v>99897</v>
      </c>
      <c r="R85" s="892"/>
      <c r="S85" s="1895"/>
      <c r="T85" s="1839"/>
      <c r="U85" s="1845"/>
    </row>
    <row r="86" spans="3:21" ht="15" customHeight="1" thickBot="1">
      <c r="C86" s="1872"/>
      <c r="D86" s="1872"/>
      <c r="E86" s="1873"/>
      <c r="F86" s="1873"/>
      <c r="G86" s="1873"/>
      <c r="H86" s="1892"/>
      <c r="I86" s="1892"/>
      <c r="J86" s="1892"/>
      <c r="K86" s="1846" t="s">
        <v>15</v>
      </c>
      <c r="L86" s="1846"/>
      <c r="M86" s="870"/>
      <c r="N86" s="871"/>
      <c r="O86" s="872"/>
      <c r="P86" s="926">
        <v>9750</v>
      </c>
      <c r="Q86" s="891">
        <v>1360</v>
      </c>
      <c r="R86" s="892"/>
      <c r="S86" s="1895"/>
      <c r="T86" s="1839"/>
      <c r="U86" s="1845"/>
    </row>
    <row r="87" spans="3:21" ht="15" customHeight="1" thickBot="1">
      <c r="C87" s="1872"/>
      <c r="D87" s="1872"/>
      <c r="E87" s="1873"/>
      <c r="F87" s="1873"/>
      <c r="G87" s="1873"/>
      <c r="H87" s="1892"/>
      <c r="I87" s="1892"/>
      <c r="J87" s="1892"/>
      <c r="K87" s="1874" t="s">
        <v>17</v>
      </c>
      <c r="L87" s="1874"/>
      <c r="M87" s="877"/>
      <c r="N87" s="878"/>
      <c r="O87" s="896">
        <f>Q87/P87</f>
        <v>32.209523809523809</v>
      </c>
      <c r="P87" s="897">
        <v>42</v>
      </c>
      <c r="Q87" s="898">
        <v>1352.8</v>
      </c>
      <c r="R87" s="961"/>
      <c r="S87" s="1895"/>
      <c r="T87" s="1839"/>
      <c r="U87" s="1845"/>
    </row>
    <row r="88" spans="3:21" ht="15" customHeight="1" thickBot="1">
      <c r="C88" s="1893" t="s">
        <v>602</v>
      </c>
      <c r="D88" s="1893"/>
      <c r="E88" s="1894" t="s">
        <v>62</v>
      </c>
      <c r="F88" s="1894"/>
      <c r="G88" s="1894"/>
      <c r="H88" s="1864" t="s">
        <v>19</v>
      </c>
      <c r="I88" s="1864"/>
      <c r="J88" s="1864"/>
      <c r="K88" s="1865" t="s">
        <v>10</v>
      </c>
      <c r="L88" s="1865"/>
      <c r="M88" s="947"/>
      <c r="N88" s="969"/>
      <c r="O88" s="970"/>
      <c r="P88" s="866">
        <f>H723</f>
        <v>0</v>
      </c>
      <c r="Q88" s="867">
        <f>J723</f>
        <v>0</v>
      </c>
      <c r="R88" s="889"/>
      <c r="S88" s="1838">
        <f>SUM(Q88:Q92)+N90</f>
        <v>7717</v>
      </c>
      <c r="T88" s="1839">
        <v>230000</v>
      </c>
      <c r="U88" s="1845"/>
    </row>
    <row r="89" spans="3:21" ht="15" customHeight="1" thickBot="1">
      <c r="C89" s="1893"/>
      <c r="D89" s="1893"/>
      <c r="E89" s="1894"/>
      <c r="F89" s="1894"/>
      <c r="G89" s="1894"/>
      <c r="H89" s="1858" t="s">
        <v>63</v>
      </c>
      <c r="I89" s="1858"/>
      <c r="J89" s="1858"/>
      <c r="K89" s="1859" t="s">
        <v>11</v>
      </c>
      <c r="L89" s="1859"/>
      <c r="M89" s="966"/>
      <c r="N89" s="971"/>
      <c r="O89" s="972"/>
      <c r="P89" s="893">
        <v>0</v>
      </c>
      <c r="Q89" s="928">
        <v>7717</v>
      </c>
      <c r="R89" s="892"/>
      <c r="S89" s="1838"/>
      <c r="T89" s="1839"/>
      <c r="U89" s="1845"/>
    </row>
    <row r="90" spans="3:21" ht="15" customHeight="1" thickBot="1">
      <c r="C90" s="1893"/>
      <c r="D90" s="1893"/>
      <c r="E90" s="1894"/>
      <c r="F90" s="1894"/>
      <c r="G90" s="1894"/>
      <c r="H90" s="1891" t="s">
        <v>64</v>
      </c>
      <c r="I90" s="1891"/>
      <c r="J90" s="1891"/>
      <c r="K90" s="1859" t="s">
        <v>13</v>
      </c>
      <c r="L90" s="1859"/>
      <c r="M90" s="893"/>
      <c r="N90" s="950"/>
      <c r="O90" s="973"/>
      <c r="P90" s="974">
        <v>0</v>
      </c>
      <c r="Q90" s="918">
        <v>0</v>
      </c>
      <c r="R90" s="892"/>
      <c r="S90" s="1838"/>
      <c r="T90" s="1839"/>
      <c r="U90" s="1845"/>
    </row>
    <row r="91" spans="3:21" ht="15" customHeight="1" thickBot="1">
      <c r="C91" s="1893"/>
      <c r="D91" s="1893"/>
      <c r="E91" s="1894"/>
      <c r="F91" s="1894"/>
      <c r="G91" s="1894"/>
      <c r="H91" s="1891"/>
      <c r="I91" s="1891"/>
      <c r="J91" s="1891"/>
      <c r="K91" s="1859" t="s">
        <v>15</v>
      </c>
      <c r="L91" s="1859"/>
      <c r="M91" s="975"/>
      <c r="N91" s="976"/>
      <c r="O91" s="977"/>
      <c r="P91" s="975">
        <v>0</v>
      </c>
      <c r="Q91" s="978">
        <v>0</v>
      </c>
      <c r="R91" s="961"/>
      <c r="S91" s="1838"/>
      <c r="T91" s="1839"/>
      <c r="U91" s="1845"/>
    </row>
    <row r="92" spans="3:21" ht="15" customHeight="1" thickBot="1">
      <c r="C92" s="1893"/>
      <c r="D92" s="1893"/>
      <c r="E92" s="1894"/>
      <c r="F92" s="1894"/>
      <c r="G92" s="1894"/>
      <c r="H92" s="1860" t="s">
        <v>39</v>
      </c>
      <c r="I92" s="1860"/>
      <c r="J92" s="1860"/>
      <c r="K92" s="1861" t="s">
        <v>17</v>
      </c>
      <c r="L92" s="1861"/>
      <c r="M92" s="959"/>
      <c r="N92" s="979"/>
      <c r="O92" s="977"/>
      <c r="P92" s="975">
        <v>0</v>
      </c>
      <c r="Q92" s="978">
        <v>0</v>
      </c>
      <c r="R92" s="961"/>
      <c r="S92" s="1838"/>
      <c r="T92" s="1839"/>
      <c r="U92" s="1845"/>
    </row>
    <row r="93" spans="3:21" ht="15" customHeight="1" thickBot="1">
      <c r="C93" s="1888" t="s">
        <v>603</v>
      </c>
      <c r="D93" s="1888"/>
      <c r="E93" s="1873" t="s">
        <v>65</v>
      </c>
      <c r="F93" s="1873"/>
      <c r="G93" s="1873"/>
      <c r="H93" s="1836" t="s">
        <v>19</v>
      </c>
      <c r="I93" s="1836"/>
      <c r="J93" s="1836"/>
      <c r="K93" s="1853" t="s">
        <v>10</v>
      </c>
      <c r="L93" s="1853"/>
      <c r="M93" s="863"/>
      <c r="N93" s="864"/>
      <c r="O93" s="865"/>
      <c r="P93" s="866">
        <f>H712</f>
        <v>8</v>
      </c>
      <c r="Q93" s="867">
        <f>J712</f>
        <v>1531.2</v>
      </c>
      <c r="R93" s="889"/>
      <c r="S93" s="1838">
        <f>SUM(Q93:Q96)</f>
        <v>60679.040000000001</v>
      </c>
      <c r="T93" s="1839">
        <v>80000</v>
      </c>
      <c r="U93" s="1881" t="s">
        <v>604</v>
      </c>
    </row>
    <row r="94" spans="3:21" ht="15" customHeight="1" thickBot="1">
      <c r="C94" s="1888"/>
      <c r="D94" s="1888"/>
      <c r="E94" s="1873"/>
      <c r="F94" s="1873"/>
      <c r="G94" s="1873"/>
      <c r="H94" s="1855" t="s">
        <v>605</v>
      </c>
      <c r="I94" s="1855"/>
      <c r="J94" s="1855"/>
      <c r="K94" s="1846" t="s">
        <v>13</v>
      </c>
      <c r="L94" s="1846"/>
      <c r="M94" s="870"/>
      <c r="N94" s="871"/>
      <c r="O94" s="876">
        <f>Q94/P94</f>
        <v>4.6784785435630694</v>
      </c>
      <c r="P94" s="980">
        <v>12304</v>
      </c>
      <c r="Q94" s="980">
        <v>57564</v>
      </c>
      <c r="R94" s="892"/>
      <c r="S94" s="1838"/>
      <c r="T94" s="1839"/>
      <c r="U94" s="1881"/>
    </row>
    <row r="95" spans="3:21" ht="15" customHeight="1" thickBot="1">
      <c r="C95" s="1888"/>
      <c r="D95" s="1888"/>
      <c r="E95" s="1873"/>
      <c r="F95" s="1873"/>
      <c r="G95" s="1873"/>
      <c r="H95" s="1855" t="s">
        <v>22</v>
      </c>
      <c r="I95" s="1855"/>
      <c r="J95" s="1855"/>
      <c r="K95" s="1846" t="s">
        <v>15</v>
      </c>
      <c r="L95" s="1846"/>
      <c r="M95" s="870"/>
      <c r="N95" s="871"/>
      <c r="O95" s="872"/>
      <c r="P95" s="893"/>
      <c r="Q95" s="891">
        <v>546.29999999999995</v>
      </c>
      <c r="R95" s="892"/>
      <c r="S95" s="1838"/>
      <c r="T95" s="1839"/>
      <c r="U95" s="1881"/>
    </row>
    <row r="96" spans="3:21" ht="15" customHeight="1" thickBot="1">
      <c r="C96" s="1888"/>
      <c r="D96" s="1888"/>
      <c r="E96" s="1873"/>
      <c r="F96" s="1873"/>
      <c r="G96" s="1873"/>
      <c r="H96" s="1871" t="s">
        <v>66</v>
      </c>
      <c r="I96" s="1871"/>
      <c r="J96" s="1871"/>
      <c r="K96" s="1874" t="s">
        <v>17</v>
      </c>
      <c r="L96" s="1874"/>
      <c r="M96" s="877"/>
      <c r="N96" s="878"/>
      <c r="O96" s="896">
        <f>Q96/P96</f>
        <v>30.515882352941176</v>
      </c>
      <c r="P96" s="975">
        <v>34</v>
      </c>
      <c r="Q96" s="960">
        <v>1037.54</v>
      </c>
      <c r="R96" s="961"/>
      <c r="S96" s="1838"/>
      <c r="T96" s="1839"/>
      <c r="U96" s="1881"/>
    </row>
    <row r="97" spans="3:21" ht="15" customHeight="1" thickBot="1">
      <c r="C97" s="1889" t="s">
        <v>606</v>
      </c>
      <c r="D97" s="1889"/>
      <c r="E97" s="1890" t="s">
        <v>67</v>
      </c>
      <c r="F97" s="1890"/>
      <c r="G97" s="1890"/>
      <c r="H97" s="1836" t="s">
        <v>25</v>
      </c>
      <c r="I97" s="1836"/>
      <c r="J97" s="1836"/>
      <c r="K97" s="1853" t="s">
        <v>10</v>
      </c>
      <c r="L97" s="1853"/>
      <c r="M97" s="863"/>
      <c r="N97" s="864"/>
      <c r="O97" s="865"/>
      <c r="P97" s="947">
        <f>Q715</f>
        <v>15</v>
      </c>
      <c r="Q97" s="867">
        <f>S715</f>
        <v>3300</v>
      </c>
      <c r="R97" s="889"/>
      <c r="S97" s="1838">
        <f>Q97+Q98+Q100+Q101+R99</f>
        <v>103892.516</v>
      </c>
      <c r="T97" s="1839">
        <v>163000</v>
      </c>
      <c r="U97" s="1845" t="s">
        <v>607</v>
      </c>
    </row>
    <row r="98" spans="3:21" ht="15" customHeight="1" thickBot="1">
      <c r="C98" s="1889"/>
      <c r="D98" s="1889"/>
      <c r="E98" s="1890"/>
      <c r="F98" s="1890"/>
      <c r="G98" s="1890"/>
      <c r="H98" s="1855" t="s">
        <v>68</v>
      </c>
      <c r="I98" s="1855"/>
      <c r="J98" s="1855"/>
      <c r="K98" s="1846" t="s">
        <v>11</v>
      </c>
      <c r="L98" s="1846"/>
      <c r="M98" s="870"/>
      <c r="N98" s="871"/>
      <c r="O98" s="972">
        <f>Q98/P98</f>
        <v>7.5300091074681248</v>
      </c>
      <c r="P98" s="893">
        <v>658.8</v>
      </c>
      <c r="Q98" s="963">
        <v>4960.7700000000004</v>
      </c>
      <c r="R98" s="892"/>
      <c r="S98" s="1838"/>
      <c r="T98" s="1839"/>
      <c r="U98" s="1845"/>
    </row>
    <row r="99" spans="3:21" ht="15" customHeight="1" thickBot="1">
      <c r="C99" s="1889"/>
      <c r="D99" s="1889"/>
      <c r="E99" s="1890"/>
      <c r="F99" s="1890"/>
      <c r="G99" s="1890"/>
      <c r="H99" s="1855" t="s">
        <v>69</v>
      </c>
      <c r="I99" s="1855"/>
      <c r="J99" s="1855"/>
      <c r="K99" s="1846" t="s">
        <v>13</v>
      </c>
      <c r="L99" s="1846"/>
      <c r="M99" s="924"/>
      <c r="N99" s="981"/>
      <c r="O99" s="876">
        <f>Q99/P99</f>
        <v>4.3826402765026735</v>
      </c>
      <c r="P99" s="873">
        <v>18517</v>
      </c>
      <c r="Q99" s="958">
        <v>81153.350000000006</v>
      </c>
      <c r="R99" s="982">
        <v>92324.21</v>
      </c>
      <c r="S99" s="1838"/>
      <c r="T99" s="1839"/>
      <c r="U99" s="1845"/>
    </row>
    <row r="100" spans="3:21" ht="15" customHeight="1" thickBot="1">
      <c r="C100" s="1889"/>
      <c r="D100" s="1889"/>
      <c r="E100" s="1890"/>
      <c r="F100" s="1890"/>
      <c r="G100" s="1890"/>
      <c r="H100" s="1855" t="s">
        <v>38</v>
      </c>
      <c r="I100" s="1855"/>
      <c r="J100" s="1855"/>
      <c r="K100" s="1846" t="s">
        <v>15</v>
      </c>
      <c r="L100" s="1846"/>
      <c r="M100" s="870"/>
      <c r="N100" s="871"/>
      <c r="O100" s="872"/>
      <c r="P100" s="893">
        <v>1</v>
      </c>
      <c r="Q100" s="928">
        <v>0</v>
      </c>
      <c r="R100" s="892"/>
      <c r="S100" s="1838"/>
      <c r="T100" s="1839"/>
      <c r="U100" s="1845"/>
    </row>
    <row r="101" spans="3:21" ht="15" customHeight="1" thickBot="1">
      <c r="C101" s="1889"/>
      <c r="D101" s="1889"/>
      <c r="E101" s="1890"/>
      <c r="F101" s="1890"/>
      <c r="G101" s="1890"/>
      <c r="H101" s="1871" t="s">
        <v>39</v>
      </c>
      <c r="I101" s="1871"/>
      <c r="J101" s="1871"/>
      <c r="K101" s="1874" t="s">
        <v>17</v>
      </c>
      <c r="L101" s="1874"/>
      <c r="M101" s="877"/>
      <c r="N101" s="878"/>
      <c r="O101" s="896">
        <f>Q101/P101</f>
        <v>32.111999999999995</v>
      </c>
      <c r="P101" s="975">
        <f>J665</f>
        <v>103</v>
      </c>
      <c r="Q101" s="978">
        <f>L665</f>
        <v>3307.5359999999996</v>
      </c>
      <c r="R101" s="961"/>
      <c r="S101" s="1838"/>
      <c r="T101" s="1839"/>
      <c r="U101" s="1845"/>
    </row>
    <row r="102" spans="3:21" ht="15" customHeight="1" thickBot="1">
      <c r="C102" s="1888" t="s">
        <v>608</v>
      </c>
      <c r="D102" s="1888"/>
      <c r="E102" s="1873" t="s">
        <v>70</v>
      </c>
      <c r="F102" s="1873"/>
      <c r="G102" s="1873"/>
      <c r="H102" s="1836" t="s">
        <v>25</v>
      </c>
      <c r="I102" s="1836"/>
      <c r="J102" s="1836"/>
      <c r="K102" s="1853" t="s">
        <v>10</v>
      </c>
      <c r="L102" s="1853"/>
      <c r="M102" s="863"/>
      <c r="N102" s="864"/>
      <c r="O102" s="907"/>
      <c r="P102" s="908">
        <f>Q714</f>
        <v>4</v>
      </c>
      <c r="Q102" s="867">
        <f>S714</f>
        <v>880</v>
      </c>
      <c r="R102" s="889"/>
      <c r="S102" s="1854">
        <f>SUM(Q102:Q105)</f>
        <v>51863.131999999998</v>
      </c>
      <c r="T102" s="1839">
        <v>53000</v>
      </c>
      <c r="U102" s="1881" t="s">
        <v>609</v>
      </c>
    </row>
    <row r="103" spans="3:21" ht="15" customHeight="1" thickBot="1">
      <c r="C103" s="1888"/>
      <c r="D103" s="1888"/>
      <c r="E103" s="1873"/>
      <c r="F103" s="1873"/>
      <c r="G103" s="1873"/>
      <c r="H103" s="1855" t="s">
        <v>605</v>
      </c>
      <c r="I103" s="1855"/>
      <c r="J103" s="1855"/>
      <c r="K103" s="1846" t="s">
        <v>13</v>
      </c>
      <c r="L103" s="1846"/>
      <c r="M103" s="870"/>
      <c r="N103" s="871"/>
      <c r="O103" s="916">
        <f>Q103/P103</f>
        <v>4.6710723499719569</v>
      </c>
      <c r="P103" s="983">
        <v>10698</v>
      </c>
      <c r="Q103" s="912">
        <f>1.2*41642.61</f>
        <v>49971.131999999998</v>
      </c>
      <c r="R103" s="892"/>
      <c r="S103" s="1854"/>
      <c r="T103" s="1839"/>
      <c r="U103" s="1881"/>
    </row>
    <row r="104" spans="3:21" ht="15" customHeight="1" thickBot="1">
      <c r="C104" s="1888"/>
      <c r="D104" s="1888"/>
      <c r="E104" s="1873"/>
      <c r="F104" s="1873"/>
      <c r="G104" s="1873"/>
      <c r="H104" s="1855" t="s">
        <v>605</v>
      </c>
      <c r="I104" s="1855"/>
      <c r="J104" s="1855"/>
      <c r="K104" s="1887" t="s">
        <v>15</v>
      </c>
      <c r="L104" s="1887"/>
      <c r="M104" s="877"/>
      <c r="N104" s="878"/>
      <c r="O104" s="984"/>
      <c r="P104" s="985"/>
      <c r="Q104" s="898">
        <v>475</v>
      </c>
      <c r="R104" s="961"/>
      <c r="S104" s="1854"/>
      <c r="T104" s="1839"/>
      <c r="U104" s="1881"/>
    </row>
    <row r="105" spans="3:21" ht="26.25" customHeight="1" thickBot="1">
      <c r="C105" s="1888"/>
      <c r="D105" s="1888"/>
      <c r="E105" s="1873"/>
      <c r="F105" s="1873"/>
      <c r="G105" s="1873"/>
      <c r="H105" s="1871" t="s">
        <v>71</v>
      </c>
      <c r="I105" s="1871"/>
      <c r="J105" s="1871"/>
      <c r="K105" s="1874" t="s">
        <v>17</v>
      </c>
      <c r="L105" s="1874"/>
      <c r="M105" s="877"/>
      <c r="N105" s="878"/>
      <c r="O105" s="921">
        <f>Q105/P105</f>
        <v>23.347826086956523</v>
      </c>
      <c r="P105" s="922">
        <v>23</v>
      </c>
      <c r="Q105" s="978">
        <v>537</v>
      </c>
      <c r="R105" s="961"/>
      <c r="S105" s="1854"/>
      <c r="T105" s="1839"/>
      <c r="U105" s="1881"/>
    </row>
    <row r="106" spans="3:21" ht="15" customHeight="1" thickBot="1">
      <c r="C106" s="1872" t="s">
        <v>610</v>
      </c>
      <c r="D106" s="1872"/>
      <c r="E106" s="1873" t="s">
        <v>72</v>
      </c>
      <c r="F106" s="1873"/>
      <c r="G106" s="1873"/>
      <c r="H106" s="1836" t="s">
        <v>25</v>
      </c>
      <c r="I106" s="1836"/>
      <c r="J106" s="1836"/>
      <c r="K106" s="1853" t="s">
        <v>10</v>
      </c>
      <c r="L106" s="1853"/>
      <c r="M106" s="863"/>
      <c r="N106" s="986"/>
      <c r="O106" s="987"/>
      <c r="P106" s="947">
        <f>Q713</f>
        <v>30</v>
      </c>
      <c r="Q106" s="17">
        <f>S713</f>
        <v>6600</v>
      </c>
      <c r="R106" s="988"/>
      <c r="S106" s="1854">
        <f>SUM(Q106:Q109)+N112</f>
        <v>416111.08</v>
      </c>
      <c r="T106" s="1839">
        <v>500000</v>
      </c>
      <c r="U106" s="1845" t="s">
        <v>611</v>
      </c>
    </row>
    <row r="107" spans="3:21" ht="15" customHeight="1" thickBot="1">
      <c r="C107" s="1872"/>
      <c r="D107" s="1872"/>
      <c r="E107" s="1873"/>
      <c r="F107" s="1873"/>
      <c r="G107" s="1873"/>
      <c r="H107" s="1886" t="s">
        <v>73</v>
      </c>
      <c r="I107" s="1886"/>
      <c r="J107" s="1886"/>
      <c r="K107" s="1846" t="s">
        <v>11</v>
      </c>
      <c r="L107" s="1846"/>
      <c r="M107" s="870"/>
      <c r="N107" s="989"/>
      <c r="O107" s="990"/>
      <c r="P107" s="991">
        <v>1</v>
      </c>
      <c r="Q107" s="952">
        <v>25000</v>
      </c>
      <c r="R107" s="992"/>
      <c r="S107" s="1854"/>
      <c r="T107" s="1839"/>
      <c r="U107" s="1845"/>
    </row>
    <row r="108" spans="3:21" ht="15" customHeight="1" thickBot="1">
      <c r="C108" s="1872"/>
      <c r="D108" s="1872"/>
      <c r="E108" s="1873"/>
      <c r="F108" s="1873"/>
      <c r="G108" s="1873"/>
      <c r="H108" s="1886"/>
      <c r="I108" s="1886"/>
      <c r="J108" s="1886"/>
      <c r="K108" s="1846" t="s">
        <v>13</v>
      </c>
      <c r="L108" s="1846"/>
      <c r="M108" s="993"/>
      <c r="N108" s="994"/>
      <c r="O108" s="995">
        <f>Q108/P108</f>
        <v>4.6679999706751323</v>
      </c>
      <c r="P108" s="996">
        <v>81841.8</v>
      </c>
      <c r="Q108" s="997">
        <v>382037.52</v>
      </c>
      <c r="R108" s="998"/>
      <c r="S108" s="1854"/>
      <c r="T108" s="1839"/>
      <c r="U108" s="1845"/>
    </row>
    <row r="109" spans="3:21" ht="15" customHeight="1" thickBot="1">
      <c r="C109" s="1872"/>
      <c r="D109" s="1872"/>
      <c r="E109" s="1873"/>
      <c r="F109" s="1873"/>
      <c r="G109" s="1873"/>
      <c r="H109" s="1886"/>
      <c r="I109" s="1886"/>
      <c r="J109" s="1886"/>
      <c r="K109" s="1832" t="s">
        <v>17</v>
      </c>
      <c r="L109" s="1832"/>
      <c r="M109" s="999"/>
      <c r="N109" s="1000"/>
      <c r="O109" s="1001">
        <f>Q109/P109</f>
        <v>30.383982311755314</v>
      </c>
      <c r="P109" s="1002">
        <v>81.41</v>
      </c>
      <c r="Q109" s="1003">
        <v>2473.56</v>
      </c>
      <c r="R109" s="1004"/>
      <c r="S109" s="1854"/>
      <c r="T109" s="1839"/>
      <c r="U109" s="1845"/>
    </row>
    <row r="110" spans="3:21" ht="15" customHeight="1" thickBot="1">
      <c r="C110" s="1872" t="s">
        <v>612</v>
      </c>
      <c r="D110" s="1872"/>
      <c r="E110" s="1873" t="s">
        <v>74</v>
      </c>
      <c r="F110" s="1873"/>
      <c r="G110" s="1873"/>
      <c r="H110" s="1836" t="s">
        <v>75</v>
      </c>
      <c r="I110" s="1836"/>
      <c r="J110" s="1836"/>
      <c r="K110" s="1853" t="s">
        <v>10</v>
      </c>
      <c r="L110" s="1853"/>
      <c r="M110" s="1005"/>
      <c r="N110" s="1006"/>
      <c r="O110" s="1007"/>
      <c r="P110" s="947">
        <v>8.8000000000000007</v>
      </c>
      <c r="Q110" s="969">
        <v>1742.62</v>
      </c>
      <c r="R110" s="889"/>
      <c r="S110" s="1854">
        <f>SUM(Q110:Q113)+N112</f>
        <v>106314.45</v>
      </c>
      <c r="T110" s="1839">
        <v>128000</v>
      </c>
      <c r="U110" s="1845" t="s">
        <v>596</v>
      </c>
    </row>
    <row r="111" spans="3:21" ht="15" customHeight="1" thickBot="1">
      <c r="C111" s="1872"/>
      <c r="D111" s="1872"/>
      <c r="E111" s="1873"/>
      <c r="F111" s="1873"/>
      <c r="G111" s="1873"/>
      <c r="H111" s="1875" t="s">
        <v>76</v>
      </c>
      <c r="I111" s="1875"/>
      <c r="J111" s="1875"/>
      <c r="K111" s="4" t="s">
        <v>77</v>
      </c>
      <c r="L111" s="4"/>
      <c r="M111" s="1005"/>
      <c r="N111" s="1006"/>
      <c r="O111" s="1007"/>
      <c r="P111" s="1008">
        <v>1</v>
      </c>
      <c r="Q111" s="1009">
        <v>25000</v>
      </c>
      <c r="R111" s="1010"/>
      <c r="S111" s="1854"/>
      <c r="T111" s="1839"/>
      <c r="U111" s="1845"/>
    </row>
    <row r="112" spans="3:21" ht="15" customHeight="1" thickBot="1">
      <c r="C112" s="1872"/>
      <c r="D112" s="1872"/>
      <c r="E112" s="1873"/>
      <c r="F112" s="1873"/>
      <c r="G112" s="1873"/>
      <c r="H112" s="1855" t="s">
        <v>69</v>
      </c>
      <c r="I112" s="1855"/>
      <c r="J112" s="1855"/>
      <c r="K112" s="1846" t="s">
        <v>13</v>
      </c>
      <c r="L112" s="1846"/>
      <c r="M112" s="924"/>
      <c r="N112" s="871"/>
      <c r="O112" s="876">
        <f>Q112/P112</f>
        <v>4.3826400440649955</v>
      </c>
      <c r="P112" s="974">
        <v>18155</v>
      </c>
      <c r="Q112" s="1011">
        <v>79566.83</v>
      </c>
      <c r="R112" s="892"/>
      <c r="S112" s="1854"/>
      <c r="T112" s="1839"/>
      <c r="U112" s="1845"/>
    </row>
    <row r="113" spans="3:22" ht="15" customHeight="1" thickBot="1">
      <c r="C113" s="1872"/>
      <c r="D113" s="1872"/>
      <c r="E113" s="1873"/>
      <c r="F113" s="1873"/>
      <c r="G113" s="1873"/>
      <c r="H113" s="1871"/>
      <c r="I113" s="1871"/>
      <c r="J113" s="1871"/>
      <c r="K113" s="1874" t="s">
        <v>78</v>
      </c>
      <c r="L113" s="1874"/>
      <c r="M113" s="877"/>
      <c r="N113" s="878"/>
      <c r="O113" s="896">
        <f>Q113/P113</f>
        <v>5</v>
      </c>
      <c r="P113" s="1012">
        <v>1</v>
      </c>
      <c r="Q113" s="1013">
        <v>5</v>
      </c>
      <c r="R113" s="961"/>
      <c r="S113" s="1854"/>
      <c r="T113" s="1839"/>
      <c r="U113" s="1845"/>
    </row>
    <row r="114" spans="3:22" ht="15" customHeight="1" thickBot="1">
      <c r="C114" s="1872" t="s">
        <v>613</v>
      </c>
      <c r="D114" s="1872"/>
      <c r="E114" s="1873" t="s">
        <v>79</v>
      </c>
      <c r="F114" s="1873"/>
      <c r="G114" s="1873"/>
      <c r="H114" s="1836" t="s">
        <v>25</v>
      </c>
      <c r="I114" s="1836"/>
      <c r="J114" s="1836"/>
      <c r="K114" s="1853" t="s">
        <v>10</v>
      </c>
      <c r="L114" s="1853"/>
      <c r="M114" s="863"/>
      <c r="N114" s="864"/>
      <c r="O114" s="865"/>
      <c r="P114" s="947">
        <f>Y715</f>
        <v>13</v>
      </c>
      <c r="Q114" s="867" t="e">
        <f>AA715</f>
        <v>#REF!</v>
      </c>
      <c r="R114" s="889"/>
      <c r="S114" s="1838" t="e">
        <f>SUM(Q114:Q117)+N115+R116+N117</f>
        <v>#REF!</v>
      </c>
      <c r="T114" s="1839">
        <v>130000</v>
      </c>
      <c r="U114" s="1845" t="s">
        <v>574</v>
      </c>
      <c r="V114" s="1621" t="s">
        <v>1175</v>
      </c>
    </row>
    <row r="115" spans="3:22" ht="15" customHeight="1" thickBot="1">
      <c r="C115" s="1872"/>
      <c r="D115" s="1872"/>
      <c r="E115" s="1873"/>
      <c r="F115" s="1873"/>
      <c r="G115" s="1873"/>
      <c r="H115" s="1855" t="s">
        <v>80</v>
      </c>
      <c r="I115" s="1855"/>
      <c r="J115" s="1855"/>
      <c r="K115" s="1846" t="s">
        <v>11</v>
      </c>
      <c r="L115" s="1846"/>
      <c r="M115" s="870"/>
      <c r="N115" s="915"/>
      <c r="O115" s="872"/>
      <c r="P115" s="893">
        <v>1</v>
      </c>
      <c r="Q115" s="1014">
        <f>1.2*(5861.61+321.55+876.74)</f>
        <v>8471.8799999999992</v>
      </c>
      <c r="R115" s="892"/>
      <c r="S115" s="1838"/>
      <c r="T115" s="1839"/>
      <c r="U115" s="1845"/>
      <c r="V115" s="1622"/>
    </row>
    <row r="116" spans="3:22" ht="15" customHeight="1" thickBot="1">
      <c r="C116" s="1872"/>
      <c r="D116" s="1872"/>
      <c r="E116" s="1873"/>
      <c r="F116" s="1873"/>
      <c r="G116" s="1873"/>
      <c r="H116" s="1875" t="s">
        <v>80</v>
      </c>
      <c r="I116" s="1875"/>
      <c r="J116" s="1875"/>
      <c r="K116" s="1846" t="s">
        <v>13</v>
      </c>
      <c r="L116" s="1846"/>
      <c r="M116" s="870"/>
      <c r="N116" s="1015"/>
      <c r="O116" s="876">
        <f>Q116/P116</f>
        <v>4.8</v>
      </c>
      <c r="P116" s="974">
        <v>19920</v>
      </c>
      <c r="Q116" s="1014">
        <v>95616</v>
      </c>
      <c r="R116" s="892"/>
      <c r="S116" s="1838"/>
      <c r="T116" s="1839"/>
      <c r="U116" s="1845"/>
      <c r="V116" s="1622"/>
    </row>
    <row r="117" spans="3:22" ht="15" customHeight="1" thickBot="1">
      <c r="C117" s="1872"/>
      <c r="D117" s="1872"/>
      <c r="E117" s="1873"/>
      <c r="F117" s="1873"/>
      <c r="G117" s="1873"/>
      <c r="H117" s="1871" t="s">
        <v>80</v>
      </c>
      <c r="I117" s="1871"/>
      <c r="J117" s="1871"/>
      <c r="K117" s="1874" t="s">
        <v>17</v>
      </c>
      <c r="L117" s="1874"/>
      <c r="M117" s="883"/>
      <c r="N117" s="1016"/>
      <c r="O117" s="896">
        <f>Q117/P117</f>
        <v>30.551999999999996</v>
      </c>
      <c r="P117" s="975">
        <v>58</v>
      </c>
      <c r="Q117" s="978">
        <f>1.2*(940.76+535.92)</f>
        <v>1772.0159999999998</v>
      </c>
      <c r="R117" s="961"/>
      <c r="S117" s="1838"/>
      <c r="T117" s="1839"/>
      <c r="U117" s="1845"/>
      <c r="V117" s="1623"/>
    </row>
    <row r="118" spans="3:22" ht="15" customHeight="1" thickBot="1">
      <c r="C118" s="1872" t="s">
        <v>614</v>
      </c>
      <c r="D118" s="1872"/>
      <c r="E118" s="1873" t="s">
        <v>81</v>
      </c>
      <c r="F118" s="1873"/>
      <c r="G118" s="1873"/>
      <c r="H118" s="1836" t="s">
        <v>25</v>
      </c>
      <c r="I118" s="1836"/>
      <c r="J118" s="1836"/>
      <c r="K118" s="1853" t="s">
        <v>10</v>
      </c>
      <c r="L118" s="1853"/>
      <c r="M118" s="863"/>
      <c r="N118" s="864"/>
      <c r="O118" s="907"/>
      <c r="P118" s="908">
        <f>Y712</f>
        <v>5</v>
      </c>
      <c r="Q118" s="867" t="e">
        <f>AA712</f>
        <v>#REF!</v>
      </c>
      <c r="R118" s="889"/>
      <c r="S118" s="1838" t="e">
        <f>SUM(Q118:Q122)+N119</f>
        <v>#REF!</v>
      </c>
      <c r="T118" s="1839">
        <v>105000</v>
      </c>
      <c r="U118" s="1845" t="s">
        <v>615</v>
      </c>
      <c r="V118" s="1621" t="s">
        <v>1176</v>
      </c>
    </row>
    <row r="119" spans="3:22" ht="15" customHeight="1" thickBot="1">
      <c r="C119" s="1872"/>
      <c r="D119" s="1872"/>
      <c r="E119" s="1873"/>
      <c r="F119" s="1873"/>
      <c r="G119" s="1873"/>
      <c r="H119" s="1855" t="s">
        <v>82</v>
      </c>
      <c r="I119" s="1855"/>
      <c r="J119" s="1855"/>
      <c r="K119" s="1846" t="s">
        <v>11</v>
      </c>
      <c r="L119" s="1846"/>
      <c r="M119" s="924"/>
      <c r="N119" s="871"/>
      <c r="O119" s="910"/>
      <c r="P119" s="919">
        <v>1</v>
      </c>
      <c r="Q119" s="928">
        <f>4884.67*1.2</f>
        <v>5861.6040000000003</v>
      </c>
      <c r="R119" s="892"/>
      <c r="S119" s="1838"/>
      <c r="T119" s="1839"/>
      <c r="U119" s="1845"/>
      <c r="V119" s="1622"/>
    </row>
    <row r="120" spans="3:22" ht="15" customHeight="1" thickBot="1">
      <c r="C120" s="1872"/>
      <c r="D120" s="1872"/>
      <c r="E120" s="1873"/>
      <c r="F120" s="1873"/>
      <c r="G120" s="1873"/>
      <c r="H120" s="1855" t="s">
        <v>37</v>
      </c>
      <c r="I120" s="1855"/>
      <c r="J120" s="1855"/>
      <c r="K120" s="1846" t="s">
        <v>13</v>
      </c>
      <c r="L120" s="1846"/>
      <c r="M120" s="870"/>
      <c r="N120" s="871"/>
      <c r="O120" s="1017">
        <f>Q120/P120</f>
        <v>4.6710722451958153</v>
      </c>
      <c r="P120" s="1018">
        <v>16444</v>
      </c>
      <c r="Q120" s="958">
        <f>1.2*64009.26</f>
        <v>76811.111999999994</v>
      </c>
      <c r="R120" s="892"/>
      <c r="S120" s="1838"/>
      <c r="T120" s="1839"/>
      <c r="U120" s="1845"/>
      <c r="V120" s="1622"/>
    </row>
    <row r="121" spans="3:22" ht="15" customHeight="1" thickBot="1">
      <c r="C121" s="1872"/>
      <c r="D121" s="1872"/>
      <c r="E121" s="1873"/>
      <c r="F121" s="1873"/>
      <c r="G121" s="1873"/>
      <c r="H121" s="1855" t="s">
        <v>22</v>
      </c>
      <c r="I121" s="1855"/>
      <c r="J121" s="1855"/>
      <c r="K121" s="1846" t="s">
        <v>15</v>
      </c>
      <c r="L121" s="1846"/>
      <c r="M121" s="870"/>
      <c r="N121" s="871"/>
      <c r="O121" s="910"/>
      <c r="P121" s="919">
        <v>0</v>
      </c>
      <c r="Q121" s="928">
        <v>1083.29</v>
      </c>
      <c r="R121" s="892"/>
      <c r="S121" s="1838"/>
      <c r="T121" s="1839"/>
      <c r="U121" s="1845"/>
      <c r="V121" s="1622"/>
    </row>
    <row r="122" spans="3:22" ht="15" customHeight="1" thickBot="1">
      <c r="C122" s="1872"/>
      <c r="D122" s="1872"/>
      <c r="E122" s="1873"/>
      <c r="F122" s="1873"/>
      <c r="G122" s="1873"/>
      <c r="H122" s="1871" t="s">
        <v>82</v>
      </c>
      <c r="I122" s="1871"/>
      <c r="J122" s="1871"/>
      <c r="K122" s="1874" t="s">
        <v>17</v>
      </c>
      <c r="L122" s="1874"/>
      <c r="M122" s="877"/>
      <c r="N122" s="878"/>
      <c r="O122" s="921">
        <f>Q122/P122</f>
        <v>33.540000000000006</v>
      </c>
      <c r="P122" s="922">
        <v>52</v>
      </c>
      <c r="Q122" s="978">
        <f>(481+240.24+732.16)*1.2</f>
        <v>1744.0800000000002</v>
      </c>
      <c r="R122" s="961"/>
      <c r="S122" s="1838"/>
      <c r="T122" s="1839"/>
      <c r="U122" s="1845"/>
      <c r="V122" s="1623"/>
    </row>
    <row r="123" spans="3:22" ht="15" customHeight="1" thickBot="1">
      <c r="C123" s="1872" t="s">
        <v>616</v>
      </c>
      <c r="D123" s="1872"/>
      <c r="E123" s="1885" t="s">
        <v>83</v>
      </c>
      <c r="F123" s="1885"/>
      <c r="G123" s="1885"/>
      <c r="H123" s="1836" t="s">
        <v>25</v>
      </c>
      <c r="I123" s="1836"/>
      <c r="J123" s="1836"/>
      <c r="K123" s="1853" t="s">
        <v>10</v>
      </c>
      <c r="L123" s="1853"/>
      <c r="M123" s="863"/>
      <c r="N123" s="864"/>
      <c r="O123" s="865"/>
      <c r="P123" s="947">
        <f>Y718</f>
        <v>5</v>
      </c>
      <c r="Q123" s="867" t="e">
        <f>AA718</f>
        <v>#REF!</v>
      </c>
      <c r="R123" s="889"/>
      <c r="S123" s="1838" t="e">
        <f>SUM(Q123:Q126)</f>
        <v>#REF!</v>
      </c>
      <c r="T123" s="1839">
        <v>80000</v>
      </c>
      <c r="U123" s="1845" t="s">
        <v>596</v>
      </c>
    </row>
    <row r="124" spans="3:22" ht="15" customHeight="1" thickBot="1">
      <c r="C124" s="1872"/>
      <c r="D124" s="1872"/>
      <c r="E124" s="1885"/>
      <c r="F124" s="1885"/>
      <c r="G124" s="1885"/>
      <c r="H124" s="1884" t="s">
        <v>84</v>
      </c>
      <c r="I124" s="1884"/>
      <c r="J124" s="1884"/>
      <c r="K124" s="1846" t="s">
        <v>11</v>
      </c>
      <c r="L124" s="1846"/>
      <c r="M124" s="870"/>
      <c r="N124" s="871"/>
      <c r="O124" s="872"/>
      <c r="P124" s="873">
        <v>571.20000000000005</v>
      </c>
      <c r="Q124" s="874">
        <f>5751.98</f>
        <v>5751.98</v>
      </c>
      <c r="R124" s="892"/>
      <c r="S124" s="1838"/>
      <c r="T124" s="1839"/>
      <c r="U124" s="1845"/>
    </row>
    <row r="125" spans="3:22" ht="15" customHeight="1" thickBot="1">
      <c r="C125" s="1872"/>
      <c r="D125" s="1872"/>
      <c r="E125" s="1885"/>
      <c r="F125" s="1885"/>
      <c r="G125" s="1885"/>
      <c r="H125" s="1884"/>
      <c r="I125" s="1884"/>
      <c r="J125" s="1884"/>
      <c r="K125" s="1846" t="s">
        <v>13</v>
      </c>
      <c r="L125" s="1846"/>
      <c r="M125" s="870"/>
      <c r="N125" s="871"/>
      <c r="O125" s="876">
        <f>Q125/P125</f>
        <v>4.5999761606770369</v>
      </c>
      <c r="P125" s="873">
        <f>3064+13715</f>
        <v>16779</v>
      </c>
      <c r="Q125" s="958">
        <f>14094+63089</f>
        <v>77183</v>
      </c>
      <c r="R125" s="892"/>
      <c r="S125" s="1838"/>
      <c r="T125" s="1839"/>
      <c r="U125" s="1845"/>
    </row>
    <row r="126" spans="3:22" ht="15" customHeight="1" thickBot="1">
      <c r="C126" s="1872"/>
      <c r="D126" s="1872"/>
      <c r="E126" s="1885"/>
      <c r="F126" s="1885"/>
      <c r="G126" s="1885"/>
      <c r="H126" s="1884"/>
      <c r="I126" s="1884"/>
      <c r="J126" s="1884"/>
      <c r="K126" s="1874" t="s">
        <v>17</v>
      </c>
      <c r="L126" s="1874"/>
      <c r="M126" s="877"/>
      <c r="N126" s="878"/>
      <c r="O126" s="896">
        <f>Q126/P126</f>
        <v>30.38</v>
      </c>
      <c r="P126" s="880">
        <f>12+4</f>
        <v>16</v>
      </c>
      <c r="Q126" s="923">
        <f>364.56+121.52</f>
        <v>486.08</v>
      </c>
      <c r="R126" s="961"/>
      <c r="S126" s="1838"/>
      <c r="T126" s="1839"/>
      <c r="U126" s="1845"/>
    </row>
    <row r="127" spans="3:22" ht="15" customHeight="1" thickBot="1">
      <c r="C127" s="1882" t="s">
        <v>617</v>
      </c>
      <c r="D127" s="1882"/>
      <c r="E127" s="1873" t="s">
        <v>85</v>
      </c>
      <c r="F127" s="1873"/>
      <c r="G127" s="1873"/>
      <c r="H127" s="1836" t="s">
        <v>86</v>
      </c>
      <c r="I127" s="1836"/>
      <c r="J127" s="1836"/>
      <c r="K127" s="1853" t="s">
        <v>10</v>
      </c>
      <c r="L127" s="1853"/>
      <c r="M127" s="863"/>
      <c r="N127" s="864"/>
      <c r="O127" s="865"/>
      <c r="P127" s="947">
        <v>0</v>
      </c>
      <c r="Q127" s="1019">
        <v>0</v>
      </c>
      <c r="R127" s="889"/>
      <c r="S127" s="1838">
        <f>SUM(Q127:Q131)+N127+N129</f>
        <v>0</v>
      </c>
      <c r="T127" s="1839">
        <v>95000</v>
      </c>
      <c r="U127" s="1845"/>
    </row>
    <row r="128" spans="3:22" ht="15" customHeight="1" thickBot="1">
      <c r="C128" s="1882"/>
      <c r="D128" s="1882"/>
      <c r="E128" s="1873"/>
      <c r="F128" s="1873"/>
      <c r="G128" s="1873"/>
      <c r="H128" s="1875" t="s">
        <v>86</v>
      </c>
      <c r="I128" s="1875"/>
      <c r="J128" s="1875"/>
      <c r="K128" s="4" t="s">
        <v>11</v>
      </c>
      <c r="L128" s="4"/>
      <c r="M128" s="1005"/>
      <c r="N128" s="1006"/>
      <c r="O128" s="1007"/>
      <c r="P128" s="1008">
        <v>0</v>
      </c>
      <c r="Q128" s="1020">
        <v>0</v>
      </c>
      <c r="R128" s="1010"/>
      <c r="S128" s="1838"/>
      <c r="T128" s="1839"/>
      <c r="U128" s="1845"/>
    </row>
    <row r="129" spans="3:21" ht="15" customHeight="1" thickBot="1">
      <c r="C129" s="1882"/>
      <c r="D129" s="1882"/>
      <c r="E129" s="1873"/>
      <c r="F129" s="1873"/>
      <c r="G129" s="1873"/>
      <c r="H129" s="1855" t="s">
        <v>69</v>
      </c>
      <c r="I129" s="1855"/>
      <c r="J129" s="1855"/>
      <c r="K129" s="1846" t="s">
        <v>13</v>
      </c>
      <c r="L129" s="1846"/>
      <c r="M129" s="870"/>
      <c r="N129" s="871"/>
      <c r="O129" s="876"/>
      <c r="P129" s="893">
        <v>0</v>
      </c>
      <c r="Q129" s="928">
        <v>0</v>
      </c>
      <c r="R129" s="892"/>
      <c r="S129" s="1838"/>
      <c r="T129" s="1839"/>
      <c r="U129" s="1845"/>
    </row>
    <row r="130" spans="3:21" ht="15" customHeight="1" thickBot="1">
      <c r="C130" s="1882"/>
      <c r="D130" s="1882"/>
      <c r="E130" s="1873"/>
      <c r="F130" s="1873"/>
      <c r="G130" s="1873"/>
      <c r="H130" s="1855" t="s">
        <v>38</v>
      </c>
      <c r="I130" s="1855"/>
      <c r="J130" s="1855"/>
      <c r="K130" s="1846" t="s">
        <v>15</v>
      </c>
      <c r="L130" s="1846"/>
      <c r="M130" s="870"/>
      <c r="N130" s="871"/>
      <c r="O130" s="872"/>
      <c r="P130" s="893">
        <v>0</v>
      </c>
      <c r="Q130" s="928">
        <v>0</v>
      </c>
      <c r="R130" s="892"/>
      <c r="S130" s="1838"/>
      <c r="T130" s="1839"/>
      <c r="U130" s="1845"/>
    </row>
    <row r="131" spans="3:21" ht="15" customHeight="1" thickBot="1">
      <c r="C131" s="1882"/>
      <c r="D131" s="1882"/>
      <c r="E131" s="1873"/>
      <c r="F131" s="1873"/>
      <c r="G131" s="1873"/>
      <c r="H131" s="1871" t="s">
        <v>86</v>
      </c>
      <c r="I131" s="1871"/>
      <c r="J131" s="1871"/>
      <c r="K131" s="1874" t="s">
        <v>17</v>
      </c>
      <c r="L131" s="1874"/>
      <c r="M131" s="877"/>
      <c r="N131" s="878"/>
      <c r="O131" s="879"/>
      <c r="P131" s="959">
        <v>0</v>
      </c>
      <c r="Q131" s="960">
        <v>0</v>
      </c>
      <c r="R131" s="961"/>
      <c r="S131" s="1838"/>
      <c r="T131" s="1839"/>
      <c r="U131" s="1845"/>
    </row>
    <row r="132" spans="3:21" ht="15" customHeight="1" thickBot="1">
      <c r="C132" s="1883" t="s">
        <v>618</v>
      </c>
      <c r="D132" s="1883"/>
      <c r="E132" s="1873" t="s">
        <v>87</v>
      </c>
      <c r="F132" s="1873"/>
      <c r="G132" s="1873"/>
      <c r="H132" s="1836" t="s">
        <v>35</v>
      </c>
      <c r="I132" s="1836"/>
      <c r="J132" s="1836"/>
      <c r="K132" s="1853" t="s">
        <v>10</v>
      </c>
      <c r="L132" s="1853"/>
      <c r="M132" s="955"/>
      <c r="N132" s="864"/>
      <c r="O132" s="865"/>
      <c r="P132" s="866"/>
      <c r="Q132" s="867"/>
      <c r="R132" s="889"/>
      <c r="S132" s="1838">
        <f>SUM(Q132:Q135)+N132+N133</f>
        <v>0</v>
      </c>
      <c r="T132" s="1839">
        <v>850000</v>
      </c>
      <c r="U132" s="1845"/>
    </row>
    <row r="133" spans="3:21" ht="15" customHeight="1" thickBot="1">
      <c r="C133" s="1883"/>
      <c r="D133" s="1883"/>
      <c r="E133" s="1873"/>
      <c r="F133" s="1873"/>
      <c r="G133" s="1873"/>
      <c r="H133" s="1875" t="s">
        <v>64</v>
      </c>
      <c r="I133" s="1875"/>
      <c r="J133" s="1875"/>
      <c r="K133" s="1846" t="s">
        <v>13</v>
      </c>
      <c r="L133" s="1846"/>
      <c r="M133" s="924"/>
      <c r="N133" s="925"/>
      <c r="O133" s="876"/>
      <c r="P133" s="893">
        <v>0</v>
      </c>
      <c r="Q133" s="928">
        <v>0</v>
      </c>
      <c r="R133" s="892"/>
      <c r="S133" s="1838"/>
      <c r="T133" s="1839"/>
      <c r="U133" s="1845"/>
    </row>
    <row r="134" spans="3:21" ht="15" customHeight="1" thickBot="1">
      <c r="C134" s="1883"/>
      <c r="D134" s="1883"/>
      <c r="E134" s="1873"/>
      <c r="F134" s="1873"/>
      <c r="G134" s="1873"/>
      <c r="H134" s="1875"/>
      <c r="I134" s="1875"/>
      <c r="J134" s="1875"/>
      <c r="K134" s="1846" t="s">
        <v>15</v>
      </c>
      <c r="L134" s="1846"/>
      <c r="M134" s="870"/>
      <c r="N134" s="871"/>
      <c r="O134" s="872"/>
      <c r="P134" s="893">
        <v>0</v>
      </c>
      <c r="Q134" s="928">
        <v>0</v>
      </c>
      <c r="R134" s="892"/>
      <c r="S134" s="1838"/>
      <c r="T134" s="1839"/>
      <c r="U134" s="1845"/>
    </row>
    <row r="135" spans="3:21" ht="15" customHeight="1" thickBot="1">
      <c r="C135" s="1883"/>
      <c r="D135" s="1883"/>
      <c r="E135" s="1873"/>
      <c r="F135" s="1873"/>
      <c r="G135" s="1873"/>
      <c r="H135" s="1871" t="s">
        <v>39</v>
      </c>
      <c r="I135" s="1871"/>
      <c r="J135" s="1871"/>
      <c r="K135" s="1874" t="s">
        <v>17</v>
      </c>
      <c r="L135" s="1874"/>
      <c r="M135" s="877"/>
      <c r="N135" s="878"/>
      <c r="O135" s="896"/>
      <c r="P135" s="975">
        <v>0</v>
      </c>
      <c r="Q135" s="978">
        <v>0</v>
      </c>
      <c r="R135" s="961"/>
      <c r="S135" s="1838"/>
      <c r="T135" s="1839"/>
      <c r="U135" s="1845"/>
    </row>
    <row r="136" spans="3:21" ht="15" customHeight="1" thickBot="1">
      <c r="C136" s="1882" t="s">
        <v>619</v>
      </c>
      <c r="D136" s="1882"/>
      <c r="E136" s="1873" t="s">
        <v>88</v>
      </c>
      <c r="F136" s="1873"/>
      <c r="G136" s="1873"/>
      <c r="H136" s="1836" t="s">
        <v>35</v>
      </c>
      <c r="I136" s="1836"/>
      <c r="J136" s="1836"/>
      <c r="K136" s="1853" t="s">
        <v>10</v>
      </c>
      <c r="L136" s="1853"/>
      <c r="M136" s="955"/>
      <c r="N136" s="864"/>
      <c r="O136" s="865"/>
      <c r="P136" s="947"/>
      <c r="Q136" s="1019"/>
      <c r="R136" s="889"/>
      <c r="S136" s="1838">
        <f>SUM(Q136:Q139)</f>
        <v>0</v>
      </c>
      <c r="T136" s="1839">
        <v>85000</v>
      </c>
      <c r="U136" s="1881" t="s">
        <v>620</v>
      </c>
    </row>
    <row r="137" spans="3:21" ht="15" customHeight="1" thickBot="1">
      <c r="C137" s="1882"/>
      <c r="D137" s="1882"/>
      <c r="E137" s="1873"/>
      <c r="F137" s="1873"/>
      <c r="G137" s="1873"/>
      <c r="H137" s="1855" t="s">
        <v>37</v>
      </c>
      <c r="I137" s="1855"/>
      <c r="J137" s="1855"/>
      <c r="K137" s="1846" t="s">
        <v>13</v>
      </c>
      <c r="L137" s="1846"/>
      <c r="M137" s="870"/>
      <c r="N137" s="871"/>
      <c r="O137" s="876"/>
      <c r="P137" s="1021">
        <v>0</v>
      </c>
      <c r="Q137" s="918">
        <v>0</v>
      </c>
      <c r="R137" s="892"/>
      <c r="S137" s="1838"/>
      <c r="T137" s="1839"/>
      <c r="U137" s="1881"/>
    </row>
    <row r="138" spans="3:21" ht="15" customHeight="1" thickBot="1">
      <c r="C138" s="1882"/>
      <c r="D138" s="1882"/>
      <c r="E138" s="1873"/>
      <c r="F138" s="1873"/>
      <c r="G138" s="1873"/>
      <c r="H138" s="1868" t="s">
        <v>22</v>
      </c>
      <c r="I138" s="1868"/>
      <c r="J138" s="1868"/>
      <c r="K138" s="1" t="s">
        <v>15</v>
      </c>
      <c r="L138" s="1"/>
      <c r="M138" s="877"/>
      <c r="N138" s="878"/>
      <c r="O138" s="896"/>
      <c r="P138" s="1022">
        <v>0</v>
      </c>
      <c r="Q138" s="1023">
        <v>0</v>
      </c>
      <c r="R138" s="961"/>
      <c r="S138" s="1838"/>
      <c r="T138" s="1839"/>
      <c r="U138" s="1881"/>
    </row>
    <row r="139" spans="3:21" ht="15" customHeight="1" thickBot="1">
      <c r="C139" s="1882"/>
      <c r="D139" s="1882"/>
      <c r="E139" s="1873"/>
      <c r="F139" s="1873"/>
      <c r="G139" s="1873"/>
      <c r="H139" s="1871" t="s">
        <v>89</v>
      </c>
      <c r="I139" s="1871"/>
      <c r="J139" s="1871"/>
      <c r="K139" s="1874" t="s">
        <v>17</v>
      </c>
      <c r="L139" s="1874"/>
      <c r="M139" s="877"/>
      <c r="N139" s="878"/>
      <c r="O139" s="896"/>
      <c r="P139" s="975">
        <v>0</v>
      </c>
      <c r="Q139" s="978">
        <v>0</v>
      </c>
      <c r="R139" s="961"/>
      <c r="S139" s="1838"/>
      <c r="T139" s="1839"/>
      <c r="U139" s="1881"/>
    </row>
    <row r="140" spans="3:21" ht="15" customHeight="1" thickBot="1">
      <c r="C140" s="1878" t="s">
        <v>621</v>
      </c>
      <c r="D140" s="1878"/>
      <c r="E140" s="1879" t="s">
        <v>90</v>
      </c>
      <c r="F140" s="1879"/>
      <c r="G140" s="1879"/>
      <c r="H140" s="1864" t="s">
        <v>25</v>
      </c>
      <c r="I140" s="1864"/>
      <c r="J140" s="1864"/>
      <c r="K140" s="1865" t="s">
        <v>10</v>
      </c>
      <c r="L140" s="1865"/>
      <c r="M140" s="947"/>
      <c r="N140" s="969"/>
      <c r="O140" s="970"/>
      <c r="P140" s="866">
        <f>Y716</f>
        <v>6</v>
      </c>
      <c r="Q140" s="867" t="e">
        <f>AA716</f>
        <v>#REF!</v>
      </c>
      <c r="R140" s="889"/>
      <c r="S140" s="1880" t="e">
        <f>SUM(Q140:Q144)</f>
        <v>#REF!</v>
      </c>
      <c r="T140" s="1867">
        <v>100000</v>
      </c>
      <c r="U140" s="1857" t="s">
        <v>622</v>
      </c>
    </row>
    <row r="141" spans="3:21" ht="15" customHeight="1" thickBot="1">
      <c r="C141" s="1878"/>
      <c r="D141" s="1878"/>
      <c r="E141" s="1879"/>
      <c r="F141" s="1879"/>
      <c r="G141" s="1879"/>
      <c r="H141" s="1876" t="s">
        <v>91</v>
      </c>
      <c r="I141" s="1876"/>
      <c r="J141" s="1876"/>
      <c r="K141" s="1859" t="s">
        <v>11</v>
      </c>
      <c r="L141" s="1859"/>
      <c r="M141" s="966"/>
      <c r="N141" s="971"/>
      <c r="O141" s="972"/>
      <c r="P141" s="893">
        <v>1</v>
      </c>
      <c r="Q141" s="963">
        <v>1647.64</v>
      </c>
      <c r="R141" s="892"/>
      <c r="S141" s="1880"/>
      <c r="T141" s="1867"/>
      <c r="U141" s="1857"/>
    </row>
    <row r="142" spans="3:21" ht="15" customHeight="1" thickBot="1">
      <c r="C142" s="1878"/>
      <c r="D142" s="1878"/>
      <c r="E142" s="1879"/>
      <c r="F142" s="1879"/>
      <c r="G142" s="1879"/>
      <c r="H142" s="1876"/>
      <c r="I142" s="1876"/>
      <c r="J142" s="1876"/>
      <c r="K142" s="1859" t="s">
        <v>13</v>
      </c>
      <c r="L142" s="1859"/>
      <c r="M142" s="966"/>
      <c r="N142" s="971"/>
      <c r="O142" s="973">
        <f>Q142/P142</f>
        <v>4.221909759316282</v>
      </c>
      <c r="P142" s="1024">
        <v>15913</v>
      </c>
      <c r="Q142" s="1025">
        <v>67183.25</v>
      </c>
      <c r="R142" s="892"/>
      <c r="S142" s="1880"/>
      <c r="T142" s="1867"/>
      <c r="U142" s="1857"/>
    </row>
    <row r="143" spans="3:21" ht="15" customHeight="1" thickBot="1">
      <c r="C143" s="1878"/>
      <c r="D143" s="1878"/>
      <c r="E143" s="1879"/>
      <c r="F143" s="1879"/>
      <c r="G143" s="1879"/>
      <c r="H143" s="1876"/>
      <c r="I143" s="1876"/>
      <c r="J143" s="1876"/>
      <c r="K143" s="1859" t="s">
        <v>15</v>
      </c>
      <c r="L143" s="1859"/>
      <c r="M143" s="966"/>
      <c r="N143" s="971"/>
      <c r="O143" s="972"/>
      <c r="P143" s="893">
        <v>1</v>
      </c>
      <c r="Q143" s="963">
        <v>616.99</v>
      </c>
      <c r="R143" s="892"/>
      <c r="S143" s="1880"/>
      <c r="T143" s="1867"/>
      <c r="U143" s="1857"/>
    </row>
    <row r="144" spans="3:21" ht="15" customHeight="1" thickBot="1">
      <c r="C144" s="1878"/>
      <c r="D144" s="1878"/>
      <c r="E144" s="1879"/>
      <c r="F144" s="1879"/>
      <c r="G144" s="1879"/>
      <c r="H144" s="1876"/>
      <c r="I144" s="1876"/>
      <c r="J144" s="1876"/>
      <c r="K144" s="1877" t="s">
        <v>17</v>
      </c>
      <c r="L144" s="1877"/>
      <c r="M144" s="1012"/>
      <c r="N144" s="1013"/>
      <c r="O144" s="1026">
        <f>Q144/P144</f>
        <v>4327.67</v>
      </c>
      <c r="P144" s="905">
        <v>1</v>
      </c>
      <c r="Q144" s="1027">
        <v>4327.67</v>
      </c>
      <c r="R144" s="895"/>
      <c r="S144" s="1880"/>
      <c r="T144" s="1867"/>
      <c r="U144" s="1857"/>
    </row>
    <row r="145" spans="3:21" ht="15" customHeight="1" thickBot="1">
      <c r="C145" s="1833" t="s">
        <v>623</v>
      </c>
      <c r="D145" s="1833"/>
      <c r="E145" s="1835" t="s">
        <v>92</v>
      </c>
      <c r="F145" s="1835"/>
      <c r="G145" s="1835"/>
      <c r="H145" s="1836" t="s">
        <v>25</v>
      </c>
      <c r="I145" s="1836"/>
      <c r="J145" s="1836"/>
      <c r="K145" s="1853" t="s">
        <v>10</v>
      </c>
      <c r="L145" s="1853"/>
      <c r="M145" s="863"/>
      <c r="N145" s="864"/>
      <c r="O145" s="865"/>
      <c r="P145" s="866">
        <f>Y714</f>
        <v>4</v>
      </c>
      <c r="Q145" s="867" t="e">
        <f>AA714</f>
        <v>#REF!</v>
      </c>
      <c r="R145" s="889"/>
      <c r="S145" s="1838" t="e">
        <f>SUM(Q145:Q149)</f>
        <v>#REF!</v>
      </c>
      <c r="T145" s="1839">
        <v>100000</v>
      </c>
      <c r="U145" s="1845" t="s">
        <v>577</v>
      </c>
    </row>
    <row r="146" spans="3:21" ht="15" customHeight="1" thickBot="1">
      <c r="C146" s="1833"/>
      <c r="D146" s="1833"/>
      <c r="E146" s="1835"/>
      <c r="F146" s="1835"/>
      <c r="G146" s="1835"/>
      <c r="H146" s="1875" t="s">
        <v>93</v>
      </c>
      <c r="I146" s="1875"/>
      <c r="J146" s="1875"/>
      <c r="K146" s="1846" t="s">
        <v>13</v>
      </c>
      <c r="L146" s="1846"/>
      <c r="M146" s="870"/>
      <c r="N146" s="871"/>
      <c r="O146" s="1028">
        <f>Q146/P146</f>
        <v>4.8814931929103516</v>
      </c>
      <c r="P146" s="991">
        <v>15572</v>
      </c>
      <c r="Q146" s="918">
        <f>1.2*(49663.95+13681.56)</f>
        <v>76014.611999999994</v>
      </c>
      <c r="R146" s="892"/>
      <c r="S146" s="1838"/>
      <c r="T146" s="1839"/>
      <c r="U146" s="1845"/>
    </row>
    <row r="147" spans="3:21" ht="15" customHeight="1" thickBot="1">
      <c r="C147" s="1833"/>
      <c r="D147" s="1833"/>
      <c r="E147" s="1835"/>
      <c r="F147" s="1835"/>
      <c r="G147" s="1835"/>
      <c r="H147" s="1875"/>
      <c r="I147" s="1875"/>
      <c r="J147" s="1875"/>
      <c r="K147" s="1846" t="s">
        <v>15</v>
      </c>
      <c r="L147" s="1846"/>
      <c r="M147" s="870"/>
      <c r="N147" s="871"/>
      <c r="O147" s="872"/>
      <c r="P147" s="991">
        <v>7067</v>
      </c>
      <c r="Q147" s="918">
        <v>1215.54</v>
      </c>
      <c r="R147" s="892"/>
      <c r="S147" s="1838"/>
      <c r="T147" s="1839"/>
      <c r="U147" s="1845"/>
    </row>
    <row r="148" spans="3:21" ht="15" customHeight="1" thickBot="1">
      <c r="C148" s="1833"/>
      <c r="D148" s="1833"/>
      <c r="E148" s="1835"/>
      <c r="F148" s="1835"/>
      <c r="G148" s="1835"/>
      <c r="H148" s="1875"/>
      <c r="I148" s="1875"/>
      <c r="J148" s="1875"/>
      <c r="K148" s="1846" t="s">
        <v>17</v>
      </c>
      <c r="L148" s="1846"/>
      <c r="M148" s="870"/>
      <c r="N148" s="871"/>
      <c r="O148" s="876">
        <f>Q148/P148</f>
        <v>15.408000000000001</v>
      </c>
      <c r="P148" s="893">
        <v>54</v>
      </c>
      <c r="Q148" s="963">
        <f>1.2*693.36</f>
        <v>832.03200000000004</v>
      </c>
      <c r="R148" s="892"/>
      <c r="S148" s="1838"/>
      <c r="T148" s="1839"/>
      <c r="U148" s="1845"/>
    </row>
    <row r="149" spans="3:21" ht="15" customHeight="1" thickBot="1">
      <c r="C149" s="1833"/>
      <c r="D149" s="1833"/>
      <c r="E149" s="1835"/>
      <c r="F149" s="1835"/>
      <c r="G149" s="1835"/>
      <c r="H149" s="1856" t="s">
        <v>624</v>
      </c>
      <c r="I149" s="1856"/>
      <c r="J149" s="1856"/>
      <c r="K149" s="1847" t="s">
        <v>78</v>
      </c>
      <c r="L149" s="1847"/>
      <c r="M149" s="883"/>
      <c r="N149" s="884"/>
      <c r="O149" s="1029"/>
      <c r="P149" s="905">
        <v>2</v>
      </c>
      <c r="Q149" s="1027">
        <v>1980</v>
      </c>
      <c r="R149" s="895"/>
      <c r="S149" s="1838"/>
      <c r="T149" s="1839"/>
      <c r="U149" s="1845"/>
    </row>
    <row r="150" spans="3:21" ht="15" customHeight="1" thickBot="1">
      <c r="C150" s="1872" t="s">
        <v>625</v>
      </c>
      <c r="D150" s="1872"/>
      <c r="E150" s="1873" t="s">
        <v>94</v>
      </c>
      <c r="F150" s="1873"/>
      <c r="G150" s="1873"/>
      <c r="H150" s="1836" t="s">
        <v>19</v>
      </c>
      <c r="I150" s="1836"/>
      <c r="J150" s="1836"/>
      <c r="K150" s="1853" t="s">
        <v>10</v>
      </c>
      <c r="L150" s="1853"/>
      <c r="M150" s="863"/>
      <c r="N150" s="864"/>
      <c r="O150" s="865"/>
      <c r="P150" s="866">
        <f>H725</f>
        <v>16</v>
      </c>
      <c r="Q150" s="867">
        <f>J725</f>
        <v>3062.4</v>
      </c>
      <c r="R150" s="889"/>
      <c r="S150" s="1838">
        <f>SUM(Q150:Q154)</f>
        <v>176450.72999999998</v>
      </c>
      <c r="T150" s="1839">
        <v>30000</v>
      </c>
      <c r="U150" s="1845" t="s">
        <v>1162</v>
      </c>
    </row>
    <row r="151" spans="3:21" ht="15" customHeight="1" thickBot="1">
      <c r="C151" s="1872"/>
      <c r="D151" s="1872"/>
      <c r="E151" s="1873"/>
      <c r="F151" s="1873"/>
      <c r="G151" s="1873"/>
      <c r="H151" s="1855" t="s">
        <v>626</v>
      </c>
      <c r="I151" s="1855"/>
      <c r="J151" s="1855"/>
      <c r="K151" s="1846" t="s">
        <v>11</v>
      </c>
      <c r="L151" s="1846"/>
      <c r="M151" s="870"/>
      <c r="N151" s="871"/>
      <c r="O151" s="872"/>
      <c r="P151" s="966"/>
      <c r="Q151" s="963"/>
      <c r="R151" s="892"/>
      <c r="S151" s="1838"/>
      <c r="T151" s="1839"/>
      <c r="U151" s="1845"/>
    </row>
    <row r="152" spans="3:21" ht="15" customHeight="1" thickBot="1">
      <c r="C152" s="1872"/>
      <c r="D152" s="1872"/>
      <c r="E152" s="1873"/>
      <c r="F152" s="1873"/>
      <c r="G152" s="1873"/>
      <c r="H152" s="1855" t="s">
        <v>626</v>
      </c>
      <c r="I152" s="1855"/>
      <c r="J152" s="1855"/>
      <c r="K152" s="1846" t="s">
        <v>13</v>
      </c>
      <c r="L152" s="1846"/>
      <c r="M152" s="870"/>
      <c r="N152" s="871"/>
      <c r="O152" s="973">
        <f>Q152/P152</f>
        <v>4.3588100026562442</v>
      </c>
      <c r="P152" s="966">
        <v>39529.5</v>
      </c>
      <c r="Q152" s="963">
        <v>172301.58</v>
      </c>
      <c r="R152" s="892"/>
      <c r="S152" s="1838"/>
      <c r="T152" s="1839"/>
      <c r="U152" s="1845"/>
    </row>
    <row r="153" spans="3:21" ht="15" customHeight="1" thickBot="1">
      <c r="C153" s="1872"/>
      <c r="D153" s="1872"/>
      <c r="E153" s="1873"/>
      <c r="F153" s="1873"/>
      <c r="G153" s="1873"/>
      <c r="H153" s="1855" t="s">
        <v>626</v>
      </c>
      <c r="I153" s="1855"/>
      <c r="J153" s="1855"/>
      <c r="K153" s="1846" t="s">
        <v>15</v>
      </c>
      <c r="L153" s="1846"/>
      <c r="M153" s="870"/>
      <c r="N153" s="871"/>
      <c r="O153" s="872"/>
      <c r="P153" s="966"/>
      <c r="Q153" s="963"/>
      <c r="R153" s="892"/>
      <c r="S153" s="1838"/>
      <c r="T153" s="1839"/>
      <c r="U153" s="1845"/>
    </row>
    <row r="154" spans="3:21" ht="15" customHeight="1" thickBot="1">
      <c r="C154" s="1872"/>
      <c r="D154" s="1872"/>
      <c r="E154" s="1873"/>
      <c r="F154" s="1873"/>
      <c r="G154" s="1873"/>
      <c r="H154" s="1855" t="s">
        <v>170</v>
      </c>
      <c r="I154" s="1855"/>
      <c r="J154" s="1855"/>
      <c r="K154" s="1874" t="s">
        <v>17</v>
      </c>
      <c r="L154" s="1874"/>
      <c r="M154" s="877"/>
      <c r="N154" s="878"/>
      <c r="O154" s="896">
        <f>Q154/P154</f>
        <v>31.05</v>
      </c>
      <c r="P154" s="959">
        <v>35</v>
      </c>
      <c r="Q154" s="960">
        <v>1086.75</v>
      </c>
      <c r="R154" s="961"/>
      <c r="S154" s="1838"/>
      <c r="T154" s="1839"/>
      <c r="U154" s="1845"/>
    </row>
    <row r="155" spans="3:21" ht="15" customHeight="1" thickBot="1">
      <c r="C155" s="1872" t="s">
        <v>627</v>
      </c>
      <c r="D155" s="1872"/>
      <c r="E155" s="1873" t="s">
        <v>95</v>
      </c>
      <c r="F155" s="1873"/>
      <c r="G155" s="1873"/>
      <c r="H155" s="1836" t="s">
        <v>25</v>
      </c>
      <c r="I155" s="1836"/>
      <c r="J155" s="1836"/>
      <c r="K155" s="1853" t="s">
        <v>10</v>
      </c>
      <c r="L155" s="1853"/>
      <c r="M155" s="863"/>
      <c r="N155" s="864"/>
      <c r="O155" s="865"/>
      <c r="P155" s="866">
        <f>Y720</f>
        <v>12</v>
      </c>
      <c r="Q155" s="867" t="e">
        <f>AA720</f>
        <v>#REF!</v>
      </c>
      <c r="R155" s="889"/>
      <c r="S155" s="1838" t="e">
        <f>SUM(Q155:Q160)</f>
        <v>#REF!</v>
      </c>
      <c r="T155" s="1839">
        <v>180000</v>
      </c>
      <c r="U155" s="1845" t="s">
        <v>628</v>
      </c>
    </row>
    <row r="156" spans="3:21" ht="15" customHeight="1" thickBot="1">
      <c r="C156" s="1872"/>
      <c r="D156" s="1872"/>
      <c r="E156" s="1873"/>
      <c r="F156" s="1873"/>
      <c r="G156" s="1873"/>
      <c r="H156" s="1868" t="s">
        <v>96</v>
      </c>
      <c r="I156" s="1868"/>
      <c r="J156" s="1868"/>
      <c r="K156" s="1869" t="s">
        <v>11</v>
      </c>
      <c r="L156" s="1869"/>
      <c r="M156" s="870"/>
      <c r="N156" s="871"/>
      <c r="O156" s="872"/>
      <c r="P156" s="966">
        <v>841.83</v>
      </c>
      <c r="Q156" s="963">
        <f>1.2*22924.93</f>
        <v>27509.916000000001</v>
      </c>
      <c r="R156" s="892"/>
      <c r="S156" s="1838"/>
      <c r="T156" s="1839"/>
      <c r="U156" s="1845"/>
    </row>
    <row r="157" spans="3:21" ht="15" customHeight="1" thickBot="1">
      <c r="C157" s="1872"/>
      <c r="D157" s="1872"/>
      <c r="E157" s="1873"/>
      <c r="F157" s="1873"/>
      <c r="G157" s="1873"/>
      <c r="H157" s="1868"/>
      <c r="I157" s="1868"/>
      <c r="J157" s="1868"/>
      <c r="K157" s="1869"/>
      <c r="L157" s="1869"/>
      <c r="M157" s="870"/>
      <c r="N157" s="871"/>
      <c r="O157" s="872"/>
      <c r="P157" s="966">
        <v>841.83</v>
      </c>
      <c r="Q157" s="963">
        <v>35538.699999999997</v>
      </c>
      <c r="R157" s="892"/>
      <c r="S157" s="1838"/>
      <c r="T157" s="1839"/>
      <c r="U157" s="1845"/>
    </row>
    <row r="158" spans="3:21" ht="30" customHeight="1" thickBot="1">
      <c r="C158" s="1872"/>
      <c r="D158" s="1872"/>
      <c r="E158" s="1873"/>
      <c r="F158" s="1873"/>
      <c r="G158" s="1873"/>
      <c r="H158" s="1870" t="s">
        <v>629</v>
      </c>
      <c r="I158" s="1870"/>
      <c r="J158" s="1870"/>
      <c r="K158" s="1846" t="s">
        <v>13</v>
      </c>
      <c r="L158" s="1846"/>
      <c r="M158" s="870"/>
      <c r="N158" s="871"/>
      <c r="O158" s="876">
        <f>Q158/P158</f>
        <v>4.5600000000000005</v>
      </c>
      <c r="P158" s="893">
        <v>27441</v>
      </c>
      <c r="Q158" s="963">
        <v>125130.96</v>
      </c>
      <c r="R158" s="892"/>
      <c r="S158" s="1838"/>
      <c r="T158" s="1839"/>
      <c r="U158" s="1845"/>
    </row>
    <row r="159" spans="3:21" ht="15" customHeight="1" thickBot="1">
      <c r="C159" s="1872"/>
      <c r="D159" s="1872"/>
      <c r="E159" s="1873"/>
      <c r="F159" s="1873"/>
      <c r="G159" s="1873"/>
      <c r="H159" s="1855"/>
      <c r="I159" s="1855"/>
      <c r="J159" s="1855"/>
      <c r="K159" s="1846" t="s">
        <v>15</v>
      </c>
      <c r="L159" s="1846"/>
      <c r="M159" s="870"/>
      <c r="N159" s="871"/>
      <c r="O159" s="872"/>
      <c r="P159" s="966"/>
      <c r="Q159" s="963"/>
      <c r="R159" s="892"/>
      <c r="S159" s="1838"/>
      <c r="T159" s="1839"/>
      <c r="U159" s="1845"/>
    </row>
    <row r="160" spans="3:21" ht="15" customHeight="1" thickBot="1">
      <c r="C160" s="1872"/>
      <c r="D160" s="1872"/>
      <c r="E160" s="1873"/>
      <c r="F160" s="1873"/>
      <c r="G160" s="1873"/>
      <c r="H160" s="1871"/>
      <c r="I160" s="1871"/>
      <c r="J160" s="1871"/>
      <c r="K160" s="1847" t="s">
        <v>17</v>
      </c>
      <c r="L160" s="1847"/>
      <c r="M160" s="877"/>
      <c r="N160" s="878"/>
      <c r="O160" s="896">
        <f>Q160/P160</f>
        <v>9</v>
      </c>
      <c r="P160" s="959">
        <v>1</v>
      </c>
      <c r="Q160" s="960">
        <v>9</v>
      </c>
      <c r="R160" s="961"/>
      <c r="S160" s="1838"/>
      <c r="T160" s="1839"/>
      <c r="U160" s="1845"/>
    </row>
    <row r="161" spans="3:21" ht="15" customHeight="1" thickBot="1">
      <c r="C161" s="1862" t="s">
        <v>630</v>
      </c>
      <c r="D161" s="1862"/>
      <c r="E161" s="1863" t="s">
        <v>97</v>
      </c>
      <c r="F161" s="1863"/>
      <c r="G161" s="1863"/>
      <c r="H161" s="1864" t="s">
        <v>631</v>
      </c>
      <c r="I161" s="1864"/>
      <c r="J161" s="1864"/>
      <c r="K161" s="1865" t="s">
        <v>10</v>
      </c>
      <c r="L161" s="1865"/>
      <c r="M161" s="947"/>
      <c r="N161" s="969"/>
      <c r="O161" s="970"/>
      <c r="P161" s="929">
        <v>26.4</v>
      </c>
      <c r="Q161" s="1030">
        <v>0</v>
      </c>
      <c r="R161" s="933"/>
      <c r="S161" s="1866">
        <f>SUM(Q161:Q164)+N163</f>
        <v>87197.04</v>
      </c>
      <c r="T161" s="1867">
        <v>180000</v>
      </c>
      <c r="U161" s="1857" t="s">
        <v>632</v>
      </c>
    </row>
    <row r="162" spans="3:21" ht="15" customHeight="1" thickBot="1">
      <c r="C162" s="1862"/>
      <c r="D162" s="1862"/>
      <c r="E162" s="1863"/>
      <c r="F162" s="1863"/>
      <c r="G162" s="1863"/>
      <c r="H162" s="1858" t="s">
        <v>633</v>
      </c>
      <c r="I162" s="1858"/>
      <c r="J162" s="1858"/>
      <c r="K162" s="1859" t="s">
        <v>11</v>
      </c>
      <c r="L162" s="1859"/>
      <c r="M162" s="1031"/>
      <c r="N162" s="971"/>
      <c r="O162" s="972"/>
      <c r="P162" s="1032">
        <v>1</v>
      </c>
      <c r="Q162" s="1033">
        <v>0</v>
      </c>
      <c r="R162" s="939"/>
      <c r="S162" s="1866"/>
      <c r="T162" s="1867"/>
      <c r="U162" s="1857"/>
    </row>
    <row r="163" spans="3:21" ht="15" customHeight="1" thickBot="1">
      <c r="C163" s="1862"/>
      <c r="D163" s="1862"/>
      <c r="E163" s="1863"/>
      <c r="F163" s="1863"/>
      <c r="G163" s="1863"/>
      <c r="H163" s="1858" t="s">
        <v>634</v>
      </c>
      <c r="I163" s="1858"/>
      <c r="J163" s="1858"/>
      <c r="K163" s="1859" t="s">
        <v>13</v>
      </c>
      <c r="L163" s="1859"/>
      <c r="M163" s="893"/>
      <c r="N163" s="971"/>
      <c r="O163" s="973">
        <f>Q163/P163</f>
        <v>4.5989999999999993</v>
      </c>
      <c r="P163" s="1032">
        <v>18960</v>
      </c>
      <c r="Q163" s="1033">
        <v>87197.04</v>
      </c>
      <c r="R163" s="939"/>
      <c r="S163" s="1866"/>
      <c r="T163" s="1867"/>
      <c r="U163" s="1857"/>
    </row>
    <row r="164" spans="3:21" ht="15" customHeight="1" thickBot="1">
      <c r="C164" s="1862"/>
      <c r="D164" s="1862"/>
      <c r="E164" s="1863"/>
      <c r="F164" s="1863"/>
      <c r="G164" s="1863"/>
      <c r="H164" s="1860" t="s">
        <v>39</v>
      </c>
      <c r="I164" s="1860"/>
      <c r="J164" s="1860"/>
      <c r="K164" s="1861" t="s">
        <v>17</v>
      </c>
      <c r="L164" s="1861"/>
      <c r="M164" s="959"/>
      <c r="N164" s="979"/>
      <c r="O164" s="1034">
        <f>Q164/P164</f>
        <v>0</v>
      </c>
      <c r="P164" s="944">
        <v>30</v>
      </c>
      <c r="Q164" s="1035">
        <v>0</v>
      </c>
      <c r="R164" s="946"/>
      <c r="S164" s="1866"/>
      <c r="T164" s="1867"/>
      <c r="U164" s="1857"/>
    </row>
    <row r="165" spans="3:21" ht="15" customHeight="1" thickBot="1">
      <c r="C165" s="1833" t="s">
        <v>635</v>
      </c>
      <c r="D165" s="1833"/>
      <c r="E165" s="1835" t="s">
        <v>98</v>
      </c>
      <c r="F165" s="1835"/>
      <c r="G165" s="1835"/>
      <c r="H165" s="1836" t="s">
        <v>19</v>
      </c>
      <c r="I165" s="1836"/>
      <c r="J165" s="1836"/>
      <c r="K165" s="1853" t="s">
        <v>10</v>
      </c>
      <c r="L165" s="1853"/>
      <c r="M165" s="863"/>
      <c r="N165" s="864"/>
      <c r="O165" s="865"/>
      <c r="P165" s="866">
        <f>H724</f>
        <v>24</v>
      </c>
      <c r="Q165" s="867">
        <f>J724</f>
        <v>4593.6000000000004</v>
      </c>
      <c r="R165" s="889"/>
      <c r="S165" s="1838">
        <f>SUM(Q165:Q168)</f>
        <v>222252.05799999999</v>
      </c>
      <c r="T165" s="1839">
        <v>285000</v>
      </c>
      <c r="U165" s="1845" t="s">
        <v>636</v>
      </c>
    </row>
    <row r="166" spans="3:21" ht="15" customHeight="1" thickBot="1">
      <c r="C166" s="1833"/>
      <c r="D166" s="1833"/>
      <c r="E166" s="1835"/>
      <c r="F166" s="1835"/>
      <c r="G166" s="1835"/>
      <c r="H166" s="1855" t="s">
        <v>637</v>
      </c>
      <c r="I166" s="1855"/>
      <c r="J166" s="1855"/>
      <c r="K166" s="1846" t="s">
        <v>13</v>
      </c>
      <c r="L166" s="1846"/>
      <c r="M166" s="870"/>
      <c r="N166" s="871"/>
      <c r="O166" s="876">
        <f>Q166/P166</f>
        <v>4.6710719263820284</v>
      </c>
      <c r="P166" s="1036">
        <v>44337</v>
      </c>
      <c r="Q166" s="1037">
        <f>1.2*172584.43</f>
        <v>207101.31599999999</v>
      </c>
      <c r="R166" s="892"/>
      <c r="S166" s="1838"/>
      <c r="T166" s="1839"/>
      <c r="U166" s="1845"/>
    </row>
    <row r="167" spans="3:21" ht="15" customHeight="1" thickBot="1">
      <c r="C167" s="1833"/>
      <c r="D167" s="1833"/>
      <c r="E167" s="1835"/>
      <c r="F167" s="1835"/>
      <c r="G167" s="1835"/>
      <c r="H167" s="1855" t="s">
        <v>22</v>
      </c>
      <c r="I167" s="1855"/>
      <c r="J167" s="1855"/>
      <c r="K167" s="1846" t="s">
        <v>15</v>
      </c>
      <c r="L167" s="1846"/>
      <c r="M167" s="870"/>
      <c r="N167" s="871"/>
      <c r="O167" s="872"/>
      <c r="P167" s="893"/>
      <c r="Q167" s="891">
        <v>1968.55</v>
      </c>
      <c r="R167" s="892"/>
      <c r="S167" s="1838"/>
      <c r="T167" s="1839"/>
      <c r="U167" s="1845"/>
    </row>
    <row r="168" spans="3:21" ht="15" customHeight="1" thickBot="1">
      <c r="C168" s="1833"/>
      <c r="D168" s="1833"/>
      <c r="E168" s="1835"/>
      <c r="F168" s="1835"/>
      <c r="G168" s="1835"/>
      <c r="H168" s="1856" t="s">
        <v>99</v>
      </c>
      <c r="I168" s="1856"/>
      <c r="J168" s="1856"/>
      <c r="K168" s="1847" t="s">
        <v>17</v>
      </c>
      <c r="L168" s="1847"/>
      <c r="M168" s="883"/>
      <c r="N168" s="884"/>
      <c r="O168" s="885">
        <f>Q168/P168</f>
        <v>48.509415419373049</v>
      </c>
      <c r="P168" s="1012">
        <v>177.05</v>
      </c>
      <c r="Q168" s="1038">
        <f>1.2*(3394.15+3763.01)</f>
        <v>8588.5919999999987</v>
      </c>
      <c r="R168" s="895"/>
      <c r="S168" s="1838"/>
      <c r="T168" s="1839"/>
      <c r="U168" s="1845"/>
    </row>
    <row r="169" spans="3:21" ht="15" customHeight="1" thickBot="1">
      <c r="C169" s="1833" t="s">
        <v>638</v>
      </c>
      <c r="D169" s="1833"/>
      <c r="E169" s="1835" t="s">
        <v>100</v>
      </c>
      <c r="F169" s="1835"/>
      <c r="G169" s="1835"/>
      <c r="H169" s="1836" t="s">
        <v>101</v>
      </c>
      <c r="I169" s="1836"/>
      <c r="J169" s="1836"/>
      <c r="K169" s="1853" t="s">
        <v>10</v>
      </c>
      <c r="L169" s="1853"/>
      <c r="M169" s="863"/>
      <c r="N169" s="906"/>
      <c r="O169" s="865"/>
      <c r="P169" s="866"/>
      <c r="Q169" s="1019"/>
      <c r="R169" s="889"/>
      <c r="S169" s="1854">
        <f>SUM(Q169:Q172)+N170+N169</f>
        <v>243245.80399999995</v>
      </c>
      <c r="T169" s="1839">
        <v>521000</v>
      </c>
      <c r="U169" s="1845" t="s">
        <v>639</v>
      </c>
    </row>
    <row r="170" spans="3:21" ht="15" customHeight="1" thickBot="1">
      <c r="C170" s="1833"/>
      <c r="D170" s="1833"/>
      <c r="E170" s="1835"/>
      <c r="F170" s="1835"/>
      <c r="G170" s="1835"/>
      <c r="H170" s="1830" t="s">
        <v>102</v>
      </c>
      <c r="I170" s="1830"/>
      <c r="J170" s="1830"/>
      <c r="K170" s="1846" t="s">
        <v>13</v>
      </c>
      <c r="L170" s="1846"/>
      <c r="M170" s="924"/>
      <c r="N170" s="871"/>
      <c r="O170" s="876">
        <f>Q170/P170</f>
        <v>4.9989948539897071</v>
      </c>
      <c r="P170" s="974">
        <v>48387</v>
      </c>
      <c r="Q170" s="963">
        <f>1.2*(136457.58+65114.39)</f>
        <v>241886.36399999994</v>
      </c>
      <c r="R170" s="892"/>
      <c r="S170" s="1854"/>
      <c r="T170" s="1839"/>
      <c r="U170" s="1845"/>
    </row>
    <row r="171" spans="3:21" ht="15" customHeight="1" thickBot="1">
      <c r="C171" s="1833"/>
      <c r="D171" s="1833"/>
      <c r="E171" s="1835"/>
      <c r="F171" s="1835"/>
      <c r="G171" s="1835"/>
      <c r="H171" s="1830"/>
      <c r="I171" s="1830"/>
      <c r="J171" s="1830"/>
      <c r="K171" s="1846" t="s">
        <v>15</v>
      </c>
      <c r="L171" s="1846"/>
      <c r="M171" s="870"/>
      <c r="N171" s="871"/>
      <c r="O171" s="872"/>
      <c r="P171" s="893" t="s">
        <v>572</v>
      </c>
      <c r="Q171" s="1039">
        <v>1050.32</v>
      </c>
      <c r="R171" s="892"/>
      <c r="S171" s="1854"/>
      <c r="T171" s="1839"/>
      <c r="U171" s="1845"/>
    </row>
    <row r="172" spans="3:21" ht="15" customHeight="1" thickBot="1">
      <c r="C172" s="1833"/>
      <c r="D172" s="1833"/>
      <c r="E172" s="1835"/>
      <c r="F172" s="1835"/>
      <c r="G172" s="1835"/>
      <c r="H172" s="1830"/>
      <c r="I172" s="1830"/>
      <c r="J172" s="1830"/>
      <c r="K172" s="1847" t="s">
        <v>17</v>
      </c>
      <c r="L172" s="1847"/>
      <c r="M172" s="883"/>
      <c r="N172" s="884"/>
      <c r="O172" s="885">
        <f>Q172/P172</f>
        <v>30.911999999999999</v>
      </c>
      <c r="P172" s="905">
        <v>10</v>
      </c>
      <c r="Q172" s="1038">
        <f>1.2*(127.9+129.7)</f>
        <v>309.12</v>
      </c>
      <c r="R172" s="895"/>
      <c r="S172" s="1854"/>
      <c r="T172" s="1839"/>
      <c r="U172" s="1845"/>
    </row>
    <row r="173" spans="3:21" ht="15" customHeight="1" thickBot="1">
      <c r="C173" s="1848" t="s">
        <v>640</v>
      </c>
      <c r="D173" s="1848"/>
      <c r="E173" s="1849" t="s">
        <v>103</v>
      </c>
      <c r="F173" s="1849"/>
      <c r="G173" s="1849"/>
      <c r="H173" s="1850" t="s">
        <v>25</v>
      </c>
      <c r="I173" s="1850"/>
      <c r="J173" s="1850"/>
      <c r="K173" s="1851" t="s">
        <v>10</v>
      </c>
      <c r="L173" s="1851"/>
      <c r="M173" s="1040"/>
      <c r="N173" s="1041"/>
      <c r="O173" s="1042"/>
      <c r="P173" s="866">
        <f>Y717</f>
        <v>0</v>
      </c>
      <c r="Q173" s="867" t="e">
        <f>AA717</f>
        <v>#REF!</v>
      </c>
      <c r="R173" s="889"/>
      <c r="S173" s="1852" t="e">
        <f>SUM(Q173:Q177)</f>
        <v>#REF!</v>
      </c>
      <c r="T173" s="1840">
        <v>150000</v>
      </c>
      <c r="U173" s="1841"/>
    </row>
    <row r="174" spans="3:21" ht="15" customHeight="1" thickBot="1">
      <c r="C174" s="1848"/>
      <c r="D174" s="1848"/>
      <c r="E174" s="1849"/>
      <c r="F174" s="1849"/>
      <c r="G174" s="1849"/>
      <c r="H174" s="1842" t="s">
        <v>104</v>
      </c>
      <c r="I174" s="1842"/>
      <c r="J174" s="1842"/>
      <c r="K174" s="1843" t="s">
        <v>13</v>
      </c>
      <c r="L174" s="1843"/>
      <c r="M174" s="1043"/>
      <c r="N174" s="1044"/>
      <c r="O174" s="1045" t="e">
        <f>Q174/P174</f>
        <v>#DIV/0!</v>
      </c>
      <c r="P174" s="966">
        <v>0</v>
      </c>
      <c r="Q174" s="963">
        <v>0</v>
      </c>
      <c r="R174" s="892"/>
      <c r="S174" s="1852"/>
      <c r="T174" s="1840"/>
      <c r="U174" s="1841"/>
    </row>
    <row r="175" spans="3:21" ht="15" customHeight="1" thickBot="1">
      <c r="C175" s="1848"/>
      <c r="D175" s="1848"/>
      <c r="E175" s="1849"/>
      <c r="F175" s="1849"/>
      <c r="G175" s="1849"/>
      <c r="H175" s="1842"/>
      <c r="I175" s="1842"/>
      <c r="J175" s="1842"/>
      <c r="K175" s="1843" t="s">
        <v>15</v>
      </c>
      <c r="L175" s="1843"/>
      <c r="M175" s="1043"/>
      <c r="N175" s="1044"/>
      <c r="O175" s="1046"/>
      <c r="P175" s="966">
        <v>0</v>
      </c>
      <c r="Q175" s="963">
        <v>0</v>
      </c>
      <c r="R175" s="892"/>
      <c r="S175" s="1852"/>
      <c r="T175" s="1840"/>
      <c r="U175" s="1841"/>
    </row>
    <row r="176" spans="3:21" ht="15" customHeight="1" thickBot="1">
      <c r="C176" s="1848"/>
      <c r="D176" s="1848"/>
      <c r="E176" s="1849"/>
      <c r="F176" s="1849"/>
      <c r="G176" s="1849"/>
      <c r="H176" s="1842"/>
      <c r="I176" s="1842"/>
      <c r="J176" s="1842"/>
      <c r="K176" s="1843" t="s">
        <v>33</v>
      </c>
      <c r="L176" s="1843"/>
      <c r="M176" s="1043"/>
      <c r="N176" s="1044"/>
      <c r="O176" s="1046"/>
      <c r="P176" s="966">
        <v>1</v>
      </c>
      <c r="Q176" s="963">
        <v>0</v>
      </c>
      <c r="R176" s="892"/>
      <c r="S176" s="1852"/>
      <c r="T176" s="1840"/>
      <c r="U176" s="1841"/>
    </row>
    <row r="177" spans="3:21" ht="15" customHeight="1" thickBot="1">
      <c r="C177" s="1848"/>
      <c r="D177" s="1848"/>
      <c r="E177" s="1849"/>
      <c r="F177" s="1849"/>
      <c r="G177" s="1849"/>
      <c r="H177" s="1842"/>
      <c r="I177" s="1842"/>
      <c r="J177" s="1842"/>
      <c r="K177" s="1844" t="s">
        <v>17</v>
      </c>
      <c r="L177" s="1844"/>
      <c r="M177" s="1047"/>
      <c r="N177" s="1048"/>
      <c r="O177" s="1049" t="e">
        <f>Q177/P177</f>
        <v>#DIV/0!</v>
      </c>
      <c r="P177" s="1012">
        <v>0</v>
      </c>
      <c r="Q177" s="1038">
        <v>0</v>
      </c>
      <c r="R177" s="895"/>
      <c r="S177" s="1852"/>
      <c r="T177" s="1840"/>
      <c r="U177" s="1841"/>
    </row>
    <row r="178" spans="3:21" ht="15" customHeight="1" thickBot="1">
      <c r="C178" s="1833" t="s">
        <v>641</v>
      </c>
      <c r="D178" s="1833"/>
      <c r="E178" s="1835" t="s">
        <v>105</v>
      </c>
      <c r="F178" s="1835"/>
      <c r="G178" s="1835"/>
      <c r="H178" s="1836" t="s">
        <v>25</v>
      </c>
      <c r="I178" s="1836"/>
      <c r="J178" s="1836"/>
      <c r="K178" s="1837" t="s">
        <v>10</v>
      </c>
      <c r="L178" s="1837"/>
      <c r="M178" s="863"/>
      <c r="N178" s="864"/>
      <c r="O178" s="865"/>
      <c r="P178" s="866">
        <f>Y719</f>
        <v>11</v>
      </c>
      <c r="Q178" s="867" t="e">
        <f>AA719</f>
        <v>#REF!</v>
      </c>
      <c r="R178" s="889"/>
      <c r="S178" s="1838" t="e">
        <f>SUM(Q178:Q182)+R179</f>
        <v>#REF!</v>
      </c>
      <c r="T178" s="1839">
        <v>150000</v>
      </c>
      <c r="U178" s="1829" t="s">
        <v>639</v>
      </c>
    </row>
    <row r="179" spans="3:21" ht="15" customHeight="1" thickBot="1">
      <c r="C179" s="1833"/>
      <c r="D179" s="1833"/>
      <c r="E179" s="1835"/>
      <c r="F179" s="1835"/>
      <c r="G179" s="1835"/>
      <c r="H179" s="1830" t="s">
        <v>642</v>
      </c>
      <c r="I179" s="1830"/>
      <c r="J179" s="1830"/>
      <c r="K179" s="1831" t="s">
        <v>13</v>
      </c>
      <c r="L179" s="1831"/>
      <c r="M179" s="870"/>
      <c r="N179" s="871"/>
      <c r="O179" s="876">
        <f>Q179/P179</f>
        <v>4.8001321539625179</v>
      </c>
      <c r="P179" s="966">
        <v>47596</v>
      </c>
      <c r="Q179" s="963">
        <v>228467.09</v>
      </c>
      <c r="R179" s="892"/>
      <c r="S179" s="1838"/>
      <c r="T179" s="1839"/>
      <c r="U179" s="1829"/>
    </row>
    <row r="180" spans="3:21" ht="15" customHeight="1" thickBot="1">
      <c r="C180" s="1833"/>
      <c r="D180" s="1833"/>
      <c r="E180" s="1835"/>
      <c r="F180" s="1835"/>
      <c r="G180" s="1835"/>
      <c r="H180" s="1830"/>
      <c r="I180" s="1830"/>
      <c r="J180" s="1830"/>
      <c r="K180" s="1831" t="s">
        <v>15</v>
      </c>
      <c r="L180" s="1831"/>
      <c r="M180" s="870"/>
      <c r="N180" s="871"/>
      <c r="O180" s="872"/>
      <c r="P180" s="966">
        <v>14628</v>
      </c>
      <c r="Q180" s="963">
        <v>1016.82</v>
      </c>
      <c r="R180" s="892"/>
      <c r="S180" s="1838"/>
      <c r="T180" s="1839"/>
      <c r="U180" s="1829"/>
    </row>
    <row r="181" spans="3:21" ht="15" customHeight="1" thickBot="1">
      <c r="C181" s="1833"/>
      <c r="D181" s="1833"/>
      <c r="E181" s="1835"/>
      <c r="F181" s="1835"/>
      <c r="G181" s="1835"/>
      <c r="H181" s="1830"/>
      <c r="I181" s="1830"/>
      <c r="J181" s="1830"/>
      <c r="K181" s="1831"/>
      <c r="L181" s="1831"/>
      <c r="M181" s="870"/>
      <c r="N181" s="871"/>
      <c r="O181" s="872"/>
      <c r="P181" s="966"/>
      <c r="Q181" s="963"/>
      <c r="R181" s="892"/>
      <c r="S181" s="1838"/>
      <c r="T181" s="1839"/>
      <c r="U181" s="1829"/>
    </row>
    <row r="182" spans="3:21" ht="15" customHeight="1" thickBot="1">
      <c r="C182" s="1833"/>
      <c r="D182" s="1833"/>
      <c r="E182" s="1835"/>
      <c r="F182" s="1835"/>
      <c r="G182" s="1835"/>
      <c r="H182" s="1830"/>
      <c r="I182" s="1830"/>
      <c r="J182" s="1830"/>
      <c r="K182" s="1832" t="s">
        <v>17</v>
      </c>
      <c r="L182" s="1832"/>
      <c r="M182" s="883"/>
      <c r="N182" s="884"/>
      <c r="O182" s="885">
        <f>Q182/P182</f>
        <v>45.317513513513511</v>
      </c>
      <c r="P182" s="1012">
        <v>74</v>
      </c>
      <c r="Q182" s="1038">
        <f>1.2*(1145.52+1649.06)</f>
        <v>3353.4959999999996</v>
      </c>
      <c r="R182" s="895"/>
      <c r="S182" s="1838"/>
      <c r="T182" s="1839"/>
      <c r="U182" s="1829"/>
    </row>
    <row r="183" spans="3:21" ht="15" customHeight="1" thickBot="1">
      <c r="C183" s="1833" t="s">
        <v>643</v>
      </c>
      <c r="D183" s="1833"/>
      <c r="E183" s="1835" t="s">
        <v>106</v>
      </c>
      <c r="F183" s="1835"/>
      <c r="G183" s="1835"/>
      <c r="H183" s="1836"/>
      <c r="I183" s="1836"/>
      <c r="J183" s="1836"/>
      <c r="K183" s="1837" t="s">
        <v>10</v>
      </c>
      <c r="L183" s="1837"/>
      <c r="M183" s="863"/>
      <c r="N183" s="864"/>
      <c r="O183" s="865"/>
      <c r="P183" s="866">
        <f>Y728</f>
        <v>0</v>
      </c>
      <c r="Q183" s="867">
        <f>AA728</f>
        <v>0</v>
      </c>
      <c r="R183" s="889"/>
      <c r="S183" s="1838">
        <f>SUM(Q183:Q187)+R184</f>
        <v>54113.01</v>
      </c>
      <c r="T183" s="1839">
        <v>150000</v>
      </c>
      <c r="U183" s="1829" t="s">
        <v>644</v>
      </c>
    </row>
    <row r="184" spans="3:21" ht="15" customHeight="1" thickBot="1">
      <c r="C184" s="1833"/>
      <c r="D184" s="1833"/>
      <c r="E184" s="1835"/>
      <c r="F184" s="1835"/>
      <c r="G184" s="1835"/>
      <c r="H184" s="1830" t="s">
        <v>107</v>
      </c>
      <c r="I184" s="1830"/>
      <c r="J184" s="1830"/>
      <c r="K184" s="1831" t="s">
        <v>13</v>
      </c>
      <c r="L184" s="1831"/>
      <c r="M184" s="870"/>
      <c r="N184" s="871"/>
      <c r="O184" s="876" t="e">
        <f>Q184/P184</f>
        <v>#DIV/0!</v>
      </c>
      <c r="P184" s="966">
        <v>0</v>
      </c>
      <c r="Q184" s="963">
        <v>54113.01</v>
      </c>
      <c r="R184" s="892"/>
      <c r="S184" s="1838"/>
      <c r="T184" s="1839"/>
      <c r="U184" s="1829"/>
    </row>
    <row r="185" spans="3:21" ht="15" customHeight="1" thickBot="1">
      <c r="C185" s="1833"/>
      <c r="D185" s="1833"/>
      <c r="E185" s="1835"/>
      <c r="F185" s="1835"/>
      <c r="G185" s="1835"/>
      <c r="H185" s="1830"/>
      <c r="I185" s="1830"/>
      <c r="J185" s="1830"/>
      <c r="K185" s="1831" t="s">
        <v>15</v>
      </c>
      <c r="L185" s="1831"/>
      <c r="M185" s="870"/>
      <c r="N185" s="871"/>
      <c r="O185" s="872"/>
      <c r="P185" s="966">
        <v>7788</v>
      </c>
      <c r="Q185" s="963"/>
      <c r="R185" s="892"/>
      <c r="S185" s="1838"/>
      <c r="T185" s="1839"/>
      <c r="U185" s="1829"/>
    </row>
    <row r="186" spans="3:21" ht="15" customHeight="1" thickBot="1">
      <c r="C186" s="1833"/>
      <c r="D186" s="1833"/>
      <c r="E186" s="1835"/>
      <c r="F186" s="1835"/>
      <c r="G186" s="1835"/>
      <c r="H186" s="1830"/>
      <c r="I186" s="1830"/>
      <c r="J186" s="1830"/>
      <c r="K186" s="1831"/>
      <c r="L186" s="1831"/>
      <c r="M186" s="870"/>
      <c r="N186" s="871"/>
      <c r="O186" s="872"/>
      <c r="P186" s="966"/>
      <c r="Q186" s="963"/>
      <c r="R186" s="892"/>
      <c r="S186" s="1838"/>
      <c r="T186" s="1839"/>
      <c r="U186" s="1829"/>
    </row>
    <row r="187" spans="3:21" ht="15" customHeight="1" thickBot="1">
      <c r="C187" s="1833"/>
      <c r="D187" s="1833"/>
      <c r="E187" s="1835"/>
      <c r="F187" s="1835"/>
      <c r="G187" s="1835"/>
      <c r="H187" s="1830"/>
      <c r="I187" s="1830"/>
      <c r="J187" s="1830"/>
      <c r="K187" s="1832" t="s">
        <v>17</v>
      </c>
      <c r="L187" s="1832"/>
      <c r="M187" s="883"/>
      <c r="N187" s="884"/>
      <c r="O187" s="885">
        <f>Q187/P187</f>
        <v>0</v>
      </c>
      <c r="P187" s="1012">
        <v>145</v>
      </c>
      <c r="Q187" s="1038"/>
      <c r="R187" s="895"/>
      <c r="S187" s="1838"/>
      <c r="T187" s="1839"/>
      <c r="U187" s="1829"/>
    </row>
    <row r="188" spans="3:21" ht="15" customHeight="1" thickBot="1">
      <c r="C188" s="1833" t="s">
        <v>645</v>
      </c>
      <c r="D188" s="1833"/>
      <c r="E188" s="1834" t="s">
        <v>173</v>
      </c>
      <c r="F188" s="1835"/>
      <c r="G188" s="1835"/>
      <c r="H188" s="1836"/>
      <c r="I188" s="1836"/>
      <c r="J188" s="1836"/>
      <c r="K188" s="1837" t="s">
        <v>10</v>
      </c>
      <c r="L188" s="1837"/>
      <c r="M188" s="863"/>
      <c r="N188" s="864"/>
      <c r="O188" s="865"/>
      <c r="P188" s="866">
        <f>Y733</f>
        <v>0</v>
      </c>
      <c r="Q188" s="867">
        <f>AA733</f>
        <v>0</v>
      </c>
      <c r="R188" s="889"/>
      <c r="S188" s="1838">
        <f>SUM(Q188:Q192)+R189</f>
        <v>54113.01</v>
      </c>
      <c r="T188" s="1839">
        <v>150000</v>
      </c>
      <c r="U188" s="1829" t="s">
        <v>596</v>
      </c>
    </row>
    <row r="189" spans="3:21" ht="15" customHeight="1" thickBot="1">
      <c r="C189" s="1833"/>
      <c r="D189" s="1833"/>
      <c r="E189" s="1835"/>
      <c r="F189" s="1835"/>
      <c r="G189" s="1835"/>
      <c r="H189" s="1830" t="s">
        <v>174</v>
      </c>
      <c r="I189" s="1830"/>
      <c r="J189" s="1830"/>
      <c r="K189" s="1831" t="s">
        <v>13</v>
      </c>
      <c r="L189" s="1831"/>
      <c r="M189" s="870"/>
      <c r="N189" s="871"/>
      <c r="O189" s="876" t="e">
        <f>Q189/P189</f>
        <v>#DIV/0!</v>
      </c>
      <c r="P189" s="966">
        <v>0</v>
      </c>
      <c r="Q189" s="963">
        <v>54113.01</v>
      </c>
      <c r="R189" s="892"/>
      <c r="S189" s="1838"/>
      <c r="T189" s="1839"/>
      <c r="U189" s="1829"/>
    </row>
    <row r="190" spans="3:21" ht="15" customHeight="1" thickBot="1">
      <c r="C190" s="1833"/>
      <c r="D190" s="1833"/>
      <c r="E190" s="1835"/>
      <c r="F190" s="1835"/>
      <c r="G190" s="1835"/>
      <c r="H190" s="1830"/>
      <c r="I190" s="1830"/>
      <c r="J190" s="1830"/>
      <c r="K190" s="1831"/>
      <c r="L190" s="1831"/>
      <c r="M190" s="870"/>
      <c r="N190" s="871"/>
      <c r="O190" s="872"/>
      <c r="P190" s="966">
        <v>7788</v>
      </c>
      <c r="Q190" s="963"/>
      <c r="R190" s="892"/>
      <c r="S190" s="1838"/>
      <c r="T190" s="1839"/>
      <c r="U190" s="1829"/>
    </row>
    <row r="191" spans="3:21" ht="15" customHeight="1" thickBot="1">
      <c r="C191" s="1833"/>
      <c r="D191" s="1833"/>
      <c r="E191" s="1835"/>
      <c r="F191" s="1835"/>
      <c r="G191" s="1835"/>
      <c r="H191" s="1830"/>
      <c r="I191" s="1830"/>
      <c r="J191" s="1830"/>
      <c r="K191" s="1831"/>
      <c r="L191" s="1831"/>
      <c r="M191" s="870"/>
      <c r="N191" s="871"/>
      <c r="O191" s="872"/>
      <c r="P191" s="966"/>
      <c r="Q191" s="963"/>
      <c r="R191" s="892"/>
      <c r="S191" s="1838"/>
      <c r="T191" s="1839"/>
      <c r="U191" s="1829"/>
    </row>
    <row r="192" spans="3:21" ht="15" customHeight="1" thickBot="1">
      <c r="C192" s="1833"/>
      <c r="D192" s="1833"/>
      <c r="E192" s="1835"/>
      <c r="F192" s="1835"/>
      <c r="G192" s="1835"/>
      <c r="H192" s="1830"/>
      <c r="I192" s="1830"/>
      <c r="J192" s="1830"/>
      <c r="K192" s="1832" t="s">
        <v>17</v>
      </c>
      <c r="L192" s="1832"/>
      <c r="M192" s="883"/>
      <c r="N192" s="884"/>
      <c r="O192" s="885">
        <f>Q192/P192</f>
        <v>0</v>
      </c>
      <c r="P192" s="1012">
        <v>145</v>
      </c>
      <c r="Q192" s="1038"/>
      <c r="R192" s="895"/>
      <c r="S192" s="1838"/>
      <c r="T192" s="1839"/>
      <c r="U192" s="1829"/>
    </row>
    <row r="193" spans="1:106" ht="15" customHeight="1">
      <c r="C193" s="781"/>
      <c r="D193" s="781"/>
      <c r="E193" s="781"/>
      <c r="F193" s="781"/>
      <c r="G193" s="781"/>
      <c r="H193" s="782"/>
      <c r="I193" s="782"/>
      <c r="J193" s="782"/>
      <c r="K193" s="785"/>
      <c r="L193" s="785"/>
      <c r="M193" s="989"/>
      <c r="N193" s="989"/>
      <c r="O193" s="792"/>
      <c r="P193" s="1050"/>
      <c r="Q193" s="1050"/>
      <c r="R193" s="784"/>
      <c r="S193" s="1051"/>
      <c r="T193" s="1052"/>
      <c r="U193" s="1053"/>
    </row>
    <row r="194" spans="1:106" ht="15" customHeight="1">
      <c r="C194" s="801"/>
      <c r="D194" s="801"/>
      <c r="E194" s="801"/>
      <c r="F194" s="801"/>
      <c r="G194" s="801"/>
      <c r="H194" s="1054"/>
      <c r="I194" s="1054"/>
      <c r="J194" s="1054"/>
      <c r="K194" s="1055"/>
      <c r="L194" s="1055"/>
      <c r="M194" s="1056"/>
      <c r="N194" s="1056"/>
      <c r="O194" s="1057"/>
      <c r="P194" s="1058"/>
      <c r="Q194" s="1058"/>
      <c r="R194" s="1059"/>
      <c r="S194" s="1060" t="e">
        <f>SUM(S5:S193)</f>
        <v>#REF!</v>
      </c>
      <c r="T194" s="1061">
        <f>SUM(T5:T187)</f>
        <v>6942500</v>
      </c>
      <c r="U194" s="869"/>
    </row>
    <row r="195" spans="1:106" ht="15" customHeight="1">
      <c r="C195" s="801"/>
      <c r="D195" s="801"/>
      <c r="E195" s="801"/>
      <c r="F195" s="801"/>
      <c r="G195" s="801"/>
      <c r="H195" s="1054"/>
      <c r="I195" s="1054"/>
      <c r="J195" s="1054"/>
      <c r="K195" s="1055"/>
      <c r="L195" s="1055"/>
      <c r="M195" s="1056"/>
      <c r="N195" s="1056"/>
      <c r="O195" s="1057"/>
      <c r="P195" s="1058"/>
      <c r="Q195" s="1058"/>
      <c r="R195" s="1059"/>
      <c r="S195" s="1062"/>
      <c r="T195" s="1063"/>
      <c r="U195" s="869"/>
    </row>
    <row r="196" spans="1:106" ht="15" customHeight="1" thickBot="1">
      <c r="C196" s="1828"/>
      <c r="D196" s="1828"/>
      <c r="E196" s="1828"/>
      <c r="F196" s="1828"/>
      <c r="G196" s="1828"/>
      <c r="H196" s="1828"/>
      <c r="I196" s="1828"/>
      <c r="J196" s="1828"/>
      <c r="K196" s="1828"/>
      <c r="L196" s="1828"/>
      <c r="M196" s="1828"/>
      <c r="N196" s="1828"/>
      <c r="O196" s="1828"/>
      <c r="P196" s="1828"/>
      <c r="Q196" s="1828"/>
      <c r="R196" s="1828"/>
      <c r="S196" s="1828"/>
      <c r="T196" s="1828"/>
      <c r="U196" s="1828"/>
    </row>
    <row r="197" spans="1:106" ht="15" customHeight="1" thickBot="1">
      <c r="C197" s="1740" t="s">
        <v>646</v>
      </c>
      <c r="D197" s="1740"/>
      <c r="E197" s="1740"/>
      <c r="F197" s="1740"/>
      <c r="G197" s="1740"/>
      <c r="H197" s="1740"/>
      <c r="I197" s="1740"/>
      <c r="J197" s="1740"/>
      <c r="K197" s="1740"/>
      <c r="L197" s="1740"/>
      <c r="M197" s="1740"/>
      <c r="N197" s="1740"/>
      <c r="O197" s="1740"/>
      <c r="P197" s="1740"/>
      <c r="Q197" s="1740"/>
      <c r="R197" s="1740"/>
      <c r="S197" s="1740"/>
      <c r="T197" s="1740"/>
      <c r="U197" s="1740"/>
    </row>
    <row r="198" spans="1:106" ht="15" customHeight="1" thickBot="1">
      <c r="C198" s="1740" t="s">
        <v>647</v>
      </c>
      <c r="D198" s="1740"/>
      <c r="E198" s="1740"/>
      <c r="F198" s="1740"/>
      <c r="G198" s="1740"/>
      <c r="H198" s="1740"/>
      <c r="I198" s="1740"/>
      <c r="J198" s="1740"/>
      <c r="K198" s="1740"/>
      <c r="L198" s="1740"/>
      <c r="M198" s="1740"/>
      <c r="N198" s="1740"/>
      <c r="O198" s="1740"/>
      <c r="P198" s="1740"/>
      <c r="Q198" s="1740"/>
      <c r="R198" s="1740"/>
      <c r="S198" s="1740"/>
      <c r="T198" s="1740"/>
      <c r="U198" s="1740"/>
    </row>
    <row r="199" spans="1:106" ht="15" customHeight="1" thickBot="1">
      <c r="A199" s="1064"/>
      <c r="B199" s="1064"/>
      <c r="C199" s="1741" t="s">
        <v>648</v>
      </c>
      <c r="D199" s="1742" t="s">
        <v>649</v>
      </c>
      <c r="E199" s="1742"/>
      <c r="F199" s="1742"/>
      <c r="G199" s="1742"/>
      <c r="H199" s="1759" t="s">
        <v>650</v>
      </c>
      <c r="I199" s="1759"/>
      <c r="J199" s="1743" t="s">
        <v>651</v>
      </c>
      <c r="K199" s="1743"/>
      <c r="L199" s="1743"/>
      <c r="M199" s="1743" t="s">
        <v>652</v>
      </c>
      <c r="N199" s="1743"/>
      <c r="O199" s="1743"/>
      <c r="P199" s="1743"/>
      <c r="Q199" s="1743"/>
      <c r="R199" s="1743"/>
      <c r="S199" s="1743" t="s">
        <v>6</v>
      </c>
      <c r="T199" s="1744" t="s">
        <v>653</v>
      </c>
      <c r="U199" s="1745" t="s">
        <v>654</v>
      </c>
      <c r="V199" s="1064"/>
      <c r="W199" s="1064"/>
      <c r="X199" s="1064"/>
      <c r="Y199" s="1064"/>
      <c r="Z199" s="1064"/>
      <c r="AA199" s="1064"/>
      <c r="AB199" s="1064"/>
      <c r="AC199" s="1064"/>
      <c r="AD199" s="1064"/>
      <c r="AE199" s="1064"/>
      <c r="AF199" s="1064"/>
      <c r="AG199" s="1064"/>
      <c r="AH199" s="1064"/>
      <c r="AI199" s="1064"/>
      <c r="AJ199" s="1064"/>
      <c r="AK199" s="1064"/>
      <c r="AL199" s="1064"/>
      <c r="AM199" s="1064"/>
      <c r="AN199" s="1064"/>
      <c r="AO199" s="1064"/>
      <c r="AP199" s="1064"/>
      <c r="AQ199" s="1064"/>
      <c r="AR199" s="1064"/>
      <c r="AS199" s="1064"/>
      <c r="AT199" s="1064"/>
      <c r="AU199" s="1064"/>
      <c r="AV199" s="1064"/>
      <c r="AW199" s="1064"/>
      <c r="AX199" s="1064"/>
      <c r="AY199" s="1064"/>
      <c r="AZ199" s="1064"/>
      <c r="BA199" s="1064"/>
      <c r="BB199" s="1064"/>
      <c r="BC199" s="1064"/>
      <c r="BD199" s="1064"/>
      <c r="BE199" s="1064"/>
      <c r="BF199" s="1064"/>
      <c r="BG199" s="1064"/>
      <c r="BH199" s="1064"/>
      <c r="BI199" s="1064"/>
      <c r="BJ199" s="1064"/>
      <c r="BK199" s="1064"/>
      <c r="BL199" s="1064"/>
      <c r="BM199" s="1064"/>
      <c r="BN199" s="1064"/>
      <c r="BO199" s="1064"/>
      <c r="BP199" s="1064"/>
      <c r="BQ199" s="1064"/>
      <c r="BR199" s="1064"/>
      <c r="BS199" s="1064"/>
      <c r="BT199" s="1064"/>
      <c r="BU199" s="1064"/>
      <c r="BV199" s="1064"/>
      <c r="BW199" s="1064"/>
      <c r="BX199" s="1064"/>
      <c r="BY199" s="1064"/>
      <c r="BZ199" s="1064"/>
      <c r="CA199" s="1064"/>
      <c r="CB199" s="1064"/>
      <c r="CC199" s="1064"/>
      <c r="CD199" s="1064"/>
      <c r="CE199" s="1064"/>
      <c r="CF199" s="1064"/>
      <c r="CG199" s="1064"/>
      <c r="CH199" s="1064"/>
      <c r="CI199" s="1064"/>
      <c r="CJ199" s="1064"/>
      <c r="CK199" s="1064"/>
      <c r="CL199" s="1064"/>
      <c r="CM199" s="1064"/>
      <c r="CN199" s="1064"/>
      <c r="CO199" s="1064"/>
      <c r="CP199" s="1064"/>
      <c r="CQ199" s="1064"/>
      <c r="CR199" s="1064"/>
      <c r="CS199" s="1064"/>
      <c r="CT199" s="1064"/>
      <c r="CU199" s="1064"/>
      <c r="CV199" s="1064"/>
      <c r="CW199" s="1064"/>
      <c r="CX199" s="1064"/>
      <c r="CY199" s="1064"/>
      <c r="CZ199" s="1064"/>
      <c r="DA199" s="1064"/>
      <c r="DB199" s="1064"/>
    </row>
    <row r="200" spans="1:106" ht="15" customHeight="1">
      <c r="C200" s="1741"/>
      <c r="D200" s="1742"/>
      <c r="E200" s="1742"/>
      <c r="F200" s="1742"/>
      <c r="G200" s="1742"/>
      <c r="H200" s="1759"/>
      <c r="I200" s="1759"/>
      <c r="J200" s="1743"/>
      <c r="K200" s="1743"/>
      <c r="L200" s="1743"/>
      <c r="M200" s="1743"/>
      <c r="N200" s="1743"/>
      <c r="O200" s="1743"/>
      <c r="P200" s="1743"/>
      <c r="Q200" s="1743"/>
      <c r="R200" s="1743"/>
      <c r="S200" s="1743"/>
      <c r="T200" s="1744"/>
      <c r="U200" s="1745"/>
    </row>
    <row r="201" spans="1:106" ht="15" customHeight="1" thickBot="1">
      <c r="A201" s="1065"/>
      <c r="B201" s="1065"/>
      <c r="C201" s="1066" t="s">
        <v>655</v>
      </c>
      <c r="D201" s="1827" t="s">
        <v>656</v>
      </c>
      <c r="E201" s="1827"/>
      <c r="F201" s="1827"/>
      <c r="G201" s="1827"/>
      <c r="H201" s="1811" t="s">
        <v>657</v>
      </c>
      <c r="I201" s="1811"/>
      <c r="J201" s="1811" t="s">
        <v>658</v>
      </c>
      <c r="K201" s="1811"/>
      <c r="L201" s="1811"/>
      <c r="M201" s="1811" t="s">
        <v>659</v>
      </c>
      <c r="N201" s="1811"/>
      <c r="O201" s="1811"/>
      <c r="P201" s="1811"/>
      <c r="Q201" s="1811"/>
      <c r="R201" s="1811"/>
      <c r="S201" s="1067">
        <v>500</v>
      </c>
      <c r="T201" s="1068">
        <v>500</v>
      </c>
      <c r="U201" s="1739">
        <f>SUM(T201:T218)</f>
        <v>9000</v>
      </c>
      <c r="V201" s="1065"/>
      <c r="W201" s="1065"/>
      <c r="X201" s="1065"/>
      <c r="Y201" s="1065"/>
      <c r="Z201" s="1065"/>
      <c r="AA201" s="1065"/>
      <c r="AB201" s="1065"/>
      <c r="AC201" s="1065"/>
      <c r="AD201" s="1065"/>
      <c r="AE201" s="1065"/>
      <c r="AF201" s="1065"/>
      <c r="AG201" s="1065"/>
      <c r="AH201" s="1065"/>
      <c r="AI201" s="1065"/>
      <c r="AJ201" s="1065"/>
      <c r="AK201" s="1065"/>
      <c r="AL201" s="1065"/>
      <c r="AM201" s="1065"/>
      <c r="AN201" s="1065"/>
      <c r="AO201" s="1065"/>
      <c r="AP201" s="1065"/>
      <c r="AQ201" s="1065"/>
      <c r="AR201" s="1065"/>
      <c r="AS201" s="1065"/>
      <c r="AT201" s="1065"/>
      <c r="AU201" s="1065"/>
      <c r="AV201" s="1065"/>
      <c r="AW201" s="1065"/>
      <c r="AX201" s="1065"/>
      <c r="AY201" s="1065"/>
      <c r="AZ201" s="1065"/>
      <c r="BA201" s="1065"/>
      <c r="BB201" s="1065"/>
      <c r="BC201" s="1065"/>
      <c r="BD201" s="1065"/>
      <c r="BE201" s="1065"/>
      <c r="BF201" s="1065"/>
      <c r="BG201" s="1065"/>
      <c r="BH201" s="1065"/>
      <c r="BI201" s="1065"/>
      <c r="BJ201" s="1065"/>
      <c r="BK201" s="1065"/>
      <c r="BL201" s="1065"/>
      <c r="BM201" s="1065"/>
      <c r="BN201" s="1065"/>
      <c r="BO201" s="1065"/>
      <c r="BP201" s="1065"/>
      <c r="BQ201" s="1065"/>
      <c r="BR201" s="1065"/>
      <c r="BS201" s="1065"/>
      <c r="BT201" s="1065"/>
      <c r="BU201" s="1065"/>
      <c r="BV201" s="1065"/>
      <c r="BW201" s="1065"/>
      <c r="BX201" s="1065"/>
      <c r="BY201" s="1065"/>
      <c r="BZ201" s="1065"/>
      <c r="CA201" s="1065"/>
      <c r="CB201" s="1065"/>
      <c r="CC201" s="1065"/>
      <c r="CD201" s="1065"/>
      <c r="CE201" s="1065"/>
      <c r="CF201" s="1065"/>
      <c r="CG201" s="1065"/>
      <c r="CH201" s="1065"/>
      <c r="CI201" s="1065"/>
      <c r="CJ201" s="1065"/>
      <c r="CK201" s="1065"/>
      <c r="CL201" s="1065"/>
      <c r="CM201" s="1065"/>
      <c r="CN201" s="1065"/>
      <c r="CO201" s="1065"/>
      <c r="CP201" s="1065"/>
      <c r="CQ201" s="1065"/>
      <c r="CR201" s="1065"/>
      <c r="CS201" s="1065"/>
      <c r="CT201" s="1065"/>
      <c r="CU201" s="1065"/>
      <c r="CV201" s="1065"/>
      <c r="CW201" s="1065"/>
      <c r="CX201" s="1065"/>
      <c r="CY201" s="1065"/>
      <c r="CZ201" s="1065"/>
      <c r="DA201" s="1065"/>
      <c r="DB201" s="1065"/>
    </row>
    <row r="202" spans="1:106" ht="15" customHeight="1" thickBot="1">
      <c r="A202" s="1065"/>
      <c r="B202" s="1065"/>
      <c r="C202" s="1066" t="s">
        <v>660</v>
      </c>
      <c r="D202" s="1827"/>
      <c r="E202" s="1827"/>
      <c r="F202" s="1827"/>
      <c r="G202" s="1827"/>
      <c r="H202" s="1811"/>
      <c r="I202" s="1811"/>
      <c r="J202" s="1811"/>
      <c r="K202" s="1811"/>
      <c r="L202" s="1811"/>
      <c r="M202" s="1811"/>
      <c r="N202" s="1811"/>
      <c r="O202" s="1811"/>
      <c r="P202" s="1811"/>
      <c r="Q202" s="1811"/>
      <c r="R202" s="1811"/>
      <c r="S202" s="1067">
        <v>500</v>
      </c>
      <c r="T202" s="1068">
        <v>500</v>
      </c>
      <c r="U202" s="1739"/>
      <c r="V202" s="1065"/>
      <c r="W202" s="1065"/>
      <c r="X202" s="1065"/>
      <c r="Y202" s="1065"/>
      <c r="Z202" s="1065"/>
      <c r="AA202" s="1065"/>
      <c r="AB202" s="1065"/>
      <c r="AC202" s="1065"/>
      <c r="AD202" s="1065"/>
      <c r="AE202" s="1065"/>
      <c r="AF202" s="1065"/>
      <c r="AG202" s="1065"/>
      <c r="AH202" s="1065"/>
      <c r="AI202" s="1065"/>
      <c r="AJ202" s="1065"/>
      <c r="AK202" s="1065"/>
      <c r="AL202" s="1065"/>
      <c r="AM202" s="1065"/>
      <c r="AN202" s="1065"/>
      <c r="AO202" s="1065"/>
      <c r="AP202" s="1065"/>
      <c r="AQ202" s="1065"/>
      <c r="AR202" s="1065"/>
      <c r="AS202" s="1065"/>
      <c r="AT202" s="1065"/>
      <c r="AU202" s="1065"/>
      <c r="AV202" s="1065"/>
      <c r="AW202" s="1065"/>
      <c r="AX202" s="1065"/>
      <c r="AY202" s="1065"/>
      <c r="AZ202" s="1065"/>
      <c r="BA202" s="1065"/>
      <c r="BB202" s="1065"/>
      <c r="BC202" s="1065"/>
      <c r="BD202" s="1065"/>
      <c r="BE202" s="1065"/>
      <c r="BF202" s="1065"/>
      <c r="BG202" s="1065"/>
      <c r="BH202" s="1065"/>
      <c r="BI202" s="1065"/>
      <c r="BJ202" s="1065"/>
      <c r="BK202" s="1065"/>
      <c r="BL202" s="1065"/>
      <c r="BM202" s="1065"/>
      <c r="BN202" s="1065"/>
      <c r="BO202" s="1065"/>
      <c r="BP202" s="1065"/>
      <c r="BQ202" s="1065"/>
      <c r="BR202" s="1065"/>
      <c r="BS202" s="1065"/>
      <c r="BT202" s="1065"/>
      <c r="BU202" s="1065"/>
      <c r="BV202" s="1065"/>
      <c r="BW202" s="1065"/>
      <c r="BX202" s="1065"/>
      <c r="BY202" s="1065"/>
      <c r="BZ202" s="1065"/>
      <c r="CA202" s="1065"/>
      <c r="CB202" s="1065"/>
      <c r="CC202" s="1065"/>
      <c r="CD202" s="1065"/>
      <c r="CE202" s="1065"/>
      <c r="CF202" s="1065"/>
      <c r="CG202" s="1065"/>
      <c r="CH202" s="1065"/>
      <c r="CI202" s="1065"/>
      <c r="CJ202" s="1065"/>
      <c r="CK202" s="1065"/>
      <c r="CL202" s="1065"/>
      <c r="CM202" s="1065"/>
      <c r="CN202" s="1065"/>
      <c r="CO202" s="1065"/>
      <c r="CP202" s="1065"/>
      <c r="CQ202" s="1065"/>
      <c r="CR202" s="1065"/>
      <c r="CS202" s="1065"/>
      <c r="CT202" s="1065"/>
      <c r="CU202" s="1065"/>
      <c r="CV202" s="1065"/>
      <c r="CW202" s="1065"/>
      <c r="CX202" s="1065"/>
      <c r="CY202" s="1065"/>
      <c r="CZ202" s="1065"/>
      <c r="DA202" s="1065"/>
      <c r="DB202" s="1065"/>
    </row>
    <row r="203" spans="1:106" ht="15" customHeight="1" thickBot="1">
      <c r="A203" s="1065"/>
      <c r="B203" s="1065"/>
      <c r="C203" s="1066" t="s">
        <v>661</v>
      </c>
      <c r="D203" s="1827"/>
      <c r="E203" s="1827"/>
      <c r="F203" s="1827"/>
      <c r="G203" s="1827"/>
      <c r="H203" s="1811"/>
      <c r="I203" s="1811"/>
      <c r="J203" s="1811"/>
      <c r="K203" s="1811"/>
      <c r="L203" s="1811"/>
      <c r="M203" s="1811"/>
      <c r="N203" s="1811"/>
      <c r="O203" s="1811"/>
      <c r="P203" s="1811"/>
      <c r="Q203" s="1811"/>
      <c r="R203" s="1811"/>
      <c r="S203" s="1067">
        <v>500</v>
      </c>
      <c r="T203" s="1068">
        <v>500</v>
      </c>
      <c r="U203" s="1739"/>
      <c r="V203" s="1065"/>
      <c r="W203" s="1065"/>
      <c r="X203" s="1065"/>
      <c r="Y203" s="1065"/>
      <c r="Z203" s="1065"/>
      <c r="AA203" s="1065"/>
      <c r="AB203" s="1065"/>
      <c r="AC203" s="1065"/>
      <c r="AD203" s="1065"/>
      <c r="AE203" s="1065"/>
      <c r="AF203" s="1065"/>
      <c r="AG203" s="1065"/>
      <c r="AH203" s="1065"/>
      <c r="AI203" s="1065"/>
      <c r="AJ203" s="1065"/>
      <c r="AK203" s="1065"/>
      <c r="AL203" s="1065"/>
      <c r="AM203" s="1065"/>
      <c r="AN203" s="1065"/>
      <c r="AO203" s="1065"/>
      <c r="AP203" s="1065"/>
      <c r="AQ203" s="1065"/>
      <c r="AR203" s="1065"/>
      <c r="AS203" s="1065"/>
      <c r="AT203" s="1065"/>
      <c r="AU203" s="1065"/>
      <c r="AV203" s="1065"/>
      <c r="AW203" s="1065"/>
      <c r="AX203" s="1065"/>
      <c r="AY203" s="1065"/>
      <c r="AZ203" s="1065"/>
      <c r="BA203" s="1065"/>
      <c r="BB203" s="1065"/>
      <c r="BC203" s="1065"/>
      <c r="BD203" s="1065"/>
      <c r="BE203" s="1065"/>
      <c r="BF203" s="1065"/>
      <c r="BG203" s="1065"/>
      <c r="BH203" s="1065"/>
      <c r="BI203" s="1065"/>
      <c r="BJ203" s="1065"/>
      <c r="BK203" s="1065"/>
      <c r="BL203" s="1065"/>
      <c r="BM203" s="1065"/>
      <c r="BN203" s="1065"/>
      <c r="BO203" s="1065"/>
      <c r="BP203" s="1065"/>
      <c r="BQ203" s="1065"/>
      <c r="BR203" s="1065"/>
      <c r="BS203" s="1065"/>
      <c r="BT203" s="1065"/>
      <c r="BU203" s="1065"/>
      <c r="BV203" s="1065"/>
      <c r="BW203" s="1065"/>
      <c r="BX203" s="1065"/>
      <c r="BY203" s="1065"/>
      <c r="BZ203" s="1065"/>
      <c r="CA203" s="1065"/>
      <c r="CB203" s="1065"/>
      <c r="CC203" s="1065"/>
      <c r="CD203" s="1065"/>
      <c r="CE203" s="1065"/>
      <c r="CF203" s="1065"/>
      <c r="CG203" s="1065"/>
      <c r="CH203" s="1065"/>
      <c r="CI203" s="1065"/>
      <c r="CJ203" s="1065"/>
      <c r="CK203" s="1065"/>
      <c r="CL203" s="1065"/>
      <c r="CM203" s="1065"/>
      <c r="CN203" s="1065"/>
      <c r="CO203" s="1065"/>
      <c r="CP203" s="1065"/>
      <c r="CQ203" s="1065"/>
      <c r="CR203" s="1065"/>
      <c r="CS203" s="1065"/>
      <c r="CT203" s="1065"/>
      <c r="CU203" s="1065"/>
      <c r="CV203" s="1065"/>
      <c r="CW203" s="1065"/>
      <c r="CX203" s="1065"/>
      <c r="CY203" s="1065"/>
      <c r="CZ203" s="1065"/>
      <c r="DA203" s="1065"/>
      <c r="DB203" s="1065"/>
    </row>
    <row r="204" spans="1:106" ht="15" customHeight="1" thickBot="1">
      <c r="A204" s="1065"/>
      <c r="B204" s="1065"/>
      <c r="C204" s="1066" t="s">
        <v>492</v>
      </c>
      <c r="D204" s="1827"/>
      <c r="E204" s="1827"/>
      <c r="F204" s="1827"/>
      <c r="G204" s="1827"/>
      <c r="H204" s="1811"/>
      <c r="I204" s="1811"/>
      <c r="J204" s="1811"/>
      <c r="K204" s="1811"/>
      <c r="L204" s="1811"/>
      <c r="M204" s="1811"/>
      <c r="N204" s="1811"/>
      <c r="O204" s="1811"/>
      <c r="P204" s="1811"/>
      <c r="Q204" s="1811"/>
      <c r="R204" s="1811"/>
      <c r="S204" s="1067">
        <v>500</v>
      </c>
      <c r="T204" s="1068">
        <v>500</v>
      </c>
      <c r="U204" s="1739"/>
      <c r="V204" s="1065"/>
      <c r="W204" s="1065"/>
      <c r="X204" s="1065"/>
      <c r="Y204" s="1065"/>
      <c r="Z204" s="1065"/>
      <c r="AA204" s="1065"/>
      <c r="AB204" s="1065"/>
      <c r="AC204" s="1065"/>
      <c r="AD204" s="1065"/>
      <c r="AE204" s="1065"/>
      <c r="AF204" s="1065"/>
      <c r="AG204" s="1065"/>
      <c r="AH204" s="1065"/>
      <c r="AI204" s="1065"/>
      <c r="AJ204" s="1065"/>
      <c r="AK204" s="1065"/>
      <c r="AL204" s="1065"/>
      <c r="AM204" s="1065"/>
      <c r="AN204" s="1065"/>
      <c r="AO204" s="1065"/>
      <c r="AP204" s="1065"/>
      <c r="AQ204" s="1065"/>
      <c r="AR204" s="1065"/>
      <c r="AS204" s="1065"/>
      <c r="AT204" s="1065"/>
      <c r="AU204" s="1065"/>
      <c r="AV204" s="1065"/>
      <c r="AW204" s="1065"/>
      <c r="AX204" s="1065"/>
      <c r="AY204" s="1065"/>
      <c r="AZ204" s="1065"/>
      <c r="BA204" s="1065"/>
      <c r="BB204" s="1065"/>
      <c r="BC204" s="1065"/>
      <c r="BD204" s="1065"/>
      <c r="BE204" s="1065"/>
      <c r="BF204" s="1065"/>
      <c r="BG204" s="1065"/>
      <c r="BH204" s="1065"/>
      <c r="BI204" s="1065"/>
      <c r="BJ204" s="1065"/>
      <c r="BK204" s="1065"/>
      <c r="BL204" s="1065"/>
      <c r="BM204" s="1065"/>
      <c r="BN204" s="1065"/>
      <c r="BO204" s="1065"/>
      <c r="BP204" s="1065"/>
      <c r="BQ204" s="1065"/>
      <c r="BR204" s="1065"/>
      <c r="BS204" s="1065"/>
      <c r="BT204" s="1065"/>
      <c r="BU204" s="1065"/>
      <c r="BV204" s="1065"/>
      <c r="BW204" s="1065"/>
      <c r="BX204" s="1065"/>
      <c r="BY204" s="1065"/>
      <c r="BZ204" s="1065"/>
      <c r="CA204" s="1065"/>
      <c r="CB204" s="1065"/>
      <c r="CC204" s="1065"/>
      <c r="CD204" s="1065"/>
      <c r="CE204" s="1065"/>
      <c r="CF204" s="1065"/>
      <c r="CG204" s="1065"/>
      <c r="CH204" s="1065"/>
      <c r="CI204" s="1065"/>
      <c r="CJ204" s="1065"/>
      <c r="CK204" s="1065"/>
      <c r="CL204" s="1065"/>
      <c r="CM204" s="1065"/>
      <c r="CN204" s="1065"/>
      <c r="CO204" s="1065"/>
      <c r="CP204" s="1065"/>
      <c r="CQ204" s="1065"/>
      <c r="CR204" s="1065"/>
      <c r="CS204" s="1065"/>
      <c r="CT204" s="1065"/>
      <c r="CU204" s="1065"/>
      <c r="CV204" s="1065"/>
      <c r="CW204" s="1065"/>
      <c r="CX204" s="1065"/>
      <c r="CY204" s="1065"/>
      <c r="CZ204" s="1065"/>
      <c r="DA204" s="1065"/>
      <c r="DB204" s="1065"/>
    </row>
    <row r="205" spans="1:106" ht="15" customHeight="1" thickBot="1">
      <c r="A205" s="1065"/>
      <c r="B205" s="1065"/>
      <c r="C205" s="1066" t="s">
        <v>662</v>
      </c>
      <c r="D205" s="1827"/>
      <c r="E205" s="1827"/>
      <c r="F205" s="1827"/>
      <c r="G205" s="1827"/>
      <c r="H205" s="1811"/>
      <c r="I205" s="1811"/>
      <c r="J205" s="1811"/>
      <c r="K205" s="1811"/>
      <c r="L205" s="1811"/>
      <c r="M205" s="1811"/>
      <c r="N205" s="1811"/>
      <c r="O205" s="1811"/>
      <c r="P205" s="1811"/>
      <c r="Q205" s="1811"/>
      <c r="R205" s="1811"/>
      <c r="S205" s="1067">
        <v>500</v>
      </c>
      <c r="T205" s="1068">
        <v>500</v>
      </c>
      <c r="U205" s="1739"/>
      <c r="V205" s="1065"/>
      <c r="W205" s="1065"/>
      <c r="X205" s="1065"/>
      <c r="Y205" s="1065"/>
      <c r="Z205" s="1065"/>
      <c r="AA205" s="1065"/>
      <c r="AB205" s="1065"/>
      <c r="AC205" s="1065"/>
      <c r="AD205" s="1065"/>
      <c r="AE205" s="1065"/>
      <c r="AF205" s="1065"/>
      <c r="AG205" s="1065"/>
      <c r="AH205" s="1065"/>
      <c r="AI205" s="1065"/>
      <c r="AJ205" s="1065"/>
      <c r="AK205" s="1065"/>
      <c r="AL205" s="1065"/>
      <c r="AM205" s="1065"/>
      <c r="AN205" s="1065"/>
      <c r="AO205" s="1065"/>
      <c r="AP205" s="1065"/>
      <c r="AQ205" s="1065"/>
      <c r="AR205" s="1065"/>
      <c r="AS205" s="1065"/>
      <c r="AT205" s="1065"/>
      <c r="AU205" s="1065"/>
      <c r="AV205" s="1065"/>
      <c r="AW205" s="1065"/>
      <c r="AX205" s="1065"/>
      <c r="AY205" s="1065"/>
      <c r="AZ205" s="1065"/>
      <c r="BA205" s="1065"/>
      <c r="BB205" s="1065"/>
      <c r="BC205" s="1065"/>
      <c r="BD205" s="1065"/>
      <c r="BE205" s="1065"/>
      <c r="BF205" s="1065"/>
      <c r="BG205" s="1065"/>
      <c r="BH205" s="1065"/>
      <c r="BI205" s="1065"/>
      <c r="BJ205" s="1065"/>
      <c r="BK205" s="1065"/>
      <c r="BL205" s="1065"/>
      <c r="BM205" s="1065"/>
      <c r="BN205" s="1065"/>
      <c r="BO205" s="1065"/>
      <c r="BP205" s="1065"/>
      <c r="BQ205" s="1065"/>
      <c r="BR205" s="1065"/>
      <c r="BS205" s="1065"/>
      <c r="BT205" s="1065"/>
      <c r="BU205" s="1065"/>
      <c r="BV205" s="1065"/>
      <c r="BW205" s="1065"/>
      <c r="BX205" s="1065"/>
      <c r="BY205" s="1065"/>
      <c r="BZ205" s="1065"/>
      <c r="CA205" s="1065"/>
      <c r="CB205" s="1065"/>
      <c r="CC205" s="1065"/>
      <c r="CD205" s="1065"/>
      <c r="CE205" s="1065"/>
      <c r="CF205" s="1065"/>
      <c r="CG205" s="1065"/>
      <c r="CH205" s="1065"/>
      <c r="CI205" s="1065"/>
      <c r="CJ205" s="1065"/>
      <c r="CK205" s="1065"/>
      <c r="CL205" s="1065"/>
      <c r="CM205" s="1065"/>
      <c r="CN205" s="1065"/>
      <c r="CO205" s="1065"/>
      <c r="CP205" s="1065"/>
      <c r="CQ205" s="1065"/>
      <c r="CR205" s="1065"/>
      <c r="CS205" s="1065"/>
      <c r="CT205" s="1065"/>
      <c r="CU205" s="1065"/>
      <c r="CV205" s="1065"/>
      <c r="CW205" s="1065"/>
      <c r="CX205" s="1065"/>
      <c r="CY205" s="1065"/>
      <c r="CZ205" s="1065"/>
      <c r="DA205" s="1065"/>
      <c r="DB205" s="1065"/>
    </row>
    <row r="206" spans="1:106" ht="15" customHeight="1" thickBot="1">
      <c r="A206" s="1065"/>
      <c r="B206" s="1065"/>
      <c r="C206" s="1066" t="s">
        <v>496</v>
      </c>
      <c r="D206" s="1827"/>
      <c r="E206" s="1827"/>
      <c r="F206" s="1827"/>
      <c r="G206" s="1827"/>
      <c r="H206" s="1811"/>
      <c r="I206" s="1811"/>
      <c r="J206" s="1811"/>
      <c r="K206" s="1811"/>
      <c r="L206" s="1811"/>
      <c r="M206" s="1811"/>
      <c r="N206" s="1811"/>
      <c r="O206" s="1811"/>
      <c r="P206" s="1811"/>
      <c r="Q206" s="1811"/>
      <c r="R206" s="1811"/>
      <c r="S206" s="1067">
        <v>500</v>
      </c>
      <c r="T206" s="1068">
        <v>500</v>
      </c>
      <c r="U206" s="1739"/>
      <c r="V206" s="1065"/>
      <c r="W206" s="1065"/>
      <c r="X206" s="1065"/>
      <c r="Y206" s="1065"/>
      <c r="Z206" s="1065"/>
      <c r="AA206" s="1065"/>
      <c r="AB206" s="1065"/>
      <c r="AC206" s="1065"/>
      <c r="AD206" s="1065"/>
      <c r="AE206" s="1065"/>
      <c r="AF206" s="1065"/>
      <c r="AG206" s="1065"/>
      <c r="AH206" s="1065"/>
      <c r="AI206" s="1065"/>
      <c r="AJ206" s="1065"/>
      <c r="AK206" s="1065"/>
      <c r="AL206" s="1065"/>
      <c r="AM206" s="1065"/>
      <c r="AN206" s="1065"/>
      <c r="AO206" s="1065"/>
      <c r="AP206" s="1065"/>
      <c r="AQ206" s="1065"/>
      <c r="AR206" s="1065"/>
      <c r="AS206" s="1065"/>
      <c r="AT206" s="1065"/>
      <c r="AU206" s="1065"/>
      <c r="AV206" s="1065"/>
      <c r="AW206" s="1065"/>
      <c r="AX206" s="1065"/>
      <c r="AY206" s="1065"/>
      <c r="AZ206" s="1065"/>
      <c r="BA206" s="1065"/>
      <c r="BB206" s="1065"/>
      <c r="BC206" s="1065"/>
      <c r="BD206" s="1065"/>
      <c r="BE206" s="1065"/>
      <c r="BF206" s="1065"/>
      <c r="BG206" s="1065"/>
      <c r="BH206" s="1065"/>
      <c r="BI206" s="1065"/>
      <c r="BJ206" s="1065"/>
      <c r="BK206" s="1065"/>
      <c r="BL206" s="1065"/>
      <c r="BM206" s="1065"/>
      <c r="BN206" s="1065"/>
      <c r="BO206" s="1065"/>
      <c r="BP206" s="1065"/>
      <c r="BQ206" s="1065"/>
      <c r="BR206" s="1065"/>
      <c r="BS206" s="1065"/>
      <c r="BT206" s="1065"/>
      <c r="BU206" s="1065"/>
      <c r="BV206" s="1065"/>
      <c r="BW206" s="1065"/>
      <c r="BX206" s="1065"/>
      <c r="BY206" s="1065"/>
      <c r="BZ206" s="1065"/>
      <c r="CA206" s="1065"/>
      <c r="CB206" s="1065"/>
      <c r="CC206" s="1065"/>
      <c r="CD206" s="1065"/>
      <c r="CE206" s="1065"/>
      <c r="CF206" s="1065"/>
      <c r="CG206" s="1065"/>
      <c r="CH206" s="1065"/>
      <c r="CI206" s="1065"/>
      <c r="CJ206" s="1065"/>
      <c r="CK206" s="1065"/>
      <c r="CL206" s="1065"/>
      <c r="CM206" s="1065"/>
      <c r="CN206" s="1065"/>
      <c r="CO206" s="1065"/>
      <c r="CP206" s="1065"/>
      <c r="CQ206" s="1065"/>
      <c r="CR206" s="1065"/>
      <c r="CS206" s="1065"/>
      <c r="CT206" s="1065"/>
      <c r="CU206" s="1065"/>
      <c r="CV206" s="1065"/>
      <c r="CW206" s="1065"/>
      <c r="CX206" s="1065"/>
      <c r="CY206" s="1065"/>
      <c r="CZ206" s="1065"/>
      <c r="DA206" s="1065"/>
      <c r="DB206" s="1065"/>
    </row>
    <row r="207" spans="1:106" ht="15" customHeight="1" thickBot="1">
      <c r="A207" s="1065"/>
      <c r="B207" s="1065"/>
      <c r="C207" s="1066" t="s">
        <v>663</v>
      </c>
      <c r="D207" s="1827"/>
      <c r="E207" s="1827"/>
      <c r="F207" s="1827"/>
      <c r="G207" s="1827"/>
      <c r="H207" s="1811"/>
      <c r="I207" s="1811"/>
      <c r="J207" s="1811"/>
      <c r="K207" s="1811"/>
      <c r="L207" s="1811"/>
      <c r="M207" s="1811"/>
      <c r="N207" s="1811"/>
      <c r="O207" s="1811"/>
      <c r="P207" s="1811"/>
      <c r="Q207" s="1811"/>
      <c r="R207" s="1811"/>
      <c r="S207" s="1067">
        <v>500</v>
      </c>
      <c r="T207" s="1068">
        <v>500</v>
      </c>
      <c r="U207" s="1739"/>
      <c r="V207" s="1065"/>
      <c r="W207" s="1065"/>
      <c r="X207" s="1065"/>
      <c r="Y207" s="1065"/>
      <c r="Z207" s="1065"/>
      <c r="AA207" s="1065"/>
      <c r="AB207" s="1065"/>
      <c r="AC207" s="1065"/>
      <c r="AD207" s="1065"/>
      <c r="AE207" s="1065"/>
      <c r="AF207" s="1065"/>
      <c r="AG207" s="1065"/>
      <c r="AH207" s="1065"/>
      <c r="AI207" s="1065"/>
      <c r="AJ207" s="1065"/>
      <c r="AK207" s="1065"/>
      <c r="AL207" s="1065"/>
      <c r="AM207" s="1065"/>
      <c r="AN207" s="1065"/>
      <c r="AO207" s="1065"/>
      <c r="AP207" s="1065"/>
      <c r="AQ207" s="1065"/>
      <c r="AR207" s="1065"/>
      <c r="AS207" s="1065"/>
      <c r="AT207" s="1065"/>
      <c r="AU207" s="1065"/>
      <c r="AV207" s="1065"/>
      <c r="AW207" s="1065"/>
      <c r="AX207" s="1065"/>
      <c r="AY207" s="1065"/>
      <c r="AZ207" s="1065"/>
      <c r="BA207" s="1065"/>
      <c r="BB207" s="1065"/>
      <c r="BC207" s="1065"/>
      <c r="BD207" s="1065"/>
      <c r="BE207" s="1065"/>
      <c r="BF207" s="1065"/>
      <c r="BG207" s="1065"/>
      <c r="BH207" s="1065"/>
      <c r="BI207" s="1065"/>
      <c r="BJ207" s="1065"/>
      <c r="BK207" s="1065"/>
      <c r="BL207" s="1065"/>
      <c r="BM207" s="1065"/>
      <c r="BN207" s="1065"/>
      <c r="BO207" s="1065"/>
      <c r="BP207" s="1065"/>
      <c r="BQ207" s="1065"/>
      <c r="BR207" s="1065"/>
      <c r="BS207" s="1065"/>
      <c r="BT207" s="1065"/>
      <c r="BU207" s="1065"/>
      <c r="BV207" s="1065"/>
      <c r="BW207" s="1065"/>
      <c r="BX207" s="1065"/>
      <c r="BY207" s="1065"/>
      <c r="BZ207" s="1065"/>
      <c r="CA207" s="1065"/>
      <c r="CB207" s="1065"/>
      <c r="CC207" s="1065"/>
      <c r="CD207" s="1065"/>
      <c r="CE207" s="1065"/>
      <c r="CF207" s="1065"/>
      <c r="CG207" s="1065"/>
      <c r="CH207" s="1065"/>
      <c r="CI207" s="1065"/>
      <c r="CJ207" s="1065"/>
      <c r="CK207" s="1065"/>
      <c r="CL207" s="1065"/>
      <c r="CM207" s="1065"/>
      <c r="CN207" s="1065"/>
      <c r="CO207" s="1065"/>
      <c r="CP207" s="1065"/>
      <c r="CQ207" s="1065"/>
      <c r="CR207" s="1065"/>
      <c r="CS207" s="1065"/>
      <c r="CT207" s="1065"/>
      <c r="CU207" s="1065"/>
      <c r="CV207" s="1065"/>
      <c r="CW207" s="1065"/>
      <c r="CX207" s="1065"/>
      <c r="CY207" s="1065"/>
      <c r="CZ207" s="1065"/>
      <c r="DA207" s="1065"/>
      <c r="DB207" s="1065"/>
    </row>
    <row r="208" spans="1:106" ht="15" customHeight="1" thickBot="1">
      <c r="A208" s="1065"/>
      <c r="B208" s="1065"/>
      <c r="C208" s="1066" t="s">
        <v>664</v>
      </c>
      <c r="D208" s="1827"/>
      <c r="E208" s="1827"/>
      <c r="F208" s="1827"/>
      <c r="G208" s="1827"/>
      <c r="H208" s="1811"/>
      <c r="I208" s="1811"/>
      <c r="J208" s="1811"/>
      <c r="K208" s="1811"/>
      <c r="L208" s="1811"/>
      <c r="M208" s="1811"/>
      <c r="N208" s="1811"/>
      <c r="O208" s="1811"/>
      <c r="P208" s="1811"/>
      <c r="Q208" s="1811"/>
      <c r="R208" s="1811"/>
      <c r="S208" s="1067">
        <v>500</v>
      </c>
      <c r="T208" s="1068">
        <v>500</v>
      </c>
      <c r="U208" s="1739"/>
      <c r="V208" s="1065"/>
      <c r="W208" s="1065"/>
      <c r="X208" s="1065"/>
      <c r="Y208" s="1065"/>
      <c r="Z208" s="1065"/>
      <c r="AA208" s="1065"/>
      <c r="AB208" s="1065"/>
      <c r="AC208" s="1065"/>
      <c r="AD208" s="1065"/>
      <c r="AE208" s="1065"/>
      <c r="AF208" s="1065"/>
      <c r="AG208" s="1065"/>
      <c r="AH208" s="1065"/>
      <c r="AI208" s="1065"/>
      <c r="AJ208" s="1065"/>
      <c r="AK208" s="1065"/>
      <c r="AL208" s="1065"/>
      <c r="AM208" s="1065"/>
      <c r="AN208" s="1065"/>
      <c r="AO208" s="1065"/>
      <c r="AP208" s="1065"/>
      <c r="AQ208" s="1065"/>
      <c r="AR208" s="1065"/>
      <c r="AS208" s="1065"/>
      <c r="AT208" s="1065"/>
      <c r="AU208" s="1065"/>
      <c r="AV208" s="1065"/>
      <c r="AW208" s="1065"/>
      <c r="AX208" s="1065"/>
      <c r="AY208" s="1065"/>
      <c r="AZ208" s="1065"/>
      <c r="BA208" s="1065"/>
      <c r="BB208" s="1065"/>
      <c r="BC208" s="1065"/>
      <c r="BD208" s="1065"/>
      <c r="BE208" s="1065"/>
      <c r="BF208" s="1065"/>
      <c r="BG208" s="1065"/>
      <c r="BH208" s="1065"/>
      <c r="BI208" s="1065"/>
      <c r="BJ208" s="1065"/>
      <c r="BK208" s="1065"/>
      <c r="BL208" s="1065"/>
      <c r="BM208" s="1065"/>
      <c r="BN208" s="1065"/>
      <c r="BO208" s="1065"/>
      <c r="BP208" s="1065"/>
      <c r="BQ208" s="1065"/>
      <c r="BR208" s="1065"/>
      <c r="BS208" s="1065"/>
      <c r="BT208" s="1065"/>
      <c r="BU208" s="1065"/>
      <c r="BV208" s="1065"/>
      <c r="BW208" s="1065"/>
      <c r="BX208" s="1065"/>
      <c r="BY208" s="1065"/>
      <c r="BZ208" s="1065"/>
      <c r="CA208" s="1065"/>
      <c r="CB208" s="1065"/>
      <c r="CC208" s="1065"/>
      <c r="CD208" s="1065"/>
      <c r="CE208" s="1065"/>
      <c r="CF208" s="1065"/>
      <c r="CG208" s="1065"/>
      <c r="CH208" s="1065"/>
      <c r="CI208" s="1065"/>
      <c r="CJ208" s="1065"/>
      <c r="CK208" s="1065"/>
      <c r="CL208" s="1065"/>
      <c r="CM208" s="1065"/>
      <c r="CN208" s="1065"/>
      <c r="CO208" s="1065"/>
      <c r="CP208" s="1065"/>
      <c r="CQ208" s="1065"/>
      <c r="CR208" s="1065"/>
      <c r="CS208" s="1065"/>
      <c r="CT208" s="1065"/>
      <c r="CU208" s="1065"/>
      <c r="CV208" s="1065"/>
      <c r="CW208" s="1065"/>
      <c r="CX208" s="1065"/>
      <c r="CY208" s="1065"/>
      <c r="CZ208" s="1065"/>
      <c r="DA208" s="1065"/>
      <c r="DB208" s="1065"/>
    </row>
    <row r="209" spans="1:106" ht="15" customHeight="1" thickBot="1">
      <c r="A209" s="1065"/>
      <c r="B209" s="1065"/>
      <c r="C209" s="1066" t="s">
        <v>665</v>
      </c>
      <c r="D209" s="1827"/>
      <c r="E209" s="1827"/>
      <c r="F209" s="1827"/>
      <c r="G209" s="1827"/>
      <c r="H209" s="1811"/>
      <c r="I209" s="1811"/>
      <c r="J209" s="1811"/>
      <c r="K209" s="1811"/>
      <c r="L209" s="1811"/>
      <c r="M209" s="1811"/>
      <c r="N209" s="1811"/>
      <c r="O209" s="1811"/>
      <c r="P209" s="1811"/>
      <c r="Q209" s="1811"/>
      <c r="R209" s="1811"/>
      <c r="S209" s="1067">
        <v>500</v>
      </c>
      <c r="T209" s="1068">
        <v>500</v>
      </c>
      <c r="U209" s="1739"/>
      <c r="V209" s="1065"/>
      <c r="W209" s="1065"/>
      <c r="X209" s="1065"/>
      <c r="Y209" s="1065"/>
      <c r="Z209" s="1065"/>
      <c r="AA209" s="1065"/>
      <c r="AB209" s="1065"/>
      <c r="AC209" s="1065"/>
      <c r="AD209" s="1065"/>
      <c r="AE209" s="1065"/>
      <c r="AF209" s="1065"/>
      <c r="AG209" s="1065"/>
      <c r="AH209" s="1065"/>
      <c r="AI209" s="1065"/>
      <c r="AJ209" s="1065"/>
      <c r="AK209" s="1065"/>
      <c r="AL209" s="1065"/>
      <c r="AM209" s="1065"/>
      <c r="AN209" s="1065"/>
      <c r="AO209" s="1065"/>
      <c r="AP209" s="1065"/>
      <c r="AQ209" s="1065"/>
      <c r="AR209" s="1065"/>
      <c r="AS209" s="1065"/>
      <c r="AT209" s="1065"/>
      <c r="AU209" s="1065"/>
      <c r="AV209" s="1065"/>
      <c r="AW209" s="1065"/>
      <c r="AX209" s="1065"/>
      <c r="AY209" s="1065"/>
      <c r="AZ209" s="1065"/>
      <c r="BA209" s="1065"/>
      <c r="BB209" s="1065"/>
      <c r="BC209" s="1065"/>
      <c r="BD209" s="1065"/>
      <c r="BE209" s="1065"/>
      <c r="BF209" s="1065"/>
      <c r="BG209" s="1065"/>
      <c r="BH209" s="1065"/>
      <c r="BI209" s="1065"/>
      <c r="BJ209" s="1065"/>
      <c r="BK209" s="1065"/>
      <c r="BL209" s="1065"/>
      <c r="BM209" s="1065"/>
      <c r="BN209" s="1065"/>
      <c r="BO209" s="1065"/>
      <c r="BP209" s="1065"/>
      <c r="BQ209" s="1065"/>
      <c r="BR209" s="1065"/>
      <c r="BS209" s="1065"/>
      <c r="BT209" s="1065"/>
      <c r="BU209" s="1065"/>
      <c r="BV209" s="1065"/>
      <c r="BW209" s="1065"/>
      <c r="BX209" s="1065"/>
      <c r="BY209" s="1065"/>
      <c r="BZ209" s="1065"/>
      <c r="CA209" s="1065"/>
      <c r="CB209" s="1065"/>
      <c r="CC209" s="1065"/>
      <c r="CD209" s="1065"/>
      <c r="CE209" s="1065"/>
      <c r="CF209" s="1065"/>
      <c r="CG209" s="1065"/>
      <c r="CH209" s="1065"/>
      <c r="CI209" s="1065"/>
      <c r="CJ209" s="1065"/>
      <c r="CK209" s="1065"/>
      <c r="CL209" s="1065"/>
      <c r="CM209" s="1065"/>
      <c r="CN209" s="1065"/>
      <c r="CO209" s="1065"/>
      <c r="CP209" s="1065"/>
      <c r="CQ209" s="1065"/>
      <c r="CR209" s="1065"/>
      <c r="CS209" s="1065"/>
      <c r="CT209" s="1065"/>
      <c r="CU209" s="1065"/>
      <c r="CV209" s="1065"/>
      <c r="CW209" s="1065"/>
      <c r="CX209" s="1065"/>
      <c r="CY209" s="1065"/>
      <c r="CZ209" s="1065"/>
      <c r="DA209" s="1065"/>
      <c r="DB209" s="1065"/>
    </row>
    <row r="210" spans="1:106" ht="15" customHeight="1" thickBot="1">
      <c r="A210" s="1065"/>
      <c r="B210" s="1065"/>
      <c r="C210" s="1066" t="s">
        <v>666</v>
      </c>
      <c r="D210" s="1827"/>
      <c r="E210" s="1827"/>
      <c r="F210" s="1827"/>
      <c r="G210" s="1827"/>
      <c r="H210" s="1811"/>
      <c r="I210" s="1811"/>
      <c r="J210" s="1811"/>
      <c r="K210" s="1811"/>
      <c r="L210" s="1811"/>
      <c r="M210" s="1811"/>
      <c r="N210" s="1811"/>
      <c r="O210" s="1811"/>
      <c r="P210" s="1811"/>
      <c r="Q210" s="1811"/>
      <c r="R210" s="1811"/>
      <c r="S210" s="1067">
        <v>500</v>
      </c>
      <c r="T210" s="1068">
        <v>500</v>
      </c>
      <c r="U210" s="1739"/>
      <c r="V210" s="1065"/>
      <c r="W210" s="1065"/>
      <c r="X210" s="1065"/>
      <c r="Y210" s="1065"/>
      <c r="Z210" s="1065"/>
      <c r="AA210" s="1065"/>
      <c r="AB210" s="1065"/>
      <c r="AC210" s="1065"/>
      <c r="AD210" s="1065"/>
      <c r="AE210" s="1065"/>
      <c r="AF210" s="1065"/>
      <c r="AG210" s="1065"/>
      <c r="AH210" s="1065"/>
      <c r="AI210" s="1065"/>
      <c r="AJ210" s="1065"/>
      <c r="AK210" s="1065"/>
      <c r="AL210" s="1065"/>
      <c r="AM210" s="1065"/>
      <c r="AN210" s="1065"/>
      <c r="AO210" s="1065"/>
      <c r="AP210" s="1065"/>
      <c r="AQ210" s="1065"/>
      <c r="AR210" s="1065"/>
      <c r="AS210" s="1065"/>
      <c r="AT210" s="1065"/>
      <c r="AU210" s="1065"/>
      <c r="AV210" s="1065"/>
      <c r="AW210" s="1065"/>
      <c r="AX210" s="1065"/>
      <c r="AY210" s="1065"/>
      <c r="AZ210" s="1065"/>
      <c r="BA210" s="1065"/>
      <c r="BB210" s="1065"/>
      <c r="BC210" s="1065"/>
      <c r="BD210" s="1065"/>
      <c r="BE210" s="1065"/>
      <c r="BF210" s="1065"/>
      <c r="BG210" s="1065"/>
      <c r="BH210" s="1065"/>
      <c r="BI210" s="1065"/>
      <c r="BJ210" s="1065"/>
      <c r="BK210" s="1065"/>
      <c r="BL210" s="1065"/>
      <c r="BM210" s="1065"/>
      <c r="BN210" s="1065"/>
      <c r="BO210" s="1065"/>
      <c r="BP210" s="1065"/>
      <c r="BQ210" s="1065"/>
      <c r="BR210" s="1065"/>
      <c r="BS210" s="1065"/>
      <c r="BT210" s="1065"/>
      <c r="BU210" s="1065"/>
      <c r="BV210" s="1065"/>
      <c r="BW210" s="1065"/>
      <c r="BX210" s="1065"/>
      <c r="BY210" s="1065"/>
      <c r="BZ210" s="1065"/>
      <c r="CA210" s="1065"/>
      <c r="CB210" s="1065"/>
      <c r="CC210" s="1065"/>
      <c r="CD210" s="1065"/>
      <c r="CE210" s="1065"/>
      <c r="CF210" s="1065"/>
      <c r="CG210" s="1065"/>
      <c r="CH210" s="1065"/>
      <c r="CI210" s="1065"/>
      <c r="CJ210" s="1065"/>
      <c r="CK210" s="1065"/>
      <c r="CL210" s="1065"/>
      <c r="CM210" s="1065"/>
      <c r="CN210" s="1065"/>
      <c r="CO210" s="1065"/>
      <c r="CP210" s="1065"/>
      <c r="CQ210" s="1065"/>
      <c r="CR210" s="1065"/>
      <c r="CS210" s="1065"/>
      <c r="CT210" s="1065"/>
      <c r="CU210" s="1065"/>
      <c r="CV210" s="1065"/>
      <c r="CW210" s="1065"/>
      <c r="CX210" s="1065"/>
      <c r="CY210" s="1065"/>
      <c r="CZ210" s="1065"/>
      <c r="DA210" s="1065"/>
      <c r="DB210" s="1065"/>
    </row>
    <row r="211" spans="1:106" ht="15" customHeight="1" thickBot="1">
      <c r="A211" s="1065"/>
      <c r="B211" s="1065"/>
      <c r="C211" s="1066" t="s">
        <v>667</v>
      </c>
      <c r="D211" s="1827"/>
      <c r="E211" s="1827"/>
      <c r="F211" s="1827"/>
      <c r="G211" s="1827"/>
      <c r="H211" s="1811"/>
      <c r="I211" s="1811"/>
      <c r="J211" s="1811"/>
      <c r="K211" s="1811"/>
      <c r="L211" s="1811"/>
      <c r="M211" s="1811"/>
      <c r="N211" s="1811"/>
      <c r="O211" s="1811"/>
      <c r="P211" s="1811"/>
      <c r="Q211" s="1811"/>
      <c r="R211" s="1811"/>
      <c r="S211" s="1067">
        <v>500</v>
      </c>
      <c r="T211" s="1068">
        <v>500</v>
      </c>
      <c r="U211" s="1739"/>
      <c r="V211" s="1065"/>
      <c r="W211" s="1065"/>
      <c r="X211" s="1065"/>
      <c r="Y211" s="1065"/>
      <c r="Z211" s="1065"/>
      <c r="AA211" s="1065"/>
      <c r="AB211" s="1065"/>
      <c r="AC211" s="1065"/>
      <c r="AD211" s="1065"/>
      <c r="AE211" s="1065"/>
      <c r="AF211" s="1065"/>
      <c r="AG211" s="1065"/>
      <c r="AH211" s="1065"/>
      <c r="AI211" s="1065"/>
      <c r="AJ211" s="1065"/>
      <c r="AK211" s="1065"/>
      <c r="AL211" s="1065"/>
      <c r="AM211" s="1065"/>
      <c r="AN211" s="1065"/>
      <c r="AO211" s="1065"/>
      <c r="AP211" s="1065"/>
      <c r="AQ211" s="1065"/>
      <c r="AR211" s="1065"/>
      <c r="AS211" s="1065"/>
      <c r="AT211" s="1065"/>
      <c r="AU211" s="1065"/>
      <c r="AV211" s="1065"/>
      <c r="AW211" s="1065"/>
      <c r="AX211" s="1065"/>
      <c r="AY211" s="1065"/>
      <c r="AZ211" s="1065"/>
      <c r="BA211" s="1065"/>
      <c r="BB211" s="1065"/>
      <c r="BC211" s="1065"/>
      <c r="BD211" s="1065"/>
      <c r="BE211" s="1065"/>
      <c r="BF211" s="1065"/>
      <c r="BG211" s="1065"/>
      <c r="BH211" s="1065"/>
      <c r="BI211" s="1065"/>
      <c r="BJ211" s="1065"/>
      <c r="BK211" s="1065"/>
      <c r="BL211" s="1065"/>
      <c r="BM211" s="1065"/>
      <c r="BN211" s="1065"/>
      <c r="BO211" s="1065"/>
      <c r="BP211" s="1065"/>
      <c r="BQ211" s="1065"/>
      <c r="BR211" s="1065"/>
      <c r="BS211" s="1065"/>
      <c r="BT211" s="1065"/>
      <c r="BU211" s="1065"/>
      <c r="BV211" s="1065"/>
      <c r="BW211" s="1065"/>
      <c r="BX211" s="1065"/>
      <c r="BY211" s="1065"/>
      <c r="BZ211" s="1065"/>
      <c r="CA211" s="1065"/>
      <c r="CB211" s="1065"/>
      <c r="CC211" s="1065"/>
      <c r="CD211" s="1065"/>
      <c r="CE211" s="1065"/>
      <c r="CF211" s="1065"/>
      <c r="CG211" s="1065"/>
      <c r="CH211" s="1065"/>
      <c r="CI211" s="1065"/>
      <c r="CJ211" s="1065"/>
      <c r="CK211" s="1065"/>
      <c r="CL211" s="1065"/>
      <c r="CM211" s="1065"/>
      <c r="CN211" s="1065"/>
      <c r="CO211" s="1065"/>
      <c r="CP211" s="1065"/>
      <c r="CQ211" s="1065"/>
      <c r="CR211" s="1065"/>
      <c r="CS211" s="1065"/>
      <c r="CT211" s="1065"/>
      <c r="CU211" s="1065"/>
      <c r="CV211" s="1065"/>
      <c r="CW211" s="1065"/>
      <c r="CX211" s="1065"/>
      <c r="CY211" s="1065"/>
      <c r="CZ211" s="1065"/>
      <c r="DA211" s="1065"/>
      <c r="DB211" s="1065"/>
    </row>
    <row r="212" spans="1:106" ht="15" customHeight="1" thickBot="1">
      <c r="A212" s="1065"/>
      <c r="B212" s="1065"/>
      <c r="C212" s="1066" t="s">
        <v>108</v>
      </c>
      <c r="D212" s="1827"/>
      <c r="E212" s="1827"/>
      <c r="F212" s="1827"/>
      <c r="G212" s="1827"/>
      <c r="H212" s="1811"/>
      <c r="I212" s="1811"/>
      <c r="J212" s="1811"/>
      <c r="K212" s="1811"/>
      <c r="L212" s="1811"/>
      <c r="M212" s="1811"/>
      <c r="N212" s="1811"/>
      <c r="O212" s="1811"/>
      <c r="P212" s="1811"/>
      <c r="Q212" s="1811"/>
      <c r="R212" s="1811"/>
      <c r="S212" s="1067">
        <v>500</v>
      </c>
      <c r="T212" s="1068">
        <v>500</v>
      </c>
      <c r="U212" s="1739"/>
      <c r="V212" s="1065"/>
      <c r="W212" s="1065"/>
      <c r="X212" s="1065"/>
      <c r="Y212" s="1065"/>
      <c r="Z212" s="1065"/>
      <c r="AA212" s="1065"/>
      <c r="AB212" s="1065"/>
      <c r="AC212" s="1065"/>
      <c r="AD212" s="1065"/>
      <c r="AE212" s="1065"/>
      <c r="AF212" s="1065"/>
      <c r="AG212" s="1065"/>
      <c r="AH212" s="1065"/>
      <c r="AI212" s="1065"/>
      <c r="AJ212" s="1065"/>
      <c r="AK212" s="1065"/>
      <c r="AL212" s="1065"/>
      <c r="AM212" s="1065"/>
      <c r="AN212" s="1065"/>
      <c r="AO212" s="1065"/>
      <c r="AP212" s="1065"/>
      <c r="AQ212" s="1065"/>
      <c r="AR212" s="1065"/>
      <c r="AS212" s="1065"/>
      <c r="AT212" s="1065"/>
      <c r="AU212" s="1065"/>
      <c r="AV212" s="1065"/>
      <c r="AW212" s="1065"/>
      <c r="AX212" s="1065"/>
      <c r="AY212" s="1065"/>
      <c r="AZ212" s="1065"/>
      <c r="BA212" s="1065"/>
      <c r="BB212" s="1065"/>
      <c r="BC212" s="1065"/>
      <c r="BD212" s="1065"/>
      <c r="BE212" s="1065"/>
      <c r="BF212" s="1065"/>
      <c r="BG212" s="1065"/>
      <c r="BH212" s="1065"/>
      <c r="BI212" s="1065"/>
      <c r="BJ212" s="1065"/>
      <c r="BK212" s="1065"/>
      <c r="BL212" s="1065"/>
      <c r="BM212" s="1065"/>
      <c r="BN212" s="1065"/>
      <c r="BO212" s="1065"/>
      <c r="BP212" s="1065"/>
      <c r="BQ212" s="1065"/>
      <c r="BR212" s="1065"/>
      <c r="BS212" s="1065"/>
      <c r="BT212" s="1065"/>
      <c r="BU212" s="1065"/>
      <c r="BV212" s="1065"/>
      <c r="BW212" s="1065"/>
      <c r="BX212" s="1065"/>
      <c r="BY212" s="1065"/>
      <c r="BZ212" s="1065"/>
      <c r="CA212" s="1065"/>
      <c r="CB212" s="1065"/>
      <c r="CC212" s="1065"/>
      <c r="CD212" s="1065"/>
      <c r="CE212" s="1065"/>
      <c r="CF212" s="1065"/>
      <c r="CG212" s="1065"/>
      <c r="CH212" s="1065"/>
      <c r="CI212" s="1065"/>
      <c r="CJ212" s="1065"/>
      <c r="CK212" s="1065"/>
      <c r="CL212" s="1065"/>
      <c r="CM212" s="1065"/>
      <c r="CN212" s="1065"/>
      <c r="CO212" s="1065"/>
      <c r="CP212" s="1065"/>
      <c r="CQ212" s="1065"/>
      <c r="CR212" s="1065"/>
      <c r="CS212" s="1065"/>
      <c r="CT212" s="1065"/>
      <c r="CU212" s="1065"/>
      <c r="CV212" s="1065"/>
      <c r="CW212" s="1065"/>
      <c r="CX212" s="1065"/>
      <c r="CY212" s="1065"/>
      <c r="CZ212" s="1065"/>
      <c r="DA212" s="1065"/>
      <c r="DB212" s="1065"/>
    </row>
    <row r="213" spans="1:106" ht="15" customHeight="1" thickBot="1">
      <c r="A213" s="1065"/>
      <c r="B213" s="1065"/>
      <c r="C213" s="1066" t="s">
        <v>668</v>
      </c>
      <c r="D213" s="1827"/>
      <c r="E213" s="1827"/>
      <c r="F213" s="1827"/>
      <c r="G213" s="1827"/>
      <c r="H213" s="1811"/>
      <c r="I213" s="1811"/>
      <c r="J213" s="1811"/>
      <c r="K213" s="1811"/>
      <c r="L213" s="1811"/>
      <c r="M213" s="1811"/>
      <c r="N213" s="1811"/>
      <c r="O213" s="1811"/>
      <c r="P213" s="1811"/>
      <c r="Q213" s="1811"/>
      <c r="R213" s="1811"/>
      <c r="S213" s="1067">
        <v>500</v>
      </c>
      <c r="T213" s="1068">
        <v>500</v>
      </c>
      <c r="U213" s="1739"/>
      <c r="V213" s="1065"/>
      <c r="W213" s="1065"/>
      <c r="X213" s="1065"/>
      <c r="Y213" s="1065"/>
      <c r="Z213" s="1065"/>
      <c r="AA213" s="1065"/>
      <c r="AB213" s="1065"/>
      <c r="AC213" s="1065"/>
      <c r="AD213" s="1065"/>
      <c r="AE213" s="1065"/>
      <c r="AF213" s="1065"/>
      <c r="AG213" s="1065"/>
      <c r="AH213" s="1065"/>
      <c r="AI213" s="1065"/>
      <c r="AJ213" s="1065"/>
      <c r="AK213" s="1065"/>
      <c r="AL213" s="1065"/>
      <c r="AM213" s="1065"/>
      <c r="AN213" s="1065"/>
      <c r="AO213" s="1065"/>
      <c r="AP213" s="1065"/>
      <c r="AQ213" s="1065"/>
      <c r="AR213" s="1065"/>
      <c r="AS213" s="1065"/>
      <c r="AT213" s="1065"/>
      <c r="AU213" s="1065"/>
      <c r="AV213" s="1065"/>
      <c r="AW213" s="1065"/>
      <c r="AX213" s="1065"/>
      <c r="AY213" s="1065"/>
      <c r="AZ213" s="1065"/>
      <c r="BA213" s="1065"/>
      <c r="BB213" s="1065"/>
      <c r="BC213" s="1065"/>
      <c r="BD213" s="1065"/>
      <c r="BE213" s="1065"/>
      <c r="BF213" s="1065"/>
      <c r="BG213" s="1065"/>
      <c r="BH213" s="1065"/>
      <c r="BI213" s="1065"/>
      <c r="BJ213" s="1065"/>
      <c r="BK213" s="1065"/>
      <c r="BL213" s="1065"/>
      <c r="BM213" s="1065"/>
      <c r="BN213" s="1065"/>
      <c r="BO213" s="1065"/>
      <c r="BP213" s="1065"/>
      <c r="BQ213" s="1065"/>
      <c r="BR213" s="1065"/>
      <c r="BS213" s="1065"/>
      <c r="BT213" s="1065"/>
      <c r="BU213" s="1065"/>
      <c r="BV213" s="1065"/>
      <c r="BW213" s="1065"/>
      <c r="BX213" s="1065"/>
      <c r="BY213" s="1065"/>
      <c r="BZ213" s="1065"/>
      <c r="CA213" s="1065"/>
      <c r="CB213" s="1065"/>
      <c r="CC213" s="1065"/>
      <c r="CD213" s="1065"/>
      <c r="CE213" s="1065"/>
      <c r="CF213" s="1065"/>
      <c r="CG213" s="1065"/>
      <c r="CH213" s="1065"/>
      <c r="CI213" s="1065"/>
      <c r="CJ213" s="1065"/>
      <c r="CK213" s="1065"/>
      <c r="CL213" s="1065"/>
      <c r="CM213" s="1065"/>
      <c r="CN213" s="1065"/>
      <c r="CO213" s="1065"/>
      <c r="CP213" s="1065"/>
      <c r="CQ213" s="1065"/>
      <c r="CR213" s="1065"/>
      <c r="CS213" s="1065"/>
      <c r="CT213" s="1065"/>
      <c r="CU213" s="1065"/>
      <c r="CV213" s="1065"/>
      <c r="CW213" s="1065"/>
      <c r="CX213" s="1065"/>
      <c r="CY213" s="1065"/>
      <c r="CZ213" s="1065"/>
      <c r="DA213" s="1065"/>
      <c r="DB213" s="1065"/>
    </row>
    <row r="214" spans="1:106" ht="15" customHeight="1" thickBot="1">
      <c r="A214" s="1065"/>
      <c r="B214" s="1065"/>
      <c r="C214" s="1066" t="s">
        <v>109</v>
      </c>
      <c r="D214" s="1827"/>
      <c r="E214" s="1827"/>
      <c r="F214" s="1827"/>
      <c r="G214" s="1827"/>
      <c r="H214" s="1811"/>
      <c r="I214" s="1811"/>
      <c r="J214" s="1811"/>
      <c r="K214" s="1811"/>
      <c r="L214" s="1811"/>
      <c r="M214" s="1811"/>
      <c r="N214" s="1811"/>
      <c r="O214" s="1811"/>
      <c r="P214" s="1811"/>
      <c r="Q214" s="1811"/>
      <c r="R214" s="1811"/>
      <c r="S214" s="1067">
        <v>500</v>
      </c>
      <c r="T214" s="1068">
        <v>500</v>
      </c>
      <c r="U214" s="1739"/>
      <c r="V214" s="1065"/>
      <c r="W214" s="1065"/>
      <c r="X214" s="1065"/>
      <c r="Y214" s="1065"/>
      <c r="Z214" s="1065"/>
      <c r="AA214" s="1065"/>
      <c r="AB214" s="1065"/>
      <c r="AC214" s="1065"/>
      <c r="AD214" s="1065"/>
      <c r="AE214" s="1065"/>
      <c r="AF214" s="1065"/>
      <c r="AG214" s="1065"/>
      <c r="AH214" s="1065"/>
      <c r="AI214" s="1065"/>
      <c r="AJ214" s="1065"/>
      <c r="AK214" s="1065"/>
      <c r="AL214" s="1065"/>
      <c r="AM214" s="1065"/>
      <c r="AN214" s="1065"/>
      <c r="AO214" s="1065"/>
      <c r="AP214" s="1065"/>
      <c r="AQ214" s="1065"/>
      <c r="AR214" s="1065"/>
      <c r="AS214" s="1065"/>
      <c r="AT214" s="1065"/>
      <c r="AU214" s="1065"/>
      <c r="AV214" s="1065"/>
      <c r="AW214" s="1065"/>
      <c r="AX214" s="1065"/>
      <c r="AY214" s="1065"/>
      <c r="AZ214" s="1065"/>
      <c r="BA214" s="1065"/>
      <c r="BB214" s="1065"/>
      <c r="BC214" s="1065"/>
      <c r="BD214" s="1065"/>
      <c r="BE214" s="1065"/>
      <c r="BF214" s="1065"/>
      <c r="BG214" s="1065"/>
      <c r="BH214" s="1065"/>
      <c r="BI214" s="1065"/>
      <c r="BJ214" s="1065"/>
      <c r="BK214" s="1065"/>
      <c r="BL214" s="1065"/>
      <c r="BM214" s="1065"/>
      <c r="BN214" s="1065"/>
      <c r="BO214" s="1065"/>
      <c r="BP214" s="1065"/>
      <c r="BQ214" s="1065"/>
      <c r="BR214" s="1065"/>
      <c r="BS214" s="1065"/>
      <c r="BT214" s="1065"/>
      <c r="BU214" s="1065"/>
      <c r="BV214" s="1065"/>
      <c r="BW214" s="1065"/>
      <c r="BX214" s="1065"/>
      <c r="BY214" s="1065"/>
      <c r="BZ214" s="1065"/>
      <c r="CA214" s="1065"/>
      <c r="CB214" s="1065"/>
      <c r="CC214" s="1065"/>
      <c r="CD214" s="1065"/>
      <c r="CE214" s="1065"/>
      <c r="CF214" s="1065"/>
      <c r="CG214" s="1065"/>
      <c r="CH214" s="1065"/>
      <c r="CI214" s="1065"/>
      <c r="CJ214" s="1065"/>
      <c r="CK214" s="1065"/>
      <c r="CL214" s="1065"/>
      <c r="CM214" s="1065"/>
      <c r="CN214" s="1065"/>
      <c r="CO214" s="1065"/>
      <c r="CP214" s="1065"/>
      <c r="CQ214" s="1065"/>
      <c r="CR214" s="1065"/>
      <c r="CS214" s="1065"/>
      <c r="CT214" s="1065"/>
      <c r="CU214" s="1065"/>
      <c r="CV214" s="1065"/>
      <c r="CW214" s="1065"/>
      <c r="CX214" s="1065"/>
      <c r="CY214" s="1065"/>
      <c r="CZ214" s="1065"/>
      <c r="DA214" s="1065"/>
      <c r="DB214" s="1065"/>
    </row>
    <row r="215" spans="1:106" ht="15" customHeight="1" thickBot="1">
      <c r="A215" s="1065"/>
      <c r="B215" s="1065"/>
      <c r="C215" s="1066" t="s">
        <v>488</v>
      </c>
      <c r="D215" s="1827"/>
      <c r="E215" s="1827"/>
      <c r="F215" s="1827"/>
      <c r="G215" s="1827"/>
      <c r="H215" s="1811"/>
      <c r="I215" s="1811"/>
      <c r="J215" s="1811"/>
      <c r="K215" s="1811"/>
      <c r="L215" s="1811"/>
      <c r="M215" s="1811"/>
      <c r="N215" s="1811"/>
      <c r="O215" s="1811"/>
      <c r="P215" s="1811"/>
      <c r="Q215" s="1811"/>
      <c r="R215" s="1811"/>
      <c r="S215" s="1067">
        <v>500</v>
      </c>
      <c r="T215" s="1068">
        <v>500</v>
      </c>
      <c r="U215" s="1739"/>
      <c r="V215" s="1065"/>
      <c r="W215" s="1065"/>
      <c r="X215" s="1065"/>
      <c r="Y215" s="1065"/>
      <c r="Z215" s="1065"/>
      <c r="AA215" s="1065"/>
      <c r="AB215" s="1065"/>
      <c r="AC215" s="1065"/>
      <c r="AD215" s="1065"/>
      <c r="AE215" s="1065"/>
      <c r="AF215" s="1065"/>
      <c r="AG215" s="1065"/>
      <c r="AH215" s="1065"/>
      <c r="AI215" s="1065"/>
      <c r="AJ215" s="1065"/>
      <c r="AK215" s="1065"/>
      <c r="AL215" s="1065"/>
      <c r="AM215" s="1065"/>
      <c r="AN215" s="1065"/>
      <c r="AO215" s="1065"/>
      <c r="AP215" s="1065"/>
      <c r="AQ215" s="1065"/>
      <c r="AR215" s="1065"/>
      <c r="AS215" s="1065"/>
      <c r="AT215" s="1065"/>
      <c r="AU215" s="1065"/>
      <c r="AV215" s="1065"/>
      <c r="AW215" s="1065"/>
      <c r="AX215" s="1065"/>
      <c r="AY215" s="1065"/>
      <c r="AZ215" s="1065"/>
      <c r="BA215" s="1065"/>
      <c r="BB215" s="1065"/>
      <c r="BC215" s="1065"/>
      <c r="BD215" s="1065"/>
      <c r="BE215" s="1065"/>
      <c r="BF215" s="1065"/>
      <c r="BG215" s="1065"/>
      <c r="BH215" s="1065"/>
      <c r="BI215" s="1065"/>
      <c r="BJ215" s="1065"/>
      <c r="BK215" s="1065"/>
      <c r="BL215" s="1065"/>
      <c r="BM215" s="1065"/>
      <c r="BN215" s="1065"/>
      <c r="BO215" s="1065"/>
      <c r="BP215" s="1065"/>
      <c r="BQ215" s="1065"/>
      <c r="BR215" s="1065"/>
      <c r="BS215" s="1065"/>
      <c r="BT215" s="1065"/>
      <c r="BU215" s="1065"/>
      <c r="BV215" s="1065"/>
      <c r="BW215" s="1065"/>
      <c r="BX215" s="1065"/>
      <c r="BY215" s="1065"/>
      <c r="BZ215" s="1065"/>
      <c r="CA215" s="1065"/>
      <c r="CB215" s="1065"/>
      <c r="CC215" s="1065"/>
      <c r="CD215" s="1065"/>
      <c r="CE215" s="1065"/>
      <c r="CF215" s="1065"/>
      <c r="CG215" s="1065"/>
      <c r="CH215" s="1065"/>
      <c r="CI215" s="1065"/>
      <c r="CJ215" s="1065"/>
      <c r="CK215" s="1065"/>
      <c r="CL215" s="1065"/>
      <c r="CM215" s="1065"/>
      <c r="CN215" s="1065"/>
      <c r="CO215" s="1065"/>
      <c r="CP215" s="1065"/>
      <c r="CQ215" s="1065"/>
      <c r="CR215" s="1065"/>
      <c r="CS215" s="1065"/>
      <c r="CT215" s="1065"/>
      <c r="CU215" s="1065"/>
      <c r="CV215" s="1065"/>
      <c r="CW215" s="1065"/>
      <c r="CX215" s="1065"/>
      <c r="CY215" s="1065"/>
      <c r="CZ215" s="1065"/>
      <c r="DA215" s="1065"/>
      <c r="DB215" s="1065"/>
    </row>
    <row r="216" spans="1:106" ht="15" customHeight="1" thickBot="1">
      <c r="A216" s="1065"/>
      <c r="B216" s="1065"/>
      <c r="C216" s="1066" t="s">
        <v>669</v>
      </c>
      <c r="D216" s="1827"/>
      <c r="E216" s="1827"/>
      <c r="F216" s="1827"/>
      <c r="G216" s="1827"/>
      <c r="H216" s="1811"/>
      <c r="I216" s="1811"/>
      <c r="J216" s="1811"/>
      <c r="K216" s="1811"/>
      <c r="L216" s="1811"/>
      <c r="M216" s="1811"/>
      <c r="N216" s="1811"/>
      <c r="O216" s="1811"/>
      <c r="P216" s="1811"/>
      <c r="Q216" s="1811"/>
      <c r="R216" s="1811"/>
      <c r="S216" s="1067">
        <v>500</v>
      </c>
      <c r="T216" s="1068">
        <v>500</v>
      </c>
      <c r="U216" s="1739"/>
      <c r="V216" s="1065"/>
      <c r="W216" s="1065"/>
      <c r="X216" s="1065"/>
      <c r="Y216" s="1065"/>
      <c r="Z216" s="1065"/>
      <c r="AA216" s="1065"/>
      <c r="AB216" s="1065"/>
      <c r="AC216" s="1065"/>
      <c r="AD216" s="1065"/>
      <c r="AE216" s="1065"/>
      <c r="AF216" s="1065"/>
      <c r="AG216" s="1065"/>
      <c r="AH216" s="1065"/>
      <c r="AI216" s="1065"/>
      <c r="AJ216" s="1065"/>
      <c r="AK216" s="1065"/>
      <c r="AL216" s="1065"/>
      <c r="AM216" s="1065"/>
      <c r="AN216" s="1065"/>
      <c r="AO216" s="1065"/>
      <c r="AP216" s="1065"/>
      <c r="AQ216" s="1065"/>
      <c r="AR216" s="1065"/>
      <c r="AS216" s="1065"/>
      <c r="AT216" s="1065"/>
      <c r="AU216" s="1065"/>
      <c r="AV216" s="1065"/>
      <c r="AW216" s="1065"/>
      <c r="AX216" s="1065"/>
      <c r="AY216" s="1065"/>
      <c r="AZ216" s="1065"/>
      <c r="BA216" s="1065"/>
      <c r="BB216" s="1065"/>
      <c r="BC216" s="1065"/>
      <c r="BD216" s="1065"/>
      <c r="BE216" s="1065"/>
      <c r="BF216" s="1065"/>
      <c r="BG216" s="1065"/>
      <c r="BH216" s="1065"/>
      <c r="BI216" s="1065"/>
      <c r="BJ216" s="1065"/>
      <c r="BK216" s="1065"/>
      <c r="BL216" s="1065"/>
      <c r="BM216" s="1065"/>
      <c r="BN216" s="1065"/>
      <c r="BO216" s="1065"/>
      <c r="BP216" s="1065"/>
      <c r="BQ216" s="1065"/>
      <c r="BR216" s="1065"/>
      <c r="BS216" s="1065"/>
      <c r="BT216" s="1065"/>
      <c r="BU216" s="1065"/>
      <c r="BV216" s="1065"/>
      <c r="BW216" s="1065"/>
      <c r="BX216" s="1065"/>
      <c r="BY216" s="1065"/>
      <c r="BZ216" s="1065"/>
      <c r="CA216" s="1065"/>
      <c r="CB216" s="1065"/>
      <c r="CC216" s="1065"/>
      <c r="CD216" s="1065"/>
      <c r="CE216" s="1065"/>
      <c r="CF216" s="1065"/>
      <c r="CG216" s="1065"/>
      <c r="CH216" s="1065"/>
      <c r="CI216" s="1065"/>
      <c r="CJ216" s="1065"/>
      <c r="CK216" s="1065"/>
      <c r="CL216" s="1065"/>
      <c r="CM216" s="1065"/>
      <c r="CN216" s="1065"/>
      <c r="CO216" s="1065"/>
      <c r="CP216" s="1065"/>
      <c r="CQ216" s="1065"/>
      <c r="CR216" s="1065"/>
      <c r="CS216" s="1065"/>
      <c r="CT216" s="1065"/>
      <c r="CU216" s="1065"/>
      <c r="CV216" s="1065"/>
      <c r="CW216" s="1065"/>
      <c r="CX216" s="1065"/>
      <c r="CY216" s="1065"/>
      <c r="CZ216" s="1065"/>
      <c r="DA216" s="1065"/>
      <c r="DB216" s="1065"/>
    </row>
    <row r="217" spans="1:106" ht="15" customHeight="1" thickBot="1">
      <c r="A217" s="1065"/>
      <c r="B217" s="1065"/>
      <c r="C217" s="1066" t="s">
        <v>529</v>
      </c>
      <c r="D217" s="1827"/>
      <c r="E217" s="1827"/>
      <c r="F217" s="1827"/>
      <c r="G217" s="1827"/>
      <c r="H217" s="1811"/>
      <c r="I217" s="1811"/>
      <c r="J217" s="1811"/>
      <c r="K217" s="1811"/>
      <c r="L217" s="1811"/>
      <c r="M217" s="1811"/>
      <c r="N217" s="1811"/>
      <c r="O217" s="1811"/>
      <c r="P217" s="1811"/>
      <c r="Q217" s="1811"/>
      <c r="R217" s="1811"/>
      <c r="S217" s="1067">
        <v>500</v>
      </c>
      <c r="T217" s="1068">
        <v>500</v>
      </c>
      <c r="U217" s="1739"/>
      <c r="V217" s="1065"/>
      <c r="W217" s="1065"/>
      <c r="X217" s="1065"/>
      <c r="Y217" s="1065"/>
      <c r="Z217" s="1065"/>
      <c r="AA217" s="1065"/>
      <c r="AB217" s="1065"/>
      <c r="AC217" s="1065"/>
      <c r="AD217" s="1065"/>
      <c r="AE217" s="1065"/>
      <c r="AF217" s="1065"/>
      <c r="AG217" s="1065"/>
      <c r="AH217" s="1065"/>
      <c r="AI217" s="1065"/>
      <c r="AJ217" s="1065"/>
      <c r="AK217" s="1065"/>
      <c r="AL217" s="1065"/>
      <c r="AM217" s="1065"/>
      <c r="AN217" s="1065"/>
      <c r="AO217" s="1065"/>
      <c r="AP217" s="1065"/>
      <c r="AQ217" s="1065"/>
      <c r="AR217" s="1065"/>
      <c r="AS217" s="1065"/>
      <c r="AT217" s="1065"/>
      <c r="AU217" s="1065"/>
      <c r="AV217" s="1065"/>
      <c r="AW217" s="1065"/>
      <c r="AX217" s="1065"/>
      <c r="AY217" s="1065"/>
      <c r="AZ217" s="1065"/>
      <c r="BA217" s="1065"/>
      <c r="BB217" s="1065"/>
      <c r="BC217" s="1065"/>
      <c r="BD217" s="1065"/>
      <c r="BE217" s="1065"/>
      <c r="BF217" s="1065"/>
      <c r="BG217" s="1065"/>
      <c r="BH217" s="1065"/>
      <c r="BI217" s="1065"/>
      <c r="BJ217" s="1065"/>
      <c r="BK217" s="1065"/>
      <c r="BL217" s="1065"/>
      <c r="BM217" s="1065"/>
      <c r="BN217" s="1065"/>
      <c r="BO217" s="1065"/>
      <c r="BP217" s="1065"/>
      <c r="BQ217" s="1065"/>
      <c r="BR217" s="1065"/>
      <c r="BS217" s="1065"/>
      <c r="BT217" s="1065"/>
      <c r="BU217" s="1065"/>
      <c r="BV217" s="1065"/>
      <c r="BW217" s="1065"/>
      <c r="BX217" s="1065"/>
      <c r="BY217" s="1065"/>
      <c r="BZ217" s="1065"/>
      <c r="CA217" s="1065"/>
      <c r="CB217" s="1065"/>
      <c r="CC217" s="1065"/>
      <c r="CD217" s="1065"/>
      <c r="CE217" s="1065"/>
      <c r="CF217" s="1065"/>
      <c r="CG217" s="1065"/>
      <c r="CH217" s="1065"/>
      <c r="CI217" s="1065"/>
      <c r="CJ217" s="1065"/>
      <c r="CK217" s="1065"/>
      <c r="CL217" s="1065"/>
      <c r="CM217" s="1065"/>
      <c r="CN217" s="1065"/>
      <c r="CO217" s="1065"/>
      <c r="CP217" s="1065"/>
      <c r="CQ217" s="1065"/>
      <c r="CR217" s="1065"/>
      <c r="CS217" s="1065"/>
      <c r="CT217" s="1065"/>
      <c r="CU217" s="1065"/>
      <c r="CV217" s="1065"/>
      <c r="CW217" s="1065"/>
      <c r="CX217" s="1065"/>
      <c r="CY217" s="1065"/>
      <c r="CZ217" s="1065"/>
      <c r="DA217" s="1065"/>
      <c r="DB217" s="1065"/>
    </row>
    <row r="218" spans="1:106" ht="15" customHeight="1" thickBot="1">
      <c r="A218" s="1065"/>
      <c r="B218" s="1065"/>
      <c r="C218" s="1069" t="s">
        <v>670</v>
      </c>
      <c r="D218" s="1827"/>
      <c r="E218" s="1827"/>
      <c r="F218" s="1827"/>
      <c r="G218" s="1827"/>
      <c r="H218" s="1811"/>
      <c r="I218" s="1811"/>
      <c r="J218" s="1811"/>
      <c r="K218" s="1811"/>
      <c r="L218" s="1811"/>
      <c r="M218" s="1811"/>
      <c r="N218" s="1811"/>
      <c r="O218" s="1811"/>
      <c r="P218" s="1811"/>
      <c r="Q218" s="1811"/>
      <c r="R218" s="1811"/>
      <c r="S218" s="1067">
        <v>500</v>
      </c>
      <c r="T218" s="1070">
        <v>500</v>
      </c>
      <c r="U218" s="1739"/>
      <c r="V218" s="1065"/>
      <c r="W218" s="1065"/>
      <c r="X218" s="1065"/>
      <c r="Y218" s="1065"/>
      <c r="Z218" s="1065"/>
      <c r="AA218" s="1065"/>
      <c r="AB218" s="1065"/>
      <c r="AC218" s="1065"/>
      <c r="AD218" s="1065"/>
      <c r="AE218" s="1065"/>
      <c r="AF218" s="1065"/>
      <c r="AG218" s="1065"/>
      <c r="AH218" s="1065"/>
      <c r="AI218" s="1065"/>
      <c r="AJ218" s="1065"/>
      <c r="AK218" s="1065"/>
      <c r="AL218" s="1065"/>
      <c r="AM218" s="1065"/>
      <c r="AN218" s="1065"/>
      <c r="AO218" s="1065"/>
      <c r="AP218" s="1065"/>
      <c r="AQ218" s="1065"/>
      <c r="AR218" s="1065"/>
      <c r="AS218" s="1065"/>
      <c r="AT218" s="1065"/>
      <c r="AU218" s="1065"/>
      <c r="AV218" s="1065"/>
      <c r="AW218" s="1065"/>
      <c r="AX218" s="1065"/>
      <c r="AY218" s="1065"/>
      <c r="AZ218" s="1065"/>
      <c r="BA218" s="1065"/>
      <c r="BB218" s="1065"/>
      <c r="BC218" s="1065"/>
      <c r="BD218" s="1065"/>
      <c r="BE218" s="1065"/>
      <c r="BF218" s="1065"/>
      <c r="BG218" s="1065"/>
      <c r="BH218" s="1065"/>
      <c r="BI218" s="1065"/>
      <c r="BJ218" s="1065"/>
      <c r="BK218" s="1065"/>
      <c r="BL218" s="1065"/>
      <c r="BM218" s="1065"/>
      <c r="BN218" s="1065"/>
      <c r="BO218" s="1065"/>
      <c r="BP218" s="1065"/>
      <c r="BQ218" s="1065"/>
      <c r="BR218" s="1065"/>
      <c r="BS218" s="1065"/>
      <c r="BT218" s="1065"/>
      <c r="BU218" s="1065"/>
      <c r="BV218" s="1065"/>
      <c r="BW218" s="1065"/>
      <c r="BX218" s="1065"/>
      <c r="BY218" s="1065"/>
      <c r="BZ218" s="1065"/>
      <c r="CA218" s="1065"/>
      <c r="CB218" s="1065"/>
      <c r="CC218" s="1065"/>
      <c r="CD218" s="1065"/>
      <c r="CE218" s="1065"/>
      <c r="CF218" s="1065"/>
      <c r="CG218" s="1065"/>
      <c r="CH218" s="1065"/>
      <c r="CI218" s="1065"/>
      <c r="CJ218" s="1065"/>
      <c r="CK218" s="1065"/>
      <c r="CL218" s="1065"/>
      <c r="CM218" s="1065"/>
      <c r="CN218" s="1065"/>
      <c r="CO218" s="1065"/>
      <c r="CP218" s="1065"/>
      <c r="CQ218" s="1065"/>
      <c r="CR218" s="1065"/>
      <c r="CS218" s="1065"/>
      <c r="CT218" s="1065"/>
      <c r="CU218" s="1065"/>
      <c r="CV218" s="1065"/>
      <c r="CW218" s="1065"/>
      <c r="CX218" s="1065"/>
      <c r="CY218" s="1065"/>
      <c r="CZ218" s="1065"/>
      <c r="DA218" s="1065"/>
      <c r="DB218" s="1065"/>
    </row>
    <row r="219" spans="1:106" ht="15" customHeight="1" thickBot="1">
      <c r="A219" s="1065"/>
      <c r="B219" s="1065"/>
      <c r="C219" s="1071" t="s">
        <v>304</v>
      </c>
      <c r="D219" s="1786" t="s">
        <v>656</v>
      </c>
      <c r="E219" s="1786"/>
      <c r="F219" s="1786"/>
      <c r="G219" s="1786"/>
      <c r="H219" s="1787" t="s">
        <v>671</v>
      </c>
      <c r="I219" s="1787"/>
      <c r="J219" s="1787" t="s">
        <v>672</v>
      </c>
      <c r="K219" s="1787"/>
      <c r="L219" s="1787"/>
      <c r="M219" s="1787" t="s">
        <v>659</v>
      </c>
      <c r="N219" s="1787"/>
      <c r="O219" s="1787"/>
      <c r="P219" s="1787"/>
      <c r="Q219" s="1787"/>
      <c r="R219" s="1787"/>
      <c r="S219" s="1072">
        <v>500</v>
      </c>
      <c r="T219" s="1073">
        <v>500</v>
      </c>
      <c r="U219" s="1805">
        <f>SUM(T219:T232)</f>
        <v>7000</v>
      </c>
      <c r="V219" s="1065"/>
      <c r="W219" s="1065"/>
      <c r="X219" s="1065"/>
      <c r="Y219" s="1065"/>
      <c r="Z219" s="1065"/>
      <c r="AA219" s="1065"/>
      <c r="AB219" s="1065"/>
      <c r="AC219" s="1065"/>
      <c r="AD219" s="1065"/>
      <c r="AE219" s="1065"/>
      <c r="AF219" s="1065"/>
      <c r="AG219" s="1065"/>
      <c r="AH219" s="1065"/>
      <c r="AI219" s="1065"/>
      <c r="AJ219" s="1065"/>
      <c r="AK219" s="1065"/>
      <c r="AL219" s="1065"/>
      <c r="AM219" s="1065"/>
      <c r="AN219" s="1065"/>
      <c r="AO219" s="1065"/>
      <c r="AP219" s="1065"/>
      <c r="AQ219" s="1065"/>
      <c r="AR219" s="1065"/>
      <c r="AS219" s="1065"/>
      <c r="AT219" s="1065"/>
      <c r="AU219" s="1065"/>
      <c r="AV219" s="1065"/>
      <c r="AW219" s="1065"/>
      <c r="AX219" s="1065"/>
      <c r="AY219" s="1065"/>
      <c r="AZ219" s="1065"/>
      <c r="BA219" s="1065"/>
      <c r="BB219" s="1065"/>
      <c r="BC219" s="1065"/>
      <c r="BD219" s="1065"/>
      <c r="BE219" s="1065"/>
      <c r="BF219" s="1065"/>
      <c r="BG219" s="1065"/>
      <c r="BH219" s="1065"/>
      <c r="BI219" s="1065"/>
      <c r="BJ219" s="1065"/>
      <c r="BK219" s="1065"/>
      <c r="BL219" s="1065"/>
      <c r="BM219" s="1065"/>
      <c r="BN219" s="1065"/>
      <c r="BO219" s="1065"/>
      <c r="BP219" s="1065"/>
      <c r="BQ219" s="1065"/>
      <c r="BR219" s="1065"/>
      <c r="BS219" s="1065"/>
      <c r="BT219" s="1065"/>
      <c r="BU219" s="1065"/>
      <c r="BV219" s="1065"/>
      <c r="BW219" s="1065"/>
      <c r="BX219" s="1065"/>
      <c r="BY219" s="1065"/>
      <c r="BZ219" s="1065"/>
      <c r="CA219" s="1065"/>
      <c r="CB219" s="1065"/>
      <c r="CC219" s="1065"/>
      <c r="CD219" s="1065"/>
      <c r="CE219" s="1065"/>
      <c r="CF219" s="1065"/>
      <c r="CG219" s="1065"/>
      <c r="CH219" s="1065"/>
      <c r="CI219" s="1065"/>
      <c r="CJ219" s="1065"/>
      <c r="CK219" s="1065"/>
      <c r="CL219" s="1065"/>
      <c r="CM219" s="1065"/>
      <c r="CN219" s="1065"/>
      <c r="CO219" s="1065"/>
      <c r="CP219" s="1065"/>
      <c r="CQ219" s="1065"/>
      <c r="CR219" s="1065"/>
      <c r="CS219" s="1065"/>
      <c r="CT219" s="1065"/>
      <c r="CU219" s="1065"/>
      <c r="CV219" s="1065"/>
      <c r="CW219" s="1065"/>
      <c r="CX219" s="1065"/>
      <c r="CY219" s="1065"/>
      <c r="CZ219" s="1065"/>
      <c r="DA219" s="1065"/>
      <c r="DB219" s="1065"/>
    </row>
    <row r="220" spans="1:106" ht="15" customHeight="1" thickBot="1">
      <c r="A220" s="1065"/>
      <c r="B220" s="1065"/>
      <c r="C220" s="1066" t="s">
        <v>673</v>
      </c>
      <c r="D220" s="1786"/>
      <c r="E220" s="1786"/>
      <c r="F220" s="1786"/>
      <c r="G220" s="1786"/>
      <c r="H220" s="1787"/>
      <c r="I220" s="1787"/>
      <c r="J220" s="1787"/>
      <c r="K220" s="1787"/>
      <c r="L220" s="1787"/>
      <c r="M220" s="1787"/>
      <c r="N220" s="1787"/>
      <c r="O220" s="1787"/>
      <c r="P220" s="1787"/>
      <c r="Q220" s="1787"/>
      <c r="R220" s="1787"/>
      <c r="S220" s="1074">
        <v>500</v>
      </c>
      <c r="T220" s="1068">
        <v>500</v>
      </c>
      <c r="U220" s="1805"/>
      <c r="V220" s="1065"/>
      <c r="W220" s="1065"/>
      <c r="X220" s="1065">
        <v>0</v>
      </c>
      <c r="Y220" s="1065"/>
      <c r="Z220" s="1065"/>
      <c r="AA220" s="1065"/>
      <c r="AB220" s="1065"/>
      <c r="AC220" s="1065"/>
      <c r="AD220" s="1065"/>
      <c r="AE220" s="1065"/>
      <c r="AF220" s="1065"/>
      <c r="AG220" s="1065"/>
      <c r="AH220" s="1065"/>
      <c r="AI220" s="1065"/>
      <c r="AJ220" s="1065"/>
      <c r="AK220" s="1065"/>
      <c r="AL220" s="1065"/>
      <c r="AM220" s="1065"/>
      <c r="AN220" s="1065"/>
      <c r="AO220" s="1065"/>
      <c r="AP220" s="1065"/>
      <c r="AQ220" s="1065"/>
      <c r="AR220" s="1065"/>
      <c r="AS220" s="1065"/>
      <c r="AT220" s="1065"/>
      <c r="AU220" s="1065"/>
      <c r="AV220" s="1065"/>
      <c r="AW220" s="1065"/>
      <c r="AX220" s="1065"/>
      <c r="AY220" s="1065"/>
      <c r="AZ220" s="1065"/>
      <c r="BA220" s="1065"/>
      <c r="BB220" s="1065"/>
      <c r="BC220" s="1065"/>
      <c r="BD220" s="1065"/>
      <c r="BE220" s="1065"/>
      <c r="BF220" s="1065"/>
      <c r="BG220" s="1065"/>
      <c r="BH220" s="1065"/>
      <c r="BI220" s="1065"/>
      <c r="BJ220" s="1065"/>
      <c r="BK220" s="1065"/>
      <c r="BL220" s="1065"/>
      <c r="BM220" s="1065"/>
      <c r="BN220" s="1065"/>
      <c r="BO220" s="1065"/>
      <c r="BP220" s="1065"/>
      <c r="BQ220" s="1065"/>
      <c r="BR220" s="1065"/>
      <c r="BS220" s="1065"/>
      <c r="BT220" s="1065"/>
      <c r="BU220" s="1065"/>
      <c r="BV220" s="1065"/>
      <c r="BW220" s="1065"/>
      <c r="BX220" s="1065"/>
      <c r="BY220" s="1065"/>
      <c r="BZ220" s="1065"/>
      <c r="CA220" s="1065"/>
      <c r="CB220" s="1065"/>
      <c r="CC220" s="1065"/>
      <c r="CD220" s="1065"/>
      <c r="CE220" s="1065"/>
      <c r="CF220" s="1065"/>
      <c r="CG220" s="1065"/>
      <c r="CH220" s="1065"/>
      <c r="CI220" s="1065"/>
      <c r="CJ220" s="1065"/>
      <c r="CK220" s="1065"/>
      <c r="CL220" s="1065"/>
      <c r="CM220" s="1065"/>
      <c r="CN220" s="1065"/>
      <c r="CO220" s="1065"/>
      <c r="CP220" s="1065"/>
      <c r="CQ220" s="1065"/>
      <c r="CR220" s="1065"/>
      <c r="CS220" s="1065"/>
      <c r="CT220" s="1065"/>
      <c r="CU220" s="1065"/>
      <c r="CV220" s="1065"/>
      <c r="CW220" s="1065"/>
      <c r="CX220" s="1065"/>
      <c r="CY220" s="1065"/>
      <c r="CZ220" s="1065"/>
      <c r="DA220" s="1065"/>
      <c r="DB220" s="1065"/>
    </row>
    <row r="221" spans="1:106" ht="15" customHeight="1" thickBot="1">
      <c r="A221" s="1065"/>
      <c r="B221" s="1065"/>
      <c r="C221" s="1066" t="s">
        <v>549</v>
      </c>
      <c r="D221" s="1786"/>
      <c r="E221" s="1786"/>
      <c r="F221" s="1786"/>
      <c r="G221" s="1786"/>
      <c r="H221" s="1787"/>
      <c r="I221" s="1787"/>
      <c r="J221" s="1787"/>
      <c r="K221" s="1787"/>
      <c r="L221" s="1787"/>
      <c r="M221" s="1787"/>
      <c r="N221" s="1787"/>
      <c r="O221" s="1787"/>
      <c r="P221" s="1787"/>
      <c r="Q221" s="1787"/>
      <c r="R221" s="1787"/>
      <c r="S221" s="1074">
        <v>500</v>
      </c>
      <c r="T221" s="1068">
        <v>500</v>
      </c>
      <c r="U221" s="1805"/>
      <c r="V221" s="1065"/>
      <c r="W221" s="1065"/>
      <c r="X221" s="1065"/>
      <c r="Y221" s="1065"/>
      <c r="Z221" s="1065"/>
      <c r="AA221" s="1065"/>
      <c r="AB221" s="1065"/>
      <c r="AC221" s="1065"/>
      <c r="AD221" s="1065"/>
      <c r="AE221" s="1065"/>
      <c r="AF221" s="1065"/>
      <c r="AG221" s="1065"/>
      <c r="AH221" s="1065"/>
      <c r="AI221" s="1065"/>
      <c r="AJ221" s="1065"/>
      <c r="AK221" s="1065"/>
      <c r="AL221" s="1065"/>
      <c r="AM221" s="1065"/>
      <c r="AN221" s="1065"/>
      <c r="AO221" s="1065"/>
      <c r="AP221" s="1065"/>
      <c r="AQ221" s="1065"/>
      <c r="AR221" s="1065"/>
      <c r="AS221" s="1065"/>
      <c r="AT221" s="1065"/>
      <c r="AU221" s="1065"/>
      <c r="AV221" s="1065"/>
      <c r="AW221" s="1065"/>
      <c r="AX221" s="1065"/>
      <c r="AY221" s="1065"/>
      <c r="AZ221" s="1065"/>
      <c r="BA221" s="1065"/>
      <c r="BB221" s="1065"/>
      <c r="BC221" s="1065"/>
      <c r="BD221" s="1065"/>
      <c r="BE221" s="1065"/>
      <c r="BF221" s="1065"/>
      <c r="BG221" s="1065"/>
      <c r="BH221" s="1065"/>
      <c r="BI221" s="1065"/>
      <c r="BJ221" s="1065"/>
      <c r="BK221" s="1065"/>
      <c r="BL221" s="1065"/>
      <c r="BM221" s="1065"/>
      <c r="BN221" s="1065"/>
      <c r="BO221" s="1065"/>
      <c r="BP221" s="1065"/>
      <c r="BQ221" s="1065"/>
      <c r="BR221" s="1065"/>
      <c r="BS221" s="1065"/>
      <c r="BT221" s="1065"/>
      <c r="BU221" s="1065"/>
      <c r="BV221" s="1065"/>
      <c r="BW221" s="1065"/>
      <c r="BX221" s="1065"/>
      <c r="BY221" s="1065"/>
      <c r="BZ221" s="1065"/>
      <c r="CA221" s="1065"/>
      <c r="CB221" s="1065"/>
      <c r="CC221" s="1065"/>
      <c r="CD221" s="1065"/>
      <c r="CE221" s="1065"/>
      <c r="CF221" s="1065"/>
      <c r="CG221" s="1065"/>
      <c r="CH221" s="1065"/>
      <c r="CI221" s="1065"/>
      <c r="CJ221" s="1065"/>
      <c r="CK221" s="1065"/>
      <c r="CL221" s="1065"/>
      <c r="CM221" s="1065"/>
      <c r="CN221" s="1065"/>
      <c r="CO221" s="1065"/>
      <c r="CP221" s="1065"/>
      <c r="CQ221" s="1065"/>
      <c r="CR221" s="1065"/>
      <c r="CS221" s="1065"/>
      <c r="CT221" s="1065"/>
      <c r="CU221" s="1065"/>
      <c r="CV221" s="1065"/>
      <c r="CW221" s="1065"/>
      <c r="CX221" s="1065"/>
      <c r="CY221" s="1065"/>
      <c r="CZ221" s="1065"/>
      <c r="DA221" s="1065"/>
      <c r="DB221" s="1065"/>
    </row>
    <row r="222" spans="1:106" ht="15" customHeight="1" thickBot="1">
      <c r="A222" s="1065"/>
      <c r="B222" s="1065"/>
      <c r="C222" s="1075" t="s">
        <v>110</v>
      </c>
      <c r="D222" s="1786"/>
      <c r="E222" s="1786"/>
      <c r="F222" s="1786"/>
      <c r="G222" s="1786"/>
      <c r="H222" s="1787"/>
      <c r="I222" s="1787"/>
      <c r="J222" s="1787"/>
      <c r="K222" s="1787"/>
      <c r="L222" s="1787"/>
      <c r="M222" s="1787"/>
      <c r="N222" s="1787"/>
      <c r="O222" s="1787"/>
      <c r="P222" s="1787"/>
      <c r="Q222" s="1787"/>
      <c r="R222" s="1787"/>
      <c r="S222" s="1074">
        <v>500</v>
      </c>
      <c r="T222" s="1068">
        <v>500</v>
      </c>
      <c r="U222" s="1805"/>
      <c r="V222" s="1065"/>
      <c r="W222" s="1065"/>
      <c r="X222" s="1065"/>
      <c r="Y222" s="1065"/>
      <c r="Z222" s="1065"/>
      <c r="AA222" s="1065"/>
      <c r="AB222" s="1065"/>
      <c r="AC222" s="1065"/>
      <c r="AD222" s="1065"/>
      <c r="AE222" s="1065"/>
      <c r="AF222" s="1065"/>
      <c r="AG222" s="1065"/>
      <c r="AH222" s="1065"/>
      <c r="AI222" s="1065"/>
      <c r="AJ222" s="1065"/>
      <c r="AK222" s="1065"/>
      <c r="AL222" s="1065"/>
      <c r="AM222" s="1065"/>
      <c r="AN222" s="1065"/>
      <c r="AO222" s="1065"/>
      <c r="AP222" s="1065"/>
      <c r="AQ222" s="1065"/>
      <c r="AR222" s="1065"/>
      <c r="AS222" s="1065"/>
      <c r="AT222" s="1065"/>
      <c r="AU222" s="1065"/>
      <c r="AV222" s="1065"/>
      <c r="AW222" s="1065"/>
      <c r="AX222" s="1065"/>
      <c r="AY222" s="1065"/>
      <c r="AZ222" s="1065"/>
      <c r="BA222" s="1065"/>
      <c r="BB222" s="1065"/>
      <c r="BC222" s="1065"/>
      <c r="BD222" s="1065"/>
      <c r="BE222" s="1065"/>
      <c r="BF222" s="1065"/>
      <c r="BG222" s="1065"/>
      <c r="BH222" s="1065"/>
      <c r="BI222" s="1065"/>
      <c r="BJ222" s="1065"/>
      <c r="BK222" s="1065"/>
      <c r="BL222" s="1065"/>
      <c r="BM222" s="1065"/>
      <c r="BN222" s="1065"/>
      <c r="BO222" s="1065"/>
      <c r="BP222" s="1065"/>
      <c r="BQ222" s="1065"/>
      <c r="BR222" s="1065"/>
      <c r="BS222" s="1065"/>
      <c r="BT222" s="1065"/>
      <c r="BU222" s="1065"/>
      <c r="BV222" s="1065"/>
      <c r="BW222" s="1065"/>
      <c r="BX222" s="1065"/>
      <c r="BY222" s="1065"/>
      <c r="BZ222" s="1065"/>
      <c r="CA222" s="1065"/>
      <c r="CB222" s="1065"/>
      <c r="CC222" s="1065"/>
      <c r="CD222" s="1065"/>
      <c r="CE222" s="1065"/>
      <c r="CF222" s="1065"/>
      <c r="CG222" s="1065"/>
      <c r="CH222" s="1065"/>
      <c r="CI222" s="1065"/>
      <c r="CJ222" s="1065"/>
      <c r="CK222" s="1065"/>
      <c r="CL222" s="1065"/>
      <c r="CM222" s="1065"/>
      <c r="CN222" s="1065"/>
      <c r="CO222" s="1065"/>
      <c r="CP222" s="1065"/>
      <c r="CQ222" s="1065"/>
      <c r="CR222" s="1065"/>
      <c r="CS222" s="1065"/>
      <c r="CT222" s="1065"/>
      <c r="CU222" s="1065"/>
      <c r="CV222" s="1065"/>
      <c r="CW222" s="1065"/>
      <c r="CX222" s="1065"/>
      <c r="CY222" s="1065"/>
      <c r="CZ222" s="1065"/>
      <c r="DA222" s="1065"/>
      <c r="DB222" s="1065"/>
    </row>
    <row r="223" spans="1:106" ht="15" customHeight="1" thickBot="1">
      <c r="A223" s="1065"/>
      <c r="B223" s="1065"/>
      <c r="C223" s="1066" t="s">
        <v>674</v>
      </c>
      <c r="D223" s="1786"/>
      <c r="E223" s="1786"/>
      <c r="F223" s="1786"/>
      <c r="G223" s="1786"/>
      <c r="H223" s="1787"/>
      <c r="I223" s="1787"/>
      <c r="J223" s="1787"/>
      <c r="K223" s="1787"/>
      <c r="L223" s="1787"/>
      <c r="M223" s="1787"/>
      <c r="N223" s="1787"/>
      <c r="O223" s="1787"/>
      <c r="P223" s="1787"/>
      <c r="Q223" s="1787"/>
      <c r="R223" s="1787"/>
      <c r="S223" s="1074">
        <v>500</v>
      </c>
      <c r="T223" s="1068">
        <v>500</v>
      </c>
      <c r="U223" s="1805"/>
      <c r="V223" s="1065"/>
      <c r="W223" s="1065"/>
      <c r="X223" s="1065"/>
      <c r="Y223" s="1065"/>
      <c r="Z223" s="1065"/>
      <c r="AA223" s="1065"/>
      <c r="AB223" s="1065"/>
      <c r="AC223" s="1065"/>
      <c r="AD223" s="1065"/>
      <c r="AE223" s="1065"/>
      <c r="AF223" s="1065"/>
      <c r="AG223" s="1065"/>
      <c r="AH223" s="1065"/>
      <c r="AI223" s="1065"/>
      <c r="AJ223" s="1065"/>
      <c r="AK223" s="1065"/>
      <c r="AL223" s="1065"/>
      <c r="AM223" s="1065"/>
      <c r="AN223" s="1065"/>
      <c r="AO223" s="1065"/>
      <c r="AP223" s="1065"/>
      <c r="AQ223" s="1065"/>
      <c r="AR223" s="1065"/>
      <c r="AS223" s="1065"/>
      <c r="AT223" s="1065"/>
      <c r="AU223" s="1065"/>
      <c r="AV223" s="1065"/>
      <c r="AW223" s="1065"/>
      <c r="AX223" s="1065"/>
      <c r="AY223" s="1065"/>
      <c r="AZ223" s="1065"/>
      <c r="BA223" s="1065"/>
      <c r="BB223" s="1065"/>
      <c r="BC223" s="1065"/>
      <c r="BD223" s="1065"/>
      <c r="BE223" s="1065"/>
      <c r="BF223" s="1065"/>
      <c r="BG223" s="1065"/>
      <c r="BH223" s="1065"/>
      <c r="BI223" s="1065"/>
      <c r="BJ223" s="1065"/>
      <c r="BK223" s="1065"/>
      <c r="BL223" s="1065"/>
      <c r="BM223" s="1065"/>
      <c r="BN223" s="1065"/>
      <c r="BO223" s="1065"/>
      <c r="BP223" s="1065"/>
      <c r="BQ223" s="1065"/>
      <c r="BR223" s="1065"/>
      <c r="BS223" s="1065"/>
      <c r="BT223" s="1065"/>
      <c r="BU223" s="1065"/>
      <c r="BV223" s="1065"/>
      <c r="BW223" s="1065"/>
      <c r="BX223" s="1065"/>
      <c r="BY223" s="1065"/>
      <c r="BZ223" s="1065"/>
      <c r="CA223" s="1065"/>
      <c r="CB223" s="1065"/>
      <c r="CC223" s="1065"/>
      <c r="CD223" s="1065"/>
      <c r="CE223" s="1065"/>
      <c r="CF223" s="1065"/>
      <c r="CG223" s="1065"/>
      <c r="CH223" s="1065"/>
      <c r="CI223" s="1065"/>
      <c r="CJ223" s="1065"/>
      <c r="CK223" s="1065"/>
      <c r="CL223" s="1065"/>
      <c r="CM223" s="1065"/>
      <c r="CN223" s="1065"/>
      <c r="CO223" s="1065"/>
      <c r="CP223" s="1065"/>
      <c r="CQ223" s="1065"/>
      <c r="CR223" s="1065"/>
      <c r="CS223" s="1065"/>
      <c r="CT223" s="1065"/>
      <c r="CU223" s="1065"/>
      <c r="CV223" s="1065"/>
      <c r="CW223" s="1065"/>
      <c r="CX223" s="1065"/>
      <c r="CY223" s="1065"/>
      <c r="CZ223" s="1065"/>
      <c r="DA223" s="1065"/>
      <c r="DB223" s="1065"/>
    </row>
    <row r="224" spans="1:106" ht="15" customHeight="1" thickBot="1">
      <c r="A224" s="1065"/>
      <c r="B224" s="1065"/>
      <c r="C224" s="1066" t="s">
        <v>675</v>
      </c>
      <c r="D224" s="1786"/>
      <c r="E224" s="1786"/>
      <c r="F224" s="1786"/>
      <c r="G224" s="1786"/>
      <c r="H224" s="1787"/>
      <c r="I224" s="1787"/>
      <c r="J224" s="1787"/>
      <c r="K224" s="1787"/>
      <c r="L224" s="1787"/>
      <c r="M224" s="1787"/>
      <c r="N224" s="1787"/>
      <c r="O224" s="1787"/>
      <c r="P224" s="1787"/>
      <c r="Q224" s="1787"/>
      <c r="R224" s="1787"/>
      <c r="S224" s="1074">
        <v>500</v>
      </c>
      <c r="T224" s="1068">
        <v>500</v>
      </c>
      <c r="U224" s="1805"/>
      <c r="V224" s="1065"/>
      <c r="W224" s="1065"/>
      <c r="X224" s="1065"/>
      <c r="Y224" s="1065"/>
      <c r="Z224" s="1065"/>
      <c r="AA224" s="1065"/>
      <c r="AB224" s="1065"/>
      <c r="AC224" s="1065"/>
      <c r="AD224" s="1065"/>
      <c r="AE224" s="1065"/>
      <c r="AF224" s="1065"/>
      <c r="AG224" s="1065"/>
      <c r="AH224" s="1065"/>
      <c r="AI224" s="1065"/>
      <c r="AJ224" s="1065"/>
      <c r="AK224" s="1065"/>
      <c r="AL224" s="1065"/>
      <c r="AM224" s="1065"/>
      <c r="AN224" s="1065"/>
      <c r="AO224" s="1065"/>
      <c r="AP224" s="1065"/>
      <c r="AQ224" s="1065"/>
      <c r="AR224" s="1065"/>
      <c r="AS224" s="1065"/>
      <c r="AT224" s="1065"/>
      <c r="AU224" s="1065"/>
      <c r="AV224" s="1065"/>
      <c r="AW224" s="1065"/>
      <c r="AX224" s="1065"/>
      <c r="AY224" s="1065"/>
      <c r="AZ224" s="1065"/>
      <c r="BA224" s="1065"/>
      <c r="BB224" s="1065"/>
      <c r="BC224" s="1065"/>
      <c r="BD224" s="1065"/>
      <c r="BE224" s="1065"/>
      <c r="BF224" s="1065"/>
      <c r="BG224" s="1065"/>
      <c r="BH224" s="1065"/>
      <c r="BI224" s="1065"/>
      <c r="BJ224" s="1065"/>
      <c r="BK224" s="1065"/>
      <c r="BL224" s="1065"/>
      <c r="BM224" s="1065"/>
      <c r="BN224" s="1065"/>
      <c r="BO224" s="1065"/>
      <c r="BP224" s="1065"/>
      <c r="BQ224" s="1065"/>
      <c r="BR224" s="1065"/>
      <c r="BS224" s="1065"/>
      <c r="BT224" s="1065"/>
      <c r="BU224" s="1065"/>
      <c r="BV224" s="1065"/>
      <c r="BW224" s="1065"/>
      <c r="BX224" s="1065"/>
      <c r="BY224" s="1065"/>
      <c r="BZ224" s="1065"/>
      <c r="CA224" s="1065"/>
      <c r="CB224" s="1065"/>
      <c r="CC224" s="1065"/>
      <c r="CD224" s="1065"/>
      <c r="CE224" s="1065"/>
      <c r="CF224" s="1065"/>
      <c r="CG224" s="1065"/>
      <c r="CH224" s="1065"/>
      <c r="CI224" s="1065"/>
      <c r="CJ224" s="1065"/>
      <c r="CK224" s="1065"/>
      <c r="CL224" s="1065"/>
      <c r="CM224" s="1065"/>
      <c r="CN224" s="1065"/>
      <c r="CO224" s="1065"/>
      <c r="CP224" s="1065"/>
      <c r="CQ224" s="1065"/>
      <c r="CR224" s="1065"/>
      <c r="CS224" s="1065"/>
      <c r="CT224" s="1065"/>
      <c r="CU224" s="1065"/>
      <c r="CV224" s="1065"/>
      <c r="CW224" s="1065"/>
      <c r="CX224" s="1065"/>
      <c r="CY224" s="1065"/>
      <c r="CZ224" s="1065"/>
      <c r="DA224" s="1065"/>
      <c r="DB224" s="1065"/>
    </row>
    <row r="225" spans="1:106" ht="15" customHeight="1" thickBot="1">
      <c r="A225" s="1065"/>
      <c r="B225" s="1065"/>
      <c r="C225" s="1066" t="s">
        <v>676</v>
      </c>
      <c r="D225" s="1786"/>
      <c r="E225" s="1786"/>
      <c r="F225" s="1786"/>
      <c r="G225" s="1786"/>
      <c r="H225" s="1787"/>
      <c r="I225" s="1787"/>
      <c r="J225" s="1787"/>
      <c r="K225" s="1787"/>
      <c r="L225" s="1787"/>
      <c r="M225" s="1787"/>
      <c r="N225" s="1787"/>
      <c r="O225" s="1787"/>
      <c r="P225" s="1787"/>
      <c r="Q225" s="1787"/>
      <c r="R225" s="1787"/>
      <c r="S225" s="1074">
        <v>500</v>
      </c>
      <c r="T225" s="1068">
        <v>500</v>
      </c>
      <c r="U225" s="1805"/>
      <c r="V225" s="1065"/>
      <c r="W225" s="1065"/>
      <c r="X225" s="1065"/>
      <c r="Y225" s="1065"/>
      <c r="Z225" s="1065"/>
      <c r="AA225" s="1065"/>
      <c r="AB225" s="1065"/>
      <c r="AC225" s="1065"/>
      <c r="AD225" s="1065"/>
      <c r="AE225" s="1065"/>
      <c r="AF225" s="1065"/>
      <c r="AG225" s="1065"/>
      <c r="AH225" s="1065"/>
      <c r="AI225" s="1065"/>
      <c r="AJ225" s="1065"/>
      <c r="AK225" s="1065"/>
      <c r="AL225" s="1065"/>
      <c r="AM225" s="1065"/>
      <c r="AN225" s="1065"/>
      <c r="AO225" s="1065"/>
      <c r="AP225" s="1065"/>
      <c r="AQ225" s="1065"/>
      <c r="AR225" s="1065"/>
      <c r="AS225" s="1065"/>
      <c r="AT225" s="1065"/>
      <c r="AU225" s="1065"/>
      <c r="AV225" s="1065"/>
      <c r="AW225" s="1065"/>
      <c r="AX225" s="1065"/>
      <c r="AY225" s="1065"/>
      <c r="AZ225" s="1065"/>
      <c r="BA225" s="1065"/>
      <c r="BB225" s="1065"/>
      <c r="BC225" s="1065"/>
      <c r="BD225" s="1065"/>
      <c r="BE225" s="1065"/>
      <c r="BF225" s="1065"/>
      <c r="BG225" s="1065"/>
      <c r="BH225" s="1065"/>
      <c r="BI225" s="1065"/>
      <c r="BJ225" s="1065"/>
      <c r="BK225" s="1065"/>
      <c r="BL225" s="1065"/>
      <c r="BM225" s="1065"/>
      <c r="BN225" s="1065"/>
      <c r="BO225" s="1065"/>
      <c r="BP225" s="1065"/>
      <c r="BQ225" s="1065"/>
      <c r="BR225" s="1065"/>
      <c r="BS225" s="1065"/>
      <c r="BT225" s="1065"/>
      <c r="BU225" s="1065"/>
      <c r="BV225" s="1065"/>
      <c r="BW225" s="1065"/>
      <c r="BX225" s="1065"/>
      <c r="BY225" s="1065"/>
      <c r="BZ225" s="1065"/>
      <c r="CA225" s="1065"/>
      <c r="CB225" s="1065"/>
      <c r="CC225" s="1065"/>
      <c r="CD225" s="1065"/>
      <c r="CE225" s="1065"/>
      <c r="CF225" s="1065"/>
      <c r="CG225" s="1065"/>
      <c r="CH225" s="1065"/>
      <c r="CI225" s="1065"/>
      <c r="CJ225" s="1065"/>
      <c r="CK225" s="1065"/>
      <c r="CL225" s="1065"/>
      <c r="CM225" s="1065"/>
      <c r="CN225" s="1065"/>
      <c r="CO225" s="1065"/>
      <c r="CP225" s="1065"/>
      <c r="CQ225" s="1065"/>
      <c r="CR225" s="1065"/>
      <c r="CS225" s="1065"/>
      <c r="CT225" s="1065"/>
      <c r="CU225" s="1065"/>
      <c r="CV225" s="1065"/>
      <c r="CW225" s="1065"/>
      <c r="CX225" s="1065"/>
      <c r="CY225" s="1065"/>
      <c r="CZ225" s="1065"/>
      <c r="DA225" s="1065"/>
      <c r="DB225" s="1065"/>
    </row>
    <row r="226" spans="1:106" ht="15" customHeight="1" thickBot="1">
      <c r="A226" s="1065"/>
      <c r="B226" s="1065"/>
      <c r="C226" s="1066" t="s">
        <v>677</v>
      </c>
      <c r="D226" s="1786"/>
      <c r="E226" s="1786"/>
      <c r="F226" s="1786"/>
      <c r="G226" s="1786"/>
      <c r="H226" s="1787"/>
      <c r="I226" s="1787"/>
      <c r="J226" s="1787"/>
      <c r="K226" s="1787"/>
      <c r="L226" s="1787"/>
      <c r="M226" s="1787"/>
      <c r="N226" s="1787"/>
      <c r="O226" s="1787"/>
      <c r="P226" s="1787"/>
      <c r="Q226" s="1787"/>
      <c r="R226" s="1787"/>
      <c r="S226" s="1074">
        <v>500</v>
      </c>
      <c r="T226" s="1068">
        <v>500</v>
      </c>
      <c r="U226" s="1805"/>
      <c r="V226" s="1065"/>
      <c r="W226" s="1065"/>
      <c r="X226" s="1065"/>
      <c r="Y226" s="1065"/>
      <c r="Z226" s="1065"/>
      <c r="AA226" s="1065"/>
      <c r="AB226" s="1065"/>
      <c r="AC226" s="1065"/>
      <c r="AD226" s="1065"/>
      <c r="AE226" s="1065"/>
      <c r="AF226" s="1065"/>
      <c r="AG226" s="1065"/>
      <c r="AH226" s="1065"/>
      <c r="AI226" s="1065"/>
      <c r="AJ226" s="1065"/>
      <c r="AK226" s="1065"/>
      <c r="AL226" s="1065"/>
      <c r="AM226" s="1065"/>
      <c r="AN226" s="1065"/>
      <c r="AO226" s="1065"/>
      <c r="AP226" s="1065"/>
      <c r="AQ226" s="1065"/>
      <c r="AR226" s="1065"/>
      <c r="AS226" s="1065"/>
      <c r="AT226" s="1065"/>
      <c r="AU226" s="1065"/>
      <c r="AV226" s="1065"/>
      <c r="AW226" s="1065"/>
      <c r="AX226" s="1065"/>
      <c r="AY226" s="1065"/>
      <c r="AZ226" s="1065"/>
      <c r="BA226" s="1065"/>
      <c r="BB226" s="1065"/>
      <c r="BC226" s="1065"/>
      <c r="BD226" s="1065"/>
      <c r="BE226" s="1065"/>
      <c r="BF226" s="1065"/>
      <c r="BG226" s="1065"/>
      <c r="BH226" s="1065"/>
      <c r="BI226" s="1065"/>
      <c r="BJ226" s="1065"/>
      <c r="BK226" s="1065"/>
      <c r="BL226" s="1065"/>
      <c r="BM226" s="1065"/>
      <c r="BN226" s="1065"/>
      <c r="BO226" s="1065"/>
      <c r="BP226" s="1065"/>
      <c r="BQ226" s="1065"/>
      <c r="BR226" s="1065"/>
      <c r="BS226" s="1065"/>
      <c r="BT226" s="1065"/>
      <c r="BU226" s="1065"/>
      <c r="BV226" s="1065"/>
      <c r="BW226" s="1065"/>
      <c r="BX226" s="1065"/>
      <c r="BY226" s="1065"/>
      <c r="BZ226" s="1065"/>
      <c r="CA226" s="1065"/>
      <c r="CB226" s="1065"/>
      <c r="CC226" s="1065"/>
      <c r="CD226" s="1065"/>
      <c r="CE226" s="1065"/>
      <c r="CF226" s="1065"/>
      <c r="CG226" s="1065"/>
      <c r="CH226" s="1065"/>
      <c r="CI226" s="1065"/>
      <c r="CJ226" s="1065"/>
      <c r="CK226" s="1065"/>
      <c r="CL226" s="1065"/>
      <c r="CM226" s="1065"/>
      <c r="CN226" s="1065"/>
      <c r="CO226" s="1065"/>
      <c r="CP226" s="1065"/>
      <c r="CQ226" s="1065"/>
      <c r="CR226" s="1065"/>
      <c r="CS226" s="1065"/>
      <c r="CT226" s="1065"/>
      <c r="CU226" s="1065"/>
      <c r="CV226" s="1065"/>
      <c r="CW226" s="1065"/>
      <c r="CX226" s="1065"/>
      <c r="CY226" s="1065"/>
      <c r="CZ226" s="1065"/>
      <c r="DA226" s="1065"/>
      <c r="DB226" s="1065"/>
    </row>
    <row r="227" spans="1:106" ht="15" customHeight="1" thickBot="1">
      <c r="A227" s="1065"/>
      <c r="B227" s="1065"/>
      <c r="C227" s="1066" t="s">
        <v>111</v>
      </c>
      <c r="D227" s="1786"/>
      <c r="E227" s="1786"/>
      <c r="F227" s="1786"/>
      <c r="G227" s="1786"/>
      <c r="H227" s="1787"/>
      <c r="I227" s="1787"/>
      <c r="J227" s="1787"/>
      <c r="K227" s="1787"/>
      <c r="L227" s="1787"/>
      <c r="M227" s="1787"/>
      <c r="N227" s="1787"/>
      <c r="O227" s="1787"/>
      <c r="P227" s="1787"/>
      <c r="Q227" s="1787"/>
      <c r="R227" s="1787"/>
      <c r="S227" s="1074">
        <v>500</v>
      </c>
      <c r="T227" s="1068">
        <v>500</v>
      </c>
      <c r="U227" s="1805"/>
      <c r="V227" s="1065"/>
      <c r="W227" s="1065"/>
      <c r="X227" s="1065"/>
      <c r="Y227" s="1065"/>
      <c r="Z227" s="1065"/>
      <c r="AA227" s="1065"/>
      <c r="AB227" s="1065"/>
      <c r="AC227" s="1065"/>
      <c r="AD227" s="1065"/>
      <c r="AE227" s="1065"/>
      <c r="AF227" s="1065"/>
      <c r="AG227" s="1065"/>
      <c r="AH227" s="1065"/>
      <c r="AI227" s="1065"/>
      <c r="AJ227" s="1065"/>
      <c r="AK227" s="1065"/>
      <c r="AL227" s="1065"/>
      <c r="AM227" s="1065"/>
      <c r="AN227" s="1065"/>
      <c r="AO227" s="1065"/>
      <c r="AP227" s="1065"/>
      <c r="AQ227" s="1065"/>
      <c r="AR227" s="1065"/>
      <c r="AS227" s="1065"/>
      <c r="AT227" s="1065"/>
      <c r="AU227" s="1065"/>
      <c r="AV227" s="1065"/>
      <c r="AW227" s="1065"/>
      <c r="AX227" s="1065"/>
      <c r="AY227" s="1065"/>
      <c r="AZ227" s="1065"/>
      <c r="BA227" s="1065"/>
      <c r="BB227" s="1065"/>
      <c r="BC227" s="1065"/>
      <c r="BD227" s="1065"/>
      <c r="BE227" s="1065"/>
      <c r="BF227" s="1065"/>
      <c r="BG227" s="1065"/>
      <c r="BH227" s="1065"/>
      <c r="BI227" s="1065"/>
      <c r="BJ227" s="1065"/>
      <c r="BK227" s="1065"/>
      <c r="BL227" s="1065"/>
      <c r="BM227" s="1065"/>
      <c r="BN227" s="1065"/>
      <c r="BO227" s="1065"/>
      <c r="BP227" s="1065"/>
      <c r="BQ227" s="1065"/>
      <c r="BR227" s="1065"/>
      <c r="BS227" s="1065"/>
      <c r="BT227" s="1065"/>
      <c r="BU227" s="1065"/>
      <c r="BV227" s="1065"/>
      <c r="BW227" s="1065"/>
      <c r="BX227" s="1065"/>
      <c r="BY227" s="1065"/>
      <c r="BZ227" s="1065"/>
      <c r="CA227" s="1065"/>
      <c r="CB227" s="1065"/>
      <c r="CC227" s="1065"/>
      <c r="CD227" s="1065"/>
      <c r="CE227" s="1065"/>
      <c r="CF227" s="1065"/>
      <c r="CG227" s="1065"/>
      <c r="CH227" s="1065"/>
      <c r="CI227" s="1065"/>
      <c r="CJ227" s="1065"/>
      <c r="CK227" s="1065"/>
      <c r="CL227" s="1065"/>
      <c r="CM227" s="1065"/>
      <c r="CN227" s="1065"/>
      <c r="CO227" s="1065"/>
      <c r="CP227" s="1065"/>
      <c r="CQ227" s="1065"/>
      <c r="CR227" s="1065"/>
      <c r="CS227" s="1065"/>
      <c r="CT227" s="1065"/>
      <c r="CU227" s="1065"/>
      <c r="CV227" s="1065"/>
      <c r="CW227" s="1065"/>
      <c r="CX227" s="1065"/>
      <c r="CY227" s="1065"/>
      <c r="CZ227" s="1065"/>
      <c r="DA227" s="1065"/>
      <c r="DB227" s="1065"/>
    </row>
    <row r="228" spans="1:106" ht="15" customHeight="1" thickBot="1">
      <c r="A228" s="1065"/>
      <c r="B228" s="1065"/>
      <c r="C228" s="1066" t="s">
        <v>316</v>
      </c>
      <c r="D228" s="1786"/>
      <c r="E228" s="1786"/>
      <c r="F228" s="1786"/>
      <c r="G228" s="1786"/>
      <c r="H228" s="1787"/>
      <c r="I228" s="1787"/>
      <c r="J228" s="1787"/>
      <c r="K228" s="1787"/>
      <c r="L228" s="1787"/>
      <c r="M228" s="1787"/>
      <c r="N228" s="1787"/>
      <c r="O228" s="1787"/>
      <c r="P228" s="1787"/>
      <c r="Q228" s="1787"/>
      <c r="R228" s="1787"/>
      <c r="S228" s="1074">
        <v>500</v>
      </c>
      <c r="T228" s="1068">
        <v>500</v>
      </c>
      <c r="U228" s="1805"/>
      <c r="V228" s="1065"/>
      <c r="W228" s="1065"/>
      <c r="X228" s="1065"/>
      <c r="Y228" s="1065"/>
      <c r="Z228" s="1065"/>
      <c r="AA228" s="1065"/>
      <c r="AB228" s="1065"/>
      <c r="AC228" s="1065"/>
      <c r="AD228" s="1065"/>
      <c r="AE228" s="1065"/>
      <c r="AF228" s="1065"/>
      <c r="AG228" s="1065"/>
      <c r="AH228" s="1065"/>
      <c r="AI228" s="1065"/>
      <c r="AJ228" s="1065"/>
      <c r="AK228" s="1065"/>
      <c r="AL228" s="1065"/>
      <c r="AM228" s="1065"/>
      <c r="AN228" s="1065"/>
      <c r="AO228" s="1065"/>
      <c r="AP228" s="1065"/>
      <c r="AQ228" s="1065"/>
      <c r="AR228" s="1065"/>
      <c r="AS228" s="1065"/>
      <c r="AT228" s="1065"/>
      <c r="AU228" s="1065"/>
      <c r="AV228" s="1065"/>
      <c r="AW228" s="1065"/>
      <c r="AX228" s="1065"/>
      <c r="AY228" s="1065"/>
      <c r="AZ228" s="1065"/>
      <c r="BA228" s="1065"/>
      <c r="BB228" s="1065"/>
      <c r="BC228" s="1065"/>
      <c r="BD228" s="1065"/>
      <c r="BE228" s="1065"/>
      <c r="BF228" s="1065"/>
      <c r="BG228" s="1065"/>
      <c r="BH228" s="1065"/>
      <c r="BI228" s="1065"/>
      <c r="BJ228" s="1065"/>
      <c r="BK228" s="1065"/>
      <c r="BL228" s="1065"/>
      <c r="BM228" s="1065"/>
      <c r="BN228" s="1065"/>
      <c r="BO228" s="1065"/>
      <c r="BP228" s="1065"/>
      <c r="BQ228" s="1065"/>
      <c r="BR228" s="1065"/>
      <c r="BS228" s="1065"/>
      <c r="BT228" s="1065"/>
      <c r="BU228" s="1065"/>
      <c r="BV228" s="1065"/>
      <c r="BW228" s="1065"/>
      <c r="BX228" s="1065"/>
      <c r="BY228" s="1065"/>
      <c r="BZ228" s="1065"/>
      <c r="CA228" s="1065"/>
      <c r="CB228" s="1065"/>
      <c r="CC228" s="1065"/>
      <c r="CD228" s="1065"/>
      <c r="CE228" s="1065"/>
      <c r="CF228" s="1065"/>
      <c r="CG228" s="1065"/>
      <c r="CH228" s="1065"/>
      <c r="CI228" s="1065"/>
      <c r="CJ228" s="1065"/>
      <c r="CK228" s="1065"/>
      <c r="CL228" s="1065"/>
      <c r="CM228" s="1065"/>
      <c r="CN228" s="1065"/>
      <c r="CO228" s="1065"/>
      <c r="CP228" s="1065"/>
      <c r="CQ228" s="1065"/>
      <c r="CR228" s="1065"/>
      <c r="CS228" s="1065"/>
      <c r="CT228" s="1065"/>
      <c r="CU228" s="1065"/>
      <c r="CV228" s="1065"/>
      <c r="CW228" s="1065"/>
      <c r="CX228" s="1065"/>
      <c r="CY228" s="1065"/>
      <c r="CZ228" s="1065"/>
      <c r="DA228" s="1065"/>
      <c r="DB228" s="1065"/>
    </row>
    <row r="229" spans="1:106" ht="15" customHeight="1" thickBot="1">
      <c r="A229" s="1065"/>
      <c r="B229" s="1065"/>
      <c r="C229" s="1066" t="s">
        <v>678</v>
      </c>
      <c r="D229" s="1786"/>
      <c r="E229" s="1786"/>
      <c r="F229" s="1786"/>
      <c r="G229" s="1786"/>
      <c r="H229" s="1787"/>
      <c r="I229" s="1787"/>
      <c r="J229" s="1787"/>
      <c r="K229" s="1787"/>
      <c r="L229" s="1787"/>
      <c r="M229" s="1787"/>
      <c r="N229" s="1787"/>
      <c r="O229" s="1787"/>
      <c r="P229" s="1787"/>
      <c r="Q229" s="1787"/>
      <c r="R229" s="1787"/>
      <c r="S229" s="1074">
        <v>0</v>
      </c>
      <c r="T229" s="1068">
        <v>500</v>
      </c>
      <c r="U229" s="1805"/>
      <c r="V229" s="1065"/>
      <c r="W229" s="1065"/>
      <c r="X229" s="1065"/>
      <c r="Y229" s="1065"/>
      <c r="Z229" s="1065"/>
      <c r="AA229" s="1065"/>
      <c r="AB229" s="1065"/>
      <c r="AC229" s="1065"/>
      <c r="AD229" s="1065"/>
      <c r="AE229" s="1065"/>
      <c r="AF229" s="1065"/>
      <c r="AG229" s="1065"/>
      <c r="AH229" s="1065"/>
      <c r="AI229" s="1065"/>
      <c r="AJ229" s="1065"/>
      <c r="AK229" s="1065"/>
      <c r="AL229" s="1065"/>
      <c r="AM229" s="1065"/>
      <c r="AN229" s="1065"/>
      <c r="AO229" s="1065"/>
      <c r="AP229" s="1065"/>
      <c r="AQ229" s="1065"/>
      <c r="AR229" s="1065"/>
      <c r="AS229" s="1065"/>
      <c r="AT229" s="1065"/>
      <c r="AU229" s="1065"/>
      <c r="AV229" s="1065"/>
      <c r="AW229" s="1065"/>
      <c r="AX229" s="1065"/>
      <c r="AY229" s="1065"/>
      <c r="AZ229" s="1065"/>
      <c r="BA229" s="1065"/>
      <c r="BB229" s="1065"/>
      <c r="BC229" s="1065"/>
      <c r="BD229" s="1065"/>
      <c r="BE229" s="1065"/>
      <c r="BF229" s="1065"/>
      <c r="BG229" s="1065"/>
      <c r="BH229" s="1065"/>
      <c r="BI229" s="1065"/>
      <c r="BJ229" s="1065"/>
      <c r="BK229" s="1065"/>
      <c r="BL229" s="1065"/>
      <c r="BM229" s="1065"/>
      <c r="BN229" s="1065"/>
      <c r="BO229" s="1065"/>
      <c r="BP229" s="1065"/>
      <c r="BQ229" s="1065"/>
      <c r="BR229" s="1065"/>
      <c r="BS229" s="1065"/>
      <c r="BT229" s="1065"/>
      <c r="BU229" s="1065"/>
      <c r="BV229" s="1065"/>
      <c r="BW229" s="1065"/>
      <c r="BX229" s="1065"/>
      <c r="BY229" s="1065"/>
      <c r="BZ229" s="1065"/>
      <c r="CA229" s="1065"/>
      <c r="CB229" s="1065"/>
      <c r="CC229" s="1065"/>
      <c r="CD229" s="1065"/>
      <c r="CE229" s="1065"/>
      <c r="CF229" s="1065"/>
      <c r="CG229" s="1065"/>
      <c r="CH229" s="1065"/>
      <c r="CI229" s="1065"/>
      <c r="CJ229" s="1065"/>
      <c r="CK229" s="1065"/>
      <c r="CL229" s="1065"/>
      <c r="CM229" s="1065"/>
      <c r="CN229" s="1065"/>
      <c r="CO229" s="1065"/>
      <c r="CP229" s="1065"/>
      <c r="CQ229" s="1065"/>
      <c r="CR229" s="1065"/>
      <c r="CS229" s="1065"/>
      <c r="CT229" s="1065"/>
      <c r="CU229" s="1065"/>
      <c r="CV229" s="1065"/>
      <c r="CW229" s="1065"/>
      <c r="CX229" s="1065"/>
      <c r="CY229" s="1065"/>
      <c r="CZ229" s="1065"/>
      <c r="DA229" s="1065"/>
      <c r="DB229" s="1065"/>
    </row>
    <row r="230" spans="1:106" ht="15" customHeight="1" thickBot="1">
      <c r="A230" s="1065"/>
      <c r="B230" s="1065"/>
      <c r="C230" s="1066" t="s">
        <v>550</v>
      </c>
      <c r="D230" s="1786"/>
      <c r="E230" s="1786"/>
      <c r="F230" s="1786"/>
      <c r="G230" s="1786"/>
      <c r="H230" s="1787"/>
      <c r="I230" s="1787"/>
      <c r="J230" s="1787"/>
      <c r="K230" s="1787"/>
      <c r="L230" s="1787"/>
      <c r="M230" s="1787"/>
      <c r="N230" s="1787"/>
      <c r="O230" s="1787"/>
      <c r="P230" s="1787"/>
      <c r="Q230" s="1787"/>
      <c r="R230" s="1787"/>
      <c r="S230" s="1074">
        <v>500</v>
      </c>
      <c r="T230" s="1068">
        <v>500</v>
      </c>
      <c r="U230" s="1805"/>
      <c r="V230" s="1065"/>
      <c r="W230" s="1065"/>
      <c r="X230" s="1065"/>
      <c r="Y230" s="1065"/>
      <c r="Z230" s="1065"/>
      <c r="AA230" s="1065"/>
      <c r="AB230" s="1065"/>
      <c r="AC230" s="1065"/>
      <c r="AD230" s="1065"/>
      <c r="AE230" s="1065"/>
      <c r="AF230" s="1065"/>
      <c r="AG230" s="1065"/>
      <c r="AH230" s="1065"/>
      <c r="AI230" s="1065"/>
      <c r="AJ230" s="1065"/>
      <c r="AK230" s="1065"/>
      <c r="AL230" s="1065"/>
      <c r="AM230" s="1065"/>
      <c r="AN230" s="1065"/>
      <c r="AO230" s="1065"/>
      <c r="AP230" s="1065"/>
      <c r="AQ230" s="1065"/>
      <c r="AR230" s="1065"/>
      <c r="AS230" s="1065"/>
      <c r="AT230" s="1065"/>
      <c r="AU230" s="1065"/>
      <c r="AV230" s="1065"/>
      <c r="AW230" s="1065"/>
      <c r="AX230" s="1065"/>
      <c r="AY230" s="1065"/>
      <c r="AZ230" s="1065"/>
      <c r="BA230" s="1065"/>
      <c r="BB230" s="1065"/>
      <c r="BC230" s="1065"/>
      <c r="BD230" s="1065"/>
      <c r="BE230" s="1065"/>
      <c r="BF230" s="1065"/>
      <c r="BG230" s="1065"/>
      <c r="BH230" s="1065"/>
      <c r="BI230" s="1065"/>
      <c r="BJ230" s="1065"/>
      <c r="BK230" s="1065"/>
      <c r="BL230" s="1065"/>
      <c r="BM230" s="1065"/>
      <c r="BN230" s="1065"/>
      <c r="BO230" s="1065"/>
      <c r="BP230" s="1065"/>
      <c r="BQ230" s="1065"/>
      <c r="BR230" s="1065"/>
      <c r="BS230" s="1065"/>
      <c r="BT230" s="1065"/>
      <c r="BU230" s="1065"/>
      <c r="BV230" s="1065"/>
      <c r="BW230" s="1065"/>
      <c r="BX230" s="1065"/>
      <c r="BY230" s="1065"/>
      <c r="BZ230" s="1065"/>
      <c r="CA230" s="1065"/>
      <c r="CB230" s="1065"/>
      <c r="CC230" s="1065"/>
      <c r="CD230" s="1065"/>
      <c r="CE230" s="1065"/>
      <c r="CF230" s="1065"/>
      <c r="CG230" s="1065"/>
      <c r="CH230" s="1065"/>
      <c r="CI230" s="1065"/>
      <c r="CJ230" s="1065"/>
      <c r="CK230" s="1065"/>
      <c r="CL230" s="1065"/>
      <c r="CM230" s="1065"/>
      <c r="CN230" s="1065"/>
      <c r="CO230" s="1065"/>
      <c r="CP230" s="1065"/>
      <c r="CQ230" s="1065"/>
      <c r="CR230" s="1065"/>
      <c r="CS230" s="1065"/>
      <c r="CT230" s="1065"/>
      <c r="CU230" s="1065"/>
      <c r="CV230" s="1065"/>
      <c r="CW230" s="1065"/>
      <c r="CX230" s="1065"/>
      <c r="CY230" s="1065"/>
      <c r="CZ230" s="1065"/>
      <c r="DA230" s="1065"/>
      <c r="DB230" s="1065"/>
    </row>
    <row r="231" spans="1:106" ht="15" customHeight="1" thickBot="1">
      <c r="A231" s="1065"/>
      <c r="B231" s="1065"/>
      <c r="C231" s="1066" t="s">
        <v>679</v>
      </c>
      <c r="D231" s="1786"/>
      <c r="E231" s="1786"/>
      <c r="F231" s="1786"/>
      <c r="G231" s="1786"/>
      <c r="H231" s="1787"/>
      <c r="I231" s="1787"/>
      <c r="J231" s="1787"/>
      <c r="K231" s="1787"/>
      <c r="L231" s="1787"/>
      <c r="M231" s="1787"/>
      <c r="N231" s="1787"/>
      <c r="O231" s="1787"/>
      <c r="P231" s="1787"/>
      <c r="Q231" s="1787"/>
      <c r="R231" s="1787"/>
      <c r="S231" s="1074">
        <v>500</v>
      </c>
      <c r="T231" s="1068">
        <v>500</v>
      </c>
      <c r="U231" s="1805"/>
      <c r="V231" s="1065"/>
      <c r="W231" s="1065"/>
      <c r="X231" s="1065"/>
      <c r="Y231" s="1065"/>
      <c r="Z231" s="1065"/>
      <c r="AA231" s="1065"/>
      <c r="AB231" s="1065"/>
      <c r="AC231" s="1065"/>
      <c r="AD231" s="1065"/>
      <c r="AE231" s="1065"/>
      <c r="AF231" s="1065"/>
      <c r="AG231" s="1065"/>
      <c r="AH231" s="1065"/>
      <c r="AI231" s="1065"/>
      <c r="AJ231" s="1065"/>
      <c r="AK231" s="1065"/>
      <c r="AL231" s="1065"/>
      <c r="AM231" s="1065"/>
      <c r="AN231" s="1065"/>
      <c r="AO231" s="1065"/>
      <c r="AP231" s="1065"/>
      <c r="AQ231" s="1065"/>
      <c r="AR231" s="1065"/>
      <c r="AS231" s="1065"/>
      <c r="AT231" s="1065"/>
      <c r="AU231" s="1065"/>
      <c r="AV231" s="1065"/>
      <c r="AW231" s="1065"/>
      <c r="AX231" s="1065"/>
      <c r="AY231" s="1065"/>
      <c r="AZ231" s="1065"/>
      <c r="BA231" s="1065"/>
      <c r="BB231" s="1065"/>
      <c r="BC231" s="1065"/>
      <c r="BD231" s="1065"/>
      <c r="BE231" s="1065"/>
      <c r="BF231" s="1065"/>
      <c r="BG231" s="1065"/>
      <c r="BH231" s="1065"/>
      <c r="BI231" s="1065"/>
      <c r="BJ231" s="1065"/>
      <c r="BK231" s="1065"/>
      <c r="BL231" s="1065"/>
      <c r="BM231" s="1065"/>
      <c r="BN231" s="1065"/>
      <c r="BO231" s="1065"/>
      <c r="BP231" s="1065"/>
      <c r="BQ231" s="1065"/>
      <c r="BR231" s="1065"/>
      <c r="BS231" s="1065"/>
      <c r="BT231" s="1065"/>
      <c r="BU231" s="1065"/>
      <c r="BV231" s="1065"/>
      <c r="BW231" s="1065"/>
      <c r="BX231" s="1065"/>
      <c r="BY231" s="1065"/>
      <c r="BZ231" s="1065"/>
      <c r="CA231" s="1065"/>
      <c r="CB231" s="1065"/>
      <c r="CC231" s="1065"/>
      <c r="CD231" s="1065"/>
      <c r="CE231" s="1065"/>
      <c r="CF231" s="1065"/>
      <c r="CG231" s="1065"/>
      <c r="CH231" s="1065"/>
      <c r="CI231" s="1065"/>
      <c r="CJ231" s="1065"/>
      <c r="CK231" s="1065"/>
      <c r="CL231" s="1065"/>
      <c r="CM231" s="1065"/>
      <c r="CN231" s="1065"/>
      <c r="CO231" s="1065"/>
      <c r="CP231" s="1065"/>
      <c r="CQ231" s="1065"/>
      <c r="CR231" s="1065"/>
      <c r="CS231" s="1065"/>
      <c r="CT231" s="1065"/>
      <c r="CU231" s="1065"/>
      <c r="CV231" s="1065"/>
      <c r="CW231" s="1065"/>
      <c r="CX231" s="1065"/>
      <c r="CY231" s="1065"/>
      <c r="CZ231" s="1065"/>
      <c r="DA231" s="1065"/>
      <c r="DB231" s="1065"/>
    </row>
    <row r="232" spans="1:106" ht="15" customHeight="1" thickBot="1">
      <c r="A232" s="1065"/>
      <c r="B232" s="1065"/>
      <c r="C232" s="1076" t="s">
        <v>680</v>
      </c>
      <c r="D232" s="1786"/>
      <c r="E232" s="1786"/>
      <c r="F232" s="1786"/>
      <c r="G232" s="1786"/>
      <c r="H232" s="1787"/>
      <c r="I232" s="1787"/>
      <c r="J232" s="1787"/>
      <c r="K232" s="1787"/>
      <c r="L232" s="1787"/>
      <c r="M232" s="1787"/>
      <c r="N232" s="1787"/>
      <c r="O232" s="1787"/>
      <c r="P232" s="1787"/>
      <c r="Q232" s="1787"/>
      <c r="R232" s="1787"/>
      <c r="S232" s="1077">
        <v>500</v>
      </c>
      <c r="T232" s="1078">
        <v>500</v>
      </c>
      <c r="U232" s="1805"/>
      <c r="V232" s="1065"/>
      <c r="W232" s="1065"/>
      <c r="X232" s="1065"/>
      <c r="Y232" s="1065"/>
      <c r="Z232" s="1065"/>
      <c r="AA232" s="1065"/>
      <c r="AB232" s="1065"/>
      <c r="AC232" s="1065"/>
      <c r="AD232" s="1065"/>
      <c r="AE232" s="1065"/>
      <c r="AF232" s="1065"/>
      <c r="AG232" s="1065"/>
      <c r="AH232" s="1065"/>
      <c r="AI232" s="1065"/>
      <c r="AJ232" s="1065"/>
      <c r="AK232" s="1065"/>
      <c r="AL232" s="1065"/>
      <c r="AM232" s="1065"/>
      <c r="AN232" s="1065"/>
      <c r="AO232" s="1065"/>
      <c r="AP232" s="1065"/>
      <c r="AQ232" s="1065"/>
      <c r="AR232" s="1065"/>
      <c r="AS232" s="1065"/>
      <c r="AT232" s="1065"/>
      <c r="AU232" s="1065"/>
      <c r="AV232" s="1065"/>
      <c r="AW232" s="1065"/>
      <c r="AX232" s="1065"/>
      <c r="AY232" s="1065"/>
      <c r="AZ232" s="1065"/>
      <c r="BA232" s="1065"/>
      <c r="BB232" s="1065"/>
      <c r="BC232" s="1065"/>
      <c r="BD232" s="1065"/>
      <c r="BE232" s="1065"/>
      <c r="BF232" s="1065"/>
      <c r="BG232" s="1065"/>
      <c r="BH232" s="1065"/>
      <c r="BI232" s="1065"/>
      <c r="BJ232" s="1065"/>
      <c r="BK232" s="1065"/>
      <c r="BL232" s="1065"/>
      <c r="BM232" s="1065"/>
      <c r="BN232" s="1065"/>
      <c r="BO232" s="1065"/>
      <c r="BP232" s="1065"/>
      <c r="BQ232" s="1065"/>
      <c r="BR232" s="1065"/>
      <c r="BS232" s="1065"/>
      <c r="BT232" s="1065"/>
      <c r="BU232" s="1065"/>
      <c r="BV232" s="1065"/>
      <c r="BW232" s="1065"/>
      <c r="BX232" s="1065"/>
      <c r="BY232" s="1065"/>
      <c r="BZ232" s="1065"/>
      <c r="CA232" s="1065"/>
      <c r="CB232" s="1065"/>
      <c r="CC232" s="1065"/>
      <c r="CD232" s="1065"/>
      <c r="CE232" s="1065"/>
      <c r="CF232" s="1065"/>
      <c r="CG232" s="1065"/>
      <c r="CH232" s="1065"/>
      <c r="CI232" s="1065"/>
      <c r="CJ232" s="1065"/>
      <c r="CK232" s="1065"/>
      <c r="CL232" s="1065"/>
      <c r="CM232" s="1065"/>
      <c r="CN232" s="1065"/>
      <c r="CO232" s="1065"/>
      <c r="CP232" s="1065"/>
      <c r="CQ232" s="1065"/>
      <c r="CR232" s="1065"/>
      <c r="CS232" s="1065"/>
      <c r="CT232" s="1065"/>
      <c r="CU232" s="1065"/>
      <c r="CV232" s="1065"/>
      <c r="CW232" s="1065"/>
      <c r="CX232" s="1065"/>
      <c r="CY232" s="1065"/>
      <c r="CZ232" s="1065"/>
      <c r="DA232" s="1065"/>
      <c r="DB232" s="1065"/>
    </row>
    <row r="233" spans="1:106" ht="15" customHeight="1" thickBot="1">
      <c r="A233" s="1065"/>
      <c r="B233" s="1065"/>
      <c r="C233" s="1740" t="s">
        <v>681</v>
      </c>
      <c r="D233" s="1740"/>
      <c r="E233" s="1740"/>
      <c r="F233" s="1740"/>
      <c r="G233" s="1740"/>
      <c r="H233" s="1740"/>
      <c r="I233" s="1740"/>
      <c r="J233" s="1740"/>
      <c r="K233" s="1740"/>
      <c r="L233" s="1740"/>
      <c r="M233" s="1740"/>
      <c r="N233" s="1740"/>
      <c r="O233" s="1740"/>
      <c r="P233" s="1740"/>
      <c r="Q233" s="1740"/>
      <c r="R233" s="1740"/>
      <c r="S233" s="1740"/>
      <c r="T233" s="1740"/>
      <c r="U233" s="1740"/>
      <c r="V233" s="1065"/>
      <c r="W233" s="1065"/>
      <c r="X233" s="1065"/>
      <c r="Y233" s="1065"/>
      <c r="Z233" s="1065"/>
      <c r="AA233" s="1065"/>
      <c r="AB233" s="1065"/>
      <c r="AC233" s="1065"/>
      <c r="AD233" s="1065"/>
      <c r="AE233" s="1065"/>
      <c r="AF233" s="1065"/>
      <c r="AG233" s="1065"/>
      <c r="AH233" s="1065"/>
      <c r="AI233" s="1065"/>
      <c r="AJ233" s="1065"/>
      <c r="AK233" s="1065"/>
      <c r="AL233" s="1065"/>
      <c r="AM233" s="1065"/>
      <c r="AN233" s="1065"/>
      <c r="AO233" s="1065"/>
      <c r="AP233" s="1065"/>
      <c r="AQ233" s="1065"/>
      <c r="AR233" s="1065"/>
      <c r="AS233" s="1065"/>
      <c r="AT233" s="1065"/>
      <c r="AU233" s="1065"/>
      <c r="AV233" s="1065"/>
      <c r="AW233" s="1065"/>
      <c r="AX233" s="1065"/>
      <c r="AY233" s="1065"/>
      <c r="AZ233" s="1065"/>
      <c r="BA233" s="1065"/>
      <c r="BB233" s="1065"/>
      <c r="BC233" s="1065"/>
      <c r="BD233" s="1065"/>
      <c r="BE233" s="1065"/>
      <c r="BF233" s="1065"/>
      <c r="BG233" s="1065"/>
      <c r="BH233" s="1065"/>
      <c r="BI233" s="1065"/>
      <c r="BJ233" s="1065"/>
      <c r="BK233" s="1065"/>
      <c r="BL233" s="1065"/>
      <c r="BM233" s="1065"/>
      <c r="BN233" s="1065"/>
      <c r="BO233" s="1065"/>
      <c r="BP233" s="1065"/>
      <c r="BQ233" s="1065"/>
      <c r="BR233" s="1065"/>
      <c r="BS233" s="1065"/>
      <c r="BT233" s="1065"/>
      <c r="BU233" s="1065"/>
      <c r="BV233" s="1065"/>
      <c r="BW233" s="1065"/>
      <c r="BX233" s="1065"/>
      <c r="BY233" s="1065"/>
      <c r="BZ233" s="1065"/>
      <c r="CA233" s="1065"/>
      <c r="CB233" s="1065"/>
      <c r="CC233" s="1065"/>
      <c r="CD233" s="1065"/>
      <c r="CE233" s="1065"/>
      <c r="CF233" s="1065"/>
      <c r="CG233" s="1065"/>
      <c r="CH233" s="1065"/>
      <c r="CI233" s="1065"/>
      <c r="CJ233" s="1065"/>
      <c r="CK233" s="1065"/>
      <c r="CL233" s="1065"/>
      <c r="CM233" s="1065"/>
      <c r="CN233" s="1065"/>
      <c r="CO233" s="1065"/>
      <c r="CP233" s="1065"/>
      <c r="CQ233" s="1065"/>
      <c r="CR233" s="1065"/>
      <c r="CS233" s="1065"/>
      <c r="CT233" s="1065"/>
      <c r="CU233" s="1065"/>
      <c r="CV233" s="1065"/>
      <c r="CW233" s="1065"/>
      <c r="CX233" s="1065"/>
      <c r="CY233" s="1065"/>
      <c r="CZ233" s="1065"/>
      <c r="DA233" s="1065"/>
      <c r="DB233" s="1065"/>
    </row>
    <row r="234" spans="1:106" ht="15" customHeight="1" thickBot="1">
      <c r="A234" s="1065"/>
      <c r="B234" s="1065"/>
      <c r="C234" s="1741" t="s">
        <v>648</v>
      </c>
      <c r="D234" s="1742" t="s">
        <v>649</v>
      </c>
      <c r="E234" s="1742"/>
      <c r="F234" s="1742"/>
      <c r="G234" s="1742"/>
      <c r="H234" s="1759" t="s">
        <v>650</v>
      </c>
      <c r="I234" s="1759"/>
      <c r="J234" s="1743" t="s">
        <v>651</v>
      </c>
      <c r="K234" s="1743"/>
      <c r="L234" s="1743"/>
      <c r="M234" s="1743" t="s">
        <v>652</v>
      </c>
      <c r="N234" s="1743"/>
      <c r="O234" s="1743"/>
      <c r="P234" s="1743"/>
      <c r="Q234" s="1743"/>
      <c r="R234" s="1743"/>
      <c r="S234" s="1743" t="s">
        <v>6</v>
      </c>
      <c r="T234" s="1744" t="s">
        <v>653</v>
      </c>
      <c r="U234" s="1745" t="s">
        <v>654</v>
      </c>
      <c r="V234" s="1065"/>
      <c r="W234" s="1065"/>
      <c r="X234" s="1065"/>
      <c r="Y234" s="1065"/>
      <c r="Z234" s="1065"/>
      <c r="AA234" s="1065"/>
      <c r="AB234" s="1065"/>
      <c r="AC234" s="1065"/>
      <c r="AD234" s="1065"/>
      <c r="AE234" s="1065"/>
      <c r="AF234" s="1065"/>
      <c r="AG234" s="1065"/>
      <c r="AH234" s="1065"/>
      <c r="AI234" s="1065"/>
      <c r="AJ234" s="1065"/>
      <c r="AK234" s="1065"/>
      <c r="AL234" s="1065"/>
      <c r="AM234" s="1065"/>
      <c r="AN234" s="1065"/>
      <c r="AO234" s="1065"/>
      <c r="AP234" s="1065"/>
      <c r="AQ234" s="1065"/>
      <c r="AR234" s="1065"/>
      <c r="AS234" s="1065"/>
      <c r="AT234" s="1065"/>
      <c r="AU234" s="1065"/>
      <c r="AV234" s="1065"/>
      <c r="AW234" s="1065"/>
      <c r="AX234" s="1065"/>
      <c r="AY234" s="1065"/>
      <c r="AZ234" s="1065"/>
      <c r="BA234" s="1065"/>
      <c r="BB234" s="1065"/>
      <c r="BC234" s="1065"/>
      <c r="BD234" s="1065"/>
      <c r="BE234" s="1065"/>
      <c r="BF234" s="1065"/>
      <c r="BG234" s="1065"/>
      <c r="BH234" s="1065"/>
      <c r="BI234" s="1065"/>
      <c r="BJ234" s="1065"/>
      <c r="BK234" s="1065"/>
      <c r="BL234" s="1065"/>
      <c r="BM234" s="1065"/>
      <c r="BN234" s="1065"/>
      <c r="BO234" s="1065"/>
      <c r="BP234" s="1065"/>
      <c r="BQ234" s="1065"/>
      <c r="BR234" s="1065"/>
      <c r="BS234" s="1065"/>
      <c r="BT234" s="1065"/>
      <c r="BU234" s="1065"/>
      <c r="BV234" s="1065"/>
      <c r="BW234" s="1065"/>
      <c r="BX234" s="1065"/>
      <c r="BY234" s="1065"/>
      <c r="BZ234" s="1065"/>
      <c r="CA234" s="1065"/>
      <c r="CB234" s="1065"/>
      <c r="CC234" s="1065"/>
      <c r="CD234" s="1065"/>
      <c r="CE234" s="1065"/>
      <c r="CF234" s="1065"/>
      <c r="CG234" s="1065"/>
      <c r="CH234" s="1065"/>
      <c r="CI234" s="1065"/>
      <c r="CJ234" s="1065"/>
      <c r="CK234" s="1065"/>
      <c r="CL234" s="1065"/>
      <c r="CM234" s="1065"/>
      <c r="CN234" s="1065"/>
      <c r="CO234" s="1065"/>
      <c r="CP234" s="1065"/>
      <c r="CQ234" s="1065"/>
      <c r="CR234" s="1065"/>
      <c r="CS234" s="1065"/>
      <c r="CT234" s="1065"/>
      <c r="CU234" s="1065"/>
      <c r="CV234" s="1065"/>
      <c r="CW234" s="1065"/>
      <c r="CX234" s="1065"/>
      <c r="CY234" s="1065"/>
      <c r="CZ234" s="1065"/>
      <c r="DA234" s="1065"/>
      <c r="DB234" s="1065"/>
    </row>
    <row r="235" spans="1:106" ht="15" customHeight="1">
      <c r="A235" s="1065"/>
      <c r="B235" s="1065"/>
      <c r="C235" s="1741"/>
      <c r="D235" s="1742"/>
      <c r="E235" s="1742"/>
      <c r="F235" s="1742"/>
      <c r="G235" s="1742"/>
      <c r="H235" s="1759"/>
      <c r="I235" s="1759"/>
      <c r="J235" s="1743"/>
      <c r="K235" s="1743"/>
      <c r="L235" s="1743"/>
      <c r="M235" s="1743"/>
      <c r="N235" s="1743"/>
      <c r="O235" s="1743"/>
      <c r="P235" s="1743"/>
      <c r="Q235" s="1743"/>
      <c r="R235" s="1743"/>
      <c r="S235" s="1743"/>
      <c r="T235" s="1744"/>
      <c r="U235" s="1745"/>
      <c r="V235" s="1065"/>
      <c r="W235" s="1065"/>
      <c r="X235" s="1065"/>
      <c r="Y235" s="1065"/>
      <c r="Z235" s="1065"/>
      <c r="AA235" s="1065"/>
      <c r="AB235" s="1065"/>
      <c r="AC235" s="1065"/>
      <c r="AD235" s="1065"/>
      <c r="AE235" s="1065"/>
      <c r="AF235" s="1065"/>
      <c r="AG235" s="1065"/>
      <c r="AH235" s="1065"/>
      <c r="AI235" s="1065"/>
      <c r="AJ235" s="1065"/>
      <c r="AK235" s="1065"/>
      <c r="AL235" s="1065"/>
      <c r="AM235" s="1065"/>
      <c r="AN235" s="1065"/>
      <c r="AO235" s="1065"/>
      <c r="AP235" s="1065"/>
      <c r="AQ235" s="1065"/>
      <c r="AR235" s="1065"/>
      <c r="AS235" s="1065"/>
      <c r="AT235" s="1065"/>
      <c r="AU235" s="1065"/>
      <c r="AV235" s="1065"/>
      <c r="AW235" s="1065"/>
      <c r="AX235" s="1065"/>
      <c r="AY235" s="1065"/>
      <c r="AZ235" s="1065"/>
      <c r="BA235" s="1065"/>
      <c r="BB235" s="1065"/>
      <c r="BC235" s="1065"/>
      <c r="BD235" s="1065"/>
      <c r="BE235" s="1065"/>
      <c r="BF235" s="1065"/>
      <c r="BG235" s="1065"/>
      <c r="BH235" s="1065"/>
      <c r="BI235" s="1065"/>
      <c r="BJ235" s="1065"/>
      <c r="BK235" s="1065"/>
      <c r="BL235" s="1065"/>
      <c r="BM235" s="1065"/>
      <c r="BN235" s="1065"/>
      <c r="BO235" s="1065"/>
      <c r="BP235" s="1065"/>
      <c r="BQ235" s="1065"/>
      <c r="BR235" s="1065"/>
      <c r="BS235" s="1065"/>
      <c r="BT235" s="1065"/>
      <c r="BU235" s="1065"/>
      <c r="BV235" s="1065"/>
      <c r="BW235" s="1065"/>
      <c r="BX235" s="1065"/>
      <c r="BY235" s="1065"/>
      <c r="BZ235" s="1065"/>
      <c r="CA235" s="1065"/>
      <c r="CB235" s="1065"/>
      <c r="CC235" s="1065"/>
      <c r="CD235" s="1065"/>
      <c r="CE235" s="1065"/>
      <c r="CF235" s="1065"/>
      <c r="CG235" s="1065"/>
      <c r="CH235" s="1065"/>
      <c r="CI235" s="1065"/>
      <c r="CJ235" s="1065"/>
      <c r="CK235" s="1065"/>
      <c r="CL235" s="1065"/>
      <c r="CM235" s="1065"/>
      <c r="CN235" s="1065"/>
      <c r="CO235" s="1065"/>
      <c r="CP235" s="1065"/>
      <c r="CQ235" s="1065"/>
      <c r="CR235" s="1065"/>
      <c r="CS235" s="1065"/>
      <c r="CT235" s="1065"/>
      <c r="CU235" s="1065"/>
      <c r="CV235" s="1065"/>
      <c r="CW235" s="1065"/>
      <c r="CX235" s="1065"/>
      <c r="CY235" s="1065"/>
      <c r="CZ235" s="1065"/>
      <c r="DA235" s="1065"/>
      <c r="DB235" s="1065"/>
    </row>
    <row r="236" spans="1:106" ht="15" customHeight="1" thickBot="1">
      <c r="A236" s="1065"/>
      <c r="B236" s="1065"/>
      <c r="C236" s="1079"/>
      <c r="D236" s="1802"/>
      <c r="E236" s="1802"/>
      <c r="F236" s="1802"/>
      <c r="G236" s="1802"/>
      <c r="H236" s="1748"/>
      <c r="I236" s="1748"/>
      <c r="J236" s="1748"/>
      <c r="K236" s="1748"/>
      <c r="L236" s="1748"/>
      <c r="M236" s="1731"/>
      <c r="N236" s="1731"/>
      <c r="O236" s="1731"/>
      <c r="P236" s="1731"/>
      <c r="Q236" s="1731"/>
      <c r="R236" s="1731"/>
      <c r="S236" s="1080"/>
      <c r="T236" s="1824">
        <f>SUM(S236:S238)</f>
        <v>0</v>
      </c>
      <c r="U236" s="1739">
        <f>T236</f>
        <v>0</v>
      </c>
      <c r="V236" s="1065"/>
      <c r="W236" s="1065"/>
      <c r="X236" s="1065"/>
      <c r="Y236" s="1065"/>
      <c r="Z236" s="1065"/>
      <c r="AA236" s="1065"/>
      <c r="AB236" s="1065"/>
      <c r="AC236" s="1065"/>
      <c r="AD236" s="1065"/>
      <c r="AE236" s="1065"/>
      <c r="AF236" s="1065"/>
      <c r="AG236" s="1065"/>
      <c r="AH236" s="1065"/>
      <c r="AI236" s="1065"/>
      <c r="AJ236" s="1065"/>
      <c r="AK236" s="1065"/>
      <c r="AL236" s="1065"/>
      <c r="AM236" s="1065"/>
      <c r="AN236" s="1065"/>
      <c r="AO236" s="1065"/>
      <c r="AP236" s="1065"/>
      <c r="AQ236" s="1065"/>
      <c r="AR236" s="1065"/>
      <c r="AS236" s="1065"/>
      <c r="AT236" s="1065"/>
      <c r="AU236" s="1065"/>
      <c r="AV236" s="1065"/>
      <c r="AW236" s="1065"/>
      <c r="AX236" s="1065"/>
      <c r="AY236" s="1065"/>
      <c r="AZ236" s="1065"/>
      <c r="BA236" s="1065"/>
      <c r="BB236" s="1065"/>
      <c r="BC236" s="1065"/>
      <c r="BD236" s="1065"/>
      <c r="BE236" s="1065"/>
      <c r="BF236" s="1065"/>
      <c r="BG236" s="1065"/>
      <c r="BH236" s="1065"/>
      <c r="BI236" s="1065"/>
      <c r="BJ236" s="1065"/>
      <c r="BK236" s="1065"/>
      <c r="BL236" s="1065"/>
      <c r="BM236" s="1065"/>
      <c r="BN236" s="1065"/>
      <c r="BO236" s="1065"/>
      <c r="BP236" s="1065"/>
      <c r="BQ236" s="1065"/>
      <c r="BR236" s="1065"/>
      <c r="BS236" s="1065"/>
      <c r="BT236" s="1065"/>
      <c r="BU236" s="1065"/>
      <c r="BV236" s="1065"/>
      <c r="BW236" s="1065"/>
      <c r="BX236" s="1065"/>
      <c r="BY236" s="1065"/>
      <c r="BZ236" s="1065"/>
      <c r="CA236" s="1065"/>
      <c r="CB236" s="1065"/>
      <c r="CC236" s="1065"/>
      <c r="CD236" s="1065"/>
      <c r="CE236" s="1065"/>
      <c r="CF236" s="1065"/>
      <c r="CG236" s="1065"/>
      <c r="CH236" s="1065"/>
      <c r="CI236" s="1065"/>
      <c r="CJ236" s="1065"/>
      <c r="CK236" s="1065"/>
      <c r="CL236" s="1065"/>
      <c r="CM236" s="1065"/>
      <c r="CN236" s="1065"/>
      <c r="CO236" s="1065"/>
      <c r="CP236" s="1065"/>
      <c r="CQ236" s="1065"/>
      <c r="CR236" s="1065"/>
      <c r="CS236" s="1065"/>
      <c r="CT236" s="1065"/>
      <c r="CU236" s="1065"/>
      <c r="CV236" s="1065"/>
      <c r="CW236" s="1065"/>
      <c r="CX236" s="1065"/>
      <c r="CY236" s="1065"/>
      <c r="CZ236" s="1065"/>
      <c r="DA236" s="1065"/>
      <c r="DB236" s="1065"/>
    </row>
    <row r="237" spans="1:106" ht="15" customHeight="1" thickBot="1">
      <c r="A237" s="1065"/>
      <c r="B237" s="1065"/>
      <c r="C237" s="1081"/>
      <c r="D237" s="1746"/>
      <c r="E237" s="1746"/>
      <c r="F237" s="1746"/>
      <c r="G237" s="1746"/>
      <c r="H237" s="1747"/>
      <c r="I237" s="1747"/>
      <c r="J237" s="1747"/>
      <c r="K237" s="1747"/>
      <c r="L237" s="1747"/>
      <c r="M237" s="1678"/>
      <c r="N237" s="1678"/>
      <c r="O237" s="1678"/>
      <c r="P237" s="1678"/>
      <c r="Q237" s="1678"/>
      <c r="R237" s="1678"/>
      <c r="S237" s="1082"/>
      <c r="T237" s="1824"/>
      <c r="U237" s="1739"/>
      <c r="V237" s="1065"/>
      <c r="W237" s="1065"/>
      <c r="X237" s="1065"/>
      <c r="Y237" s="1065"/>
      <c r="Z237" s="1065"/>
      <c r="AA237" s="1065"/>
      <c r="AB237" s="1065"/>
      <c r="AC237" s="1065"/>
      <c r="AD237" s="1065"/>
      <c r="AE237" s="1065"/>
      <c r="AF237" s="1065"/>
      <c r="AG237" s="1065"/>
      <c r="AH237" s="1065"/>
      <c r="AI237" s="1065"/>
      <c r="AJ237" s="1065"/>
      <c r="AK237" s="1065"/>
      <c r="AL237" s="1065"/>
      <c r="AM237" s="1065"/>
      <c r="AN237" s="1065"/>
      <c r="AO237" s="1065"/>
      <c r="AP237" s="1065"/>
      <c r="AQ237" s="1065"/>
      <c r="AR237" s="1065"/>
      <c r="AS237" s="1065"/>
      <c r="AT237" s="1065"/>
      <c r="AU237" s="1065"/>
      <c r="AV237" s="1065"/>
      <c r="AW237" s="1065"/>
      <c r="AX237" s="1065"/>
      <c r="AY237" s="1065"/>
      <c r="AZ237" s="1065"/>
      <c r="BA237" s="1065"/>
      <c r="BB237" s="1065"/>
      <c r="BC237" s="1065"/>
      <c r="BD237" s="1065"/>
      <c r="BE237" s="1065"/>
      <c r="BF237" s="1065"/>
      <c r="BG237" s="1065"/>
      <c r="BH237" s="1065"/>
      <c r="BI237" s="1065"/>
      <c r="BJ237" s="1065"/>
      <c r="BK237" s="1065"/>
      <c r="BL237" s="1065"/>
      <c r="BM237" s="1065"/>
      <c r="BN237" s="1065"/>
      <c r="BO237" s="1065"/>
      <c r="BP237" s="1065"/>
      <c r="BQ237" s="1065"/>
      <c r="BR237" s="1065"/>
      <c r="BS237" s="1065"/>
      <c r="BT237" s="1065"/>
      <c r="BU237" s="1065"/>
      <c r="BV237" s="1065"/>
      <c r="BW237" s="1065"/>
      <c r="BX237" s="1065"/>
      <c r="BY237" s="1065"/>
      <c r="BZ237" s="1065"/>
      <c r="CA237" s="1065"/>
      <c r="CB237" s="1065"/>
      <c r="CC237" s="1065"/>
      <c r="CD237" s="1065"/>
      <c r="CE237" s="1065"/>
      <c r="CF237" s="1065"/>
      <c r="CG237" s="1065"/>
      <c r="CH237" s="1065"/>
      <c r="CI237" s="1065"/>
      <c r="CJ237" s="1065"/>
      <c r="CK237" s="1065"/>
      <c r="CL237" s="1065"/>
      <c r="CM237" s="1065"/>
      <c r="CN237" s="1065"/>
      <c r="CO237" s="1065"/>
      <c r="CP237" s="1065"/>
      <c r="CQ237" s="1065"/>
      <c r="CR237" s="1065"/>
      <c r="CS237" s="1065"/>
      <c r="CT237" s="1065"/>
      <c r="CU237" s="1065"/>
      <c r="CV237" s="1065"/>
      <c r="CW237" s="1065"/>
      <c r="CX237" s="1065"/>
      <c r="CY237" s="1065"/>
      <c r="CZ237" s="1065"/>
      <c r="DA237" s="1065"/>
      <c r="DB237" s="1065"/>
    </row>
    <row r="238" spans="1:106" ht="15" customHeight="1" thickBot="1">
      <c r="A238" s="1065"/>
      <c r="B238" s="1065"/>
      <c r="C238" s="1083"/>
      <c r="D238" s="1703"/>
      <c r="E238" s="1703"/>
      <c r="F238" s="1703"/>
      <c r="G238" s="1703"/>
      <c r="H238" s="1704"/>
      <c r="I238" s="1704"/>
      <c r="J238" s="1704"/>
      <c r="K238" s="1704"/>
      <c r="L238" s="1704"/>
      <c r="M238" s="1706"/>
      <c r="N238" s="1706"/>
      <c r="O238" s="1706"/>
      <c r="P238" s="1706"/>
      <c r="Q238" s="1706"/>
      <c r="R238" s="1706"/>
      <c r="S238" s="1084"/>
      <c r="T238" s="1824"/>
      <c r="U238" s="1739"/>
      <c r="V238" s="1065"/>
      <c r="W238" s="1065"/>
      <c r="X238" s="1065"/>
      <c r="Y238" s="1065"/>
      <c r="Z238" s="1065"/>
      <c r="AA238" s="1065"/>
      <c r="AB238" s="1065"/>
      <c r="AC238" s="1065"/>
      <c r="AD238" s="1065"/>
      <c r="AE238" s="1065"/>
      <c r="AF238" s="1065"/>
      <c r="AG238" s="1065"/>
      <c r="AH238" s="1065"/>
      <c r="AI238" s="1065"/>
      <c r="AJ238" s="1065"/>
      <c r="AK238" s="1065"/>
      <c r="AL238" s="1065"/>
      <c r="AM238" s="1065"/>
      <c r="AN238" s="1065"/>
      <c r="AO238" s="1065"/>
      <c r="AP238" s="1065"/>
      <c r="AQ238" s="1065"/>
      <c r="AR238" s="1065"/>
      <c r="AS238" s="1065"/>
      <c r="AT238" s="1065"/>
      <c r="AU238" s="1065"/>
      <c r="AV238" s="1065"/>
      <c r="AW238" s="1065"/>
      <c r="AX238" s="1065"/>
      <c r="AY238" s="1065"/>
      <c r="AZ238" s="1065"/>
      <c r="BA238" s="1065"/>
      <c r="BB238" s="1065"/>
      <c r="BC238" s="1065"/>
      <c r="BD238" s="1065"/>
      <c r="BE238" s="1065"/>
      <c r="BF238" s="1065"/>
      <c r="BG238" s="1065"/>
      <c r="BH238" s="1065"/>
      <c r="BI238" s="1065"/>
      <c r="BJ238" s="1065"/>
      <c r="BK238" s="1065"/>
      <c r="BL238" s="1065"/>
      <c r="BM238" s="1065"/>
      <c r="BN238" s="1065"/>
      <c r="BO238" s="1065"/>
      <c r="BP238" s="1065"/>
      <c r="BQ238" s="1065"/>
      <c r="BR238" s="1065"/>
      <c r="BS238" s="1065"/>
      <c r="BT238" s="1065"/>
      <c r="BU238" s="1065"/>
      <c r="BV238" s="1065"/>
      <c r="BW238" s="1065"/>
      <c r="BX238" s="1065"/>
      <c r="BY238" s="1065"/>
      <c r="BZ238" s="1065"/>
      <c r="CA238" s="1065"/>
      <c r="CB238" s="1065"/>
      <c r="CC238" s="1065"/>
      <c r="CD238" s="1065"/>
      <c r="CE238" s="1065"/>
      <c r="CF238" s="1065"/>
      <c r="CG238" s="1065"/>
      <c r="CH238" s="1065"/>
      <c r="CI238" s="1065"/>
      <c r="CJ238" s="1065"/>
      <c r="CK238" s="1065"/>
      <c r="CL238" s="1065"/>
      <c r="CM238" s="1065"/>
      <c r="CN238" s="1065"/>
      <c r="CO238" s="1065"/>
      <c r="CP238" s="1065"/>
      <c r="CQ238" s="1065"/>
      <c r="CR238" s="1065"/>
      <c r="CS238" s="1065"/>
      <c r="CT238" s="1065"/>
      <c r="CU238" s="1065"/>
      <c r="CV238" s="1065"/>
      <c r="CW238" s="1065"/>
      <c r="CX238" s="1065"/>
      <c r="CY238" s="1065"/>
      <c r="CZ238" s="1065"/>
      <c r="DA238" s="1065"/>
      <c r="DB238" s="1065"/>
    </row>
    <row r="239" spans="1:106" ht="15" customHeight="1" thickBot="1">
      <c r="A239" s="1065"/>
      <c r="B239" s="1065"/>
      <c r="C239" s="1740" t="s">
        <v>682</v>
      </c>
      <c r="D239" s="1740"/>
      <c r="E239" s="1740"/>
      <c r="F239" s="1740"/>
      <c r="G239" s="1740"/>
      <c r="H239" s="1740"/>
      <c r="I239" s="1740"/>
      <c r="J239" s="1740"/>
      <c r="K239" s="1740"/>
      <c r="L239" s="1740"/>
      <c r="M239" s="1740"/>
      <c r="N239" s="1740"/>
      <c r="O239" s="1740"/>
      <c r="P239" s="1740"/>
      <c r="Q239" s="1740"/>
      <c r="R239" s="1740"/>
      <c r="S239" s="1740"/>
      <c r="T239" s="1740"/>
      <c r="U239" s="1740"/>
      <c r="V239" s="1065"/>
      <c r="W239" s="1065"/>
      <c r="X239" s="1065"/>
      <c r="Y239" s="1065"/>
      <c r="Z239" s="1065"/>
      <c r="AA239" s="1065"/>
      <c r="AB239" s="1065"/>
      <c r="AC239" s="1065"/>
      <c r="AD239" s="1065"/>
      <c r="AE239" s="1065"/>
      <c r="AF239" s="1065"/>
      <c r="AG239" s="1065"/>
      <c r="AH239" s="1065"/>
      <c r="AI239" s="1065"/>
      <c r="AJ239" s="1065"/>
      <c r="AK239" s="1065"/>
      <c r="AL239" s="1065"/>
      <c r="AM239" s="1065"/>
      <c r="AN239" s="1065"/>
      <c r="AO239" s="1065"/>
      <c r="AP239" s="1065"/>
      <c r="AQ239" s="1065"/>
      <c r="AR239" s="1065"/>
      <c r="AS239" s="1065"/>
      <c r="AT239" s="1065"/>
      <c r="AU239" s="1065"/>
      <c r="AV239" s="1065"/>
      <c r="AW239" s="1065"/>
      <c r="AX239" s="1065"/>
      <c r="AY239" s="1065"/>
      <c r="AZ239" s="1065"/>
      <c r="BA239" s="1065"/>
      <c r="BB239" s="1065"/>
      <c r="BC239" s="1065"/>
      <c r="BD239" s="1065"/>
      <c r="BE239" s="1065"/>
      <c r="BF239" s="1065"/>
      <c r="BG239" s="1065"/>
      <c r="BH239" s="1065"/>
      <c r="BI239" s="1065"/>
      <c r="BJ239" s="1065"/>
      <c r="BK239" s="1065"/>
      <c r="BL239" s="1065"/>
      <c r="BM239" s="1065"/>
      <c r="BN239" s="1065"/>
      <c r="BO239" s="1065"/>
      <c r="BP239" s="1065"/>
      <c r="BQ239" s="1065"/>
      <c r="BR239" s="1065"/>
      <c r="BS239" s="1065"/>
      <c r="BT239" s="1065"/>
      <c r="BU239" s="1065"/>
      <c r="BV239" s="1065"/>
      <c r="BW239" s="1065"/>
      <c r="BX239" s="1065"/>
      <c r="BY239" s="1065"/>
      <c r="BZ239" s="1065"/>
      <c r="CA239" s="1065"/>
      <c r="CB239" s="1065"/>
      <c r="CC239" s="1065"/>
      <c r="CD239" s="1065"/>
      <c r="CE239" s="1065"/>
      <c r="CF239" s="1065"/>
      <c r="CG239" s="1065"/>
      <c r="CH239" s="1065"/>
      <c r="CI239" s="1065"/>
      <c r="CJ239" s="1065"/>
      <c r="CK239" s="1065"/>
      <c r="CL239" s="1065"/>
      <c r="CM239" s="1065"/>
      <c r="CN239" s="1065"/>
      <c r="CO239" s="1065"/>
      <c r="CP239" s="1065"/>
      <c r="CQ239" s="1065"/>
      <c r="CR239" s="1065"/>
      <c r="CS239" s="1065"/>
      <c r="CT239" s="1065"/>
      <c r="CU239" s="1065"/>
      <c r="CV239" s="1065"/>
      <c r="CW239" s="1065"/>
      <c r="CX239" s="1065"/>
      <c r="CY239" s="1065"/>
      <c r="CZ239" s="1065"/>
      <c r="DA239" s="1065"/>
      <c r="DB239" s="1065"/>
    </row>
    <row r="240" spans="1:106" ht="15" customHeight="1" thickBot="1">
      <c r="A240" s="1065"/>
      <c r="B240" s="1065"/>
      <c r="C240" s="1741" t="s">
        <v>648</v>
      </c>
      <c r="D240" s="1742" t="s">
        <v>649</v>
      </c>
      <c r="E240" s="1742"/>
      <c r="F240" s="1742"/>
      <c r="G240" s="1742"/>
      <c r="H240" s="1759" t="s">
        <v>650</v>
      </c>
      <c r="I240" s="1759"/>
      <c r="J240" s="1743" t="s">
        <v>651</v>
      </c>
      <c r="K240" s="1743"/>
      <c r="L240" s="1743"/>
      <c r="M240" s="1743" t="s">
        <v>652</v>
      </c>
      <c r="N240" s="1743"/>
      <c r="O240" s="1743"/>
      <c r="P240" s="1743"/>
      <c r="Q240" s="1743"/>
      <c r="R240" s="1743"/>
      <c r="S240" s="1743" t="s">
        <v>6</v>
      </c>
      <c r="T240" s="1744" t="s">
        <v>653</v>
      </c>
      <c r="U240" s="1745" t="s">
        <v>654</v>
      </c>
      <c r="V240" s="1065"/>
      <c r="W240" s="1065"/>
      <c r="X240" s="1065"/>
      <c r="Y240" s="1065"/>
      <c r="Z240" s="1065"/>
      <c r="AA240" s="1065"/>
      <c r="AB240" s="1065"/>
      <c r="AC240" s="1065"/>
      <c r="AD240" s="1065"/>
      <c r="AE240" s="1065"/>
      <c r="AF240" s="1065"/>
      <c r="AG240" s="1065"/>
      <c r="AH240" s="1065"/>
      <c r="AI240" s="1065"/>
      <c r="AJ240" s="1065"/>
      <c r="AK240" s="1065"/>
      <c r="AL240" s="1065"/>
      <c r="AM240" s="1065"/>
      <c r="AN240" s="1065"/>
      <c r="AO240" s="1065"/>
      <c r="AP240" s="1065"/>
      <c r="AQ240" s="1065"/>
      <c r="AR240" s="1065"/>
      <c r="AS240" s="1065"/>
      <c r="AT240" s="1065"/>
      <c r="AU240" s="1065"/>
      <c r="AV240" s="1065"/>
      <c r="AW240" s="1065"/>
      <c r="AX240" s="1065"/>
      <c r="AY240" s="1065"/>
      <c r="AZ240" s="1065"/>
      <c r="BA240" s="1065"/>
      <c r="BB240" s="1065"/>
      <c r="BC240" s="1065"/>
      <c r="BD240" s="1065"/>
      <c r="BE240" s="1065"/>
      <c r="BF240" s="1065"/>
      <c r="BG240" s="1065"/>
      <c r="BH240" s="1065"/>
      <c r="BI240" s="1065"/>
      <c r="BJ240" s="1065"/>
      <c r="BK240" s="1065"/>
      <c r="BL240" s="1065"/>
      <c r="BM240" s="1065"/>
      <c r="BN240" s="1065"/>
      <c r="BO240" s="1065"/>
      <c r="BP240" s="1065"/>
      <c r="BQ240" s="1065"/>
      <c r="BR240" s="1065"/>
      <c r="BS240" s="1065"/>
      <c r="BT240" s="1065"/>
      <c r="BU240" s="1065"/>
      <c r="BV240" s="1065"/>
      <c r="BW240" s="1065"/>
      <c r="BX240" s="1065"/>
      <c r="BY240" s="1065"/>
      <c r="BZ240" s="1065"/>
      <c r="CA240" s="1065"/>
      <c r="CB240" s="1065"/>
      <c r="CC240" s="1065"/>
      <c r="CD240" s="1065"/>
      <c r="CE240" s="1065"/>
      <c r="CF240" s="1065"/>
      <c r="CG240" s="1065"/>
      <c r="CH240" s="1065"/>
      <c r="CI240" s="1065"/>
      <c r="CJ240" s="1065"/>
      <c r="CK240" s="1065"/>
      <c r="CL240" s="1065"/>
      <c r="CM240" s="1065"/>
      <c r="CN240" s="1065"/>
      <c r="CO240" s="1065"/>
      <c r="CP240" s="1065"/>
      <c r="CQ240" s="1065"/>
      <c r="CR240" s="1065"/>
      <c r="CS240" s="1065"/>
      <c r="CT240" s="1065"/>
      <c r="CU240" s="1065"/>
      <c r="CV240" s="1065"/>
      <c r="CW240" s="1065"/>
      <c r="CX240" s="1065"/>
      <c r="CY240" s="1065"/>
      <c r="CZ240" s="1065"/>
      <c r="DA240" s="1065"/>
      <c r="DB240" s="1065"/>
    </row>
    <row r="241" spans="1:106" ht="15" customHeight="1">
      <c r="A241" s="1065"/>
      <c r="B241" s="1065"/>
      <c r="C241" s="1741"/>
      <c r="D241" s="1742"/>
      <c r="E241" s="1742"/>
      <c r="F241" s="1742"/>
      <c r="G241" s="1742"/>
      <c r="H241" s="1759"/>
      <c r="I241" s="1759"/>
      <c r="J241" s="1743"/>
      <c r="K241" s="1743"/>
      <c r="L241" s="1743"/>
      <c r="M241" s="1743"/>
      <c r="N241" s="1743"/>
      <c r="O241" s="1743"/>
      <c r="P241" s="1743"/>
      <c r="Q241" s="1743"/>
      <c r="R241" s="1743"/>
      <c r="S241" s="1743"/>
      <c r="T241" s="1744"/>
      <c r="U241" s="1745"/>
      <c r="V241" s="1065"/>
      <c r="W241" s="1065"/>
      <c r="X241" s="1065"/>
      <c r="Y241" s="1065"/>
      <c r="Z241" s="1065"/>
      <c r="AA241" s="1065"/>
      <c r="AB241" s="1065"/>
      <c r="AC241" s="1065"/>
      <c r="AD241" s="1065"/>
      <c r="AE241" s="1065"/>
      <c r="AF241" s="1065"/>
      <c r="AG241" s="1065"/>
      <c r="AH241" s="1065"/>
      <c r="AI241" s="1065"/>
      <c r="AJ241" s="1065"/>
      <c r="AK241" s="1065"/>
      <c r="AL241" s="1065"/>
      <c r="AM241" s="1065"/>
      <c r="AN241" s="1065"/>
      <c r="AO241" s="1065"/>
      <c r="AP241" s="1065"/>
      <c r="AQ241" s="1065"/>
      <c r="AR241" s="1065"/>
      <c r="AS241" s="1065"/>
      <c r="AT241" s="1065"/>
      <c r="AU241" s="1065"/>
      <c r="AV241" s="1065"/>
      <c r="AW241" s="1065"/>
      <c r="AX241" s="1065"/>
      <c r="AY241" s="1065"/>
      <c r="AZ241" s="1065"/>
      <c r="BA241" s="1065"/>
      <c r="BB241" s="1065"/>
      <c r="BC241" s="1065"/>
      <c r="BD241" s="1065"/>
      <c r="BE241" s="1065"/>
      <c r="BF241" s="1065"/>
      <c r="BG241" s="1065"/>
      <c r="BH241" s="1065"/>
      <c r="BI241" s="1065"/>
      <c r="BJ241" s="1065"/>
      <c r="BK241" s="1065"/>
      <c r="BL241" s="1065"/>
      <c r="BM241" s="1065"/>
      <c r="BN241" s="1065"/>
      <c r="BO241" s="1065"/>
      <c r="BP241" s="1065"/>
      <c r="BQ241" s="1065"/>
      <c r="BR241" s="1065"/>
      <c r="BS241" s="1065"/>
      <c r="BT241" s="1065"/>
      <c r="BU241" s="1065"/>
      <c r="BV241" s="1065"/>
      <c r="BW241" s="1065"/>
      <c r="BX241" s="1065"/>
      <c r="BY241" s="1065"/>
      <c r="BZ241" s="1065"/>
      <c r="CA241" s="1065"/>
      <c r="CB241" s="1065"/>
      <c r="CC241" s="1065"/>
      <c r="CD241" s="1065"/>
      <c r="CE241" s="1065"/>
      <c r="CF241" s="1065"/>
      <c r="CG241" s="1065"/>
      <c r="CH241" s="1065"/>
      <c r="CI241" s="1065"/>
      <c r="CJ241" s="1065"/>
      <c r="CK241" s="1065"/>
      <c r="CL241" s="1065"/>
      <c r="CM241" s="1065"/>
      <c r="CN241" s="1065"/>
      <c r="CO241" s="1065"/>
      <c r="CP241" s="1065"/>
      <c r="CQ241" s="1065"/>
      <c r="CR241" s="1065"/>
      <c r="CS241" s="1065"/>
      <c r="CT241" s="1065"/>
      <c r="CU241" s="1065"/>
      <c r="CV241" s="1065"/>
      <c r="CW241" s="1065"/>
      <c r="CX241" s="1065"/>
      <c r="CY241" s="1065"/>
      <c r="CZ241" s="1065"/>
      <c r="DA241" s="1065"/>
      <c r="DB241" s="1065"/>
    </row>
    <row r="242" spans="1:106" ht="15" customHeight="1">
      <c r="A242" s="1065"/>
      <c r="B242" s="1065"/>
      <c r="C242" s="1075" t="s">
        <v>655</v>
      </c>
      <c r="D242" s="1812" t="s">
        <v>683</v>
      </c>
      <c r="E242" s="1812"/>
      <c r="F242" s="1812"/>
      <c r="G242" s="1812"/>
      <c r="H242" s="1811" t="s">
        <v>657</v>
      </c>
      <c r="I242" s="1811"/>
      <c r="J242" s="1812" t="s">
        <v>684</v>
      </c>
      <c r="K242" s="1812"/>
      <c r="L242" s="1812"/>
      <c r="M242" s="1812" t="s">
        <v>685</v>
      </c>
      <c r="N242" s="1812"/>
      <c r="O242" s="1812"/>
      <c r="P242" s="1812"/>
      <c r="Q242" s="1812"/>
      <c r="R242" s="1812"/>
      <c r="S242" s="1085">
        <v>1008</v>
      </c>
      <c r="T242" s="1086">
        <v>1008</v>
      </c>
      <c r="U242" s="1825">
        <f>SUM(T242:T255)</f>
        <v>12732</v>
      </c>
      <c r="V242" s="1065"/>
      <c r="W242" s="1065"/>
      <c r="X242" s="1065"/>
      <c r="Y242" s="1065"/>
      <c r="Z242" s="1065"/>
      <c r="AA242" s="1065"/>
      <c r="AB242" s="1065"/>
      <c r="AC242" s="1065"/>
      <c r="AD242" s="1065"/>
      <c r="AE242" s="1065"/>
      <c r="AF242" s="1065"/>
      <c r="AG242" s="1065"/>
      <c r="AH242" s="1065"/>
      <c r="AI242" s="1065"/>
      <c r="AJ242" s="1065"/>
      <c r="AK242" s="1065"/>
      <c r="AL242" s="1065"/>
      <c r="AM242" s="1065"/>
      <c r="AN242" s="1065"/>
      <c r="AO242" s="1065"/>
      <c r="AP242" s="1065"/>
      <c r="AQ242" s="1065"/>
      <c r="AR242" s="1065"/>
      <c r="AS242" s="1065"/>
      <c r="AT242" s="1065"/>
      <c r="AU242" s="1065"/>
      <c r="AV242" s="1065"/>
      <c r="AW242" s="1065"/>
      <c r="AX242" s="1065"/>
      <c r="AY242" s="1065"/>
      <c r="AZ242" s="1065"/>
      <c r="BA242" s="1065"/>
      <c r="BB242" s="1065"/>
      <c r="BC242" s="1065"/>
      <c r="BD242" s="1065"/>
      <c r="BE242" s="1065"/>
      <c r="BF242" s="1065"/>
      <c r="BG242" s="1065"/>
      <c r="BH242" s="1065"/>
      <c r="BI242" s="1065"/>
      <c r="BJ242" s="1065"/>
      <c r="BK242" s="1065"/>
      <c r="BL242" s="1065"/>
      <c r="BM242" s="1065"/>
      <c r="BN242" s="1065"/>
      <c r="BO242" s="1065"/>
      <c r="BP242" s="1065"/>
      <c r="BQ242" s="1065"/>
      <c r="BR242" s="1065"/>
      <c r="BS242" s="1065"/>
      <c r="BT242" s="1065"/>
      <c r="BU242" s="1065"/>
      <c r="BV242" s="1065"/>
      <c r="BW242" s="1065"/>
      <c r="BX242" s="1065"/>
      <c r="BY242" s="1065"/>
      <c r="BZ242" s="1065"/>
      <c r="CA242" s="1065"/>
      <c r="CB242" s="1065"/>
      <c r="CC242" s="1065"/>
      <c r="CD242" s="1065"/>
      <c r="CE242" s="1065"/>
      <c r="CF242" s="1065"/>
      <c r="CG242" s="1065"/>
      <c r="CH242" s="1065"/>
      <c r="CI242" s="1065"/>
      <c r="CJ242" s="1065"/>
      <c r="CK242" s="1065"/>
      <c r="CL242" s="1065"/>
      <c r="CM242" s="1065"/>
      <c r="CN242" s="1065"/>
      <c r="CO242" s="1065"/>
      <c r="CP242" s="1065"/>
      <c r="CQ242" s="1065"/>
      <c r="CR242" s="1065"/>
      <c r="CS242" s="1065"/>
      <c r="CT242" s="1065"/>
      <c r="CU242" s="1065"/>
      <c r="CV242" s="1065"/>
      <c r="CW242" s="1065"/>
      <c r="CX242" s="1065"/>
      <c r="CY242" s="1065"/>
      <c r="CZ242" s="1065"/>
      <c r="DA242" s="1065"/>
      <c r="DB242" s="1065"/>
    </row>
    <row r="243" spans="1:106" ht="15" customHeight="1">
      <c r="A243" s="1065"/>
      <c r="B243" s="1065"/>
      <c r="C243" s="1066" t="s">
        <v>660</v>
      </c>
      <c r="D243" s="1812"/>
      <c r="E243" s="1812"/>
      <c r="F243" s="1812"/>
      <c r="G243" s="1812"/>
      <c r="H243" s="1811"/>
      <c r="I243" s="1811"/>
      <c r="J243" s="1812"/>
      <c r="K243" s="1812"/>
      <c r="L243" s="1812"/>
      <c r="M243" s="1812"/>
      <c r="N243" s="1812"/>
      <c r="O243" s="1812"/>
      <c r="P243" s="1812"/>
      <c r="Q243" s="1812"/>
      <c r="R243" s="1812"/>
      <c r="S243" s="1085">
        <v>870</v>
      </c>
      <c r="T243" s="1087">
        <v>870</v>
      </c>
      <c r="U243" s="1825"/>
      <c r="V243" s="1065"/>
      <c r="W243" s="1065"/>
      <c r="X243" s="1065"/>
      <c r="Y243" s="1065"/>
      <c r="Z243" s="1065"/>
      <c r="AA243" s="1065"/>
      <c r="AB243" s="1065"/>
      <c r="AC243" s="1065"/>
      <c r="AD243" s="1065"/>
      <c r="AE243" s="1065"/>
      <c r="AF243" s="1065"/>
      <c r="AG243" s="1065"/>
      <c r="AH243" s="1065"/>
      <c r="AI243" s="1065"/>
      <c r="AJ243" s="1065"/>
      <c r="AK243" s="1065"/>
      <c r="AL243" s="1065"/>
      <c r="AM243" s="1065"/>
      <c r="AN243" s="1065"/>
      <c r="AO243" s="1065"/>
      <c r="AP243" s="1065"/>
      <c r="AQ243" s="1065"/>
      <c r="AR243" s="1065"/>
      <c r="AS243" s="1065"/>
      <c r="AT243" s="1065"/>
      <c r="AU243" s="1065"/>
      <c r="AV243" s="1065"/>
      <c r="AW243" s="1065"/>
      <c r="AX243" s="1065"/>
      <c r="AY243" s="1065"/>
      <c r="AZ243" s="1065"/>
      <c r="BA243" s="1065"/>
      <c r="BB243" s="1065"/>
      <c r="BC243" s="1065"/>
      <c r="BD243" s="1065"/>
      <c r="BE243" s="1065"/>
      <c r="BF243" s="1065"/>
      <c r="BG243" s="1065"/>
      <c r="BH243" s="1065"/>
      <c r="BI243" s="1065"/>
      <c r="BJ243" s="1065"/>
      <c r="BK243" s="1065"/>
      <c r="BL243" s="1065"/>
      <c r="BM243" s="1065"/>
      <c r="BN243" s="1065"/>
      <c r="BO243" s="1065"/>
      <c r="BP243" s="1065"/>
      <c r="BQ243" s="1065"/>
      <c r="BR243" s="1065"/>
      <c r="BS243" s="1065"/>
      <c r="BT243" s="1065"/>
      <c r="BU243" s="1065"/>
      <c r="BV243" s="1065"/>
      <c r="BW243" s="1065"/>
      <c r="BX243" s="1065"/>
      <c r="BY243" s="1065"/>
      <c r="BZ243" s="1065"/>
      <c r="CA243" s="1065"/>
      <c r="CB243" s="1065"/>
      <c r="CC243" s="1065"/>
      <c r="CD243" s="1065"/>
      <c r="CE243" s="1065"/>
      <c r="CF243" s="1065"/>
      <c r="CG243" s="1065"/>
      <c r="CH243" s="1065"/>
      <c r="CI243" s="1065"/>
      <c r="CJ243" s="1065"/>
      <c r="CK243" s="1065"/>
      <c r="CL243" s="1065"/>
      <c r="CM243" s="1065"/>
      <c r="CN243" s="1065"/>
      <c r="CO243" s="1065"/>
      <c r="CP243" s="1065"/>
      <c r="CQ243" s="1065"/>
      <c r="CR243" s="1065"/>
      <c r="CS243" s="1065"/>
      <c r="CT243" s="1065"/>
      <c r="CU243" s="1065"/>
      <c r="CV243" s="1065"/>
      <c r="CW243" s="1065"/>
      <c r="CX243" s="1065"/>
      <c r="CY243" s="1065"/>
      <c r="CZ243" s="1065"/>
      <c r="DA243" s="1065"/>
      <c r="DB243" s="1065"/>
    </row>
    <row r="244" spans="1:106" ht="15" customHeight="1">
      <c r="A244" s="1065"/>
      <c r="B244" s="1065"/>
      <c r="C244" s="1066" t="s">
        <v>662</v>
      </c>
      <c r="D244" s="1812"/>
      <c r="E244" s="1812"/>
      <c r="F244" s="1812"/>
      <c r="G244" s="1812"/>
      <c r="H244" s="1811"/>
      <c r="I244" s="1811"/>
      <c r="J244" s="1812"/>
      <c r="K244" s="1812"/>
      <c r="L244" s="1812"/>
      <c r="M244" s="1812"/>
      <c r="N244" s="1812"/>
      <c r="O244" s="1812"/>
      <c r="P244" s="1812"/>
      <c r="Q244" s="1812"/>
      <c r="R244" s="1812"/>
      <c r="S244" s="1085">
        <v>870</v>
      </c>
      <c r="T244" s="1087">
        <v>870</v>
      </c>
      <c r="U244" s="1825"/>
      <c r="V244" s="1065"/>
      <c r="W244" s="1065"/>
      <c r="X244" s="1065"/>
      <c r="Y244" s="1065"/>
      <c r="Z244" s="1065"/>
      <c r="AA244" s="1065"/>
      <c r="AB244" s="1065"/>
      <c r="AC244" s="1065"/>
      <c r="AD244" s="1065"/>
      <c r="AE244" s="1065"/>
      <c r="AF244" s="1065"/>
      <c r="AG244" s="1065"/>
      <c r="AH244" s="1065"/>
      <c r="AI244" s="1065"/>
      <c r="AJ244" s="1065"/>
      <c r="AK244" s="1065"/>
      <c r="AL244" s="1065"/>
      <c r="AM244" s="1065"/>
      <c r="AN244" s="1065"/>
      <c r="AO244" s="1065"/>
      <c r="AP244" s="1065"/>
      <c r="AQ244" s="1065"/>
      <c r="AR244" s="1065"/>
      <c r="AS244" s="1065"/>
      <c r="AT244" s="1065"/>
      <c r="AU244" s="1065"/>
      <c r="AV244" s="1065"/>
      <c r="AW244" s="1065"/>
      <c r="AX244" s="1065"/>
      <c r="AY244" s="1065"/>
      <c r="AZ244" s="1065"/>
      <c r="BA244" s="1065"/>
      <c r="BB244" s="1065"/>
      <c r="BC244" s="1065"/>
      <c r="BD244" s="1065"/>
      <c r="BE244" s="1065"/>
      <c r="BF244" s="1065"/>
      <c r="BG244" s="1065"/>
      <c r="BH244" s="1065"/>
      <c r="BI244" s="1065"/>
      <c r="BJ244" s="1065"/>
      <c r="BK244" s="1065"/>
      <c r="BL244" s="1065"/>
      <c r="BM244" s="1065"/>
      <c r="BN244" s="1065"/>
      <c r="BO244" s="1065"/>
      <c r="BP244" s="1065"/>
      <c r="BQ244" s="1065"/>
      <c r="BR244" s="1065"/>
      <c r="BS244" s="1065"/>
      <c r="BT244" s="1065"/>
      <c r="BU244" s="1065"/>
      <c r="BV244" s="1065"/>
      <c r="BW244" s="1065"/>
      <c r="BX244" s="1065"/>
      <c r="BY244" s="1065"/>
      <c r="BZ244" s="1065"/>
      <c r="CA244" s="1065"/>
      <c r="CB244" s="1065"/>
      <c r="CC244" s="1065"/>
      <c r="CD244" s="1065"/>
      <c r="CE244" s="1065"/>
      <c r="CF244" s="1065"/>
      <c r="CG244" s="1065"/>
      <c r="CH244" s="1065"/>
      <c r="CI244" s="1065"/>
      <c r="CJ244" s="1065"/>
      <c r="CK244" s="1065"/>
      <c r="CL244" s="1065"/>
      <c r="CM244" s="1065"/>
      <c r="CN244" s="1065"/>
      <c r="CO244" s="1065"/>
      <c r="CP244" s="1065"/>
      <c r="CQ244" s="1065"/>
      <c r="CR244" s="1065"/>
      <c r="CS244" s="1065"/>
      <c r="CT244" s="1065"/>
      <c r="CU244" s="1065"/>
      <c r="CV244" s="1065"/>
      <c r="CW244" s="1065"/>
      <c r="CX244" s="1065"/>
      <c r="CY244" s="1065"/>
      <c r="CZ244" s="1065"/>
      <c r="DA244" s="1065"/>
      <c r="DB244" s="1065"/>
    </row>
    <row r="245" spans="1:106" ht="15" customHeight="1">
      <c r="A245" s="1065"/>
      <c r="B245" s="1065"/>
      <c r="C245" s="1066" t="s">
        <v>300</v>
      </c>
      <c r="D245" s="1812"/>
      <c r="E245" s="1812"/>
      <c r="F245" s="1812"/>
      <c r="G245" s="1812"/>
      <c r="H245" s="1811"/>
      <c r="I245" s="1811"/>
      <c r="J245" s="1812"/>
      <c r="K245" s="1812"/>
      <c r="L245" s="1812"/>
      <c r="M245" s="1812"/>
      <c r="N245" s="1812"/>
      <c r="O245" s="1812"/>
      <c r="P245" s="1812"/>
      <c r="Q245" s="1812"/>
      <c r="R245" s="1812"/>
      <c r="S245" s="1085">
        <v>870</v>
      </c>
      <c r="T245" s="1087">
        <v>870</v>
      </c>
      <c r="U245" s="1825"/>
      <c r="V245" s="1065"/>
      <c r="W245" s="1065"/>
      <c r="X245" s="1065"/>
      <c r="Y245" s="1065"/>
      <c r="Z245" s="1065"/>
      <c r="AA245" s="1065"/>
      <c r="AB245" s="1065"/>
      <c r="AC245" s="1065"/>
      <c r="AD245" s="1065"/>
      <c r="AE245" s="1065"/>
      <c r="AF245" s="1065"/>
      <c r="AG245" s="1065"/>
      <c r="AH245" s="1065"/>
      <c r="AI245" s="1065"/>
      <c r="AJ245" s="1065"/>
      <c r="AK245" s="1065"/>
      <c r="AL245" s="1065"/>
      <c r="AM245" s="1065"/>
      <c r="AN245" s="1065"/>
      <c r="AO245" s="1065"/>
      <c r="AP245" s="1065"/>
      <c r="AQ245" s="1065"/>
      <c r="AR245" s="1065"/>
      <c r="AS245" s="1065"/>
      <c r="AT245" s="1065"/>
      <c r="AU245" s="1065"/>
      <c r="AV245" s="1065"/>
      <c r="AW245" s="1065"/>
      <c r="AX245" s="1065"/>
      <c r="AY245" s="1065"/>
      <c r="AZ245" s="1065"/>
      <c r="BA245" s="1065"/>
      <c r="BB245" s="1065"/>
      <c r="BC245" s="1065"/>
      <c r="BD245" s="1065"/>
      <c r="BE245" s="1065"/>
      <c r="BF245" s="1065"/>
      <c r="BG245" s="1065"/>
      <c r="BH245" s="1065"/>
      <c r="BI245" s="1065"/>
      <c r="BJ245" s="1065"/>
      <c r="BK245" s="1065"/>
      <c r="BL245" s="1065"/>
      <c r="BM245" s="1065"/>
      <c r="BN245" s="1065"/>
      <c r="BO245" s="1065"/>
      <c r="BP245" s="1065"/>
      <c r="BQ245" s="1065"/>
      <c r="BR245" s="1065"/>
      <c r="BS245" s="1065"/>
      <c r="BT245" s="1065"/>
      <c r="BU245" s="1065"/>
      <c r="BV245" s="1065"/>
      <c r="BW245" s="1065"/>
      <c r="BX245" s="1065"/>
      <c r="BY245" s="1065"/>
      <c r="BZ245" s="1065"/>
      <c r="CA245" s="1065"/>
      <c r="CB245" s="1065"/>
      <c r="CC245" s="1065"/>
      <c r="CD245" s="1065"/>
      <c r="CE245" s="1065"/>
      <c r="CF245" s="1065"/>
      <c r="CG245" s="1065"/>
      <c r="CH245" s="1065"/>
      <c r="CI245" s="1065"/>
      <c r="CJ245" s="1065"/>
      <c r="CK245" s="1065"/>
      <c r="CL245" s="1065"/>
      <c r="CM245" s="1065"/>
      <c r="CN245" s="1065"/>
      <c r="CO245" s="1065"/>
      <c r="CP245" s="1065"/>
      <c r="CQ245" s="1065"/>
      <c r="CR245" s="1065"/>
      <c r="CS245" s="1065"/>
      <c r="CT245" s="1065"/>
      <c r="CU245" s="1065"/>
      <c r="CV245" s="1065"/>
      <c r="CW245" s="1065"/>
      <c r="CX245" s="1065"/>
      <c r="CY245" s="1065"/>
      <c r="CZ245" s="1065"/>
      <c r="DA245" s="1065"/>
      <c r="DB245" s="1065"/>
    </row>
    <row r="246" spans="1:106" ht="15" customHeight="1">
      <c r="A246" s="1065"/>
      <c r="B246" s="1065"/>
      <c r="C246" s="1088" t="s">
        <v>686</v>
      </c>
      <c r="D246" s="1812"/>
      <c r="E246" s="1812"/>
      <c r="F246" s="1812"/>
      <c r="G246" s="1812"/>
      <c r="H246" s="1811"/>
      <c r="I246" s="1811"/>
      <c r="J246" s="1812"/>
      <c r="K246" s="1812"/>
      <c r="L246" s="1812"/>
      <c r="M246" s="1812"/>
      <c r="N246" s="1812"/>
      <c r="O246" s="1812"/>
      <c r="P246" s="1812"/>
      <c r="Q246" s="1812"/>
      <c r="R246" s="1812"/>
      <c r="S246" s="1085">
        <v>1008</v>
      </c>
      <c r="T246" s="1087">
        <v>1008</v>
      </c>
      <c r="U246" s="1825"/>
      <c r="V246" s="1065"/>
      <c r="W246" s="1065"/>
      <c r="X246" s="1065"/>
      <c r="Y246" s="1065"/>
      <c r="Z246" s="1065"/>
      <c r="AA246" s="1065"/>
      <c r="AB246" s="1065"/>
      <c r="AC246" s="1065"/>
      <c r="AD246" s="1065"/>
      <c r="AE246" s="1065"/>
      <c r="AF246" s="1065"/>
      <c r="AG246" s="1065"/>
      <c r="AH246" s="1065"/>
      <c r="AI246" s="1065"/>
      <c r="AJ246" s="1065"/>
      <c r="AK246" s="1065"/>
      <c r="AL246" s="1065"/>
      <c r="AM246" s="1065"/>
      <c r="AN246" s="1065"/>
      <c r="AO246" s="1065"/>
      <c r="AP246" s="1065"/>
      <c r="AQ246" s="1065"/>
      <c r="AR246" s="1065"/>
      <c r="AS246" s="1065"/>
      <c r="AT246" s="1065"/>
      <c r="AU246" s="1065"/>
      <c r="AV246" s="1065"/>
      <c r="AW246" s="1065"/>
      <c r="AX246" s="1065"/>
      <c r="AY246" s="1065"/>
      <c r="AZ246" s="1065"/>
      <c r="BA246" s="1065"/>
      <c r="BB246" s="1065"/>
      <c r="BC246" s="1065"/>
      <c r="BD246" s="1065"/>
      <c r="BE246" s="1065"/>
      <c r="BF246" s="1065"/>
      <c r="BG246" s="1065"/>
      <c r="BH246" s="1065"/>
      <c r="BI246" s="1065"/>
      <c r="BJ246" s="1065"/>
      <c r="BK246" s="1065"/>
      <c r="BL246" s="1065"/>
      <c r="BM246" s="1065"/>
      <c r="BN246" s="1065"/>
      <c r="BO246" s="1065"/>
      <c r="BP246" s="1065"/>
      <c r="BQ246" s="1065"/>
      <c r="BR246" s="1065"/>
      <c r="BS246" s="1065"/>
      <c r="BT246" s="1065"/>
      <c r="BU246" s="1065"/>
      <c r="BV246" s="1065"/>
      <c r="BW246" s="1065"/>
      <c r="BX246" s="1065"/>
      <c r="BY246" s="1065"/>
      <c r="BZ246" s="1065"/>
      <c r="CA246" s="1065"/>
      <c r="CB246" s="1065"/>
      <c r="CC246" s="1065"/>
      <c r="CD246" s="1065"/>
      <c r="CE246" s="1065"/>
      <c r="CF246" s="1065"/>
      <c r="CG246" s="1065"/>
      <c r="CH246" s="1065"/>
      <c r="CI246" s="1065"/>
      <c r="CJ246" s="1065"/>
      <c r="CK246" s="1065"/>
      <c r="CL246" s="1065"/>
      <c r="CM246" s="1065"/>
      <c r="CN246" s="1065"/>
      <c r="CO246" s="1065"/>
      <c r="CP246" s="1065"/>
      <c r="CQ246" s="1065"/>
      <c r="CR246" s="1065"/>
      <c r="CS246" s="1065"/>
      <c r="CT246" s="1065"/>
      <c r="CU246" s="1065"/>
      <c r="CV246" s="1065"/>
      <c r="CW246" s="1065"/>
      <c r="CX246" s="1065"/>
      <c r="CY246" s="1065"/>
      <c r="CZ246" s="1065"/>
      <c r="DA246" s="1065"/>
      <c r="DB246" s="1065"/>
    </row>
    <row r="247" spans="1:106" ht="15" customHeight="1">
      <c r="A247" s="1065"/>
      <c r="B247" s="1065"/>
      <c r="C247" s="1066" t="s">
        <v>663</v>
      </c>
      <c r="D247" s="1812"/>
      <c r="E247" s="1812"/>
      <c r="F247" s="1812"/>
      <c r="G247" s="1812"/>
      <c r="H247" s="1811"/>
      <c r="I247" s="1811"/>
      <c r="J247" s="1812"/>
      <c r="K247" s="1812"/>
      <c r="L247" s="1812"/>
      <c r="M247" s="1812"/>
      <c r="N247" s="1812"/>
      <c r="O247" s="1812"/>
      <c r="P247" s="1812"/>
      <c r="Q247" s="1812"/>
      <c r="R247" s="1812"/>
      <c r="S247" s="1085">
        <v>870</v>
      </c>
      <c r="T247" s="1087">
        <v>870</v>
      </c>
      <c r="U247" s="1825"/>
      <c r="V247" s="1065"/>
      <c r="W247" s="1065"/>
      <c r="X247" s="1065"/>
      <c r="Y247" s="1065"/>
      <c r="Z247" s="1065"/>
      <c r="AA247" s="1065"/>
      <c r="AB247" s="1065"/>
      <c r="AC247" s="1065"/>
      <c r="AD247" s="1065"/>
      <c r="AE247" s="1065"/>
      <c r="AF247" s="1065"/>
      <c r="AG247" s="1065"/>
      <c r="AH247" s="1065"/>
      <c r="AI247" s="1065"/>
      <c r="AJ247" s="1065"/>
      <c r="AK247" s="1065"/>
      <c r="AL247" s="1065"/>
      <c r="AM247" s="1065"/>
      <c r="AN247" s="1065"/>
      <c r="AO247" s="1065"/>
      <c r="AP247" s="1065"/>
      <c r="AQ247" s="1065"/>
      <c r="AR247" s="1065"/>
      <c r="AS247" s="1065"/>
      <c r="AT247" s="1065"/>
      <c r="AU247" s="1065"/>
      <c r="AV247" s="1065"/>
      <c r="AW247" s="1065"/>
      <c r="AX247" s="1065"/>
      <c r="AY247" s="1065"/>
      <c r="AZ247" s="1065"/>
      <c r="BA247" s="1065"/>
      <c r="BB247" s="1065"/>
      <c r="BC247" s="1065"/>
      <c r="BD247" s="1065"/>
      <c r="BE247" s="1065"/>
      <c r="BF247" s="1065"/>
      <c r="BG247" s="1065"/>
      <c r="BH247" s="1065"/>
      <c r="BI247" s="1065"/>
      <c r="BJ247" s="1065"/>
      <c r="BK247" s="1065"/>
      <c r="BL247" s="1065"/>
      <c r="BM247" s="1065"/>
      <c r="BN247" s="1065"/>
      <c r="BO247" s="1065"/>
      <c r="BP247" s="1065"/>
      <c r="BQ247" s="1065"/>
      <c r="BR247" s="1065"/>
      <c r="BS247" s="1065"/>
      <c r="BT247" s="1065"/>
      <c r="BU247" s="1065"/>
      <c r="BV247" s="1065"/>
      <c r="BW247" s="1065"/>
      <c r="BX247" s="1065"/>
      <c r="BY247" s="1065"/>
      <c r="BZ247" s="1065"/>
      <c r="CA247" s="1065"/>
      <c r="CB247" s="1065"/>
      <c r="CC247" s="1065"/>
      <c r="CD247" s="1065"/>
      <c r="CE247" s="1065"/>
      <c r="CF247" s="1065"/>
      <c r="CG247" s="1065"/>
      <c r="CH247" s="1065"/>
      <c r="CI247" s="1065"/>
      <c r="CJ247" s="1065"/>
      <c r="CK247" s="1065"/>
      <c r="CL247" s="1065"/>
      <c r="CM247" s="1065"/>
      <c r="CN247" s="1065"/>
      <c r="CO247" s="1065"/>
      <c r="CP247" s="1065"/>
      <c r="CQ247" s="1065"/>
      <c r="CR247" s="1065"/>
      <c r="CS247" s="1065"/>
      <c r="CT247" s="1065"/>
      <c r="CU247" s="1065"/>
      <c r="CV247" s="1065"/>
      <c r="CW247" s="1065"/>
      <c r="CX247" s="1065"/>
      <c r="CY247" s="1065"/>
      <c r="CZ247" s="1065"/>
      <c r="DA247" s="1065"/>
      <c r="DB247" s="1065"/>
    </row>
    <row r="248" spans="1:106" ht="15" customHeight="1">
      <c r="A248" s="1065"/>
      <c r="B248" s="1065"/>
      <c r="C248" s="1066" t="s">
        <v>664</v>
      </c>
      <c r="D248" s="1812"/>
      <c r="E248" s="1812"/>
      <c r="F248" s="1812"/>
      <c r="G248" s="1812"/>
      <c r="H248" s="1811"/>
      <c r="I248" s="1811"/>
      <c r="J248" s="1812"/>
      <c r="K248" s="1812"/>
      <c r="L248" s="1812"/>
      <c r="M248" s="1812"/>
      <c r="N248" s="1812"/>
      <c r="O248" s="1812"/>
      <c r="P248" s="1812"/>
      <c r="Q248" s="1812"/>
      <c r="R248" s="1812"/>
      <c r="S248" s="1085">
        <v>870</v>
      </c>
      <c r="T248" s="1087">
        <v>870</v>
      </c>
      <c r="U248" s="1825"/>
      <c r="V248" s="1065"/>
      <c r="W248" s="1065"/>
      <c r="X248" s="1065"/>
      <c r="Y248" s="1065"/>
      <c r="Z248" s="1065"/>
      <c r="AA248" s="1065"/>
      <c r="AB248" s="1065"/>
      <c r="AC248" s="1065"/>
      <c r="AD248" s="1065"/>
      <c r="AE248" s="1065"/>
      <c r="AF248" s="1065"/>
      <c r="AG248" s="1065"/>
      <c r="AH248" s="1065"/>
      <c r="AI248" s="1065"/>
      <c r="AJ248" s="1065"/>
      <c r="AK248" s="1065"/>
      <c r="AL248" s="1065"/>
      <c r="AM248" s="1065"/>
      <c r="AN248" s="1065"/>
      <c r="AO248" s="1065"/>
      <c r="AP248" s="1065"/>
      <c r="AQ248" s="1065"/>
      <c r="AR248" s="1065"/>
      <c r="AS248" s="1065"/>
      <c r="AT248" s="1065"/>
      <c r="AU248" s="1065"/>
      <c r="AV248" s="1065"/>
      <c r="AW248" s="1065"/>
      <c r="AX248" s="1065"/>
      <c r="AY248" s="1065"/>
      <c r="AZ248" s="1065"/>
      <c r="BA248" s="1065"/>
      <c r="BB248" s="1065"/>
      <c r="BC248" s="1065"/>
      <c r="BD248" s="1065"/>
      <c r="BE248" s="1065"/>
      <c r="BF248" s="1065"/>
      <c r="BG248" s="1065"/>
      <c r="BH248" s="1065"/>
      <c r="BI248" s="1065"/>
      <c r="BJ248" s="1065"/>
      <c r="BK248" s="1065"/>
      <c r="BL248" s="1065"/>
      <c r="BM248" s="1065"/>
      <c r="BN248" s="1065"/>
      <c r="BO248" s="1065"/>
      <c r="BP248" s="1065"/>
      <c r="BQ248" s="1065"/>
      <c r="BR248" s="1065"/>
      <c r="BS248" s="1065"/>
      <c r="BT248" s="1065"/>
      <c r="BU248" s="1065"/>
      <c r="BV248" s="1065"/>
      <c r="BW248" s="1065"/>
      <c r="BX248" s="1065"/>
      <c r="BY248" s="1065"/>
      <c r="BZ248" s="1065"/>
      <c r="CA248" s="1065"/>
      <c r="CB248" s="1065"/>
      <c r="CC248" s="1065"/>
      <c r="CD248" s="1065"/>
      <c r="CE248" s="1065"/>
      <c r="CF248" s="1065"/>
      <c r="CG248" s="1065"/>
      <c r="CH248" s="1065"/>
      <c r="CI248" s="1065"/>
      <c r="CJ248" s="1065"/>
      <c r="CK248" s="1065"/>
      <c r="CL248" s="1065"/>
      <c r="CM248" s="1065"/>
      <c r="CN248" s="1065"/>
      <c r="CO248" s="1065"/>
      <c r="CP248" s="1065"/>
      <c r="CQ248" s="1065"/>
      <c r="CR248" s="1065"/>
      <c r="CS248" s="1065"/>
      <c r="CT248" s="1065"/>
      <c r="CU248" s="1065"/>
      <c r="CV248" s="1065"/>
      <c r="CW248" s="1065"/>
      <c r="CX248" s="1065"/>
      <c r="CY248" s="1065"/>
      <c r="CZ248" s="1065"/>
      <c r="DA248" s="1065"/>
      <c r="DB248" s="1065"/>
    </row>
    <row r="249" spans="1:106" ht="15" customHeight="1">
      <c r="A249" s="1065"/>
      <c r="B249" s="1065"/>
      <c r="C249" s="1066" t="s">
        <v>665</v>
      </c>
      <c r="D249" s="1812"/>
      <c r="E249" s="1812"/>
      <c r="F249" s="1812"/>
      <c r="G249" s="1812"/>
      <c r="H249" s="1811"/>
      <c r="I249" s="1811"/>
      <c r="J249" s="1812"/>
      <c r="K249" s="1812"/>
      <c r="L249" s="1812"/>
      <c r="M249" s="1812"/>
      <c r="N249" s="1812"/>
      <c r="O249" s="1812"/>
      <c r="P249" s="1812"/>
      <c r="Q249" s="1812"/>
      <c r="R249" s="1812"/>
      <c r="S249" s="1085">
        <v>870</v>
      </c>
      <c r="T249" s="1087">
        <v>870</v>
      </c>
      <c r="U249" s="1825"/>
      <c r="V249" s="1065"/>
      <c r="W249" s="1065"/>
      <c r="X249" s="1065"/>
      <c r="Y249" s="1065"/>
      <c r="Z249" s="1065"/>
      <c r="AA249" s="1065"/>
      <c r="AB249" s="1065"/>
      <c r="AC249" s="1065"/>
      <c r="AD249" s="1065"/>
      <c r="AE249" s="1065"/>
      <c r="AF249" s="1065"/>
      <c r="AG249" s="1065"/>
      <c r="AH249" s="1065"/>
      <c r="AI249" s="1065"/>
      <c r="AJ249" s="1065"/>
      <c r="AK249" s="1065"/>
      <c r="AL249" s="1065"/>
      <c r="AM249" s="1065"/>
      <c r="AN249" s="1065"/>
      <c r="AO249" s="1065"/>
      <c r="AP249" s="1065"/>
      <c r="AQ249" s="1065"/>
      <c r="AR249" s="1065"/>
      <c r="AS249" s="1065"/>
      <c r="AT249" s="1065"/>
      <c r="AU249" s="1065"/>
      <c r="AV249" s="1065"/>
      <c r="AW249" s="1065"/>
      <c r="AX249" s="1065"/>
      <c r="AY249" s="1065"/>
      <c r="AZ249" s="1065"/>
      <c r="BA249" s="1065"/>
      <c r="BB249" s="1065"/>
      <c r="BC249" s="1065"/>
      <c r="BD249" s="1065"/>
      <c r="BE249" s="1065"/>
      <c r="BF249" s="1065"/>
      <c r="BG249" s="1065"/>
      <c r="BH249" s="1065"/>
      <c r="BI249" s="1065"/>
      <c r="BJ249" s="1065"/>
      <c r="BK249" s="1065"/>
      <c r="BL249" s="1065"/>
      <c r="BM249" s="1065"/>
      <c r="BN249" s="1065"/>
      <c r="BO249" s="1065"/>
      <c r="BP249" s="1065"/>
      <c r="BQ249" s="1065"/>
      <c r="BR249" s="1065"/>
      <c r="BS249" s="1065"/>
      <c r="BT249" s="1065"/>
      <c r="BU249" s="1065"/>
      <c r="BV249" s="1065"/>
      <c r="BW249" s="1065"/>
      <c r="BX249" s="1065"/>
      <c r="BY249" s="1065"/>
      <c r="BZ249" s="1065"/>
      <c r="CA249" s="1065"/>
      <c r="CB249" s="1065"/>
      <c r="CC249" s="1065"/>
      <c r="CD249" s="1065"/>
      <c r="CE249" s="1065"/>
      <c r="CF249" s="1065"/>
      <c r="CG249" s="1065"/>
      <c r="CH249" s="1065"/>
      <c r="CI249" s="1065"/>
      <c r="CJ249" s="1065"/>
      <c r="CK249" s="1065"/>
      <c r="CL249" s="1065"/>
      <c r="CM249" s="1065"/>
      <c r="CN249" s="1065"/>
      <c r="CO249" s="1065"/>
      <c r="CP249" s="1065"/>
      <c r="CQ249" s="1065"/>
      <c r="CR249" s="1065"/>
      <c r="CS249" s="1065"/>
      <c r="CT249" s="1065"/>
      <c r="CU249" s="1065"/>
      <c r="CV249" s="1065"/>
      <c r="CW249" s="1065"/>
      <c r="CX249" s="1065"/>
      <c r="CY249" s="1065"/>
      <c r="CZ249" s="1065"/>
      <c r="DA249" s="1065"/>
      <c r="DB249" s="1065"/>
    </row>
    <row r="250" spans="1:106" ht="15" customHeight="1">
      <c r="A250" s="1065"/>
      <c r="B250" s="1065"/>
      <c r="C250" s="1066" t="s">
        <v>112</v>
      </c>
      <c r="D250" s="1812"/>
      <c r="E250" s="1812"/>
      <c r="F250" s="1812"/>
      <c r="G250" s="1812"/>
      <c r="H250" s="1811"/>
      <c r="I250" s="1811"/>
      <c r="J250" s="1812"/>
      <c r="K250" s="1812"/>
      <c r="L250" s="1812"/>
      <c r="M250" s="1812"/>
      <c r="N250" s="1812"/>
      <c r="O250" s="1812"/>
      <c r="P250" s="1812"/>
      <c r="Q250" s="1812"/>
      <c r="R250" s="1812"/>
      <c r="S250" s="1085">
        <v>870</v>
      </c>
      <c r="T250" s="1087">
        <v>870</v>
      </c>
      <c r="U250" s="1825"/>
      <c r="V250" s="1065"/>
      <c r="W250" s="1065"/>
      <c r="X250" s="1065"/>
      <c r="Y250" s="1065"/>
      <c r="Z250" s="1065"/>
      <c r="AA250" s="1065"/>
      <c r="AB250" s="1065"/>
      <c r="AC250" s="1065"/>
      <c r="AD250" s="1065"/>
      <c r="AE250" s="1065"/>
      <c r="AF250" s="1065"/>
      <c r="AG250" s="1065"/>
      <c r="AH250" s="1065"/>
      <c r="AI250" s="1065"/>
      <c r="AJ250" s="1065"/>
      <c r="AK250" s="1065"/>
      <c r="AL250" s="1065"/>
      <c r="AM250" s="1065"/>
      <c r="AN250" s="1065"/>
      <c r="AO250" s="1065"/>
      <c r="AP250" s="1065"/>
      <c r="AQ250" s="1065"/>
      <c r="AR250" s="1065"/>
      <c r="AS250" s="1065"/>
      <c r="AT250" s="1065"/>
      <c r="AU250" s="1065"/>
      <c r="AV250" s="1065"/>
      <c r="AW250" s="1065"/>
      <c r="AX250" s="1065"/>
      <c r="AY250" s="1065"/>
      <c r="AZ250" s="1065"/>
      <c r="BA250" s="1065"/>
      <c r="BB250" s="1065"/>
      <c r="BC250" s="1065"/>
      <c r="BD250" s="1065"/>
      <c r="BE250" s="1065"/>
      <c r="BF250" s="1065"/>
      <c r="BG250" s="1065"/>
      <c r="BH250" s="1065"/>
      <c r="BI250" s="1065"/>
      <c r="BJ250" s="1065"/>
      <c r="BK250" s="1065"/>
      <c r="BL250" s="1065"/>
      <c r="BM250" s="1065"/>
      <c r="BN250" s="1065"/>
      <c r="BO250" s="1065"/>
      <c r="BP250" s="1065"/>
      <c r="BQ250" s="1065"/>
      <c r="BR250" s="1065"/>
      <c r="BS250" s="1065"/>
      <c r="BT250" s="1065"/>
      <c r="BU250" s="1065"/>
      <c r="BV250" s="1065"/>
      <c r="BW250" s="1065"/>
      <c r="BX250" s="1065"/>
      <c r="BY250" s="1065"/>
      <c r="BZ250" s="1065"/>
      <c r="CA250" s="1065"/>
      <c r="CB250" s="1065"/>
      <c r="CC250" s="1065"/>
      <c r="CD250" s="1065"/>
      <c r="CE250" s="1065"/>
      <c r="CF250" s="1065"/>
      <c r="CG250" s="1065"/>
      <c r="CH250" s="1065"/>
      <c r="CI250" s="1065"/>
      <c r="CJ250" s="1065"/>
      <c r="CK250" s="1065"/>
      <c r="CL250" s="1065"/>
      <c r="CM250" s="1065"/>
      <c r="CN250" s="1065"/>
      <c r="CO250" s="1065"/>
      <c r="CP250" s="1065"/>
      <c r="CQ250" s="1065"/>
      <c r="CR250" s="1065"/>
      <c r="CS250" s="1065"/>
      <c r="CT250" s="1065"/>
      <c r="CU250" s="1065"/>
      <c r="CV250" s="1065"/>
      <c r="CW250" s="1065"/>
      <c r="CX250" s="1065"/>
      <c r="CY250" s="1065"/>
      <c r="CZ250" s="1065"/>
      <c r="DA250" s="1065"/>
      <c r="DB250" s="1065"/>
    </row>
    <row r="251" spans="1:106" ht="15" customHeight="1">
      <c r="A251" s="1065"/>
      <c r="B251" s="1065"/>
      <c r="C251" s="1066" t="s">
        <v>108</v>
      </c>
      <c r="D251" s="1812"/>
      <c r="E251" s="1812"/>
      <c r="F251" s="1812"/>
      <c r="G251" s="1812"/>
      <c r="H251" s="1811"/>
      <c r="I251" s="1811"/>
      <c r="J251" s="1812"/>
      <c r="K251" s="1812"/>
      <c r="L251" s="1812"/>
      <c r="M251" s="1812"/>
      <c r="N251" s="1812"/>
      <c r="O251" s="1812"/>
      <c r="P251" s="1812"/>
      <c r="Q251" s="1812"/>
      <c r="R251" s="1812"/>
      <c r="S251" s="1085">
        <v>1008</v>
      </c>
      <c r="T251" s="1087">
        <v>1008</v>
      </c>
      <c r="U251" s="1825"/>
      <c r="V251" s="1065"/>
      <c r="W251" s="1065"/>
      <c r="X251" s="1065"/>
      <c r="Y251" s="1065"/>
      <c r="Z251" s="1065"/>
      <c r="AA251" s="1065"/>
      <c r="AB251" s="1065"/>
      <c r="AC251" s="1065"/>
      <c r="AD251" s="1065"/>
      <c r="AE251" s="1065"/>
      <c r="AF251" s="1065"/>
      <c r="AG251" s="1065"/>
      <c r="AH251" s="1065"/>
      <c r="AI251" s="1065"/>
      <c r="AJ251" s="1065"/>
      <c r="AK251" s="1065"/>
      <c r="AL251" s="1065"/>
      <c r="AM251" s="1065"/>
      <c r="AN251" s="1065"/>
      <c r="AO251" s="1065"/>
      <c r="AP251" s="1065"/>
      <c r="AQ251" s="1065"/>
      <c r="AR251" s="1065"/>
      <c r="AS251" s="1065"/>
      <c r="AT251" s="1065"/>
      <c r="AU251" s="1065"/>
      <c r="AV251" s="1065"/>
      <c r="AW251" s="1065"/>
      <c r="AX251" s="1065"/>
      <c r="AY251" s="1065"/>
      <c r="AZ251" s="1065"/>
      <c r="BA251" s="1065"/>
      <c r="BB251" s="1065"/>
      <c r="BC251" s="1065"/>
      <c r="BD251" s="1065"/>
      <c r="BE251" s="1065"/>
      <c r="BF251" s="1065"/>
      <c r="BG251" s="1065"/>
      <c r="BH251" s="1065"/>
      <c r="BI251" s="1065"/>
      <c r="BJ251" s="1065"/>
      <c r="BK251" s="1065"/>
      <c r="BL251" s="1065"/>
      <c r="BM251" s="1065"/>
      <c r="BN251" s="1065"/>
      <c r="BO251" s="1065"/>
      <c r="BP251" s="1065"/>
      <c r="BQ251" s="1065"/>
      <c r="BR251" s="1065"/>
      <c r="BS251" s="1065"/>
      <c r="BT251" s="1065"/>
      <c r="BU251" s="1065"/>
      <c r="BV251" s="1065"/>
      <c r="BW251" s="1065"/>
      <c r="BX251" s="1065"/>
      <c r="BY251" s="1065"/>
      <c r="BZ251" s="1065"/>
      <c r="CA251" s="1065"/>
      <c r="CB251" s="1065"/>
      <c r="CC251" s="1065"/>
      <c r="CD251" s="1065"/>
      <c r="CE251" s="1065"/>
      <c r="CF251" s="1065"/>
      <c r="CG251" s="1065"/>
      <c r="CH251" s="1065"/>
      <c r="CI251" s="1065"/>
      <c r="CJ251" s="1065"/>
      <c r="CK251" s="1065"/>
      <c r="CL251" s="1065"/>
      <c r="CM251" s="1065"/>
      <c r="CN251" s="1065"/>
      <c r="CO251" s="1065"/>
      <c r="CP251" s="1065"/>
      <c r="CQ251" s="1065"/>
      <c r="CR251" s="1065"/>
      <c r="CS251" s="1065"/>
      <c r="CT251" s="1065"/>
      <c r="CU251" s="1065"/>
      <c r="CV251" s="1065"/>
      <c r="CW251" s="1065"/>
      <c r="CX251" s="1065"/>
      <c r="CY251" s="1065"/>
      <c r="CZ251" s="1065"/>
      <c r="DA251" s="1065"/>
      <c r="DB251" s="1065"/>
    </row>
    <row r="252" spans="1:106" ht="15" customHeight="1">
      <c r="A252" s="1065"/>
      <c r="B252" s="1065"/>
      <c r="C252" s="1066" t="s">
        <v>667</v>
      </c>
      <c r="D252" s="1812"/>
      <c r="E252" s="1812"/>
      <c r="F252" s="1812"/>
      <c r="G252" s="1812"/>
      <c r="H252" s="1811"/>
      <c r="I252" s="1811"/>
      <c r="J252" s="1812"/>
      <c r="K252" s="1812"/>
      <c r="L252" s="1812"/>
      <c r="M252" s="1812"/>
      <c r="N252" s="1812"/>
      <c r="O252" s="1812"/>
      <c r="P252" s="1812"/>
      <c r="Q252" s="1812"/>
      <c r="R252" s="1812"/>
      <c r="S252" s="1085">
        <v>870</v>
      </c>
      <c r="T252" s="1087">
        <v>870</v>
      </c>
      <c r="U252" s="1825"/>
      <c r="V252" s="1065"/>
      <c r="W252" s="1065"/>
      <c r="X252" s="1065"/>
      <c r="Y252" s="1065"/>
      <c r="Z252" s="1065"/>
      <c r="AA252" s="1065"/>
      <c r="AB252" s="1065"/>
      <c r="AC252" s="1065"/>
      <c r="AD252" s="1065"/>
      <c r="AE252" s="1065"/>
      <c r="AF252" s="1065"/>
      <c r="AG252" s="1065"/>
      <c r="AH252" s="1065"/>
      <c r="AI252" s="1065"/>
      <c r="AJ252" s="1065"/>
      <c r="AK252" s="1065"/>
      <c r="AL252" s="1065"/>
      <c r="AM252" s="1065"/>
      <c r="AN252" s="1065"/>
      <c r="AO252" s="1065"/>
      <c r="AP252" s="1065"/>
      <c r="AQ252" s="1065"/>
      <c r="AR252" s="1065"/>
      <c r="AS252" s="1065"/>
      <c r="AT252" s="1065"/>
      <c r="AU252" s="1065"/>
      <c r="AV252" s="1065"/>
      <c r="AW252" s="1065"/>
      <c r="AX252" s="1065"/>
      <c r="AY252" s="1065"/>
      <c r="AZ252" s="1065"/>
      <c r="BA252" s="1065"/>
      <c r="BB252" s="1065"/>
      <c r="BC252" s="1065"/>
      <c r="BD252" s="1065"/>
      <c r="BE252" s="1065"/>
      <c r="BF252" s="1065"/>
      <c r="BG252" s="1065"/>
      <c r="BH252" s="1065"/>
      <c r="BI252" s="1065"/>
      <c r="BJ252" s="1065"/>
      <c r="BK252" s="1065"/>
      <c r="BL252" s="1065"/>
      <c r="BM252" s="1065"/>
      <c r="BN252" s="1065"/>
      <c r="BO252" s="1065"/>
      <c r="BP252" s="1065"/>
      <c r="BQ252" s="1065"/>
      <c r="BR252" s="1065"/>
      <c r="BS252" s="1065"/>
      <c r="BT252" s="1065"/>
      <c r="BU252" s="1065"/>
      <c r="BV252" s="1065"/>
      <c r="BW252" s="1065"/>
      <c r="BX252" s="1065"/>
      <c r="BY252" s="1065"/>
      <c r="BZ252" s="1065"/>
      <c r="CA252" s="1065"/>
      <c r="CB252" s="1065"/>
      <c r="CC252" s="1065"/>
      <c r="CD252" s="1065"/>
      <c r="CE252" s="1065"/>
      <c r="CF252" s="1065"/>
      <c r="CG252" s="1065"/>
      <c r="CH252" s="1065"/>
      <c r="CI252" s="1065"/>
      <c r="CJ252" s="1065"/>
      <c r="CK252" s="1065"/>
      <c r="CL252" s="1065"/>
      <c r="CM252" s="1065"/>
      <c r="CN252" s="1065"/>
      <c r="CO252" s="1065"/>
      <c r="CP252" s="1065"/>
      <c r="CQ252" s="1065"/>
      <c r="CR252" s="1065"/>
      <c r="CS252" s="1065"/>
      <c r="CT252" s="1065"/>
      <c r="CU252" s="1065"/>
      <c r="CV252" s="1065"/>
      <c r="CW252" s="1065"/>
      <c r="CX252" s="1065"/>
      <c r="CY252" s="1065"/>
      <c r="CZ252" s="1065"/>
      <c r="DA252" s="1065"/>
      <c r="DB252" s="1065"/>
    </row>
    <row r="253" spans="1:106" ht="15" customHeight="1">
      <c r="A253" s="1065"/>
      <c r="B253" s="1065"/>
      <c r="C253" s="1066" t="s">
        <v>669</v>
      </c>
      <c r="D253" s="1812"/>
      <c r="E253" s="1812"/>
      <c r="F253" s="1812"/>
      <c r="G253" s="1812"/>
      <c r="H253" s="1811"/>
      <c r="I253" s="1811"/>
      <c r="J253" s="1812"/>
      <c r="K253" s="1812"/>
      <c r="L253" s="1812"/>
      <c r="M253" s="1812"/>
      <c r="N253" s="1812"/>
      <c r="O253" s="1812"/>
      <c r="P253" s="1812"/>
      <c r="Q253" s="1812"/>
      <c r="R253" s="1812"/>
      <c r="S253" s="1085">
        <v>870</v>
      </c>
      <c r="T253" s="1087">
        <v>870</v>
      </c>
      <c r="U253" s="1825"/>
      <c r="V253" s="1065"/>
      <c r="W253" s="1065"/>
      <c r="X253" s="1065"/>
      <c r="Y253" s="1065"/>
      <c r="Z253" s="1065"/>
      <c r="AA253" s="1065"/>
      <c r="AB253" s="1065"/>
      <c r="AC253" s="1065"/>
      <c r="AD253" s="1065"/>
      <c r="AE253" s="1065"/>
      <c r="AF253" s="1065"/>
      <c r="AG253" s="1065"/>
      <c r="AH253" s="1065"/>
      <c r="AI253" s="1065"/>
      <c r="AJ253" s="1065"/>
      <c r="AK253" s="1065"/>
      <c r="AL253" s="1065"/>
      <c r="AM253" s="1065"/>
      <c r="AN253" s="1065"/>
      <c r="AO253" s="1065"/>
      <c r="AP253" s="1065"/>
      <c r="AQ253" s="1065"/>
      <c r="AR253" s="1065"/>
      <c r="AS253" s="1065"/>
      <c r="AT253" s="1065"/>
      <c r="AU253" s="1065"/>
      <c r="AV253" s="1065"/>
      <c r="AW253" s="1065"/>
      <c r="AX253" s="1065"/>
      <c r="AY253" s="1065"/>
      <c r="AZ253" s="1065"/>
      <c r="BA253" s="1065"/>
      <c r="BB253" s="1065"/>
      <c r="BC253" s="1065"/>
      <c r="BD253" s="1065"/>
      <c r="BE253" s="1065"/>
      <c r="BF253" s="1065"/>
      <c r="BG253" s="1065"/>
      <c r="BH253" s="1065"/>
      <c r="BI253" s="1065"/>
      <c r="BJ253" s="1065"/>
      <c r="BK253" s="1065"/>
      <c r="BL253" s="1065"/>
      <c r="BM253" s="1065"/>
      <c r="BN253" s="1065"/>
      <c r="BO253" s="1065"/>
      <c r="BP253" s="1065"/>
      <c r="BQ253" s="1065"/>
      <c r="BR253" s="1065"/>
      <c r="BS253" s="1065"/>
      <c r="BT253" s="1065"/>
      <c r="BU253" s="1065"/>
      <c r="BV253" s="1065"/>
      <c r="BW253" s="1065"/>
      <c r="BX253" s="1065"/>
      <c r="BY253" s="1065"/>
      <c r="BZ253" s="1065"/>
      <c r="CA253" s="1065"/>
      <c r="CB253" s="1065"/>
      <c r="CC253" s="1065"/>
      <c r="CD253" s="1065"/>
      <c r="CE253" s="1065"/>
      <c r="CF253" s="1065"/>
      <c r="CG253" s="1065"/>
      <c r="CH253" s="1065"/>
      <c r="CI253" s="1065"/>
      <c r="CJ253" s="1065"/>
      <c r="CK253" s="1065"/>
      <c r="CL253" s="1065"/>
      <c r="CM253" s="1065"/>
      <c r="CN253" s="1065"/>
      <c r="CO253" s="1065"/>
      <c r="CP253" s="1065"/>
      <c r="CQ253" s="1065"/>
      <c r="CR253" s="1065"/>
      <c r="CS253" s="1065"/>
      <c r="CT253" s="1065"/>
      <c r="CU253" s="1065"/>
      <c r="CV253" s="1065"/>
      <c r="CW253" s="1065"/>
      <c r="CX253" s="1065"/>
      <c r="CY253" s="1065"/>
      <c r="CZ253" s="1065"/>
      <c r="DA253" s="1065"/>
      <c r="DB253" s="1065"/>
    </row>
    <row r="254" spans="1:106" ht="15" customHeight="1">
      <c r="A254" s="1065"/>
      <c r="B254" s="1065"/>
      <c r="C254" s="1066" t="s">
        <v>529</v>
      </c>
      <c r="D254" s="1812"/>
      <c r="E254" s="1812"/>
      <c r="F254" s="1812"/>
      <c r="G254" s="1812"/>
      <c r="H254" s="1811"/>
      <c r="I254" s="1811"/>
      <c r="J254" s="1812"/>
      <c r="K254" s="1812"/>
      <c r="L254" s="1812"/>
      <c r="M254" s="1812"/>
      <c r="N254" s="1812"/>
      <c r="O254" s="1812"/>
      <c r="P254" s="1812"/>
      <c r="Q254" s="1812"/>
      <c r="R254" s="1812"/>
      <c r="S254" s="1085">
        <v>1008</v>
      </c>
      <c r="T254" s="1087">
        <v>1008</v>
      </c>
      <c r="U254" s="1825"/>
      <c r="V254" s="1065"/>
      <c r="W254" s="1065"/>
      <c r="X254" s="1065"/>
      <c r="Y254" s="1065"/>
      <c r="Z254" s="1065"/>
      <c r="AA254" s="1065"/>
      <c r="AB254" s="1065"/>
      <c r="AC254" s="1065"/>
      <c r="AD254" s="1065"/>
      <c r="AE254" s="1065"/>
      <c r="AF254" s="1065"/>
      <c r="AG254" s="1065"/>
      <c r="AH254" s="1065"/>
      <c r="AI254" s="1065"/>
      <c r="AJ254" s="1065"/>
      <c r="AK254" s="1065"/>
      <c r="AL254" s="1065"/>
      <c r="AM254" s="1065"/>
      <c r="AN254" s="1065"/>
      <c r="AO254" s="1065"/>
      <c r="AP254" s="1065"/>
      <c r="AQ254" s="1065"/>
      <c r="AR254" s="1065"/>
      <c r="AS254" s="1065"/>
      <c r="AT254" s="1065"/>
      <c r="AU254" s="1065"/>
      <c r="AV254" s="1065"/>
      <c r="AW254" s="1065"/>
      <c r="AX254" s="1065"/>
      <c r="AY254" s="1065"/>
      <c r="AZ254" s="1065"/>
      <c r="BA254" s="1065"/>
      <c r="BB254" s="1065"/>
      <c r="BC254" s="1065"/>
      <c r="BD254" s="1065"/>
      <c r="BE254" s="1065"/>
      <c r="BF254" s="1065"/>
      <c r="BG254" s="1065"/>
      <c r="BH254" s="1065"/>
      <c r="BI254" s="1065"/>
      <c r="BJ254" s="1065"/>
      <c r="BK254" s="1065"/>
      <c r="BL254" s="1065"/>
      <c r="BM254" s="1065"/>
      <c r="BN254" s="1065"/>
      <c r="BO254" s="1065"/>
      <c r="BP254" s="1065"/>
      <c r="BQ254" s="1065"/>
      <c r="BR254" s="1065"/>
      <c r="BS254" s="1065"/>
      <c r="BT254" s="1065"/>
      <c r="BU254" s="1065"/>
      <c r="BV254" s="1065"/>
      <c r="BW254" s="1065"/>
      <c r="BX254" s="1065"/>
      <c r="BY254" s="1065"/>
      <c r="BZ254" s="1065"/>
      <c r="CA254" s="1065"/>
      <c r="CB254" s="1065"/>
      <c r="CC254" s="1065"/>
      <c r="CD254" s="1065"/>
      <c r="CE254" s="1065"/>
      <c r="CF254" s="1065"/>
      <c r="CG254" s="1065"/>
      <c r="CH254" s="1065"/>
      <c r="CI254" s="1065"/>
      <c r="CJ254" s="1065"/>
      <c r="CK254" s="1065"/>
      <c r="CL254" s="1065"/>
      <c r="CM254" s="1065"/>
      <c r="CN254" s="1065"/>
      <c r="CO254" s="1065"/>
      <c r="CP254" s="1065"/>
      <c r="CQ254" s="1065"/>
      <c r="CR254" s="1065"/>
      <c r="CS254" s="1065"/>
      <c r="CT254" s="1065"/>
      <c r="CU254" s="1065"/>
      <c r="CV254" s="1065"/>
      <c r="CW254" s="1065"/>
      <c r="CX254" s="1065"/>
      <c r="CY254" s="1065"/>
      <c r="CZ254" s="1065"/>
      <c r="DA254" s="1065"/>
      <c r="DB254" s="1065"/>
    </row>
    <row r="255" spans="1:106" ht="15" customHeight="1">
      <c r="A255" s="1065"/>
      <c r="B255" s="1065"/>
      <c r="C255" s="1069" t="s">
        <v>670</v>
      </c>
      <c r="D255" s="1812"/>
      <c r="E255" s="1812"/>
      <c r="F255" s="1812"/>
      <c r="G255" s="1812"/>
      <c r="H255" s="1811"/>
      <c r="I255" s="1811"/>
      <c r="J255" s="1812"/>
      <c r="K255" s="1812"/>
      <c r="L255" s="1812"/>
      <c r="M255" s="1812"/>
      <c r="N255" s="1812"/>
      <c r="O255" s="1812"/>
      <c r="P255" s="1812"/>
      <c r="Q255" s="1812"/>
      <c r="R255" s="1812"/>
      <c r="S255" s="1089">
        <v>870</v>
      </c>
      <c r="T255" s="1090">
        <v>870</v>
      </c>
      <c r="U255" s="1825"/>
      <c r="V255" s="1065"/>
      <c r="W255" s="1065"/>
      <c r="X255" s="1065"/>
      <c r="Y255" s="1065"/>
      <c r="Z255" s="1065"/>
      <c r="AA255" s="1065"/>
      <c r="AB255" s="1065"/>
      <c r="AC255" s="1065"/>
      <c r="AD255" s="1065"/>
      <c r="AE255" s="1065"/>
      <c r="AF255" s="1065"/>
      <c r="AG255" s="1065"/>
      <c r="AH255" s="1065"/>
      <c r="AI255" s="1065"/>
      <c r="AJ255" s="1065"/>
      <c r="AK255" s="1065"/>
      <c r="AL255" s="1065"/>
      <c r="AM255" s="1065"/>
      <c r="AN255" s="1065"/>
      <c r="AO255" s="1065"/>
      <c r="AP255" s="1065"/>
      <c r="AQ255" s="1065"/>
      <c r="AR255" s="1065"/>
      <c r="AS255" s="1065"/>
      <c r="AT255" s="1065"/>
      <c r="AU255" s="1065"/>
      <c r="AV255" s="1065"/>
      <c r="AW255" s="1065"/>
      <c r="AX255" s="1065"/>
      <c r="AY255" s="1065"/>
      <c r="AZ255" s="1065"/>
      <c r="BA255" s="1065"/>
      <c r="BB255" s="1065"/>
      <c r="BC255" s="1065"/>
      <c r="BD255" s="1065"/>
      <c r="BE255" s="1065"/>
      <c r="BF255" s="1065"/>
      <c r="BG255" s="1065"/>
      <c r="BH255" s="1065"/>
      <c r="BI255" s="1065"/>
      <c r="BJ255" s="1065"/>
      <c r="BK255" s="1065"/>
      <c r="BL255" s="1065"/>
      <c r="BM255" s="1065"/>
      <c r="BN255" s="1065"/>
      <c r="BO255" s="1065"/>
      <c r="BP255" s="1065"/>
      <c r="BQ255" s="1065"/>
      <c r="BR255" s="1065"/>
      <c r="BS255" s="1065"/>
      <c r="BT255" s="1065"/>
      <c r="BU255" s="1065"/>
      <c r="BV255" s="1065"/>
      <c r="BW255" s="1065"/>
      <c r="BX255" s="1065"/>
      <c r="BY255" s="1065"/>
      <c r="BZ255" s="1065"/>
      <c r="CA255" s="1065"/>
      <c r="CB255" s="1065"/>
      <c r="CC255" s="1065"/>
      <c r="CD255" s="1065"/>
      <c r="CE255" s="1065"/>
      <c r="CF255" s="1065"/>
      <c r="CG255" s="1065"/>
      <c r="CH255" s="1065"/>
      <c r="CI255" s="1065"/>
      <c r="CJ255" s="1065"/>
      <c r="CK255" s="1065"/>
      <c r="CL255" s="1065"/>
      <c r="CM255" s="1065"/>
      <c r="CN255" s="1065"/>
      <c r="CO255" s="1065"/>
      <c r="CP255" s="1065"/>
      <c r="CQ255" s="1065"/>
      <c r="CR255" s="1065"/>
      <c r="CS255" s="1065"/>
      <c r="CT255" s="1065"/>
      <c r="CU255" s="1065"/>
      <c r="CV255" s="1065"/>
      <c r="CW255" s="1065"/>
      <c r="CX255" s="1065"/>
      <c r="CY255" s="1065"/>
      <c r="CZ255" s="1065"/>
      <c r="DA255" s="1065"/>
      <c r="DB255" s="1065"/>
    </row>
    <row r="256" spans="1:106" ht="15" customHeight="1">
      <c r="A256" s="1065"/>
      <c r="B256" s="1065"/>
      <c r="C256" s="1091" t="s">
        <v>304</v>
      </c>
      <c r="D256" s="1687" t="s">
        <v>683</v>
      </c>
      <c r="E256" s="1687"/>
      <c r="F256" s="1687"/>
      <c r="G256" s="1687"/>
      <c r="H256" s="1696" t="s">
        <v>671</v>
      </c>
      <c r="I256" s="1696"/>
      <c r="J256" s="1687" t="s">
        <v>687</v>
      </c>
      <c r="K256" s="1687"/>
      <c r="L256" s="1687"/>
      <c r="M256" s="1687" t="s">
        <v>688</v>
      </c>
      <c r="N256" s="1687"/>
      <c r="O256" s="1687"/>
      <c r="P256" s="1687"/>
      <c r="Q256" s="1687"/>
      <c r="R256" s="1687"/>
      <c r="S256" s="1067">
        <v>1008</v>
      </c>
      <c r="T256" s="1092">
        <v>1008</v>
      </c>
      <c r="U256" s="1826">
        <f>SUM(T256:T262)</f>
        <v>8658</v>
      </c>
      <c r="V256" s="1065"/>
      <c r="W256" s="1065"/>
      <c r="X256" s="1065"/>
      <c r="Y256" s="1065"/>
      <c r="Z256" s="1065"/>
      <c r="AA256" s="1065"/>
      <c r="AB256" s="1065"/>
      <c r="AC256" s="1065"/>
      <c r="AD256" s="1065"/>
      <c r="AE256" s="1065"/>
      <c r="AF256" s="1065"/>
      <c r="AG256" s="1065"/>
      <c r="AH256" s="1065"/>
      <c r="AI256" s="1065"/>
      <c r="AJ256" s="1065"/>
      <c r="AK256" s="1065"/>
      <c r="AL256" s="1065"/>
      <c r="AM256" s="1065"/>
      <c r="AN256" s="1065"/>
      <c r="AO256" s="1065"/>
      <c r="AP256" s="1065"/>
      <c r="AQ256" s="1065"/>
      <c r="AR256" s="1065"/>
      <c r="AS256" s="1065"/>
      <c r="AT256" s="1065"/>
      <c r="AU256" s="1065"/>
      <c r="AV256" s="1065"/>
      <c r="AW256" s="1065"/>
      <c r="AX256" s="1065"/>
      <c r="AY256" s="1065"/>
      <c r="AZ256" s="1065"/>
      <c r="BA256" s="1065"/>
      <c r="BB256" s="1065"/>
      <c r="BC256" s="1065"/>
      <c r="BD256" s="1065"/>
      <c r="BE256" s="1065"/>
      <c r="BF256" s="1065"/>
      <c r="BG256" s="1065"/>
      <c r="BH256" s="1065"/>
      <c r="BI256" s="1065"/>
      <c r="BJ256" s="1065"/>
      <c r="BK256" s="1065"/>
      <c r="BL256" s="1065"/>
      <c r="BM256" s="1065"/>
      <c r="BN256" s="1065"/>
      <c r="BO256" s="1065"/>
      <c r="BP256" s="1065"/>
      <c r="BQ256" s="1065"/>
      <c r="BR256" s="1065"/>
      <c r="BS256" s="1065"/>
      <c r="BT256" s="1065"/>
      <c r="BU256" s="1065"/>
      <c r="BV256" s="1065"/>
      <c r="BW256" s="1065"/>
      <c r="BX256" s="1065"/>
      <c r="BY256" s="1065"/>
      <c r="BZ256" s="1065"/>
      <c r="CA256" s="1065"/>
      <c r="CB256" s="1065"/>
      <c r="CC256" s="1065"/>
      <c r="CD256" s="1065"/>
      <c r="CE256" s="1065"/>
      <c r="CF256" s="1065"/>
      <c r="CG256" s="1065"/>
      <c r="CH256" s="1065"/>
      <c r="CI256" s="1065"/>
      <c r="CJ256" s="1065"/>
      <c r="CK256" s="1065"/>
      <c r="CL256" s="1065"/>
      <c r="CM256" s="1065"/>
      <c r="CN256" s="1065"/>
      <c r="CO256" s="1065"/>
      <c r="CP256" s="1065"/>
      <c r="CQ256" s="1065"/>
      <c r="CR256" s="1065"/>
      <c r="CS256" s="1065"/>
      <c r="CT256" s="1065"/>
      <c r="CU256" s="1065"/>
      <c r="CV256" s="1065"/>
      <c r="CW256" s="1065"/>
      <c r="CX256" s="1065"/>
      <c r="CY256" s="1065"/>
      <c r="CZ256" s="1065"/>
      <c r="DA256" s="1065"/>
      <c r="DB256" s="1065"/>
    </row>
    <row r="257" spans="1:106" ht="15" customHeight="1">
      <c r="A257" s="1065"/>
      <c r="B257" s="1065"/>
      <c r="C257" s="1091" t="s">
        <v>673</v>
      </c>
      <c r="D257" s="1687"/>
      <c r="E257" s="1687"/>
      <c r="F257" s="1687"/>
      <c r="G257" s="1687"/>
      <c r="H257" s="1696"/>
      <c r="I257" s="1696"/>
      <c r="J257" s="1687"/>
      <c r="K257" s="1687"/>
      <c r="L257" s="1687"/>
      <c r="M257" s="1687"/>
      <c r="N257" s="1687"/>
      <c r="O257" s="1687"/>
      <c r="P257" s="1687"/>
      <c r="Q257" s="1687"/>
      <c r="R257" s="1687"/>
      <c r="S257" s="1067">
        <v>1008</v>
      </c>
      <c r="T257" s="1092">
        <v>1008</v>
      </c>
      <c r="U257" s="1826"/>
      <c r="V257" s="1065"/>
      <c r="W257" s="1065"/>
      <c r="X257" s="1065"/>
      <c r="Y257" s="1065"/>
      <c r="Z257" s="1065"/>
      <c r="AA257" s="1065"/>
      <c r="AB257" s="1065"/>
      <c r="AC257" s="1065"/>
      <c r="AD257" s="1065"/>
      <c r="AE257" s="1065"/>
      <c r="AF257" s="1065"/>
      <c r="AG257" s="1065"/>
      <c r="AH257" s="1065"/>
      <c r="AI257" s="1065"/>
      <c r="AJ257" s="1065"/>
      <c r="AK257" s="1065"/>
      <c r="AL257" s="1065"/>
      <c r="AM257" s="1065"/>
      <c r="AN257" s="1065"/>
      <c r="AO257" s="1065"/>
      <c r="AP257" s="1065"/>
      <c r="AQ257" s="1065"/>
      <c r="AR257" s="1065"/>
      <c r="AS257" s="1065"/>
      <c r="AT257" s="1065"/>
      <c r="AU257" s="1065"/>
      <c r="AV257" s="1065"/>
      <c r="AW257" s="1065"/>
      <c r="AX257" s="1065"/>
      <c r="AY257" s="1065"/>
      <c r="AZ257" s="1065"/>
      <c r="BA257" s="1065"/>
      <c r="BB257" s="1065"/>
      <c r="BC257" s="1065"/>
      <c r="BD257" s="1065"/>
      <c r="BE257" s="1065"/>
      <c r="BF257" s="1065"/>
      <c r="BG257" s="1065"/>
      <c r="BH257" s="1065"/>
      <c r="BI257" s="1065"/>
      <c r="BJ257" s="1065"/>
      <c r="BK257" s="1065"/>
      <c r="BL257" s="1065"/>
      <c r="BM257" s="1065"/>
      <c r="BN257" s="1065"/>
      <c r="BO257" s="1065"/>
      <c r="BP257" s="1065"/>
      <c r="BQ257" s="1065"/>
      <c r="BR257" s="1065"/>
      <c r="BS257" s="1065"/>
      <c r="BT257" s="1065"/>
      <c r="BU257" s="1065"/>
      <c r="BV257" s="1065"/>
      <c r="BW257" s="1065"/>
      <c r="BX257" s="1065"/>
      <c r="BY257" s="1065"/>
      <c r="BZ257" s="1065"/>
      <c r="CA257" s="1065"/>
      <c r="CB257" s="1065"/>
      <c r="CC257" s="1065"/>
      <c r="CD257" s="1065"/>
      <c r="CE257" s="1065"/>
      <c r="CF257" s="1065"/>
      <c r="CG257" s="1065"/>
      <c r="CH257" s="1065"/>
      <c r="CI257" s="1065"/>
      <c r="CJ257" s="1065"/>
      <c r="CK257" s="1065"/>
      <c r="CL257" s="1065"/>
      <c r="CM257" s="1065"/>
      <c r="CN257" s="1065"/>
      <c r="CO257" s="1065"/>
      <c r="CP257" s="1065"/>
      <c r="CQ257" s="1065"/>
      <c r="CR257" s="1065"/>
      <c r="CS257" s="1065"/>
      <c r="CT257" s="1065"/>
      <c r="CU257" s="1065"/>
      <c r="CV257" s="1065"/>
      <c r="CW257" s="1065"/>
      <c r="CX257" s="1065"/>
      <c r="CY257" s="1065"/>
      <c r="CZ257" s="1065"/>
      <c r="DA257" s="1065"/>
      <c r="DB257" s="1065"/>
    </row>
    <row r="258" spans="1:106" ht="15" customHeight="1">
      <c r="A258" s="1065"/>
      <c r="B258" s="1065"/>
      <c r="C258" s="1091" t="s">
        <v>549</v>
      </c>
      <c r="D258" s="1687"/>
      <c r="E258" s="1687"/>
      <c r="F258" s="1687"/>
      <c r="G258" s="1687"/>
      <c r="H258" s="1696"/>
      <c r="I258" s="1696"/>
      <c r="J258" s="1687"/>
      <c r="K258" s="1687"/>
      <c r="L258" s="1687"/>
      <c r="M258" s="1687"/>
      <c r="N258" s="1687"/>
      <c r="O258" s="1687"/>
      <c r="P258" s="1687"/>
      <c r="Q258" s="1687"/>
      <c r="R258" s="1687"/>
      <c r="S258" s="1067">
        <v>1008</v>
      </c>
      <c r="T258" s="1092">
        <v>1008</v>
      </c>
      <c r="U258" s="1826"/>
      <c r="V258" s="1065"/>
      <c r="W258" s="1065"/>
      <c r="X258" s="1065"/>
      <c r="Y258" s="1065"/>
      <c r="Z258" s="1065"/>
      <c r="AA258" s="1065"/>
      <c r="AB258" s="1065"/>
      <c r="AC258" s="1065"/>
      <c r="AD258" s="1065"/>
      <c r="AE258" s="1065"/>
      <c r="AF258" s="1065"/>
      <c r="AG258" s="1065"/>
      <c r="AH258" s="1065"/>
      <c r="AI258" s="1065"/>
      <c r="AJ258" s="1065"/>
      <c r="AK258" s="1065"/>
      <c r="AL258" s="1065"/>
      <c r="AM258" s="1065"/>
      <c r="AN258" s="1065"/>
      <c r="AO258" s="1065"/>
      <c r="AP258" s="1065"/>
      <c r="AQ258" s="1065"/>
      <c r="AR258" s="1065"/>
      <c r="AS258" s="1065"/>
      <c r="AT258" s="1065"/>
      <c r="AU258" s="1065"/>
      <c r="AV258" s="1065"/>
      <c r="AW258" s="1065"/>
      <c r="AX258" s="1065"/>
      <c r="AY258" s="1065"/>
      <c r="AZ258" s="1065"/>
      <c r="BA258" s="1065"/>
      <c r="BB258" s="1065"/>
      <c r="BC258" s="1065"/>
      <c r="BD258" s="1065"/>
      <c r="BE258" s="1065"/>
      <c r="BF258" s="1065"/>
      <c r="BG258" s="1065"/>
      <c r="BH258" s="1065"/>
      <c r="BI258" s="1065"/>
      <c r="BJ258" s="1065"/>
      <c r="BK258" s="1065"/>
      <c r="BL258" s="1065"/>
      <c r="BM258" s="1065"/>
      <c r="BN258" s="1065"/>
      <c r="BO258" s="1065"/>
      <c r="BP258" s="1065"/>
      <c r="BQ258" s="1065"/>
      <c r="BR258" s="1065"/>
      <c r="BS258" s="1065"/>
      <c r="BT258" s="1065"/>
      <c r="BU258" s="1065"/>
      <c r="BV258" s="1065"/>
      <c r="BW258" s="1065"/>
      <c r="BX258" s="1065"/>
      <c r="BY258" s="1065"/>
      <c r="BZ258" s="1065"/>
      <c r="CA258" s="1065"/>
      <c r="CB258" s="1065"/>
      <c r="CC258" s="1065"/>
      <c r="CD258" s="1065"/>
      <c r="CE258" s="1065"/>
      <c r="CF258" s="1065"/>
      <c r="CG258" s="1065"/>
      <c r="CH258" s="1065"/>
      <c r="CI258" s="1065"/>
      <c r="CJ258" s="1065"/>
      <c r="CK258" s="1065"/>
      <c r="CL258" s="1065"/>
      <c r="CM258" s="1065"/>
      <c r="CN258" s="1065"/>
      <c r="CO258" s="1065"/>
      <c r="CP258" s="1065"/>
      <c r="CQ258" s="1065"/>
      <c r="CR258" s="1065"/>
      <c r="CS258" s="1065"/>
      <c r="CT258" s="1065"/>
      <c r="CU258" s="1065"/>
      <c r="CV258" s="1065"/>
      <c r="CW258" s="1065"/>
      <c r="CX258" s="1065"/>
      <c r="CY258" s="1065"/>
      <c r="CZ258" s="1065"/>
      <c r="DA258" s="1065"/>
      <c r="DB258" s="1065"/>
    </row>
    <row r="259" spans="1:106" ht="15" customHeight="1">
      <c r="A259" s="1065"/>
      <c r="B259" s="1065"/>
      <c r="C259" s="1091" t="s">
        <v>677</v>
      </c>
      <c r="D259" s="1687"/>
      <c r="E259" s="1687"/>
      <c r="F259" s="1687"/>
      <c r="G259" s="1687"/>
      <c r="H259" s="1696"/>
      <c r="I259" s="1696"/>
      <c r="J259" s="1687"/>
      <c r="K259" s="1687"/>
      <c r="L259" s="1687"/>
      <c r="M259" s="1687"/>
      <c r="N259" s="1687"/>
      <c r="O259" s="1687"/>
      <c r="P259" s="1687"/>
      <c r="Q259" s="1687"/>
      <c r="R259" s="1687"/>
      <c r="S259" s="1067">
        <v>1008</v>
      </c>
      <c r="T259" s="1092">
        <v>1008</v>
      </c>
      <c r="U259" s="1826"/>
      <c r="V259" s="1065"/>
      <c r="W259" s="1065"/>
      <c r="X259" s="1065"/>
      <c r="Y259" s="1065"/>
      <c r="Z259" s="1065"/>
      <c r="AA259" s="1065"/>
      <c r="AB259" s="1065"/>
      <c r="AC259" s="1065"/>
      <c r="AD259" s="1065"/>
      <c r="AE259" s="1065"/>
      <c r="AF259" s="1065"/>
      <c r="AG259" s="1065"/>
      <c r="AH259" s="1065"/>
      <c r="AI259" s="1065"/>
      <c r="AJ259" s="1065"/>
      <c r="AK259" s="1065"/>
      <c r="AL259" s="1065"/>
      <c r="AM259" s="1065"/>
      <c r="AN259" s="1065"/>
      <c r="AO259" s="1065"/>
      <c r="AP259" s="1065"/>
      <c r="AQ259" s="1065"/>
      <c r="AR259" s="1065"/>
      <c r="AS259" s="1065"/>
      <c r="AT259" s="1065"/>
      <c r="AU259" s="1065"/>
      <c r="AV259" s="1065"/>
      <c r="AW259" s="1065"/>
      <c r="AX259" s="1065"/>
      <c r="AY259" s="1065"/>
      <c r="AZ259" s="1065"/>
      <c r="BA259" s="1065"/>
      <c r="BB259" s="1065"/>
      <c r="BC259" s="1065"/>
      <c r="BD259" s="1065"/>
      <c r="BE259" s="1065"/>
      <c r="BF259" s="1065"/>
      <c r="BG259" s="1065"/>
      <c r="BH259" s="1065"/>
      <c r="BI259" s="1065"/>
      <c r="BJ259" s="1065"/>
      <c r="BK259" s="1065"/>
      <c r="BL259" s="1065"/>
      <c r="BM259" s="1065"/>
      <c r="BN259" s="1065"/>
      <c r="BO259" s="1065"/>
      <c r="BP259" s="1065"/>
      <c r="BQ259" s="1065"/>
      <c r="BR259" s="1065"/>
      <c r="BS259" s="1065"/>
      <c r="BT259" s="1065"/>
      <c r="BU259" s="1065"/>
      <c r="BV259" s="1065"/>
      <c r="BW259" s="1065"/>
      <c r="BX259" s="1065"/>
      <c r="BY259" s="1065"/>
      <c r="BZ259" s="1065"/>
      <c r="CA259" s="1065"/>
      <c r="CB259" s="1065"/>
      <c r="CC259" s="1065"/>
      <c r="CD259" s="1065"/>
      <c r="CE259" s="1065"/>
      <c r="CF259" s="1065"/>
      <c r="CG259" s="1065"/>
      <c r="CH259" s="1065"/>
      <c r="CI259" s="1065"/>
      <c r="CJ259" s="1065"/>
      <c r="CK259" s="1065"/>
      <c r="CL259" s="1065"/>
      <c r="CM259" s="1065"/>
      <c r="CN259" s="1065"/>
      <c r="CO259" s="1065"/>
      <c r="CP259" s="1065"/>
      <c r="CQ259" s="1065"/>
      <c r="CR259" s="1065"/>
      <c r="CS259" s="1065"/>
      <c r="CT259" s="1065"/>
      <c r="CU259" s="1065"/>
      <c r="CV259" s="1065"/>
      <c r="CW259" s="1065"/>
      <c r="CX259" s="1065"/>
      <c r="CY259" s="1065"/>
      <c r="CZ259" s="1065"/>
      <c r="DA259" s="1065"/>
      <c r="DB259" s="1065"/>
    </row>
    <row r="260" spans="1:106" ht="15" customHeight="1">
      <c r="A260" s="1065"/>
      <c r="B260" s="1065"/>
      <c r="C260" s="1091" t="s">
        <v>679</v>
      </c>
      <c r="D260" s="1687"/>
      <c r="E260" s="1687"/>
      <c r="F260" s="1687"/>
      <c r="G260" s="1687"/>
      <c r="H260" s="1696"/>
      <c r="I260" s="1696"/>
      <c r="J260" s="1687"/>
      <c r="K260" s="1687"/>
      <c r="L260" s="1687"/>
      <c r="M260" s="1687"/>
      <c r="N260" s="1687"/>
      <c r="O260" s="1687"/>
      <c r="P260" s="1687"/>
      <c r="Q260" s="1687"/>
      <c r="R260" s="1687"/>
      <c r="S260" s="1067">
        <v>2016</v>
      </c>
      <c r="T260" s="1092">
        <v>2016</v>
      </c>
      <c r="U260" s="1826"/>
      <c r="V260" s="1065"/>
      <c r="W260" s="1065"/>
      <c r="X260" s="1065"/>
      <c r="Y260" s="1065"/>
      <c r="Z260" s="1065"/>
      <c r="AA260" s="1065"/>
      <c r="AB260" s="1065"/>
      <c r="AC260" s="1065"/>
      <c r="AD260" s="1065"/>
      <c r="AE260" s="1065"/>
      <c r="AF260" s="1065"/>
      <c r="AG260" s="1065"/>
      <c r="AH260" s="1065"/>
      <c r="AI260" s="1065"/>
      <c r="AJ260" s="1065"/>
      <c r="AK260" s="1065"/>
      <c r="AL260" s="1065"/>
      <c r="AM260" s="1065"/>
      <c r="AN260" s="1065"/>
      <c r="AO260" s="1065"/>
      <c r="AP260" s="1065"/>
      <c r="AQ260" s="1065"/>
      <c r="AR260" s="1065"/>
      <c r="AS260" s="1065"/>
      <c r="AT260" s="1065"/>
      <c r="AU260" s="1065"/>
      <c r="AV260" s="1065"/>
      <c r="AW260" s="1065"/>
      <c r="AX260" s="1065"/>
      <c r="AY260" s="1065"/>
      <c r="AZ260" s="1065"/>
      <c r="BA260" s="1065"/>
      <c r="BB260" s="1065"/>
      <c r="BC260" s="1065"/>
      <c r="BD260" s="1065"/>
      <c r="BE260" s="1065"/>
      <c r="BF260" s="1065"/>
      <c r="BG260" s="1065"/>
      <c r="BH260" s="1065"/>
      <c r="BI260" s="1065"/>
      <c r="BJ260" s="1065"/>
      <c r="BK260" s="1065"/>
      <c r="BL260" s="1065"/>
      <c r="BM260" s="1065"/>
      <c r="BN260" s="1065"/>
      <c r="BO260" s="1065"/>
      <c r="BP260" s="1065"/>
      <c r="BQ260" s="1065"/>
      <c r="BR260" s="1065"/>
      <c r="BS260" s="1065"/>
      <c r="BT260" s="1065"/>
      <c r="BU260" s="1065"/>
      <c r="BV260" s="1065"/>
      <c r="BW260" s="1065"/>
      <c r="BX260" s="1065"/>
      <c r="BY260" s="1065"/>
      <c r="BZ260" s="1065"/>
      <c r="CA260" s="1065"/>
      <c r="CB260" s="1065"/>
      <c r="CC260" s="1065"/>
      <c r="CD260" s="1065"/>
      <c r="CE260" s="1065"/>
      <c r="CF260" s="1065"/>
      <c r="CG260" s="1065"/>
      <c r="CH260" s="1065"/>
      <c r="CI260" s="1065"/>
      <c r="CJ260" s="1065"/>
      <c r="CK260" s="1065"/>
      <c r="CL260" s="1065"/>
      <c r="CM260" s="1065"/>
      <c r="CN260" s="1065"/>
      <c r="CO260" s="1065"/>
      <c r="CP260" s="1065"/>
      <c r="CQ260" s="1065"/>
      <c r="CR260" s="1065"/>
      <c r="CS260" s="1065"/>
      <c r="CT260" s="1065"/>
      <c r="CU260" s="1065"/>
      <c r="CV260" s="1065"/>
      <c r="CW260" s="1065"/>
      <c r="CX260" s="1065"/>
      <c r="CY260" s="1065"/>
      <c r="CZ260" s="1065"/>
      <c r="DA260" s="1065"/>
      <c r="DB260" s="1065"/>
    </row>
    <row r="261" spans="1:106" ht="15" customHeight="1">
      <c r="A261" s="1065"/>
      <c r="B261" s="1065"/>
      <c r="C261" s="1091" t="s">
        <v>680</v>
      </c>
      <c r="D261" s="1687"/>
      <c r="E261" s="1687"/>
      <c r="F261" s="1687"/>
      <c r="G261" s="1687"/>
      <c r="H261" s="1696"/>
      <c r="I261" s="1696"/>
      <c r="J261" s="1687"/>
      <c r="K261" s="1687"/>
      <c r="L261" s="1687"/>
      <c r="M261" s="1687"/>
      <c r="N261" s="1687"/>
      <c r="O261" s="1687"/>
      <c r="P261" s="1687"/>
      <c r="Q261" s="1687"/>
      <c r="R261" s="1687"/>
      <c r="S261" s="1067">
        <v>870</v>
      </c>
      <c r="T261" s="1092">
        <v>870</v>
      </c>
      <c r="U261" s="1826"/>
      <c r="V261" s="1065"/>
      <c r="W261" s="1065"/>
      <c r="X261" s="1065"/>
      <c r="Y261" s="1065"/>
      <c r="Z261" s="1065"/>
      <c r="AA261" s="1065"/>
      <c r="AB261" s="1065"/>
      <c r="AC261" s="1065"/>
      <c r="AD261" s="1065"/>
      <c r="AE261" s="1065"/>
      <c r="AF261" s="1065"/>
      <c r="AG261" s="1065"/>
      <c r="AH261" s="1065"/>
      <c r="AI261" s="1065"/>
      <c r="AJ261" s="1065"/>
      <c r="AK261" s="1065"/>
      <c r="AL261" s="1065"/>
      <c r="AM261" s="1065"/>
      <c r="AN261" s="1065"/>
      <c r="AO261" s="1065"/>
      <c r="AP261" s="1065"/>
      <c r="AQ261" s="1065"/>
      <c r="AR261" s="1065"/>
      <c r="AS261" s="1065"/>
      <c r="AT261" s="1065"/>
      <c r="AU261" s="1065"/>
      <c r="AV261" s="1065"/>
      <c r="AW261" s="1065"/>
      <c r="AX261" s="1065"/>
      <c r="AY261" s="1065"/>
      <c r="AZ261" s="1065"/>
      <c r="BA261" s="1065"/>
      <c r="BB261" s="1065"/>
      <c r="BC261" s="1065"/>
      <c r="BD261" s="1065"/>
      <c r="BE261" s="1065"/>
      <c r="BF261" s="1065"/>
      <c r="BG261" s="1065"/>
      <c r="BH261" s="1065"/>
      <c r="BI261" s="1065"/>
      <c r="BJ261" s="1065"/>
      <c r="BK261" s="1065"/>
      <c r="BL261" s="1065"/>
      <c r="BM261" s="1065"/>
      <c r="BN261" s="1065"/>
      <c r="BO261" s="1065"/>
      <c r="BP261" s="1065"/>
      <c r="BQ261" s="1065"/>
      <c r="BR261" s="1065"/>
      <c r="BS261" s="1065"/>
      <c r="BT261" s="1065"/>
      <c r="BU261" s="1065"/>
      <c r="BV261" s="1065"/>
      <c r="BW261" s="1065"/>
      <c r="BX261" s="1065"/>
      <c r="BY261" s="1065"/>
      <c r="BZ261" s="1065"/>
      <c r="CA261" s="1065"/>
      <c r="CB261" s="1065"/>
      <c r="CC261" s="1065"/>
      <c r="CD261" s="1065"/>
      <c r="CE261" s="1065"/>
      <c r="CF261" s="1065"/>
      <c r="CG261" s="1065"/>
      <c r="CH261" s="1065"/>
      <c r="CI261" s="1065"/>
      <c r="CJ261" s="1065"/>
      <c r="CK261" s="1065"/>
      <c r="CL261" s="1065"/>
      <c r="CM261" s="1065"/>
      <c r="CN261" s="1065"/>
      <c r="CO261" s="1065"/>
      <c r="CP261" s="1065"/>
      <c r="CQ261" s="1065"/>
      <c r="CR261" s="1065"/>
      <c r="CS261" s="1065"/>
      <c r="CT261" s="1065"/>
      <c r="CU261" s="1065"/>
      <c r="CV261" s="1065"/>
      <c r="CW261" s="1065"/>
      <c r="CX261" s="1065"/>
      <c r="CY261" s="1065"/>
      <c r="CZ261" s="1065"/>
      <c r="DA261" s="1065"/>
      <c r="DB261" s="1065"/>
    </row>
    <row r="262" spans="1:106" ht="15" customHeight="1">
      <c r="A262" s="1065"/>
      <c r="B262" s="1065"/>
      <c r="C262" s="1091" t="s">
        <v>678</v>
      </c>
      <c r="D262" s="1687"/>
      <c r="E262" s="1687"/>
      <c r="F262" s="1687"/>
      <c r="G262" s="1687"/>
      <c r="H262" s="1696"/>
      <c r="I262" s="1696"/>
      <c r="J262" s="1687"/>
      <c r="K262" s="1687"/>
      <c r="L262" s="1687"/>
      <c r="M262" s="1687"/>
      <c r="N262" s="1687"/>
      <c r="O262" s="1687"/>
      <c r="P262" s="1687"/>
      <c r="Q262" s="1687"/>
      <c r="R262" s="1687"/>
      <c r="S262" s="1067">
        <f>870+870</f>
        <v>1740</v>
      </c>
      <c r="T262" s="1092">
        <f>870+870</f>
        <v>1740</v>
      </c>
      <c r="U262" s="1093"/>
      <c r="V262" s="1065"/>
      <c r="W262" s="1065"/>
      <c r="X262" s="1065"/>
      <c r="Y262" s="1065"/>
      <c r="Z262" s="1065"/>
      <c r="AA262" s="1065"/>
      <c r="AB262" s="1065"/>
      <c r="AC262" s="1065"/>
      <c r="AD262" s="1065"/>
      <c r="AE262" s="1065"/>
      <c r="AF262" s="1065"/>
      <c r="AG262" s="1065"/>
      <c r="AH262" s="1065"/>
      <c r="AI262" s="1065"/>
      <c r="AJ262" s="1065"/>
      <c r="AK262" s="1065"/>
      <c r="AL262" s="1065"/>
      <c r="AM262" s="1065"/>
      <c r="AN262" s="1065"/>
      <c r="AO262" s="1065"/>
      <c r="AP262" s="1065"/>
      <c r="AQ262" s="1065"/>
      <c r="AR262" s="1065"/>
      <c r="AS262" s="1065"/>
      <c r="AT262" s="1065"/>
      <c r="AU262" s="1065"/>
      <c r="AV262" s="1065"/>
      <c r="AW262" s="1065"/>
      <c r="AX262" s="1065"/>
      <c r="AY262" s="1065"/>
      <c r="AZ262" s="1065"/>
      <c r="BA262" s="1065"/>
      <c r="BB262" s="1065"/>
      <c r="BC262" s="1065"/>
      <c r="BD262" s="1065"/>
      <c r="BE262" s="1065"/>
      <c r="BF262" s="1065"/>
      <c r="BG262" s="1065"/>
      <c r="BH262" s="1065"/>
      <c r="BI262" s="1065"/>
      <c r="BJ262" s="1065"/>
      <c r="BK262" s="1065"/>
      <c r="BL262" s="1065"/>
      <c r="BM262" s="1065"/>
      <c r="BN262" s="1065"/>
      <c r="BO262" s="1065"/>
      <c r="BP262" s="1065"/>
      <c r="BQ262" s="1065"/>
      <c r="BR262" s="1065"/>
      <c r="BS262" s="1065"/>
      <c r="BT262" s="1065"/>
      <c r="BU262" s="1065"/>
      <c r="BV262" s="1065"/>
      <c r="BW262" s="1065"/>
      <c r="BX262" s="1065"/>
      <c r="BY262" s="1065"/>
      <c r="BZ262" s="1065"/>
      <c r="CA262" s="1065"/>
      <c r="CB262" s="1065"/>
      <c r="CC262" s="1065"/>
      <c r="CD262" s="1065"/>
      <c r="CE262" s="1065"/>
      <c r="CF262" s="1065"/>
      <c r="CG262" s="1065"/>
      <c r="CH262" s="1065"/>
      <c r="CI262" s="1065"/>
      <c r="CJ262" s="1065"/>
      <c r="CK262" s="1065"/>
      <c r="CL262" s="1065"/>
      <c r="CM262" s="1065"/>
      <c r="CN262" s="1065"/>
      <c r="CO262" s="1065"/>
      <c r="CP262" s="1065"/>
      <c r="CQ262" s="1065"/>
      <c r="CR262" s="1065"/>
      <c r="CS262" s="1065"/>
      <c r="CT262" s="1065"/>
      <c r="CU262" s="1065"/>
      <c r="CV262" s="1065"/>
      <c r="CW262" s="1065"/>
      <c r="CX262" s="1065"/>
      <c r="CY262" s="1065"/>
      <c r="CZ262" s="1065"/>
      <c r="DA262" s="1065"/>
      <c r="DB262" s="1065"/>
    </row>
    <row r="263" spans="1:106" ht="15" customHeight="1" thickBot="1">
      <c r="A263" s="1065"/>
      <c r="B263" s="1065"/>
      <c r="C263" s="1817" t="s">
        <v>689</v>
      </c>
      <c r="D263" s="1817"/>
      <c r="E263" s="1817"/>
      <c r="F263" s="1817"/>
      <c r="G263" s="1817"/>
      <c r="H263" s="1817"/>
      <c r="I263" s="1817"/>
      <c r="J263" s="1817"/>
      <c r="K263" s="1817"/>
      <c r="L263" s="1817"/>
      <c r="M263" s="1817"/>
      <c r="N263" s="1817"/>
      <c r="O263" s="1817"/>
      <c r="P263" s="1817"/>
      <c r="Q263" s="1817"/>
      <c r="R263" s="1817"/>
      <c r="S263" s="1817"/>
      <c r="T263" s="1817"/>
      <c r="U263" s="1817"/>
      <c r="V263" s="1065"/>
      <c r="W263" s="1065"/>
      <c r="X263" s="1065"/>
      <c r="Y263" s="1065"/>
      <c r="Z263" s="1065"/>
      <c r="AA263" s="1065"/>
      <c r="AB263" s="1065"/>
      <c r="AC263" s="1065"/>
      <c r="AD263" s="1065"/>
      <c r="AE263" s="1065"/>
      <c r="AF263" s="1065"/>
      <c r="AG263" s="1065"/>
      <c r="AH263" s="1065"/>
      <c r="AI263" s="1065"/>
      <c r="AJ263" s="1065"/>
      <c r="AK263" s="1065"/>
      <c r="AL263" s="1065"/>
      <c r="AM263" s="1065"/>
      <c r="AN263" s="1065"/>
      <c r="AO263" s="1065"/>
      <c r="AP263" s="1065"/>
      <c r="AQ263" s="1065"/>
      <c r="AR263" s="1065"/>
      <c r="AS263" s="1065"/>
      <c r="AT263" s="1065"/>
      <c r="AU263" s="1065"/>
      <c r="AV263" s="1065"/>
      <c r="AW263" s="1065"/>
      <c r="AX263" s="1065"/>
      <c r="AY263" s="1065"/>
      <c r="AZ263" s="1065"/>
      <c r="BA263" s="1065"/>
      <c r="BB263" s="1065"/>
      <c r="BC263" s="1065"/>
      <c r="BD263" s="1065"/>
      <c r="BE263" s="1065"/>
      <c r="BF263" s="1065"/>
      <c r="BG263" s="1065"/>
      <c r="BH263" s="1065"/>
      <c r="BI263" s="1065"/>
      <c r="BJ263" s="1065"/>
      <c r="BK263" s="1065"/>
      <c r="BL263" s="1065"/>
      <c r="BM263" s="1065"/>
      <c r="BN263" s="1065"/>
      <c r="BO263" s="1065"/>
      <c r="BP263" s="1065"/>
      <c r="BQ263" s="1065"/>
      <c r="BR263" s="1065"/>
      <c r="BS263" s="1065"/>
      <c r="BT263" s="1065"/>
      <c r="BU263" s="1065"/>
      <c r="BV263" s="1065"/>
      <c r="BW263" s="1065"/>
      <c r="BX263" s="1065"/>
      <c r="BY263" s="1065"/>
      <c r="BZ263" s="1065"/>
      <c r="CA263" s="1065"/>
      <c r="CB263" s="1065"/>
      <c r="CC263" s="1065"/>
      <c r="CD263" s="1065"/>
      <c r="CE263" s="1065"/>
      <c r="CF263" s="1065"/>
      <c r="CG263" s="1065"/>
      <c r="CH263" s="1065"/>
      <c r="CI263" s="1065"/>
      <c r="CJ263" s="1065"/>
      <c r="CK263" s="1065"/>
      <c r="CL263" s="1065"/>
      <c r="CM263" s="1065"/>
      <c r="CN263" s="1065"/>
      <c r="CO263" s="1065"/>
      <c r="CP263" s="1065"/>
      <c r="CQ263" s="1065"/>
      <c r="CR263" s="1065"/>
      <c r="CS263" s="1065"/>
      <c r="CT263" s="1065"/>
      <c r="CU263" s="1065"/>
      <c r="CV263" s="1065"/>
      <c r="CW263" s="1065"/>
      <c r="CX263" s="1065"/>
      <c r="CY263" s="1065"/>
      <c r="CZ263" s="1065"/>
      <c r="DA263" s="1065"/>
      <c r="DB263" s="1065"/>
    </row>
    <row r="264" spans="1:106" ht="15" customHeight="1" thickBot="1">
      <c r="A264" s="1065"/>
      <c r="B264" s="1065"/>
      <c r="C264" s="1741" t="s">
        <v>648</v>
      </c>
      <c r="D264" s="1742" t="s">
        <v>649</v>
      </c>
      <c r="E264" s="1742"/>
      <c r="F264" s="1742"/>
      <c r="G264" s="1742"/>
      <c r="H264" s="1759" t="s">
        <v>650</v>
      </c>
      <c r="I264" s="1759"/>
      <c r="J264" s="1743" t="s">
        <v>651</v>
      </c>
      <c r="K264" s="1743"/>
      <c r="L264" s="1743"/>
      <c r="M264" s="1743" t="s">
        <v>652</v>
      </c>
      <c r="N264" s="1743"/>
      <c r="O264" s="1743"/>
      <c r="P264" s="1743"/>
      <c r="Q264" s="1743"/>
      <c r="R264" s="1743"/>
      <c r="S264" s="1743" t="s">
        <v>6</v>
      </c>
      <c r="T264" s="1744" t="s">
        <v>653</v>
      </c>
      <c r="U264" s="1745" t="s">
        <v>654</v>
      </c>
      <c r="V264" s="1065"/>
      <c r="W264" s="1065"/>
      <c r="X264" s="1065"/>
      <c r="Y264" s="1065"/>
      <c r="Z264" s="1065"/>
      <c r="AA264" s="1065"/>
      <c r="AB264" s="1065"/>
      <c r="AC264" s="1065"/>
      <c r="AD264" s="1065"/>
      <c r="AE264" s="1065"/>
      <c r="AF264" s="1065"/>
      <c r="AG264" s="1065"/>
      <c r="AH264" s="1065"/>
      <c r="AI264" s="1065"/>
      <c r="AJ264" s="1065"/>
      <c r="AK264" s="1065"/>
      <c r="AL264" s="1065"/>
      <c r="AM264" s="1065"/>
      <c r="AN264" s="1065"/>
      <c r="AO264" s="1065"/>
      <c r="AP264" s="1065"/>
      <c r="AQ264" s="1065"/>
      <c r="AR264" s="1065"/>
      <c r="AS264" s="1065"/>
      <c r="AT264" s="1065"/>
      <c r="AU264" s="1065"/>
      <c r="AV264" s="1065"/>
      <c r="AW264" s="1065"/>
      <c r="AX264" s="1065"/>
      <c r="AY264" s="1065"/>
      <c r="AZ264" s="1065"/>
      <c r="BA264" s="1065"/>
      <c r="BB264" s="1065"/>
      <c r="BC264" s="1065"/>
      <c r="BD264" s="1065"/>
      <c r="BE264" s="1065"/>
      <c r="BF264" s="1065"/>
      <c r="BG264" s="1065"/>
      <c r="BH264" s="1065"/>
      <c r="BI264" s="1065"/>
      <c r="BJ264" s="1065"/>
      <c r="BK264" s="1065"/>
      <c r="BL264" s="1065"/>
      <c r="BM264" s="1065"/>
      <c r="BN264" s="1065"/>
      <c r="BO264" s="1065"/>
      <c r="BP264" s="1065"/>
      <c r="BQ264" s="1065"/>
      <c r="BR264" s="1065"/>
      <c r="BS264" s="1065"/>
      <c r="BT264" s="1065"/>
      <c r="BU264" s="1065"/>
      <c r="BV264" s="1065"/>
      <c r="BW264" s="1065"/>
      <c r="BX264" s="1065"/>
      <c r="BY264" s="1065"/>
      <c r="BZ264" s="1065"/>
      <c r="CA264" s="1065"/>
      <c r="CB264" s="1065"/>
      <c r="CC264" s="1065"/>
      <c r="CD264" s="1065"/>
      <c r="CE264" s="1065"/>
      <c r="CF264" s="1065"/>
      <c r="CG264" s="1065"/>
      <c r="CH264" s="1065"/>
      <c r="CI264" s="1065"/>
      <c r="CJ264" s="1065"/>
      <c r="CK264" s="1065"/>
      <c r="CL264" s="1065"/>
      <c r="CM264" s="1065"/>
      <c r="CN264" s="1065"/>
      <c r="CO264" s="1065"/>
      <c r="CP264" s="1065"/>
      <c r="CQ264" s="1065"/>
      <c r="CR264" s="1065"/>
      <c r="CS264" s="1065"/>
      <c r="CT264" s="1065"/>
      <c r="CU264" s="1065"/>
      <c r="CV264" s="1065"/>
      <c r="CW264" s="1065"/>
      <c r="CX264" s="1065"/>
      <c r="CY264" s="1065"/>
      <c r="CZ264" s="1065"/>
      <c r="DA264" s="1065"/>
      <c r="DB264" s="1065"/>
    </row>
    <row r="265" spans="1:106" ht="15" customHeight="1">
      <c r="A265" s="1065"/>
      <c r="B265" s="1065"/>
      <c r="C265" s="1741"/>
      <c r="D265" s="1742"/>
      <c r="E265" s="1742"/>
      <c r="F265" s="1742"/>
      <c r="G265" s="1742"/>
      <c r="H265" s="1759"/>
      <c r="I265" s="1759"/>
      <c r="J265" s="1743"/>
      <c r="K265" s="1743"/>
      <c r="L265" s="1743"/>
      <c r="M265" s="1743"/>
      <c r="N265" s="1743"/>
      <c r="O265" s="1743"/>
      <c r="P265" s="1743"/>
      <c r="Q265" s="1743"/>
      <c r="R265" s="1743"/>
      <c r="S265" s="1743"/>
      <c r="T265" s="1744"/>
      <c r="U265" s="1745"/>
      <c r="V265" s="1065"/>
      <c r="W265" s="1065"/>
      <c r="X265" s="1065"/>
      <c r="Y265" s="1065"/>
      <c r="Z265" s="1065"/>
      <c r="AA265" s="1065"/>
      <c r="AB265" s="1065"/>
      <c r="AC265" s="1065"/>
      <c r="AD265" s="1065"/>
      <c r="AE265" s="1065"/>
      <c r="AF265" s="1065"/>
      <c r="AG265" s="1065"/>
      <c r="AH265" s="1065"/>
      <c r="AI265" s="1065"/>
      <c r="AJ265" s="1065"/>
      <c r="AK265" s="1065"/>
      <c r="AL265" s="1065"/>
      <c r="AM265" s="1065"/>
      <c r="AN265" s="1065"/>
      <c r="AO265" s="1065"/>
      <c r="AP265" s="1065"/>
      <c r="AQ265" s="1065"/>
      <c r="AR265" s="1065"/>
      <c r="AS265" s="1065"/>
      <c r="AT265" s="1065"/>
      <c r="AU265" s="1065"/>
      <c r="AV265" s="1065"/>
      <c r="AW265" s="1065"/>
      <c r="AX265" s="1065"/>
      <c r="AY265" s="1065"/>
      <c r="AZ265" s="1065"/>
      <c r="BA265" s="1065"/>
      <c r="BB265" s="1065"/>
      <c r="BC265" s="1065"/>
      <c r="BD265" s="1065"/>
      <c r="BE265" s="1065"/>
      <c r="BF265" s="1065"/>
      <c r="BG265" s="1065"/>
      <c r="BH265" s="1065"/>
      <c r="BI265" s="1065"/>
      <c r="BJ265" s="1065"/>
      <c r="BK265" s="1065"/>
      <c r="BL265" s="1065"/>
      <c r="BM265" s="1065"/>
      <c r="BN265" s="1065"/>
      <c r="BO265" s="1065"/>
      <c r="BP265" s="1065"/>
      <c r="BQ265" s="1065"/>
      <c r="BR265" s="1065"/>
      <c r="BS265" s="1065"/>
      <c r="BT265" s="1065"/>
      <c r="BU265" s="1065"/>
      <c r="BV265" s="1065"/>
      <c r="BW265" s="1065"/>
      <c r="BX265" s="1065"/>
      <c r="BY265" s="1065"/>
      <c r="BZ265" s="1065"/>
      <c r="CA265" s="1065"/>
      <c r="CB265" s="1065"/>
      <c r="CC265" s="1065"/>
      <c r="CD265" s="1065"/>
      <c r="CE265" s="1065"/>
      <c r="CF265" s="1065"/>
      <c r="CG265" s="1065"/>
      <c r="CH265" s="1065"/>
      <c r="CI265" s="1065"/>
      <c r="CJ265" s="1065"/>
      <c r="CK265" s="1065"/>
      <c r="CL265" s="1065"/>
      <c r="CM265" s="1065"/>
      <c r="CN265" s="1065"/>
      <c r="CO265" s="1065"/>
      <c r="CP265" s="1065"/>
      <c r="CQ265" s="1065"/>
      <c r="CR265" s="1065"/>
      <c r="CS265" s="1065"/>
      <c r="CT265" s="1065"/>
      <c r="CU265" s="1065"/>
      <c r="CV265" s="1065"/>
      <c r="CW265" s="1065"/>
      <c r="CX265" s="1065"/>
      <c r="CY265" s="1065"/>
      <c r="CZ265" s="1065"/>
      <c r="DA265" s="1065"/>
      <c r="DB265" s="1065"/>
    </row>
    <row r="266" spans="1:106" ht="15" customHeight="1" thickBot="1">
      <c r="A266" s="1065"/>
      <c r="B266" s="1065"/>
      <c r="C266" s="1094" t="s">
        <v>300</v>
      </c>
      <c r="D266" s="1802" t="s">
        <v>683</v>
      </c>
      <c r="E266" s="1802"/>
      <c r="F266" s="1802"/>
      <c r="G266" s="1802"/>
      <c r="H266" s="1748" t="s">
        <v>657</v>
      </c>
      <c r="I266" s="1748"/>
      <c r="J266" s="1748" t="s">
        <v>690</v>
      </c>
      <c r="K266" s="1748"/>
      <c r="L266" s="1748"/>
      <c r="M266" s="1768" t="s">
        <v>691</v>
      </c>
      <c r="N266" s="1768"/>
      <c r="O266" s="1768"/>
      <c r="P266" s="1768"/>
      <c r="Q266" s="1768"/>
      <c r="R266" s="1768"/>
      <c r="S266" s="1095">
        <v>6798</v>
      </c>
      <c r="T266" s="1824">
        <v>5000</v>
      </c>
      <c r="U266" s="1739">
        <v>30000</v>
      </c>
      <c r="V266" s="1065"/>
      <c r="W266" s="1065"/>
      <c r="X266" s="1065"/>
      <c r="Y266" s="1065"/>
      <c r="Z266" s="1065"/>
      <c r="AA266" s="1065"/>
      <c r="AB266" s="1065"/>
      <c r="AC266" s="1065"/>
      <c r="AD266" s="1065"/>
      <c r="AE266" s="1065"/>
      <c r="AF266" s="1065"/>
      <c r="AG266" s="1065"/>
      <c r="AH266" s="1065"/>
      <c r="AI266" s="1065"/>
      <c r="AJ266" s="1065"/>
      <c r="AK266" s="1065"/>
      <c r="AL266" s="1065"/>
      <c r="AM266" s="1065"/>
      <c r="AN266" s="1065"/>
      <c r="AO266" s="1065"/>
      <c r="AP266" s="1065"/>
      <c r="AQ266" s="1065"/>
      <c r="AR266" s="1065"/>
      <c r="AS266" s="1065"/>
      <c r="AT266" s="1065"/>
      <c r="AU266" s="1065"/>
      <c r="AV266" s="1065"/>
      <c r="AW266" s="1065"/>
      <c r="AX266" s="1065"/>
      <c r="AY266" s="1065"/>
      <c r="AZ266" s="1065"/>
      <c r="BA266" s="1065"/>
      <c r="BB266" s="1065"/>
      <c r="BC266" s="1065"/>
      <c r="BD266" s="1065"/>
      <c r="BE266" s="1065"/>
      <c r="BF266" s="1065"/>
      <c r="BG266" s="1065"/>
      <c r="BH266" s="1065"/>
      <c r="BI266" s="1065"/>
      <c r="BJ266" s="1065"/>
      <c r="BK266" s="1065"/>
      <c r="BL266" s="1065"/>
      <c r="BM266" s="1065"/>
      <c r="BN266" s="1065"/>
      <c r="BO266" s="1065"/>
      <c r="BP266" s="1065"/>
      <c r="BQ266" s="1065"/>
      <c r="BR266" s="1065"/>
      <c r="BS266" s="1065"/>
      <c r="BT266" s="1065"/>
      <c r="BU266" s="1065"/>
      <c r="BV266" s="1065"/>
      <c r="BW266" s="1065"/>
      <c r="BX266" s="1065"/>
      <c r="BY266" s="1065"/>
      <c r="BZ266" s="1065"/>
      <c r="CA266" s="1065"/>
      <c r="CB266" s="1065"/>
      <c r="CC266" s="1065"/>
      <c r="CD266" s="1065"/>
      <c r="CE266" s="1065"/>
      <c r="CF266" s="1065"/>
      <c r="CG266" s="1065"/>
      <c r="CH266" s="1065"/>
      <c r="CI266" s="1065"/>
      <c r="CJ266" s="1065"/>
      <c r="CK266" s="1065"/>
      <c r="CL266" s="1065"/>
      <c r="CM266" s="1065"/>
      <c r="CN266" s="1065"/>
      <c r="CO266" s="1065"/>
      <c r="CP266" s="1065"/>
      <c r="CQ266" s="1065"/>
      <c r="CR266" s="1065"/>
      <c r="CS266" s="1065"/>
      <c r="CT266" s="1065"/>
      <c r="CU266" s="1065"/>
      <c r="CV266" s="1065"/>
      <c r="CW266" s="1065"/>
      <c r="CX266" s="1065"/>
      <c r="CY266" s="1065"/>
      <c r="CZ266" s="1065"/>
      <c r="DA266" s="1065"/>
      <c r="DB266" s="1065"/>
    </row>
    <row r="267" spans="1:106" ht="15" customHeight="1" thickBot="1">
      <c r="A267" s="1065"/>
      <c r="B267" s="1065"/>
      <c r="C267" s="1096" t="s">
        <v>692</v>
      </c>
      <c r="D267" s="1748" t="s">
        <v>683</v>
      </c>
      <c r="E267" s="1748"/>
      <c r="F267" s="1748"/>
      <c r="G267" s="1748"/>
      <c r="H267" s="1748" t="s">
        <v>657</v>
      </c>
      <c r="I267" s="1748"/>
      <c r="J267" s="1748" t="s">
        <v>693</v>
      </c>
      <c r="K267" s="1748"/>
      <c r="L267" s="1748"/>
      <c r="M267" s="1756" t="s">
        <v>694</v>
      </c>
      <c r="N267" s="1756"/>
      <c r="O267" s="1756"/>
      <c r="P267" s="1756"/>
      <c r="Q267" s="1756"/>
      <c r="R267" s="1756"/>
      <c r="S267" s="1097">
        <v>3600</v>
      </c>
      <c r="T267" s="1824"/>
      <c r="U267" s="1739"/>
      <c r="V267" s="1065"/>
      <c r="W267" s="1065"/>
      <c r="X267" s="1065"/>
      <c r="Y267" s="1065"/>
      <c r="Z267" s="1065"/>
      <c r="AA267" s="1065"/>
      <c r="AB267" s="1065"/>
      <c r="AC267" s="1065"/>
      <c r="AD267" s="1065"/>
      <c r="AE267" s="1065"/>
      <c r="AF267" s="1065"/>
      <c r="AG267" s="1065"/>
      <c r="AH267" s="1065"/>
      <c r="AI267" s="1065"/>
      <c r="AJ267" s="1065"/>
      <c r="AK267" s="1065"/>
      <c r="AL267" s="1065"/>
      <c r="AM267" s="1065"/>
      <c r="AN267" s="1065"/>
      <c r="AO267" s="1065"/>
      <c r="AP267" s="1065"/>
      <c r="AQ267" s="1065"/>
      <c r="AR267" s="1065"/>
      <c r="AS267" s="1065"/>
      <c r="AT267" s="1065"/>
      <c r="AU267" s="1065"/>
      <c r="AV267" s="1065"/>
      <c r="AW267" s="1065"/>
      <c r="AX267" s="1065"/>
      <c r="AY267" s="1065"/>
      <c r="AZ267" s="1065"/>
      <c r="BA267" s="1065"/>
      <c r="BB267" s="1065"/>
      <c r="BC267" s="1065"/>
      <c r="BD267" s="1065"/>
      <c r="BE267" s="1065"/>
      <c r="BF267" s="1065"/>
      <c r="BG267" s="1065"/>
      <c r="BH267" s="1065"/>
      <c r="BI267" s="1065"/>
      <c r="BJ267" s="1065"/>
      <c r="BK267" s="1065"/>
      <c r="BL267" s="1065"/>
      <c r="BM267" s="1065"/>
      <c r="BN267" s="1065"/>
      <c r="BO267" s="1065"/>
      <c r="BP267" s="1065"/>
      <c r="BQ267" s="1065"/>
      <c r="BR267" s="1065"/>
      <c r="BS267" s="1065"/>
      <c r="BT267" s="1065"/>
      <c r="BU267" s="1065"/>
      <c r="BV267" s="1065"/>
      <c r="BW267" s="1065"/>
      <c r="BX267" s="1065"/>
      <c r="BY267" s="1065"/>
      <c r="BZ267" s="1065"/>
      <c r="CA267" s="1065"/>
      <c r="CB267" s="1065"/>
      <c r="CC267" s="1065"/>
      <c r="CD267" s="1065"/>
      <c r="CE267" s="1065"/>
      <c r="CF267" s="1065"/>
      <c r="CG267" s="1065"/>
      <c r="CH267" s="1065"/>
      <c r="CI267" s="1065"/>
      <c r="CJ267" s="1065"/>
      <c r="CK267" s="1065"/>
      <c r="CL267" s="1065"/>
      <c r="CM267" s="1065"/>
      <c r="CN267" s="1065"/>
      <c r="CO267" s="1065"/>
      <c r="CP267" s="1065"/>
      <c r="CQ267" s="1065"/>
      <c r="CR267" s="1065"/>
      <c r="CS267" s="1065"/>
      <c r="CT267" s="1065"/>
      <c r="CU267" s="1065"/>
      <c r="CV267" s="1065"/>
      <c r="CW267" s="1065"/>
      <c r="CX267" s="1065"/>
      <c r="CY267" s="1065"/>
      <c r="CZ267" s="1065"/>
      <c r="DA267" s="1065"/>
      <c r="DB267" s="1065"/>
    </row>
    <row r="268" spans="1:106" ht="15" customHeight="1" thickBot="1">
      <c r="A268" s="1065"/>
      <c r="B268" s="1065"/>
      <c r="C268" s="1083"/>
      <c r="D268" s="1703"/>
      <c r="E268" s="1703"/>
      <c r="F268" s="1703"/>
      <c r="G268" s="1703"/>
      <c r="H268" s="1704"/>
      <c r="I268" s="1704"/>
      <c r="J268" s="1704"/>
      <c r="K268" s="1704"/>
      <c r="L268" s="1704"/>
      <c r="M268" s="1706"/>
      <c r="N268" s="1706"/>
      <c r="O268" s="1706"/>
      <c r="P268" s="1706"/>
      <c r="Q268" s="1706"/>
      <c r="R268" s="1706"/>
      <c r="S268" s="1098"/>
      <c r="T268" s="1824"/>
      <c r="U268" s="1739"/>
      <c r="V268" s="1065"/>
      <c r="W268" s="1065"/>
      <c r="X268" s="1065"/>
      <c r="Y268" s="1065"/>
      <c r="Z268" s="1065"/>
      <c r="AA268" s="1065"/>
      <c r="AB268" s="1065"/>
      <c r="AC268" s="1065"/>
      <c r="AD268" s="1065"/>
      <c r="AE268" s="1065"/>
      <c r="AF268" s="1065"/>
      <c r="AG268" s="1065"/>
      <c r="AH268" s="1065"/>
      <c r="AI268" s="1065"/>
      <c r="AJ268" s="1065"/>
      <c r="AK268" s="1065"/>
      <c r="AL268" s="1065"/>
      <c r="AM268" s="1065"/>
      <c r="AN268" s="1065"/>
      <c r="AO268" s="1065"/>
      <c r="AP268" s="1065"/>
      <c r="AQ268" s="1065"/>
      <c r="AR268" s="1065"/>
      <c r="AS268" s="1065"/>
      <c r="AT268" s="1065"/>
      <c r="AU268" s="1065"/>
      <c r="AV268" s="1065"/>
      <c r="AW268" s="1065"/>
      <c r="AX268" s="1065"/>
      <c r="AY268" s="1065"/>
      <c r="AZ268" s="1065"/>
      <c r="BA268" s="1065"/>
      <c r="BB268" s="1065"/>
      <c r="BC268" s="1065"/>
      <c r="BD268" s="1065"/>
      <c r="BE268" s="1065"/>
      <c r="BF268" s="1065"/>
      <c r="BG268" s="1065"/>
      <c r="BH268" s="1065"/>
      <c r="BI268" s="1065"/>
      <c r="BJ268" s="1065"/>
      <c r="BK268" s="1065"/>
      <c r="BL268" s="1065"/>
      <c r="BM268" s="1065"/>
      <c r="BN268" s="1065"/>
      <c r="BO268" s="1065"/>
      <c r="BP268" s="1065"/>
      <c r="BQ268" s="1065"/>
      <c r="BR268" s="1065"/>
      <c r="BS268" s="1065"/>
      <c r="BT268" s="1065"/>
      <c r="BU268" s="1065"/>
      <c r="BV268" s="1065"/>
      <c r="BW268" s="1065"/>
      <c r="BX268" s="1065"/>
      <c r="BY268" s="1065"/>
      <c r="BZ268" s="1065"/>
      <c r="CA268" s="1065"/>
      <c r="CB268" s="1065"/>
      <c r="CC268" s="1065"/>
      <c r="CD268" s="1065"/>
      <c r="CE268" s="1065"/>
      <c r="CF268" s="1065"/>
      <c r="CG268" s="1065"/>
      <c r="CH268" s="1065"/>
      <c r="CI268" s="1065"/>
      <c r="CJ268" s="1065"/>
      <c r="CK268" s="1065"/>
      <c r="CL268" s="1065"/>
      <c r="CM268" s="1065"/>
      <c r="CN268" s="1065"/>
      <c r="CO268" s="1065"/>
      <c r="CP268" s="1065"/>
      <c r="CQ268" s="1065"/>
      <c r="CR268" s="1065"/>
      <c r="CS268" s="1065"/>
      <c r="CT268" s="1065"/>
      <c r="CU268" s="1065"/>
      <c r="CV268" s="1065"/>
      <c r="CW268" s="1065"/>
      <c r="CX268" s="1065"/>
      <c r="CY268" s="1065"/>
      <c r="CZ268" s="1065"/>
      <c r="DA268" s="1065"/>
      <c r="DB268" s="1065"/>
    </row>
    <row r="269" spans="1:106" ht="15" customHeight="1" thickBot="1">
      <c r="A269" s="1065"/>
      <c r="B269" s="1065"/>
      <c r="C269" s="1740" t="s">
        <v>695</v>
      </c>
      <c r="D269" s="1740"/>
      <c r="E269" s="1740"/>
      <c r="F269" s="1740"/>
      <c r="G269" s="1740"/>
      <c r="H269" s="1740"/>
      <c r="I269" s="1740"/>
      <c r="J269" s="1740"/>
      <c r="K269" s="1740"/>
      <c r="L269" s="1740"/>
      <c r="M269" s="1740"/>
      <c r="N269" s="1740"/>
      <c r="O269" s="1740"/>
      <c r="P269" s="1740"/>
      <c r="Q269" s="1740"/>
      <c r="R269" s="1740"/>
      <c r="S269" s="1740"/>
      <c r="T269" s="1740"/>
      <c r="U269" s="1740"/>
      <c r="V269" s="1065"/>
      <c r="W269" s="1065"/>
      <c r="X269" s="1065"/>
      <c r="Y269" s="1065"/>
      <c r="Z269" s="1065"/>
      <c r="AA269" s="1065"/>
      <c r="AB269" s="1065"/>
      <c r="AC269" s="1065"/>
      <c r="AD269" s="1065"/>
      <c r="AE269" s="1065"/>
      <c r="AF269" s="1065"/>
      <c r="AG269" s="1065"/>
      <c r="AH269" s="1065"/>
      <c r="AI269" s="1065"/>
      <c r="AJ269" s="1065"/>
      <c r="AK269" s="1065"/>
      <c r="AL269" s="1065"/>
      <c r="AM269" s="1065"/>
      <c r="AN269" s="1065"/>
      <c r="AO269" s="1065"/>
      <c r="AP269" s="1065"/>
      <c r="AQ269" s="1065"/>
      <c r="AR269" s="1065"/>
      <c r="AS269" s="1065"/>
      <c r="AT269" s="1065"/>
      <c r="AU269" s="1065"/>
      <c r="AV269" s="1065"/>
      <c r="AW269" s="1065"/>
      <c r="AX269" s="1065"/>
      <c r="AY269" s="1065"/>
      <c r="AZ269" s="1065"/>
      <c r="BA269" s="1065"/>
      <c r="BB269" s="1065"/>
      <c r="BC269" s="1065"/>
      <c r="BD269" s="1065"/>
      <c r="BE269" s="1065"/>
      <c r="BF269" s="1065"/>
      <c r="BG269" s="1065"/>
      <c r="BH269" s="1065"/>
      <c r="BI269" s="1065"/>
      <c r="BJ269" s="1065"/>
      <c r="BK269" s="1065"/>
      <c r="BL269" s="1065"/>
      <c r="BM269" s="1065"/>
      <c r="BN269" s="1065"/>
      <c r="BO269" s="1065"/>
      <c r="BP269" s="1065"/>
      <c r="BQ269" s="1065"/>
      <c r="BR269" s="1065"/>
      <c r="BS269" s="1065"/>
      <c r="BT269" s="1065"/>
      <c r="BU269" s="1065"/>
      <c r="BV269" s="1065"/>
      <c r="BW269" s="1065"/>
      <c r="BX269" s="1065"/>
      <c r="BY269" s="1065"/>
      <c r="BZ269" s="1065"/>
      <c r="CA269" s="1065"/>
      <c r="CB269" s="1065"/>
      <c r="CC269" s="1065"/>
      <c r="CD269" s="1065"/>
      <c r="CE269" s="1065"/>
      <c r="CF269" s="1065"/>
      <c r="CG269" s="1065"/>
      <c r="CH269" s="1065"/>
      <c r="CI269" s="1065"/>
      <c r="CJ269" s="1065"/>
      <c r="CK269" s="1065"/>
      <c r="CL269" s="1065"/>
      <c r="CM269" s="1065"/>
      <c r="CN269" s="1065"/>
      <c r="CO269" s="1065"/>
      <c r="CP269" s="1065"/>
      <c r="CQ269" s="1065"/>
      <c r="CR269" s="1065"/>
      <c r="CS269" s="1065"/>
      <c r="CT269" s="1065"/>
      <c r="CU269" s="1065"/>
      <c r="CV269" s="1065"/>
      <c r="CW269" s="1065"/>
      <c r="CX269" s="1065"/>
      <c r="CY269" s="1065"/>
      <c r="CZ269" s="1065"/>
      <c r="DA269" s="1065"/>
      <c r="DB269" s="1065"/>
    </row>
    <row r="270" spans="1:106" ht="15" customHeight="1" thickBot="1">
      <c r="A270" s="1065"/>
      <c r="B270" s="1065"/>
      <c r="C270" s="1741" t="s">
        <v>648</v>
      </c>
      <c r="D270" s="1742" t="s">
        <v>649</v>
      </c>
      <c r="E270" s="1742"/>
      <c r="F270" s="1742"/>
      <c r="G270" s="1742"/>
      <c r="H270" s="1759" t="s">
        <v>650</v>
      </c>
      <c r="I270" s="1759"/>
      <c r="J270" s="1743" t="s">
        <v>651</v>
      </c>
      <c r="K270" s="1743"/>
      <c r="L270" s="1743"/>
      <c r="M270" s="1743" t="s">
        <v>652</v>
      </c>
      <c r="N270" s="1743"/>
      <c r="O270" s="1743"/>
      <c r="P270" s="1743"/>
      <c r="Q270" s="1743"/>
      <c r="R270" s="1743"/>
      <c r="S270" s="1743" t="s">
        <v>6</v>
      </c>
      <c r="T270" s="1744" t="s">
        <v>653</v>
      </c>
      <c r="U270" s="1745" t="s">
        <v>654</v>
      </c>
      <c r="V270" s="1065"/>
      <c r="W270" s="1065"/>
      <c r="X270" s="1065"/>
      <c r="Y270" s="1065"/>
      <c r="Z270" s="1065"/>
      <c r="AA270" s="1065"/>
      <c r="AB270" s="1065"/>
      <c r="AC270" s="1065"/>
      <c r="AD270" s="1065"/>
      <c r="AE270" s="1065"/>
      <c r="AF270" s="1065"/>
      <c r="AG270" s="1065"/>
      <c r="AH270" s="1065"/>
      <c r="AI270" s="1065"/>
      <c r="AJ270" s="1065"/>
      <c r="AK270" s="1065"/>
      <c r="AL270" s="1065"/>
      <c r="AM270" s="1065"/>
      <c r="AN270" s="1065"/>
      <c r="AO270" s="1065"/>
      <c r="AP270" s="1065"/>
      <c r="AQ270" s="1065"/>
      <c r="AR270" s="1065"/>
      <c r="AS270" s="1065"/>
      <c r="AT270" s="1065"/>
      <c r="AU270" s="1065"/>
      <c r="AV270" s="1065"/>
      <c r="AW270" s="1065"/>
      <c r="AX270" s="1065"/>
      <c r="AY270" s="1065"/>
      <c r="AZ270" s="1065"/>
      <c r="BA270" s="1065"/>
      <c r="BB270" s="1065"/>
      <c r="BC270" s="1065"/>
      <c r="BD270" s="1065"/>
      <c r="BE270" s="1065"/>
      <c r="BF270" s="1065"/>
      <c r="BG270" s="1065"/>
      <c r="BH270" s="1065"/>
      <c r="BI270" s="1065"/>
      <c r="BJ270" s="1065"/>
      <c r="BK270" s="1065"/>
      <c r="BL270" s="1065"/>
      <c r="BM270" s="1065"/>
      <c r="BN270" s="1065"/>
      <c r="BO270" s="1065"/>
      <c r="BP270" s="1065"/>
      <c r="BQ270" s="1065"/>
      <c r="BR270" s="1065"/>
      <c r="BS270" s="1065"/>
      <c r="BT270" s="1065"/>
      <c r="BU270" s="1065"/>
      <c r="BV270" s="1065"/>
      <c r="BW270" s="1065"/>
      <c r="BX270" s="1065"/>
      <c r="BY270" s="1065"/>
      <c r="BZ270" s="1065"/>
      <c r="CA270" s="1065"/>
      <c r="CB270" s="1065"/>
      <c r="CC270" s="1065"/>
      <c r="CD270" s="1065"/>
      <c r="CE270" s="1065"/>
      <c r="CF270" s="1065"/>
      <c r="CG270" s="1065"/>
      <c r="CH270" s="1065"/>
      <c r="CI270" s="1065"/>
      <c r="CJ270" s="1065"/>
      <c r="CK270" s="1065"/>
      <c r="CL270" s="1065"/>
      <c r="CM270" s="1065"/>
      <c r="CN270" s="1065"/>
      <c r="CO270" s="1065"/>
      <c r="CP270" s="1065"/>
      <c r="CQ270" s="1065"/>
      <c r="CR270" s="1065"/>
      <c r="CS270" s="1065"/>
      <c r="CT270" s="1065"/>
      <c r="CU270" s="1065"/>
      <c r="CV270" s="1065"/>
      <c r="CW270" s="1065"/>
      <c r="CX270" s="1065"/>
      <c r="CY270" s="1065"/>
      <c r="CZ270" s="1065"/>
      <c r="DA270" s="1065"/>
      <c r="DB270" s="1065"/>
    </row>
    <row r="271" spans="1:106" ht="15" customHeight="1">
      <c r="A271" s="1065"/>
      <c r="B271" s="1065"/>
      <c r="C271" s="1741"/>
      <c r="D271" s="1742"/>
      <c r="E271" s="1742"/>
      <c r="F271" s="1742"/>
      <c r="G271" s="1742"/>
      <c r="H271" s="1759"/>
      <c r="I271" s="1759"/>
      <c r="J271" s="1743"/>
      <c r="K271" s="1743"/>
      <c r="L271" s="1743"/>
      <c r="M271" s="1743"/>
      <c r="N271" s="1743"/>
      <c r="O271" s="1743"/>
      <c r="P271" s="1743"/>
      <c r="Q271" s="1743"/>
      <c r="R271" s="1743"/>
      <c r="S271" s="1743"/>
      <c r="T271" s="1744"/>
      <c r="U271" s="1745"/>
      <c r="V271" s="1065"/>
      <c r="W271" s="1065"/>
      <c r="X271" s="1065"/>
      <c r="Y271" s="1065"/>
      <c r="Z271" s="1065"/>
      <c r="AA271" s="1065"/>
      <c r="AB271" s="1065"/>
      <c r="AC271" s="1065"/>
      <c r="AD271" s="1065"/>
      <c r="AE271" s="1065"/>
      <c r="AF271" s="1065"/>
      <c r="AG271" s="1065"/>
      <c r="AH271" s="1065"/>
      <c r="AI271" s="1065"/>
      <c r="AJ271" s="1065"/>
      <c r="AK271" s="1065"/>
      <c r="AL271" s="1065"/>
      <c r="AM271" s="1065"/>
      <c r="AN271" s="1065"/>
      <c r="AO271" s="1065"/>
      <c r="AP271" s="1065"/>
      <c r="AQ271" s="1065"/>
      <c r="AR271" s="1065"/>
      <c r="AS271" s="1065"/>
      <c r="AT271" s="1065"/>
      <c r="AU271" s="1065"/>
      <c r="AV271" s="1065"/>
      <c r="AW271" s="1065"/>
      <c r="AX271" s="1065"/>
      <c r="AY271" s="1065"/>
      <c r="AZ271" s="1065"/>
      <c r="BA271" s="1065"/>
      <c r="BB271" s="1065"/>
      <c r="BC271" s="1065"/>
      <c r="BD271" s="1065"/>
      <c r="BE271" s="1065"/>
      <c r="BF271" s="1065"/>
      <c r="BG271" s="1065"/>
      <c r="BH271" s="1065"/>
      <c r="BI271" s="1065"/>
      <c r="BJ271" s="1065"/>
      <c r="BK271" s="1065"/>
      <c r="BL271" s="1065"/>
      <c r="BM271" s="1065"/>
      <c r="BN271" s="1065"/>
      <c r="BO271" s="1065"/>
      <c r="BP271" s="1065"/>
      <c r="BQ271" s="1065"/>
      <c r="BR271" s="1065"/>
      <c r="BS271" s="1065"/>
      <c r="BT271" s="1065"/>
      <c r="BU271" s="1065"/>
      <c r="BV271" s="1065"/>
      <c r="BW271" s="1065"/>
      <c r="BX271" s="1065"/>
      <c r="BY271" s="1065"/>
      <c r="BZ271" s="1065"/>
      <c r="CA271" s="1065"/>
      <c r="CB271" s="1065"/>
      <c r="CC271" s="1065"/>
      <c r="CD271" s="1065"/>
      <c r="CE271" s="1065"/>
      <c r="CF271" s="1065"/>
      <c r="CG271" s="1065"/>
      <c r="CH271" s="1065"/>
      <c r="CI271" s="1065"/>
      <c r="CJ271" s="1065"/>
      <c r="CK271" s="1065"/>
      <c r="CL271" s="1065"/>
      <c r="CM271" s="1065"/>
      <c r="CN271" s="1065"/>
      <c r="CO271" s="1065"/>
      <c r="CP271" s="1065"/>
      <c r="CQ271" s="1065"/>
      <c r="CR271" s="1065"/>
      <c r="CS271" s="1065"/>
      <c r="CT271" s="1065"/>
      <c r="CU271" s="1065"/>
      <c r="CV271" s="1065"/>
      <c r="CW271" s="1065"/>
      <c r="CX271" s="1065"/>
      <c r="CY271" s="1065"/>
      <c r="CZ271" s="1065"/>
      <c r="DA271" s="1065"/>
      <c r="DB271" s="1065"/>
    </row>
    <row r="272" spans="1:106" ht="15" customHeight="1" thickBot="1">
      <c r="A272" s="1065"/>
      <c r="B272" s="1065"/>
      <c r="C272" s="1099" t="s">
        <v>550</v>
      </c>
      <c r="D272" s="1807" t="s">
        <v>696</v>
      </c>
      <c r="E272" s="1807"/>
      <c r="F272" s="1807"/>
      <c r="G272" s="1807"/>
      <c r="H272" s="1807" t="s">
        <v>671</v>
      </c>
      <c r="I272" s="1807"/>
      <c r="J272" s="1814" t="s">
        <v>697</v>
      </c>
      <c r="K272" s="1814"/>
      <c r="L272" s="1814"/>
      <c r="M272" s="1807" t="s">
        <v>698</v>
      </c>
      <c r="N272" s="1807"/>
      <c r="O272" s="1807"/>
      <c r="P272" s="1807"/>
      <c r="Q272" s="1807"/>
      <c r="R272" s="1807"/>
      <c r="S272" s="1100">
        <v>38400</v>
      </c>
      <c r="T272" s="1101">
        <v>38400</v>
      </c>
      <c r="U272" s="1102">
        <f>T272</f>
        <v>38400</v>
      </c>
      <c r="V272" s="1065"/>
      <c r="W272" s="1065"/>
      <c r="X272" s="1065"/>
      <c r="Y272" s="1065"/>
      <c r="Z272" s="1065"/>
      <c r="AA272" s="1065"/>
      <c r="AB272" s="1065"/>
      <c r="AC272" s="1065"/>
      <c r="AD272" s="1065"/>
      <c r="AE272" s="1065"/>
      <c r="AF272" s="1065"/>
      <c r="AG272" s="1065"/>
      <c r="AH272" s="1065"/>
      <c r="AI272" s="1065"/>
      <c r="AJ272" s="1065"/>
      <c r="AK272" s="1065"/>
      <c r="AL272" s="1065"/>
      <c r="AM272" s="1065"/>
      <c r="AN272" s="1065"/>
      <c r="AO272" s="1065"/>
      <c r="AP272" s="1065"/>
      <c r="AQ272" s="1065"/>
      <c r="AR272" s="1065"/>
      <c r="AS272" s="1065"/>
      <c r="AT272" s="1065"/>
      <c r="AU272" s="1065"/>
      <c r="AV272" s="1065"/>
      <c r="AW272" s="1065"/>
      <c r="AX272" s="1065"/>
      <c r="AY272" s="1065"/>
      <c r="AZ272" s="1065"/>
      <c r="BA272" s="1065"/>
      <c r="BB272" s="1065"/>
      <c r="BC272" s="1065"/>
      <c r="BD272" s="1065"/>
      <c r="BE272" s="1065"/>
      <c r="BF272" s="1065"/>
      <c r="BG272" s="1065"/>
      <c r="BH272" s="1065"/>
      <c r="BI272" s="1065"/>
      <c r="BJ272" s="1065"/>
      <c r="BK272" s="1065"/>
      <c r="BL272" s="1065"/>
      <c r="BM272" s="1065"/>
      <c r="BN272" s="1065"/>
      <c r="BO272" s="1065"/>
      <c r="BP272" s="1065"/>
      <c r="BQ272" s="1065"/>
      <c r="BR272" s="1065"/>
      <c r="BS272" s="1065"/>
      <c r="BT272" s="1065"/>
      <c r="BU272" s="1065"/>
      <c r="BV272" s="1065"/>
      <c r="BW272" s="1065"/>
      <c r="BX272" s="1065"/>
      <c r="BY272" s="1065"/>
      <c r="BZ272" s="1065"/>
      <c r="CA272" s="1065"/>
      <c r="CB272" s="1065"/>
      <c r="CC272" s="1065"/>
      <c r="CD272" s="1065"/>
      <c r="CE272" s="1065"/>
      <c r="CF272" s="1065"/>
      <c r="CG272" s="1065"/>
      <c r="CH272" s="1065"/>
      <c r="CI272" s="1065"/>
      <c r="CJ272" s="1065"/>
      <c r="CK272" s="1065"/>
      <c r="CL272" s="1065"/>
      <c r="CM272" s="1065"/>
      <c r="CN272" s="1065"/>
      <c r="CO272" s="1065"/>
      <c r="CP272" s="1065"/>
      <c r="CQ272" s="1065"/>
      <c r="CR272" s="1065"/>
      <c r="CS272" s="1065"/>
      <c r="CT272" s="1065"/>
      <c r="CU272" s="1065"/>
      <c r="CV272" s="1065"/>
      <c r="CW272" s="1065"/>
      <c r="CX272" s="1065"/>
      <c r="CY272" s="1065"/>
      <c r="CZ272" s="1065"/>
      <c r="DA272" s="1065"/>
      <c r="DB272" s="1065"/>
    </row>
    <row r="273" spans="1:106" ht="15" customHeight="1" thickBot="1">
      <c r="A273" s="1065"/>
      <c r="B273" s="1065"/>
      <c r="C273" s="1740" t="s">
        <v>699</v>
      </c>
      <c r="D273" s="1740"/>
      <c r="E273" s="1740"/>
      <c r="F273" s="1740"/>
      <c r="G273" s="1740"/>
      <c r="H273" s="1740"/>
      <c r="I273" s="1740"/>
      <c r="J273" s="1740"/>
      <c r="K273" s="1740"/>
      <c r="L273" s="1740"/>
      <c r="M273" s="1740"/>
      <c r="N273" s="1740"/>
      <c r="O273" s="1740"/>
      <c r="P273" s="1740"/>
      <c r="Q273" s="1740"/>
      <c r="R273" s="1740"/>
      <c r="S273" s="1740"/>
      <c r="T273" s="1740"/>
      <c r="U273" s="1740"/>
      <c r="V273" s="1065"/>
      <c r="W273" s="1065"/>
      <c r="X273" s="1065"/>
      <c r="Y273" s="1065"/>
      <c r="Z273" s="1065"/>
      <c r="AA273" s="1065"/>
      <c r="AB273" s="1065"/>
      <c r="AC273" s="1065"/>
      <c r="AD273" s="1065"/>
      <c r="AE273" s="1065"/>
      <c r="AF273" s="1065"/>
      <c r="AG273" s="1065"/>
      <c r="AH273" s="1065"/>
      <c r="AI273" s="1065"/>
      <c r="AJ273" s="1065"/>
      <c r="AK273" s="1065"/>
      <c r="AL273" s="1065"/>
      <c r="AM273" s="1065"/>
      <c r="AN273" s="1065"/>
      <c r="AO273" s="1065"/>
      <c r="AP273" s="1065"/>
      <c r="AQ273" s="1065"/>
      <c r="AR273" s="1065"/>
      <c r="AS273" s="1065"/>
      <c r="AT273" s="1065"/>
      <c r="AU273" s="1065"/>
      <c r="AV273" s="1065"/>
      <c r="AW273" s="1065"/>
      <c r="AX273" s="1065"/>
      <c r="AY273" s="1065"/>
      <c r="AZ273" s="1065"/>
      <c r="BA273" s="1065"/>
      <c r="BB273" s="1065"/>
      <c r="BC273" s="1065"/>
      <c r="BD273" s="1065"/>
      <c r="BE273" s="1065"/>
      <c r="BF273" s="1065"/>
      <c r="BG273" s="1065"/>
      <c r="BH273" s="1065"/>
      <c r="BI273" s="1065"/>
      <c r="BJ273" s="1065"/>
      <c r="BK273" s="1065"/>
      <c r="BL273" s="1065"/>
      <c r="BM273" s="1065"/>
      <c r="BN273" s="1065"/>
      <c r="BO273" s="1065"/>
      <c r="BP273" s="1065"/>
      <c r="BQ273" s="1065"/>
      <c r="BR273" s="1065"/>
      <c r="BS273" s="1065"/>
      <c r="BT273" s="1065"/>
      <c r="BU273" s="1065"/>
      <c r="BV273" s="1065"/>
      <c r="BW273" s="1065"/>
      <c r="BX273" s="1065"/>
      <c r="BY273" s="1065"/>
      <c r="BZ273" s="1065"/>
      <c r="CA273" s="1065"/>
      <c r="CB273" s="1065"/>
      <c r="CC273" s="1065"/>
      <c r="CD273" s="1065"/>
      <c r="CE273" s="1065"/>
      <c r="CF273" s="1065"/>
      <c r="CG273" s="1065"/>
      <c r="CH273" s="1065"/>
      <c r="CI273" s="1065"/>
      <c r="CJ273" s="1065"/>
      <c r="CK273" s="1065"/>
      <c r="CL273" s="1065"/>
      <c r="CM273" s="1065"/>
      <c r="CN273" s="1065"/>
      <c r="CO273" s="1065"/>
      <c r="CP273" s="1065"/>
      <c r="CQ273" s="1065"/>
      <c r="CR273" s="1065"/>
      <c r="CS273" s="1065"/>
      <c r="CT273" s="1065"/>
      <c r="CU273" s="1065"/>
      <c r="CV273" s="1065"/>
      <c r="CW273" s="1065"/>
      <c r="CX273" s="1065"/>
      <c r="CY273" s="1065"/>
      <c r="CZ273" s="1065"/>
      <c r="DA273" s="1065"/>
      <c r="DB273" s="1065"/>
    </row>
    <row r="274" spans="1:106" ht="15" customHeight="1" thickBot="1">
      <c r="A274" s="1065"/>
      <c r="B274" s="1065"/>
      <c r="C274" s="1800" t="s">
        <v>648</v>
      </c>
      <c r="D274" s="1795" t="s">
        <v>649</v>
      </c>
      <c r="E274" s="1795"/>
      <c r="F274" s="1795"/>
      <c r="G274" s="1795"/>
      <c r="H274" s="1801" t="s">
        <v>650</v>
      </c>
      <c r="I274" s="1801"/>
      <c r="J274" s="1774" t="s">
        <v>651</v>
      </c>
      <c r="K274" s="1774"/>
      <c r="L274" s="1774"/>
      <c r="M274" s="1774" t="s">
        <v>652</v>
      </c>
      <c r="N274" s="1774"/>
      <c r="O274" s="1774"/>
      <c r="P274" s="1774"/>
      <c r="Q274" s="1774"/>
      <c r="R274" s="1774"/>
      <c r="S274" s="1787" t="s">
        <v>6</v>
      </c>
      <c r="T274" s="1796" t="s">
        <v>653</v>
      </c>
      <c r="U274" s="1772" t="s">
        <v>654</v>
      </c>
      <c r="V274" s="1065"/>
      <c r="W274" s="1065"/>
      <c r="X274" s="1065"/>
      <c r="Y274" s="1065"/>
      <c r="Z274" s="1065"/>
      <c r="AA274" s="1065"/>
      <c r="AB274" s="1065"/>
      <c r="AC274" s="1065"/>
      <c r="AD274" s="1065"/>
      <c r="AE274" s="1065"/>
      <c r="AF274" s="1065"/>
      <c r="AG274" s="1065"/>
      <c r="AH274" s="1065"/>
      <c r="AI274" s="1065"/>
      <c r="AJ274" s="1065"/>
      <c r="AK274" s="1065"/>
      <c r="AL274" s="1065"/>
      <c r="AM274" s="1065"/>
      <c r="AN274" s="1065"/>
      <c r="AO274" s="1065"/>
      <c r="AP274" s="1065"/>
      <c r="AQ274" s="1065"/>
      <c r="AR274" s="1065"/>
      <c r="AS274" s="1065"/>
      <c r="AT274" s="1065"/>
      <c r="AU274" s="1065"/>
      <c r="AV274" s="1065"/>
      <c r="AW274" s="1065"/>
      <c r="AX274" s="1065"/>
      <c r="AY274" s="1065"/>
      <c r="AZ274" s="1065"/>
      <c r="BA274" s="1065"/>
      <c r="BB274" s="1065"/>
      <c r="BC274" s="1065"/>
      <c r="BD274" s="1065"/>
      <c r="BE274" s="1065"/>
      <c r="BF274" s="1065"/>
      <c r="BG274" s="1065"/>
      <c r="BH274" s="1065"/>
      <c r="BI274" s="1065"/>
      <c r="BJ274" s="1065"/>
      <c r="BK274" s="1065"/>
      <c r="BL274" s="1065"/>
      <c r="BM274" s="1065"/>
      <c r="BN274" s="1065"/>
      <c r="BO274" s="1065"/>
      <c r="BP274" s="1065"/>
      <c r="BQ274" s="1065"/>
      <c r="BR274" s="1065"/>
      <c r="BS274" s="1065"/>
      <c r="BT274" s="1065"/>
      <c r="BU274" s="1065"/>
      <c r="BV274" s="1065"/>
      <c r="BW274" s="1065"/>
      <c r="BX274" s="1065"/>
      <c r="BY274" s="1065"/>
      <c r="BZ274" s="1065"/>
      <c r="CA274" s="1065"/>
      <c r="CB274" s="1065"/>
      <c r="CC274" s="1065"/>
      <c r="CD274" s="1065"/>
      <c r="CE274" s="1065"/>
      <c r="CF274" s="1065"/>
      <c r="CG274" s="1065"/>
      <c r="CH274" s="1065"/>
      <c r="CI274" s="1065"/>
      <c r="CJ274" s="1065"/>
      <c r="CK274" s="1065"/>
      <c r="CL274" s="1065"/>
      <c r="CM274" s="1065"/>
      <c r="CN274" s="1065"/>
      <c r="CO274" s="1065"/>
      <c r="CP274" s="1065"/>
      <c r="CQ274" s="1065"/>
      <c r="CR274" s="1065"/>
      <c r="CS274" s="1065"/>
      <c r="CT274" s="1065"/>
      <c r="CU274" s="1065"/>
      <c r="CV274" s="1065"/>
      <c r="CW274" s="1065"/>
      <c r="CX274" s="1065"/>
      <c r="CY274" s="1065"/>
      <c r="CZ274" s="1065"/>
      <c r="DA274" s="1065"/>
      <c r="DB274" s="1065"/>
    </row>
    <row r="275" spans="1:106" ht="15" customHeight="1" thickBot="1">
      <c r="A275" s="1065"/>
      <c r="B275" s="1065"/>
      <c r="C275" s="1800"/>
      <c r="D275" s="1795"/>
      <c r="E275" s="1795"/>
      <c r="F275" s="1795"/>
      <c r="G275" s="1795"/>
      <c r="H275" s="1801"/>
      <c r="I275" s="1801"/>
      <c r="J275" s="1774"/>
      <c r="K275" s="1774"/>
      <c r="L275" s="1774"/>
      <c r="M275" s="1774"/>
      <c r="N275" s="1774"/>
      <c r="O275" s="1774"/>
      <c r="P275" s="1774"/>
      <c r="Q275" s="1774"/>
      <c r="R275" s="1774"/>
      <c r="S275" s="1787"/>
      <c r="T275" s="1796"/>
      <c r="U275" s="1772"/>
      <c r="V275" s="1065"/>
      <c r="W275" s="1065"/>
      <c r="X275" s="1065"/>
      <c r="Y275" s="1065"/>
      <c r="Z275" s="1065"/>
      <c r="AA275" s="1065"/>
      <c r="AB275" s="1065"/>
      <c r="AC275" s="1065"/>
      <c r="AD275" s="1065"/>
      <c r="AE275" s="1065"/>
      <c r="AF275" s="1065"/>
      <c r="AG275" s="1065"/>
      <c r="AH275" s="1065"/>
      <c r="AI275" s="1065"/>
      <c r="AJ275" s="1065"/>
      <c r="AK275" s="1065"/>
      <c r="AL275" s="1065"/>
      <c r="AM275" s="1065"/>
      <c r="AN275" s="1065"/>
      <c r="AO275" s="1065"/>
      <c r="AP275" s="1065"/>
      <c r="AQ275" s="1065"/>
      <c r="AR275" s="1065"/>
      <c r="AS275" s="1065"/>
      <c r="AT275" s="1065"/>
      <c r="AU275" s="1065"/>
      <c r="AV275" s="1065"/>
      <c r="AW275" s="1065"/>
      <c r="AX275" s="1065"/>
      <c r="AY275" s="1065"/>
      <c r="AZ275" s="1065"/>
      <c r="BA275" s="1065"/>
      <c r="BB275" s="1065"/>
      <c r="BC275" s="1065"/>
      <c r="BD275" s="1065"/>
      <c r="BE275" s="1065"/>
      <c r="BF275" s="1065"/>
      <c r="BG275" s="1065"/>
      <c r="BH275" s="1065"/>
      <c r="BI275" s="1065"/>
      <c r="BJ275" s="1065"/>
      <c r="BK275" s="1065"/>
      <c r="BL275" s="1065"/>
      <c r="BM275" s="1065"/>
      <c r="BN275" s="1065"/>
      <c r="BO275" s="1065"/>
      <c r="BP275" s="1065"/>
      <c r="BQ275" s="1065"/>
      <c r="BR275" s="1065"/>
      <c r="BS275" s="1065"/>
      <c r="BT275" s="1065"/>
      <c r="BU275" s="1065"/>
      <c r="BV275" s="1065"/>
      <c r="BW275" s="1065"/>
      <c r="BX275" s="1065"/>
      <c r="BY275" s="1065"/>
      <c r="BZ275" s="1065"/>
      <c r="CA275" s="1065"/>
      <c r="CB275" s="1065"/>
      <c r="CC275" s="1065"/>
      <c r="CD275" s="1065"/>
      <c r="CE275" s="1065"/>
      <c r="CF275" s="1065"/>
      <c r="CG275" s="1065"/>
      <c r="CH275" s="1065"/>
      <c r="CI275" s="1065"/>
      <c r="CJ275" s="1065"/>
      <c r="CK275" s="1065"/>
      <c r="CL275" s="1065"/>
      <c r="CM275" s="1065"/>
      <c r="CN275" s="1065"/>
      <c r="CO275" s="1065"/>
      <c r="CP275" s="1065"/>
      <c r="CQ275" s="1065"/>
      <c r="CR275" s="1065"/>
      <c r="CS275" s="1065"/>
      <c r="CT275" s="1065"/>
      <c r="CU275" s="1065"/>
      <c r="CV275" s="1065"/>
      <c r="CW275" s="1065"/>
      <c r="CX275" s="1065"/>
      <c r="CY275" s="1065"/>
      <c r="CZ275" s="1065"/>
      <c r="DA275" s="1065"/>
      <c r="DB275" s="1065"/>
    </row>
    <row r="276" spans="1:106" ht="15" customHeight="1" thickBot="1">
      <c r="A276" s="1065"/>
      <c r="B276" s="1065"/>
      <c r="C276" s="1071" t="s">
        <v>661</v>
      </c>
      <c r="D276" s="1810" t="s">
        <v>700</v>
      </c>
      <c r="E276" s="1810"/>
      <c r="F276" s="1810"/>
      <c r="G276" s="1810"/>
      <c r="H276" s="1787" t="s">
        <v>657</v>
      </c>
      <c r="I276" s="1787"/>
      <c r="J276" s="1787" t="s">
        <v>701</v>
      </c>
      <c r="K276" s="1787"/>
      <c r="L276" s="1787"/>
      <c r="M276" s="1787" t="s">
        <v>702</v>
      </c>
      <c r="N276" s="1787"/>
      <c r="O276" s="1787"/>
      <c r="P276" s="1787"/>
      <c r="Q276" s="1787"/>
      <c r="R276" s="1787"/>
      <c r="S276" s="1103">
        <f>1.2*108.57</f>
        <v>130.28399999999999</v>
      </c>
      <c r="T276" s="1104">
        <f>130.28*2</f>
        <v>260.56</v>
      </c>
      <c r="U276" s="1805">
        <f>SUM(T276:T287)</f>
        <v>48497.799999999996</v>
      </c>
      <c r="V276" s="1065"/>
      <c r="W276" s="1065"/>
      <c r="X276" s="1065"/>
      <c r="Y276" s="1065"/>
      <c r="Z276" s="1065"/>
      <c r="AA276" s="1065"/>
      <c r="AB276" s="1065"/>
      <c r="AC276" s="1065"/>
      <c r="AD276" s="1065"/>
      <c r="AE276" s="1065"/>
      <c r="AF276" s="1065"/>
      <c r="AG276" s="1065"/>
      <c r="AH276" s="1065"/>
      <c r="AI276" s="1065"/>
      <c r="AJ276" s="1065"/>
      <c r="AK276" s="1065"/>
      <c r="AL276" s="1065"/>
      <c r="AM276" s="1065"/>
      <c r="AN276" s="1065"/>
      <c r="AO276" s="1065"/>
      <c r="AP276" s="1065"/>
      <c r="AQ276" s="1065"/>
      <c r="AR276" s="1065"/>
      <c r="AS276" s="1065"/>
      <c r="AT276" s="1065"/>
      <c r="AU276" s="1065"/>
      <c r="AV276" s="1065"/>
      <c r="AW276" s="1065"/>
      <c r="AX276" s="1065"/>
      <c r="AY276" s="1065"/>
      <c r="AZ276" s="1065"/>
      <c r="BA276" s="1065"/>
      <c r="BB276" s="1065"/>
      <c r="BC276" s="1065"/>
      <c r="BD276" s="1065"/>
      <c r="BE276" s="1065"/>
      <c r="BF276" s="1065"/>
      <c r="BG276" s="1065"/>
      <c r="BH276" s="1065"/>
      <c r="BI276" s="1065"/>
      <c r="BJ276" s="1065"/>
      <c r="BK276" s="1065"/>
      <c r="BL276" s="1065"/>
      <c r="BM276" s="1065"/>
      <c r="BN276" s="1065"/>
      <c r="BO276" s="1065"/>
      <c r="BP276" s="1065"/>
      <c r="BQ276" s="1065"/>
      <c r="BR276" s="1065"/>
      <c r="BS276" s="1065"/>
      <c r="BT276" s="1065"/>
      <c r="BU276" s="1065"/>
      <c r="BV276" s="1065"/>
      <c r="BW276" s="1065"/>
      <c r="BX276" s="1065"/>
      <c r="BY276" s="1065"/>
      <c r="BZ276" s="1065"/>
      <c r="CA276" s="1065"/>
      <c r="CB276" s="1065"/>
      <c r="CC276" s="1065"/>
      <c r="CD276" s="1065"/>
      <c r="CE276" s="1065"/>
      <c r="CF276" s="1065"/>
      <c r="CG276" s="1065"/>
      <c r="CH276" s="1065"/>
      <c r="CI276" s="1065"/>
      <c r="CJ276" s="1065"/>
      <c r="CK276" s="1065"/>
      <c r="CL276" s="1065"/>
      <c r="CM276" s="1065"/>
      <c r="CN276" s="1065"/>
      <c r="CO276" s="1065"/>
      <c r="CP276" s="1065"/>
      <c r="CQ276" s="1065"/>
      <c r="CR276" s="1065"/>
      <c r="CS276" s="1065"/>
      <c r="CT276" s="1065"/>
      <c r="CU276" s="1065"/>
      <c r="CV276" s="1065"/>
      <c r="CW276" s="1065"/>
      <c r="CX276" s="1065"/>
      <c r="CY276" s="1065"/>
      <c r="CZ276" s="1065"/>
      <c r="DA276" s="1065"/>
      <c r="DB276" s="1065"/>
    </row>
    <row r="277" spans="1:106" ht="15" customHeight="1" thickBot="1">
      <c r="A277" s="1065"/>
      <c r="B277" s="1065"/>
      <c r="C277" s="1066" t="s">
        <v>662</v>
      </c>
      <c r="D277" s="1810"/>
      <c r="E277" s="1810"/>
      <c r="F277" s="1810"/>
      <c r="G277" s="1810"/>
      <c r="H277" s="1787"/>
      <c r="I277" s="1787"/>
      <c r="J277" s="1787"/>
      <c r="K277" s="1787"/>
      <c r="L277" s="1787"/>
      <c r="M277" s="1787"/>
      <c r="N277" s="1787"/>
      <c r="O277" s="1787"/>
      <c r="P277" s="1787"/>
      <c r="Q277" s="1787"/>
      <c r="R277" s="1787"/>
      <c r="S277" s="1105">
        <f>1.2*5308.6</f>
        <v>6370.3200000000006</v>
      </c>
      <c r="T277" s="1105">
        <f>6370.32*2</f>
        <v>12740.64</v>
      </c>
      <c r="U277" s="1805"/>
      <c r="V277" s="1065"/>
      <c r="W277" s="1065"/>
      <c r="X277" s="1065"/>
      <c r="Y277" s="1065"/>
      <c r="Z277" s="1065"/>
      <c r="AA277" s="1065"/>
      <c r="AB277" s="1065"/>
      <c r="AC277" s="1065"/>
      <c r="AD277" s="1065"/>
      <c r="AE277" s="1065"/>
      <c r="AF277" s="1065"/>
      <c r="AG277" s="1065"/>
      <c r="AH277" s="1065"/>
      <c r="AI277" s="1065"/>
      <c r="AJ277" s="1065"/>
      <c r="AK277" s="1065"/>
      <c r="AL277" s="1065"/>
      <c r="AM277" s="1065"/>
      <c r="AN277" s="1065"/>
      <c r="AO277" s="1065"/>
      <c r="AP277" s="1065"/>
      <c r="AQ277" s="1065"/>
      <c r="AR277" s="1065"/>
      <c r="AS277" s="1065"/>
      <c r="AT277" s="1065"/>
      <c r="AU277" s="1065"/>
      <c r="AV277" s="1065"/>
      <c r="AW277" s="1065"/>
      <c r="AX277" s="1065"/>
      <c r="AY277" s="1065"/>
      <c r="AZ277" s="1065"/>
      <c r="BA277" s="1065"/>
      <c r="BB277" s="1065"/>
      <c r="BC277" s="1065"/>
      <c r="BD277" s="1065"/>
      <c r="BE277" s="1065"/>
      <c r="BF277" s="1065"/>
      <c r="BG277" s="1065"/>
      <c r="BH277" s="1065"/>
      <c r="BI277" s="1065"/>
      <c r="BJ277" s="1065"/>
      <c r="BK277" s="1065"/>
      <c r="BL277" s="1065"/>
      <c r="BM277" s="1065"/>
      <c r="BN277" s="1065"/>
      <c r="BO277" s="1065"/>
      <c r="BP277" s="1065"/>
      <c r="BQ277" s="1065"/>
      <c r="BR277" s="1065"/>
      <c r="BS277" s="1065"/>
      <c r="BT277" s="1065"/>
      <c r="BU277" s="1065"/>
      <c r="BV277" s="1065"/>
      <c r="BW277" s="1065"/>
      <c r="BX277" s="1065"/>
      <c r="BY277" s="1065"/>
      <c r="BZ277" s="1065"/>
      <c r="CA277" s="1065"/>
      <c r="CB277" s="1065"/>
      <c r="CC277" s="1065"/>
      <c r="CD277" s="1065"/>
      <c r="CE277" s="1065"/>
      <c r="CF277" s="1065"/>
      <c r="CG277" s="1065"/>
      <c r="CH277" s="1065"/>
      <c r="CI277" s="1065"/>
      <c r="CJ277" s="1065"/>
      <c r="CK277" s="1065"/>
      <c r="CL277" s="1065"/>
      <c r="CM277" s="1065"/>
      <c r="CN277" s="1065"/>
      <c r="CO277" s="1065"/>
      <c r="CP277" s="1065"/>
      <c r="CQ277" s="1065"/>
      <c r="CR277" s="1065"/>
      <c r="CS277" s="1065"/>
      <c r="CT277" s="1065"/>
      <c r="CU277" s="1065"/>
      <c r="CV277" s="1065"/>
      <c r="CW277" s="1065"/>
      <c r="CX277" s="1065"/>
      <c r="CY277" s="1065"/>
      <c r="CZ277" s="1065"/>
      <c r="DA277" s="1065"/>
      <c r="DB277" s="1065"/>
    </row>
    <row r="278" spans="1:106" ht="15" customHeight="1" thickBot="1">
      <c r="A278" s="1065"/>
      <c r="B278" s="1065"/>
      <c r="C278" s="1066" t="s">
        <v>703</v>
      </c>
      <c r="D278" s="1810"/>
      <c r="E278" s="1810"/>
      <c r="F278" s="1810"/>
      <c r="G278" s="1810"/>
      <c r="H278" s="1787"/>
      <c r="I278" s="1787"/>
      <c r="J278" s="1787"/>
      <c r="K278" s="1787"/>
      <c r="L278" s="1787"/>
      <c r="M278" s="1787"/>
      <c r="N278" s="1787"/>
      <c r="O278" s="1787"/>
      <c r="P278" s="1787"/>
      <c r="Q278" s="1787"/>
      <c r="R278" s="1787"/>
      <c r="S278" s="1105">
        <f>1.2*3167.8</f>
        <v>3801.36</v>
      </c>
      <c r="T278" s="1105">
        <f>3801.36*2</f>
        <v>7602.72</v>
      </c>
      <c r="U278" s="1805"/>
      <c r="V278" s="1065"/>
      <c r="W278" s="1065"/>
      <c r="X278" s="1065"/>
      <c r="Y278" s="1065"/>
      <c r="Z278" s="1065"/>
      <c r="AA278" s="1065"/>
      <c r="AB278" s="1065"/>
      <c r="AC278" s="1065"/>
      <c r="AD278" s="1065"/>
      <c r="AE278" s="1065"/>
      <c r="AF278" s="1065"/>
      <c r="AG278" s="1065"/>
      <c r="AH278" s="1065"/>
      <c r="AI278" s="1065"/>
      <c r="AJ278" s="1065"/>
      <c r="AK278" s="1065"/>
      <c r="AL278" s="1065"/>
      <c r="AM278" s="1065"/>
      <c r="AN278" s="1065"/>
      <c r="AO278" s="1065"/>
      <c r="AP278" s="1065"/>
      <c r="AQ278" s="1065"/>
      <c r="AR278" s="1065"/>
      <c r="AS278" s="1065"/>
      <c r="AT278" s="1065"/>
      <c r="AU278" s="1065"/>
      <c r="AV278" s="1065"/>
      <c r="AW278" s="1065"/>
      <c r="AX278" s="1065"/>
      <c r="AY278" s="1065"/>
      <c r="AZ278" s="1065"/>
      <c r="BA278" s="1065"/>
      <c r="BB278" s="1065"/>
      <c r="BC278" s="1065"/>
      <c r="BD278" s="1065"/>
      <c r="BE278" s="1065"/>
      <c r="BF278" s="1065"/>
      <c r="BG278" s="1065"/>
      <c r="BH278" s="1065"/>
      <c r="BI278" s="1065"/>
      <c r="BJ278" s="1065"/>
      <c r="BK278" s="1065"/>
      <c r="BL278" s="1065"/>
      <c r="BM278" s="1065"/>
      <c r="BN278" s="1065"/>
      <c r="BO278" s="1065"/>
      <c r="BP278" s="1065"/>
      <c r="BQ278" s="1065"/>
      <c r="BR278" s="1065"/>
      <c r="BS278" s="1065"/>
      <c r="BT278" s="1065"/>
      <c r="BU278" s="1065"/>
      <c r="BV278" s="1065"/>
      <c r="BW278" s="1065"/>
      <c r="BX278" s="1065"/>
      <c r="BY278" s="1065"/>
      <c r="BZ278" s="1065"/>
      <c r="CA278" s="1065"/>
      <c r="CB278" s="1065"/>
      <c r="CC278" s="1065"/>
      <c r="CD278" s="1065"/>
      <c r="CE278" s="1065"/>
      <c r="CF278" s="1065"/>
      <c r="CG278" s="1065"/>
      <c r="CH278" s="1065"/>
      <c r="CI278" s="1065"/>
      <c r="CJ278" s="1065"/>
      <c r="CK278" s="1065"/>
      <c r="CL278" s="1065"/>
      <c r="CM278" s="1065"/>
      <c r="CN278" s="1065"/>
      <c r="CO278" s="1065"/>
      <c r="CP278" s="1065"/>
      <c r="CQ278" s="1065"/>
      <c r="CR278" s="1065"/>
      <c r="CS278" s="1065"/>
      <c r="CT278" s="1065"/>
      <c r="CU278" s="1065"/>
      <c r="CV278" s="1065"/>
      <c r="CW278" s="1065"/>
      <c r="CX278" s="1065"/>
      <c r="CY278" s="1065"/>
      <c r="CZ278" s="1065"/>
      <c r="DA278" s="1065"/>
      <c r="DB278" s="1065"/>
    </row>
    <row r="279" spans="1:106" ht="15" customHeight="1" thickBot="1">
      <c r="A279" s="1065"/>
      <c r="B279" s="1065"/>
      <c r="C279" s="1066" t="s">
        <v>300</v>
      </c>
      <c r="D279" s="1810"/>
      <c r="E279" s="1810"/>
      <c r="F279" s="1810"/>
      <c r="G279" s="1810"/>
      <c r="H279" s="1787"/>
      <c r="I279" s="1787"/>
      <c r="J279" s="1787"/>
      <c r="K279" s="1787"/>
      <c r="L279" s="1787"/>
      <c r="M279" s="1787"/>
      <c r="N279" s="1787"/>
      <c r="O279" s="1787"/>
      <c r="P279" s="1787"/>
      <c r="Q279" s="1787"/>
      <c r="R279" s="1787"/>
      <c r="S279" s="1106">
        <f>1.2*2874.65</f>
        <v>3449.58</v>
      </c>
      <c r="T279" s="1105">
        <f>3449.58*2</f>
        <v>6899.16</v>
      </c>
      <c r="U279" s="1805"/>
      <c r="V279" s="1065"/>
      <c r="W279" s="1065"/>
      <c r="X279" s="1065"/>
      <c r="Y279" s="1065"/>
      <c r="Z279" s="1065"/>
      <c r="AA279" s="1065"/>
      <c r="AB279" s="1065"/>
      <c r="AC279" s="1065"/>
      <c r="AD279" s="1065"/>
      <c r="AE279" s="1065"/>
      <c r="AF279" s="1065"/>
      <c r="AG279" s="1065"/>
      <c r="AH279" s="1065"/>
      <c r="AI279" s="1065"/>
      <c r="AJ279" s="1065"/>
      <c r="AK279" s="1065"/>
      <c r="AL279" s="1065"/>
      <c r="AM279" s="1065"/>
      <c r="AN279" s="1065"/>
      <c r="AO279" s="1065"/>
      <c r="AP279" s="1065"/>
      <c r="AQ279" s="1065"/>
      <c r="AR279" s="1065"/>
      <c r="AS279" s="1065"/>
      <c r="AT279" s="1065"/>
      <c r="AU279" s="1065"/>
      <c r="AV279" s="1065"/>
      <c r="AW279" s="1065"/>
      <c r="AX279" s="1065"/>
      <c r="AY279" s="1065"/>
      <c r="AZ279" s="1065"/>
      <c r="BA279" s="1065"/>
      <c r="BB279" s="1065"/>
      <c r="BC279" s="1065"/>
      <c r="BD279" s="1065"/>
      <c r="BE279" s="1065"/>
      <c r="BF279" s="1065"/>
      <c r="BG279" s="1065"/>
      <c r="BH279" s="1065"/>
      <c r="BI279" s="1065"/>
      <c r="BJ279" s="1065"/>
      <c r="BK279" s="1065"/>
      <c r="BL279" s="1065"/>
      <c r="BM279" s="1065"/>
      <c r="BN279" s="1065"/>
      <c r="BO279" s="1065"/>
      <c r="BP279" s="1065"/>
      <c r="BQ279" s="1065"/>
      <c r="BR279" s="1065"/>
      <c r="BS279" s="1065"/>
      <c r="BT279" s="1065"/>
      <c r="BU279" s="1065"/>
      <c r="BV279" s="1065"/>
      <c r="BW279" s="1065"/>
      <c r="BX279" s="1065"/>
      <c r="BY279" s="1065"/>
      <c r="BZ279" s="1065"/>
      <c r="CA279" s="1065"/>
      <c r="CB279" s="1065"/>
      <c r="CC279" s="1065"/>
      <c r="CD279" s="1065"/>
      <c r="CE279" s="1065"/>
      <c r="CF279" s="1065"/>
      <c r="CG279" s="1065"/>
      <c r="CH279" s="1065"/>
      <c r="CI279" s="1065"/>
      <c r="CJ279" s="1065"/>
      <c r="CK279" s="1065"/>
      <c r="CL279" s="1065"/>
      <c r="CM279" s="1065"/>
      <c r="CN279" s="1065"/>
      <c r="CO279" s="1065"/>
      <c r="CP279" s="1065"/>
      <c r="CQ279" s="1065"/>
      <c r="CR279" s="1065"/>
      <c r="CS279" s="1065"/>
      <c r="CT279" s="1065"/>
      <c r="CU279" s="1065"/>
      <c r="CV279" s="1065"/>
      <c r="CW279" s="1065"/>
      <c r="CX279" s="1065"/>
      <c r="CY279" s="1065"/>
      <c r="CZ279" s="1065"/>
      <c r="DA279" s="1065"/>
      <c r="DB279" s="1065"/>
    </row>
    <row r="280" spans="1:106" ht="15" customHeight="1" thickBot="1">
      <c r="A280" s="1065"/>
      <c r="B280" s="1065"/>
      <c r="C280" s="1088" t="s">
        <v>686</v>
      </c>
      <c r="D280" s="1810"/>
      <c r="E280" s="1810"/>
      <c r="F280" s="1810"/>
      <c r="G280" s="1810"/>
      <c r="H280" s="1787"/>
      <c r="I280" s="1787"/>
      <c r="J280" s="1787"/>
      <c r="K280" s="1787"/>
      <c r="L280" s="1787"/>
      <c r="M280" s="1787"/>
      <c r="N280" s="1787"/>
      <c r="O280" s="1787"/>
      <c r="P280" s="1787"/>
      <c r="Q280" s="1787"/>
      <c r="R280" s="1787"/>
      <c r="S280" s="1097">
        <f>1.2*999.95</f>
        <v>1199.94</v>
      </c>
      <c r="T280" s="1105">
        <f>1199.94*2</f>
        <v>2399.88</v>
      </c>
      <c r="U280" s="1805"/>
      <c r="V280" s="1065"/>
      <c r="W280" s="1065"/>
      <c r="X280" s="1065"/>
      <c r="Y280" s="1065"/>
      <c r="Z280" s="1065"/>
      <c r="AA280" s="1065"/>
      <c r="AB280" s="1065"/>
      <c r="AC280" s="1065"/>
      <c r="AD280" s="1065"/>
      <c r="AE280" s="1065"/>
      <c r="AF280" s="1065"/>
      <c r="AG280" s="1065"/>
      <c r="AH280" s="1065"/>
      <c r="AI280" s="1065"/>
      <c r="AJ280" s="1065"/>
      <c r="AK280" s="1065"/>
      <c r="AL280" s="1065"/>
      <c r="AM280" s="1065"/>
      <c r="AN280" s="1065"/>
      <c r="AO280" s="1065"/>
      <c r="AP280" s="1065"/>
      <c r="AQ280" s="1065"/>
      <c r="AR280" s="1065"/>
      <c r="AS280" s="1065"/>
      <c r="AT280" s="1065"/>
      <c r="AU280" s="1065"/>
      <c r="AV280" s="1065"/>
      <c r="AW280" s="1065"/>
      <c r="AX280" s="1065"/>
      <c r="AY280" s="1065"/>
      <c r="AZ280" s="1065"/>
      <c r="BA280" s="1065"/>
      <c r="BB280" s="1065"/>
      <c r="BC280" s="1065"/>
      <c r="BD280" s="1065"/>
      <c r="BE280" s="1065"/>
      <c r="BF280" s="1065"/>
      <c r="BG280" s="1065"/>
      <c r="BH280" s="1065"/>
      <c r="BI280" s="1065"/>
      <c r="BJ280" s="1065"/>
      <c r="BK280" s="1065"/>
      <c r="BL280" s="1065"/>
      <c r="BM280" s="1065"/>
      <c r="BN280" s="1065"/>
      <c r="BO280" s="1065"/>
      <c r="BP280" s="1065"/>
      <c r="BQ280" s="1065"/>
      <c r="BR280" s="1065"/>
      <c r="BS280" s="1065"/>
      <c r="BT280" s="1065"/>
      <c r="BU280" s="1065"/>
      <c r="BV280" s="1065"/>
      <c r="BW280" s="1065"/>
      <c r="BX280" s="1065"/>
      <c r="BY280" s="1065"/>
      <c r="BZ280" s="1065"/>
      <c r="CA280" s="1065"/>
      <c r="CB280" s="1065"/>
      <c r="CC280" s="1065"/>
      <c r="CD280" s="1065"/>
      <c r="CE280" s="1065"/>
      <c r="CF280" s="1065"/>
      <c r="CG280" s="1065"/>
      <c r="CH280" s="1065"/>
      <c r="CI280" s="1065"/>
      <c r="CJ280" s="1065"/>
      <c r="CK280" s="1065"/>
      <c r="CL280" s="1065"/>
      <c r="CM280" s="1065"/>
      <c r="CN280" s="1065"/>
      <c r="CO280" s="1065"/>
      <c r="CP280" s="1065"/>
      <c r="CQ280" s="1065"/>
      <c r="CR280" s="1065"/>
      <c r="CS280" s="1065"/>
      <c r="CT280" s="1065"/>
      <c r="CU280" s="1065"/>
      <c r="CV280" s="1065"/>
      <c r="CW280" s="1065"/>
      <c r="CX280" s="1065"/>
      <c r="CY280" s="1065"/>
      <c r="CZ280" s="1065"/>
      <c r="DA280" s="1065"/>
      <c r="DB280" s="1065"/>
    </row>
    <row r="281" spans="1:106" ht="15" customHeight="1" thickBot="1">
      <c r="A281" s="1065"/>
      <c r="B281" s="1065"/>
      <c r="C281" s="1066" t="s">
        <v>663</v>
      </c>
      <c r="D281" s="1810"/>
      <c r="E281" s="1810"/>
      <c r="F281" s="1810"/>
      <c r="G281" s="1810"/>
      <c r="H281" s="1787"/>
      <c r="I281" s="1787"/>
      <c r="J281" s="1787"/>
      <c r="K281" s="1787"/>
      <c r="L281" s="1787"/>
      <c r="M281" s="1787"/>
      <c r="N281" s="1787"/>
      <c r="O281" s="1787"/>
      <c r="P281" s="1787"/>
      <c r="Q281" s="1787"/>
      <c r="R281" s="1787"/>
      <c r="S281" s="1097">
        <f>1.2*4659.65</f>
        <v>5591.579999999999</v>
      </c>
      <c r="T281" s="1105">
        <f>5591.58*2</f>
        <v>11183.16</v>
      </c>
      <c r="U281" s="1805"/>
      <c r="V281" s="1065"/>
      <c r="W281" s="1065"/>
      <c r="X281" s="1065"/>
      <c r="Y281" s="1065"/>
      <c r="Z281" s="1065"/>
      <c r="AA281" s="1065"/>
      <c r="AB281" s="1065"/>
      <c r="AC281" s="1065"/>
      <c r="AD281" s="1065"/>
      <c r="AE281" s="1065"/>
      <c r="AF281" s="1065"/>
      <c r="AG281" s="1065"/>
      <c r="AH281" s="1065"/>
      <c r="AI281" s="1065"/>
      <c r="AJ281" s="1065"/>
      <c r="AK281" s="1065"/>
      <c r="AL281" s="1065"/>
      <c r="AM281" s="1065"/>
      <c r="AN281" s="1065"/>
      <c r="AO281" s="1065"/>
      <c r="AP281" s="1065"/>
      <c r="AQ281" s="1065"/>
      <c r="AR281" s="1065"/>
      <c r="AS281" s="1065"/>
      <c r="AT281" s="1065"/>
      <c r="AU281" s="1065"/>
      <c r="AV281" s="1065"/>
      <c r="AW281" s="1065"/>
      <c r="AX281" s="1065"/>
      <c r="AY281" s="1065"/>
      <c r="AZ281" s="1065"/>
      <c r="BA281" s="1065"/>
      <c r="BB281" s="1065"/>
      <c r="BC281" s="1065"/>
      <c r="BD281" s="1065"/>
      <c r="BE281" s="1065"/>
      <c r="BF281" s="1065"/>
      <c r="BG281" s="1065"/>
      <c r="BH281" s="1065"/>
      <c r="BI281" s="1065"/>
      <c r="BJ281" s="1065"/>
      <c r="BK281" s="1065"/>
      <c r="BL281" s="1065"/>
      <c r="BM281" s="1065"/>
      <c r="BN281" s="1065"/>
      <c r="BO281" s="1065"/>
      <c r="BP281" s="1065"/>
      <c r="BQ281" s="1065"/>
      <c r="BR281" s="1065"/>
      <c r="BS281" s="1065"/>
      <c r="BT281" s="1065"/>
      <c r="BU281" s="1065"/>
      <c r="BV281" s="1065"/>
      <c r="BW281" s="1065"/>
      <c r="BX281" s="1065"/>
      <c r="BY281" s="1065"/>
      <c r="BZ281" s="1065"/>
      <c r="CA281" s="1065"/>
      <c r="CB281" s="1065"/>
      <c r="CC281" s="1065"/>
      <c r="CD281" s="1065"/>
      <c r="CE281" s="1065"/>
      <c r="CF281" s="1065"/>
      <c r="CG281" s="1065"/>
      <c r="CH281" s="1065"/>
      <c r="CI281" s="1065"/>
      <c r="CJ281" s="1065"/>
      <c r="CK281" s="1065"/>
      <c r="CL281" s="1065"/>
      <c r="CM281" s="1065"/>
      <c r="CN281" s="1065"/>
      <c r="CO281" s="1065"/>
      <c r="CP281" s="1065"/>
      <c r="CQ281" s="1065"/>
      <c r="CR281" s="1065"/>
      <c r="CS281" s="1065"/>
      <c r="CT281" s="1065"/>
      <c r="CU281" s="1065"/>
      <c r="CV281" s="1065"/>
      <c r="CW281" s="1065"/>
      <c r="CX281" s="1065"/>
      <c r="CY281" s="1065"/>
      <c r="CZ281" s="1065"/>
      <c r="DA281" s="1065"/>
      <c r="DB281" s="1065"/>
    </row>
    <row r="282" spans="1:106" ht="15" customHeight="1" thickBot="1">
      <c r="A282" s="1065"/>
      <c r="B282" s="1065"/>
      <c r="C282" s="1066" t="s">
        <v>664</v>
      </c>
      <c r="D282" s="1810"/>
      <c r="E282" s="1810"/>
      <c r="F282" s="1810"/>
      <c r="G282" s="1810"/>
      <c r="H282" s="1787"/>
      <c r="I282" s="1787"/>
      <c r="J282" s="1787"/>
      <c r="K282" s="1787"/>
      <c r="L282" s="1787"/>
      <c r="M282" s="1787"/>
      <c r="N282" s="1787"/>
      <c r="O282" s="1787"/>
      <c r="P282" s="1787"/>
      <c r="Q282" s="1787"/>
      <c r="R282" s="1787"/>
      <c r="S282" s="1105">
        <f>1.2*188.64</f>
        <v>226.36799999999997</v>
      </c>
      <c r="T282" s="1105">
        <f>226.32*2</f>
        <v>452.64</v>
      </c>
      <c r="U282" s="1805"/>
      <c r="V282" s="1065"/>
      <c r="W282" s="1065"/>
      <c r="X282" s="1065"/>
      <c r="Y282" s="1065"/>
      <c r="Z282" s="1065"/>
      <c r="AA282" s="1065"/>
      <c r="AB282" s="1065"/>
      <c r="AC282" s="1065"/>
      <c r="AD282" s="1065"/>
      <c r="AE282" s="1065"/>
      <c r="AF282" s="1065"/>
      <c r="AG282" s="1065"/>
      <c r="AH282" s="1065"/>
      <c r="AI282" s="1065"/>
      <c r="AJ282" s="1065"/>
      <c r="AK282" s="1065"/>
      <c r="AL282" s="1065"/>
      <c r="AM282" s="1065"/>
      <c r="AN282" s="1065"/>
      <c r="AO282" s="1065"/>
      <c r="AP282" s="1065"/>
      <c r="AQ282" s="1065"/>
      <c r="AR282" s="1065"/>
      <c r="AS282" s="1065"/>
      <c r="AT282" s="1065"/>
      <c r="AU282" s="1065"/>
      <c r="AV282" s="1065"/>
      <c r="AW282" s="1065"/>
      <c r="AX282" s="1065"/>
      <c r="AY282" s="1065"/>
      <c r="AZ282" s="1065"/>
      <c r="BA282" s="1065"/>
      <c r="BB282" s="1065"/>
      <c r="BC282" s="1065"/>
      <c r="BD282" s="1065"/>
      <c r="BE282" s="1065"/>
      <c r="BF282" s="1065"/>
      <c r="BG282" s="1065"/>
      <c r="BH282" s="1065"/>
      <c r="BI282" s="1065"/>
      <c r="BJ282" s="1065"/>
      <c r="BK282" s="1065"/>
      <c r="BL282" s="1065"/>
      <c r="BM282" s="1065"/>
      <c r="BN282" s="1065"/>
      <c r="BO282" s="1065"/>
      <c r="BP282" s="1065"/>
      <c r="BQ282" s="1065"/>
      <c r="BR282" s="1065"/>
      <c r="BS282" s="1065"/>
      <c r="BT282" s="1065"/>
      <c r="BU282" s="1065"/>
      <c r="BV282" s="1065"/>
      <c r="BW282" s="1065"/>
      <c r="BX282" s="1065"/>
      <c r="BY282" s="1065"/>
      <c r="BZ282" s="1065"/>
      <c r="CA282" s="1065"/>
      <c r="CB282" s="1065"/>
      <c r="CC282" s="1065"/>
      <c r="CD282" s="1065"/>
      <c r="CE282" s="1065"/>
      <c r="CF282" s="1065"/>
      <c r="CG282" s="1065"/>
      <c r="CH282" s="1065"/>
      <c r="CI282" s="1065"/>
      <c r="CJ282" s="1065"/>
      <c r="CK282" s="1065"/>
      <c r="CL282" s="1065"/>
      <c r="CM282" s="1065"/>
      <c r="CN282" s="1065"/>
      <c r="CO282" s="1065"/>
      <c r="CP282" s="1065"/>
      <c r="CQ282" s="1065"/>
      <c r="CR282" s="1065"/>
      <c r="CS282" s="1065"/>
      <c r="CT282" s="1065"/>
      <c r="CU282" s="1065"/>
      <c r="CV282" s="1065"/>
      <c r="CW282" s="1065"/>
      <c r="CX282" s="1065"/>
      <c r="CY282" s="1065"/>
      <c r="CZ282" s="1065"/>
      <c r="DA282" s="1065"/>
      <c r="DB282" s="1065"/>
    </row>
    <row r="283" spans="1:106" ht="15" customHeight="1" thickBot="1">
      <c r="A283" s="1065"/>
      <c r="B283" s="1065"/>
      <c r="C283" s="1066" t="s">
        <v>665</v>
      </c>
      <c r="D283" s="1810"/>
      <c r="E283" s="1810"/>
      <c r="F283" s="1810"/>
      <c r="G283" s="1810"/>
      <c r="H283" s="1787"/>
      <c r="I283" s="1787"/>
      <c r="J283" s="1787"/>
      <c r="K283" s="1787"/>
      <c r="L283" s="1787"/>
      <c r="M283" s="1787"/>
      <c r="N283" s="1787"/>
      <c r="O283" s="1787"/>
      <c r="P283" s="1787"/>
      <c r="Q283" s="1787"/>
      <c r="R283" s="1787"/>
      <c r="S283" s="1105">
        <f>1.2*783.3</f>
        <v>939.95999999999992</v>
      </c>
      <c r="T283" s="1105">
        <f>939.96*2</f>
        <v>1879.92</v>
      </c>
      <c r="U283" s="1805"/>
      <c r="V283" s="1065"/>
      <c r="W283" s="1065"/>
      <c r="X283" s="1065"/>
      <c r="Y283" s="1065"/>
      <c r="Z283" s="1065"/>
      <c r="AA283" s="1065"/>
      <c r="AB283" s="1065"/>
      <c r="AC283" s="1065"/>
      <c r="AD283" s="1065"/>
      <c r="AE283" s="1065"/>
      <c r="AF283" s="1065"/>
      <c r="AG283" s="1065"/>
      <c r="AH283" s="1065"/>
      <c r="AI283" s="1065"/>
      <c r="AJ283" s="1065"/>
      <c r="AK283" s="1065"/>
      <c r="AL283" s="1065"/>
      <c r="AM283" s="1065"/>
      <c r="AN283" s="1065"/>
      <c r="AO283" s="1065"/>
      <c r="AP283" s="1065"/>
      <c r="AQ283" s="1065"/>
      <c r="AR283" s="1065"/>
      <c r="AS283" s="1065"/>
      <c r="AT283" s="1065"/>
      <c r="AU283" s="1065"/>
      <c r="AV283" s="1065"/>
      <c r="AW283" s="1065"/>
      <c r="AX283" s="1065"/>
      <c r="AY283" s="1065"/>
      <c r="AZ283" s="1065"/>
      <c r="BA283" s="1065"/>
      <c r="BB283" s="1065"/>
      <c r="BC283" s="1065"/>
      <c r="BD283" s="1065"/>
      <c r="BE283" s="1065"/>
      <c r="BF283" s="1065"/>
      <c r="BG283" s="1065"/>
      <c r="BH283" s="1065"/>
      <c r="BI283" s="1065"/>
      <c r="BJ283" s="1065"/>
      <c r="BK283" s="1065"/>
      <c r="BL283" s="1065"/>
      <c r="BM283" s="1065"/>
      <c r="BN283" s="1065"/>
      <c r="BO283" s="1065"/>
      <c r="BP283" s="1065"/>
      <c r="BQ283" s="1065"/>
      <c r="BR283" s="1065"/>
      <c r="BS283" s="1065"/>
      <c r="BT283" s="1065"/>
      <c r="BU283" s="1065"/>
      <c r="BV283" s="1065"/>
      <c r="BW283" s="1065"/>
      <c r="BX283" s="1065"/>
      <c r="BY283" s="1065"/>
      <c r="BZ283" s="1065"/>
      <c r="CA283" s="1065"/>
      <c r="CB283" s="1065"/>
      <c r="CC283" s="1065"/>
      <c r="CD283" s="1065"/>
      <c r="CE283" s="1065"/>
      <c r="CF283" s="1065"/>
      <c r="CG283" s="1065"/>
      <c r="CH283" s="1065"/>
      <c r="CI283" s="1065"/>
      <c r="CJ283" s="1065"/>
      <c r="CK283" s="1065"/>
      <c r="CL283" s="1065"/>
      <c r="CM283" s="1065"/>
      <c r="CN283" s="1065"/>
      <c r="CO283" s="1065"/>
      <c r="CP283" s="1065"/>
      <c r="CQ283" s="1065"/>
      <c r="CR283" s="1065"/>
      <c r="CS283" s="1065"/>
      <c r="CT283" s="1065"/>
      <c r="CU283" s="1065"/>
      <c r="CV283" s="1065"/>
      <c r="CW283" s="1065"/>
      <c r="CX283" s="1065"/>
      <c r="CY283" s="1065"/>
      <c r="CZ283" s="1065"/>
      <c r="DA283" s="1065"/>
      <c r="DB283" s="1065"/>
    </row>
    <row r="284" spans="1:106" ht="15" customHeight="1" thickBot="1">
      <c r="A284" s="1065"/>
      <c r="B284" s="1065"/>
      <c r="C284" s="1066" t="s">
        <v>666</v>
      </c>
      <c r="D284" s="1810"/>
      <c r="E284" s="1810"/>
      <c r="F284" s="1810"/>
      <c r="G284" s="1810"/>
      <c r="H284" s="1787"/>
      <c r="I284" s="1787"/>
      <c r="J284" s="1787"/>
      <c r="K284" s="1787"/>
      <c r="L284" s="1787"/>
      <c r="M284" s="1787"/>
      <c r="N284" s="1787"/>
      <c r="O284" s="1787"/>
      <c r="P284" s="1787"/>
      <c r="Q284" s="1787"/>
      <c r="R284" s="1787"/>
      <c r="S284" s="1105">
        <f>1.2*891.62</f>
        <v>1069.944</v>
      </c>
      <c r="T284" s="1105">
        <f>1199.7*2</f>
        <v>2399.4</v>
      </c>
      <c r="U284" s="1805"/>
      <c r="V284" s="1065"/>
      <c r="W284" s="1065"/>
      <c r="X284" s="1065"/>
      <c r="Y284" s="1065"/>
      <c r="Z284" s="1065"/>
      <c r="AA284" s="1065"/>
      <c r="AB284" s="1065"/>
      <c r="AC284" s="1065"/>
      <c r="AD284" s="1065"/>
      <c r="AE284" s="1065"/>
      <c r="AF284" s="1065"/>
      <c r="AG284" s="1065"/>
      <c r="AH284" s="1065"/>
      <c r="AI284" s="1065"/>
      <c r="AJ284" s="1065"/>
      <c r="AK284" s="1065"/>
      <c r="AL284" s="1065"/>
      <c r="AM284" s="1065"/>
      <c r="AN284" s="1065"/>
      <c r="AO284" s="1065"/>
      <c r="AP284" s="1065"/>
      <c r="AQ284" s="1065"/>
      <c r="AR284" s="1065"/>
      <c r="AS284" s="1065"/>
      <c r="AT284" s="1065"/>
      <c r="AU284" s="1065"/>
      <c r="AV284" s="1065"/>
      <c r="AW284" s="1065"/>
      <c r="AX284" s="1065"/>
      <c r="AY284" s="1065"/>
      <c r="AZ284" s="1065"/>
      <c r="BA284" s="1065"/>
      <c r="BB284" s="1065"/>
      <c r="BC284" s="1065"/>
      <c r="BD284" s="1065"/>
      <c r="BE284" s="1065"/>
      <c r="BF284" s="1065"/>
      <c r="BG284" s="1065"/>
      <c r="BH284" s="1065"/>
      <c r="BI284" s="1065"/>
      <c r="BJ284" s="1065"/>
      <c r="BK284" s="1065"/>
      <c r="BL284" s="1065"/>
      <c r="BM284" s="1065"/>
      <c r="BN284" s="1065"/>
      <c r="BO284" s="1065"/>
      <c r="BP284" s="1065"/>
      <c r="BQ284" s="1065"/>
      <c r="BR284" s="1065"/>
      <c r="BS284" s="1065"/>
      <c r="BT284" s="1065"/>
      <c r="BU284" s="1065"/>
      <c r="BV284" s="1065"/>
      <c r="BW284" s="1065"/>
      <c r="BX284" s="1065"/>
      <c r="BY284" s="1065"/>
      <c r="BZ284" s="1065"/>
      <c r="CA284" s="1065"/>
      <c r="CB284" s="1065"/>
      <c r="CC284" s="1065"/>
      <c r="CD284" s="1065"/>
      <c r="CE284" s="1065"/>
      <c r="CF284" s="1065"/>
      <c r="CG284" s="1065"/>
      <c r="CH284" s="1065"/>
      <c r="CI284" s="1065"/>
      <c r="CJ284" s="1065"/>
      <c r="CK284" s="1065"/>
      <c r="CL284" s="1065"/>
      <c r="CM284" s="1065"/>
      <c r="CN284" s="1065"/>
      <c r="CO284" s="1065"/>
      <c r="CP284" s="1065"/>
      <c r="CQ284" s="1065"/>
      <c r="CR284" s="1065"/>
      <c r="CS284" s="1065"/>
      <c r="CT284" s="1065"/>
      <c r="CU284" s="1065"/>
      <c r="CV284" s="1065"/>
      <c r="CW284" s="1065"/>
      <c r="CX284" s="1065"/>
      <c r="CY284" s="1065"/>
      <c r="CZ284" s="1065"/>
      <c r="DA284" s="1065"/>
      <c r="DB284" s="1065"/>
    </row>
    <row r="285" spans="1:106" ht="15" customHeight="1" thickBot="1">
      <c r="A285" s="1065"/>
      <c r="B285" s="1065"/>
      <c r="C285" s="1066" t="s">
        <v>108</v>
      </c>
      <c r="D285" s="1810"/>
      <c r="E285" s="1810"/>
      <c r="F285" s="1810"/>
      <c r="G285" s="1810"/>
      <c r="H285" s="1787"/>
      <c r="I285" s="1787"/>
      <c r="J285" s="1787"/>
      <c r="K285" s="1787"/>
      <c r="L285" s="1787"/>
      <c r="M285" s="1787"/>
      <c r="N285" s="1787"/>
      <c r="O285" s="1787"/>
      <c r="P285" s="1787"/>
      <c r="Q285" s="1787"/>
      <c r="R285" s="1787"/>
      <c r="S285" s="1105">
        <f>1.2*224.75</f>
        <v>269.7</v>
      </c>
      <c r="T285" s="1105">
        <f>269.7*2</f>
        <v>539.4</v>
      </c>
      <c r="U285" s="1805"/>
      <c r="V285" s="1065"/>
      <c r="W285" s="1065"/>
      <c r="X285" s="1065"/>
      <c r="Y285" s="1065"/>
      <c r="Z285" s="1065"/>
      <c r="AA285" s="1065"/>
      <c r="AB285" s="1065"/>
      <c r="AC285" s="1065"/>
      <c r="AD285" s="1065"/>
      <c r="AE285" s="1065"/>
      <c r="AF285" s="1065"/>
      <c r="AG285" s="1065"/>
      <c r="AH285" s="1065"/>
      <c r="AI285" s="1065"/>
      <c r="AJ285" s="1065"/>
      <c r="AK285" s="1065"/>
      <c r="AL285" s="1065"/>
      <c r="AM285" s="1065"/>
      <c r="AN285" s="1065"/>
      <c r="AO285" s="1065"/>
      <c r="AP285" s="1065"/>
      <c r="AQ285" s="1065"/>
      <c r="AR285" s="1065"/>
      <c r="AS285" s="1065"/>
      <c r="AT285" s="1065"/>
      <c r="AU285" s="1065"/>
      <c r="AV285" s="1065"/>
      <c r="AW285" s="1065"/>
      <c r="AX285" s="1065"/>
      <c r="AY285" s="1065"/>
      <c r="AZ285" s="1065"/>
      <c r="BA285" s="1065"/>
      <c r="BB285" s="1065"/>
      <c r="BC285" s="1065"/>
      <c r="BD285" s="1065"/>
      <c r="BE285" s="1065"/>
      <c r="BF285" s="1065"/>
      <c r="BG285" s="1065"/>
      <c r="BH285" s="1065"/>
      <c r="BI285" s="1065"/>
      <c r="BJ285" s="1065"/>
      <c r="BK285" s="1065"/>
      <c r="BL285" s="1065"/>
      <c r="BM285" s="1065"/>
      <c r="BN285" s="1065"/>
      <c r="BO285" s="1065"/>
      <c r="BP285" s="1065"/>
      <c r="BQ285" s="1065"/>
      <c r="BR285" s="1065"/>
      <c r="BS285" s="1065"/>
      <c r="BT285" s="1065"/>
      <c r="BU285" s="1065"/>
      <c r="BV285" s="1065"/>
      <c r="BW285" s="1065"/>
      <c r="BX285" s="1065"/>
      <c r="BY285" s="1065"/>
      <c r="BZ285" s="1065"/>
      <c r="CA285" s="1065"/>
      <c r="CB285" s="1065"/>
      <c r="CC285" s="1065"/>
      <c r="CD285" s="1065"/>
      <c r="CE285" s="1065"/>
      <c r="CF285" s="1065"/>
      <c r="CG285" s="1065"/>
      <c r="CH285" s="1065"/>
      <c r="CI285" s="1065"/>
      <c r="CJ285" s="1065"/>
      <c r="CK285" s="1065"/>
      <c r="CL285" s="1065"/>
      <c r="CM285" s="1065"/>
      <c r="CN285" s="1065"/>
      <c r="CO285" s="1065"/>
      <c r="CP285" s="1065"/>
      <c r="CQ285" s="1065"/>
      <c r="CR285" s="1065"/>
      <c r="CS285" s="1065"/>
      <c r="CT285" s="1065"/>
      <c r="CU285" s="1065"/>
      <c r="CV285" s="1065"/>
      <c r="CW285" s="1065"/>
      <c r="CX285" s="1065"/>
      <c r="CY285" s="1065"/>
      <c r="CZ285" s="1065"/>
      <c r="DA285" s="1065"/>
      <c r="DB285" s="1065"/>
    </row>
    <row r="286" spans="1:106" ht="15" customHeight="1" thickBot="1">
      <c r="A286" s="1065"/>
      <c r="B286" s="1065"/>
      <c r="C286" s="1066" t="s">
        <v>109</v>
      </c>
      <c r="D286" s="1810"/>
      <c r="E286" s="1810"/>
      <c r="F286" s="1810"/>
      <c r="G286" s="1810"/>
      <c r="H286" s="1787"/>
      <c r="I286" s="1787"/>
      <c r="J286" s="1787"/>
      <c r="K286" s="1787"/>
      <c r="L286" s="1787"/>
      <c r="M286" s="1787"/>
      <c r="N286" s="1787"/>
      <c r="O286" s="1787"/>
      <c r="P286" s="1787"/>
      <c r="Q286" s="1787"/>
      <c r="R286" s="1787"/>
      <c r="S286" s="1105">
        <f>1.2*108.57</f>
        <v>130.28399999999999</v>
      </c>
      <c r="T286" s="1105">
        <f>130.2*2</f>
        <v>260.39999999999998</v>
      </c>
      <c r="U286" s="1805"/>
      <c r="V286" s="1065"/>
      <c r="W286" s="1065"/>
      <c r="X286" s="1065"/>
      <c r="Y286" s="1065"/>
      <c r="Z286" s="1065"/>
      <c r="AA286" s="1065"/>
      <c r="AB286" s="1065"/>
      <c r="AC286" s="1065"/>
      <c r="AD286" s="1065"/>
      <c r="AE286" s="1065"/>
      <c r="AF286" s="1065"/>
      <c r="AG286" s="1065"/>
      <c r="AH286" s="1065"/>
      <c r="AI286" s="1065"/>
      <c r="AJ286" s="1065"/>
      <c r="AK286" s="1065"/>
      <c r="AL286" s="1065"/>
      <c r="AM286" s="1065"/>
      <c r="AN286" s="1065"/>
      <c r="AO286" s="1065"/>
      <c r="AP286" s="1065"/>
      <c r="AQ286" s="1065"/>
      <c r="AR286" s="1065"/>
      <c r="AS286" s="1065"/>
      <c r="AT286" s="1065"/>
      <c r="AU286" s="1065"/>
      <c r="AV286" s="1065"/>
      <c r="AW286" s="1065"/>
      <c r="AX286" s="1065"/>
      <c r="AY286" s="1065"/>
      <c r="AZ286" s="1065"/>
      <c r="BA286" s="1065"/>
      <c r="BB286" s="1065"/>
      <c r="BC286" s="1065"/>
      <c r="BD286" s="1065"/>
      <c r="BE286" s="1065"/>
      <c r="BF286" s="1065"/>
      <c r="BG286" s="1065"/>
      <c r="BH286" s="1065"/>
      <c r="BI286" s="1065"/>
      <c r="BJ286" s="1065"/>
      <c r="BK286" s="1065"/>
      <c r="BL286" s="1065"/>
      <c r="BM286" s="1065"/>
      <c r="BN286" s="1065"/>
      <c r="BO286" s="1065"/>
      <c r="BP286" s="1065"/>
      <c r="BQ286" s="1065"/>
      <c r="BR286" s="1065"/>
      <c r="BS286" s="1065"/>
      <c r="BT286" s="1065"/>
      <c r="BU286" s="1065"/>
      <c r="BV286" s="1065"/>
      <c r="BW286" s="1065"/>
      <c r="BX286" s="1065"/>
      <c r="BY286" s="1065"/>
      <c r="BZ286" s="1065"/>
      <c r="CA286" s="1065"/>
      <c r="CB286" s="1065"/>
      <c r="CC286" s="1065"/>
      <c r="CD286" s="1065"/>
      <c r="CE286" s="1065"/>
      <c r="CF286" s="1065"/>
      <c r="CG286" s="1065"/>
      <c r="CH286" s="1065"/>
      <c r="CI286" s="1065"/>
      <c r="CJ286" s="1065"/>
      <c r="CK286" s="1065"/>
      <c r="CL286" s="1065"/>
      <c r="CM286" s="1065"/>
      <c r="CN286" s="1065"/>
      <c r="CO286" s="1065"/>
      <c r="CP286" s="1065"/>
      <c r="CQ286" s="1065"/>
      <c r="CR286" s="1065"/>
      <c r="CS286" s="1065"/>
      <c r="CT286" s="1065"/>
      <c r="CU286" s="1065"/>
      <c r="CV286" s="1065"/>
      <c r="CW286" s="1065"/>
      <c r="CX286" s="1065"/>
      <c r="CY286" s="1065"/>
      <c r="CZ286" s="1065"/>
      <c r="DA286" s="1065"/>
      <c r="DB286" s="1065"/>
    </row>
    <row r="287" spans="1:106" ht="15" customHeight="1" thickBot="1">
      <c r="A287" s="1065"/>
      <c r="B287" s="1065"/>
      <c r="C287" s="1076" t="s">
        <v>670</v>
      </c>
      <c r="D287" s="1810"/>
      <c r="E287" s="1810"/>
      <c r="F287" s="1810"/>
      <c r="G287" s="1810"/>
      <c r="H287" s="1787"/>
      <c r="I287" s="1787"/>
      <c r="J287" s="1787"/>
      <c r="K287" s="1787"/>
      <c r="L287" s="1787"/>
      <c r="M287" s="1787"/>
      <c r="N287" s="1787"/>
      <c r="O287" s="1787"/>
      <c r="P287" s="1787"/>
      <c r="Q287" s="1787"/>
      <c r="R287" s="1787"/>
      <c r="S287" s="1105">
        <f>1.2*783.3</f>
        <v>939.95999999999992</v>
      </c>
      <c r="T287" s="1107">
        <f>939.96*2</f>
        <v>1879.92</v>
      </c>
      <c r="U287" s="1805"/>
      <c r="V287" s="1065"/>
      <c r="W287" s="1065"/>
      <c r="X287" s="1065"/>
      <c r="Y287" s="1065"/>
      <c r="Z287" s="1065"/>
      <c r="AA287" s="1065"/>
      <c r="AB287" s="1065"/>
      <c r="AC287" s="1065"/>
      <c r="AD287" s="1065"/>
      <c r="AE287" s="1065"/>
      <c r="AF287" s="1065"/>
      <c r="AG287" s="1065"/>
      <c r="AH287" s="1065"/>
      <c r="AI287" s="1065"/>
      <c r="AJ287" s="1065"/>
      <c r="AK287" s="1065"/>
      <c r="AL287" s="1065"/>
      <c r="AM287" s="1065"/>
      <c r="AN287" s="1065"/>
      <c r="AO287" s="1065"/>
      <c r="AP287" s="1065"/>
      <c r="AQ287" s="1065"/>
      <c r="AR287" s="1065"/>
      <c r="AS287" s="1065"/>
      <c r="AT287" s="1065"/>
      <c r="AU287" s="1065"/>
      <c r="AV287" s="1065"/>
      <c r="AW287" s="1065"/>
      <c r="AX287" s="1065"/>
      <c r="AY287" s="1065"/>
      <c r="AZ287" s="1065"/>
      <c r="BA287" s="1065"/>
      <c r="BB287" s="1065"/>
      <c r="BC287" s="1065"/>
      <c r="BD287" s="1065"/>
      <c r="BE287" s="1065"/>
      <c r="BF287" s="1065"/>
      <c r="BG287" s="1065"/>
      <c r="BH287" s="1065"/>
      <c r="BI287" s="1065"/>
      <c r="BJ287" s="1065"/>
      <c r="BK287" s="1065"/>
      <c r="BL287" s="1065"/>
      <c r="BM287" s="1065"/>
      <c r="BN287" s="1065"/>
      <c r="BO287" s="1065"/>
      <c r="BP287" s="1065"/>
      <c r="BQ287" s="1065"/>
      <c r="BR287" s="1065"/>
      <c r="BS287" s="1065"/>
      <c r="BT287" s="1065"/>
      <c r="BU287" s="1065"/>
      <c r="BV287" s="1065"/>
      <c r="BW287" s="1065"/>
      <c r="BX287" s="1065"/>
      <c r="BY287" s="1065"/>
      <c r="BZ287" s="1065"/>
      <c r="CA287" s="1065"/>
      <c r="CB287" s="1065"/>
      <c r="CC287" s="1065"/>
      <c r="CD287" s="1065"/>
      <c r="CE287" s="1065"/>
      <c r="CF287" s="1065"/>
      <c r="CG287" s="1065"/>
      <c r="CH287" s="1065"/>
      <c r="CI287" s="1065"/>
      <c r="CJ287" s="1065"/>
      <c r="CK287" s="1065"/>
      <c r="CL287" s="1065"/>
      <c r="CM287" s="1065"/>
      <c r="CN287" s="1065"/>
      <c r="CO287" s="1065"/>
      <c r="CP287" s="1065"/>
      <c r="CQ287" s="1065"/>
      <c r="CR287" s="1065"/>
      <c r="CS287" s="1065"/>
      <c r="CT287" s="1065"/>
      <c r="CU287" s="1065"/>
      <c r="CV287" s="1065"/>
      <c r="CW287" s="1065"/>
      <c r="CX287" s="1065"/>
      <c r="CY287" s="1065"/>
      <c r="CZ287" s="1065"/>
      <c r="DA287" s="1065"/>
      <c r="DB287" s="1065"/>
    </row>
    <row r="288" spans="1:106" ht="15" customHeight="1" thickBot="1">
      <c r="A288" s="1065"/>
      <c r="B288" s="1065"/>
      <c r="C288" s="1071" t="s">
        <v>304</v>
      </c>
      <c r="D288" s="1823" t="s">
        <v>700</v>
      </c>
      <c r="E288" s="1823"/>
      <c r="F288" s="1823"/>
      <c r="G288" s="1823"/>
      <c r="H288" s="1774" t="s">
        <v>671</v>
      </c>
      <c r="I288" s="1774"/>
      <c r="J288" s="1774" t="s">
        <v>704</v>
      </c>
      <c r="K288" s="1774"/>
      <c r="L288" s="1774"/>
      <c r="M288" s="1774" t="s">
        <v>702</v>
      </c>
      <c r="N288" s="1774"/>
      <c r="O288" s="1774"/>
      <c r="P288" s="1774"/>
      <c r="Q288" s="1774"/>
      <c r="R288" s="1774"/>
      <c r="S288" s="1072">
        <v>0</v>
      </c>
      <c r="T288" s="1072">
        <v>130.28</v>
      </c>
      <c r="U288" s="1805">
        <f>SUM(T288:T299)</f>
        <v>12049.050000000001</v>
      </c>
      <c r="V288" s="1065"/>
      <c r="W288" s="1065"/>
      <c r="X288" s="1065"/>
      <c r="Y288" s="1065"/>
      <c r="Z288" s="1065"/>
      <c r="AA288" s="1065"/>
      <c r="AB288" s="1065"/>
      <c r="AC288" s="1065"/>
      <c r="AD288" s="1065"/>
      <c r="AE288" s="1065"/>
      <c r="AF288" s="1065"/>
      <c r="AG288" s="1065"/>
      <c r="AH288" s="1065"/>
      <c r="AI288" s="1065"/>
      <c r="AJ288" s="1065"/>
      <c r="AK288" s="1065"/>
      <c r="AL288" s="1065"/>
      <c r="AM288" s="1065"/>
      <c r="AN288" s="1065"/>
      <c r="AO288" s="1065"/>
      <c r="AP288" s="1065"/>
      <c r="AQ288" s="1065"/>
      <c r="AR288" s="1065"/>
      <c r="AS288" s="1065"/>
      <c r="AT288" s="1065"/>
      <c r="AU288" s="1065"/>
      <c r="AV288" s="1065"/>
      <c r="AW288" s="1065"/>
      <c r="AX288" s="1065"/>
      <c r="AY288" s="1065"/>
      <c r="AZ288" s="1065"/>
      <c r="BA288" s="1065"/>
      <c r="BB288" s="1065"/>
      <c r="BC288" s="1065"/>
      <c r="BD288" s="1065"/>
      <c r="BE288" s="1065"/>
      <c r="BF288" s="1065"/>
      <c r="BG288" s="1065"/>
      <c r="BH288" s="1065"/>
      <c r="BI288" s="1065"/>
      <c r="BJ288" s="1065"/>
      <c r="BK288" s="1065"/>
      <c r="BL288" s="1065"/>
      <c r="BM288" s="1065"/>
      <c r="BN288" s="1065"/>
      <c r="BO288" s="1065"/>
      <c r="BP288" s="1065"/>
      <c r="BQ288" s="1065"/>
      <c r="BR288" s="1065"/>
      <c r="BS288" s="1065"/>
      <c r="BT288" s="1065"/>
      <c r="BU288" s="1065"/>
      <c r="BV288" s="1065"/>
      <c r="BW288" s="1065"/>
      <c r="BX288" s="1065"/>
      <c r="BY288" s="1065"/>
      <c r="BZ288" s="1065"/>
      <c r="CA288" s="1065"/>
      <c r="CB288" s="1065"/>
      <c r="CC288" s="1065"/>
      <c r="CD288" s="1065"/>
      <c r="CE288" s="1065"/>
      <c r="CF288" s="1065"/>
      <c r="CG288" s="1065"/>
      <c r="CH288" s="1065"/>
      <c r="CI288" s="1065"/>
      <c r="CJ288" s="1065"/>
      <c r="CK288" s="1065"/>
      <c r="CL288" s="1065"/>
      <c r="CM288" s="1065"/>
      <c r="CN288" s="1065"/>
      <c r="CO288" s="1065"/>
      <c r="CP288" s="1065"/>
      <c r="CQ288" s="1065"/>
      <c r="CR288" s="1065"/>
      <c r="CS288" s="1065"/>
      <c r="CT288" s="1065"/>
      <c r="CU288" s="1065"/>
      <c r="CV288" s="1065"/>
      <c r="CW288" s="1065"/>
      <c r="CX288" s="1065"/>
      <c r="CY288" s="1065"/>
      <c r="CZ288" s="1065"/>
      <c r="DA288" s="1065"/>
      <c r="DB288" s="1065"/>
    </row>
    <row r="289" spans="1:106" ht="15" customHeight="1" thickBot="1">
      <c r="A289" s="1065"/>
      <c r="B289" s="1065"/>
      <c r="C289" s="1066" t="s">
        <v>549</v>
      </c>
      <c r="D289" s="1823"/>
      <c r="E289" s="1823"/>
      <c r="F289" s="1823"/>
      <c r="G289" s="1823"/>
      <c r="H289" s="1774"/>
      <c r="I289" s="1774"/>
      <c r="J289" s="1774"/>
      <c r="K289" s="1774"/>
      <c r="L289" s="1774"/>
      <c r="M289" s="1774"/>
      <c r="N289" s="1774"/>
      <c r="O289" s="1774"/>
      <c r="P289" s="1774"/>
      <c r="Q289" s="1774"/>
      <c r="R289" s="1774"/>
      <c r="S289" s="1067">
        <v>0</v>
      </c>
      <c r="T289" s="1067">
        <v>130.28</v>
      </c>
      <c r="U289" s="1805"/>
      <c r="V289" s="1065"/>
      <c r="W289" s="1065"/>
      <c r="X289" s="1065"/>
      <c r="Y289" s="1065"/>
      <c r="Z289" s="1065"/>
      <c r="AA289" s="1065"/>
      <c r="AB289" s="1065"/>
      <c r="AC289" s="1065"/>
      <c r="AD289" s="1065"/>
      <c r="AE289" s="1065"/>
      <c r="AF289" s="1065"/>
      <c r="AG289" s="1065"/>
      <c r="AH289" s="1065"/>
      <c r="AI289" s="1065"/>
      <c r="AJ289" s="1065"/>
      <c r="AK289" s="1065"/>
      <c r="AL289" s="1065"/>
      <c r="AM289" s="1065"/>
      <c r="AN289" s="1065"/>
      <c r="AO289" s="1065"/>
      <c r="AP289" s="1065"/>
      <c r="AQ289" s="1065"/>
      <c r="AR289" s="1065"/>
      <c r="AS289" s="1065"/>
      <c r="AT289" s="1065"/>
      <c r="AU289" s="1065"/>
      <c r="AV289" s="1065"/>
      <c r="AW289" s="1065"/>
      <c r="AX289" s="1065"/>
      <c r="AY289" s="1065"/>
      <c r="AZ289" s="1065"/>
      <c r="BA289" s="1065"/>
      <c r="BB289" s="1065"/>
      <c r="BC289" s="1065"/>
      <c r="BD289" s="1065"/>
      <c r="BE289" s="1065"/>
      <c r="BF289" s="1065"/>
      <c r="BG289" s="1065"/>
      <c r="BH289" s="1065"/>
      <c r="BI289" s="1065"/>
      <c r="BJ289" s="1065"/>
      <c r="BK289" s="1065"/>
      <c r="BL289" s="1065"/>
      <c r="BM289" s="1065"/>
      <c r="BN289" s="1065"/>
      <c r="BO289" s="1065"/>
      <c r="BP289" s="1065"/>
      <c r="BQ289" s="1065"/>
      <c r="BR289" s="1065"/>
      <c r="BS289" s="1065"/>
      <c r="BT289" s="1065"/>
      <c r="BU289" s="1065"/>
      <c r="BV289" s="1065"/>
      <c r="BW289" s="1065"/>
      <c r="BX289" s="1065"/>
      <c r="BY289" s="1065"/>
      <c r="BZ289" s="1065"/>
      <c r="CA289" s="1065"/>
      <c r="CB289" s="1065"/>
      <c r="CC289" s="1065"/>
      <c r="CD289" s="1065"/>
      <c r="CE289" s="1065"/>
      <c r="CF289" s="1065"/>
      <c r="CG289" s="1065"/>
      <c r="CH289" s="1065"/>
      <c r="CI289" s="1065"/>
      <c r="CJ289" s="1065"/>
      <c r="CK289" s="1065"/>
      <c r="CL289" s="1065"/>
      <c r="CM289" s="1065"/>
      <c r="CN289" s="1065"/>
      <c r="CO289" s="1065"/>
      <c r="CP289" s="1065"/>
      <c r="CQ289" s="1065"/>
      <c r="CR289" s="1065"/>
      <c r="CS289" s="1065"/>
      <c r="CT289" s="1065"/>
      <c r="CU289" s="1065"/>
      <c r="CV289" s="1065"/>
      <c r="CW289" s="1065"/>
      <c r="CX289" s="1065"/>
      <c r="CY289" s="1065"/>
      <c r="CZ289" s="1065"/>
      <c r="DA289" s="1065"/>
      <c r="DB289" s="1065"/>
    </row>
    <row r="290" spans="1:106" ht="15" customHeight="1" thickBot="1">
      <c r="A290" s="1065"/>
      <c r="B290" s="1065"/>
      <c r="C290" s="1066" t="s">
        <v>110</v>
      </c>
      <c r="D290" s="1823"/>
      <c r="E290" s="1823"/>
      <c r="F290" s="1823"/>
      <c r="G290" s="1823"/>
      <c r="H290" s="1774"/>
      <c r="I290" s="1774"/>
      <c r="J290" s="1774"/>
      <c r="K290" s="1774"/>
      <c r="L290" s="1774"/>
      <c r="M290" s="1774"/>
      <c r="N290" s="1774"/>
      <c r="O290" s="1774"/>
      <c r="P290" s="1774"/>
      <c r="Q290" s="1774"/>
      <c r="R290" s="1774"/>
      <c r="S290" s="1067">
        <v>0</v>
      </c>
      <c r="T290" s="1067">
        <v>86.95</v>
      </c>
      <c r="U290" s="1805"/>
      <c r="V290" s="1065"/>
      <c r="W290" s="1065"/>
      <c r="X290" s="1065"/>
      <c r="Y290" s="1065"/>
      <c r="Z290" s="1065"/>
      <c r="AA290" s="1065"/>
      <c r="AB290" s="1065"/>
      <c r="AC290" s="1065"/>
      <c r="AD290" s="1065"/>
      <c r="AE290" s="1065"/>
      <c r="AF290" s="1065"/>
      <c r="AG290" s="1065"/>
      <c r="AH290" s="1065"/>
      <c r="AI290" s="1065"/>
      <c r="AJ290" s="1065"/>
      <c r="AK290" s="1065"/>
      <c r="AL290" s="1065"/>
      <c r="AM290" s="1065"/>
      <c r="AN290" s="1065"/>
      <c r="AO290" s="1065"/>
      <c r="AP290" s="1065"/>
      <c r="AQ290" s="1065"/>
      <c r="AR290" s="1065"/>
      <c r="AS290" s="1065"/>
      <c r="AT290" s="1065"/>
      <c r="AU290" s="1065"/>
      <c r="AV290" s="1065"/>
      <c r="AW290" s="1065"/>
      <c r="AX290" s="1065"/>
      <c r="AY290" s="1065"/>
      <c r="AZ290" s="1065"/>
      <c r="BA290" s="1065"/>
      <c r="BB290" s="1065"/>
      <c r="BC290" s="1065"/>
      <c r="BD290" s="1065"/>
      <c r="BE290" s="1065"/>
      <c r="BF290" s="1065"/>
      <c r="BG290" s="1065"/>
      <c r="BH290" s="1065"/>
      <c r="BI290" s="1065"/>
      <c r="BJ290" s="1065"/>
      <c r="BK290" s="1065"/>
      <c r="BL290" s="1065"/>
      <c r="BM290" s="1065"/>
      <c r="BN290" s="1065"/>
      <c r="BO290" s="1065"/>
      <c r="BP290" s="1065"/>
      <c r="BQ290" s="1065"/>
      <c r="BR290" s="1065"/>
      <c r="BS290" s="1065"/>
      <c r="BT290" s="1065"/>
      <c r="BU290" s="1065"/>
      <c r="BV290" s="1065"/>
      <c r="BW290" s="1065"/>
      <c r="BX290" s="1065"/>
      <c r="BY290" s="1065"/>
      <c r="BZ290" s="1065"/>
      <c r="CA290" s="1065"/>
      <c r="CB290" s="1065"/>
      <c r="CC290" s="1065"/>
      <c r="CD290" s="1065"/>
      <c r="CE290" s="1065"/>
      <c r="CF290" s="1065"/>
      <c r="CG290" s="1065"/>
      <c r="CH290" s="1065"/>
      <c r="CI290" s="1065"/>
      <c r="CJ290" s="1065"/>
      <c r="CK290" s="1065"/>
      <c r="CL290" s="1065"/>
      <c r="CM290" s="1065"/>
      <c r="CN290" s="1065"/>
      <c r="CO290" s="1065"/>
      <c r="CP290" s="1065"/>
      <c r="CQ290" s="1065"/>
      <c r="CR290" s="1065"/>
      <c r="CS290" s="1065"/>
      <c r="CT290" s="1065"/>
      <c r="CU290" s="1065"/>
      <c r="CV290" s="1065"/>
      <c r="CW290" s="1065"/>
      <c r="CX290" s="1065"/>
      <c r="CY290" s="1065"/>
      <c r="CZ290" s="1065"/>
      <c r="DA290" s="1065"/>
      <c r="DB290" s="1065"/>
    </row>
    <row r="291" spans="1:106" ht="15" customHeight="1" thickBot="1">
      <c r="A291" s="1065"/>
      <c r="B291" s="1065"/>
      <c r="C291" s="1066" t="s">
        <v>679</v>
      </c>
      <c r="D291" s="1823"/>
      <c r="E291" s="1823"/>
      <c r="F291" s="1823"/>
      <c r="G291" s="1823"/>
      <c r="H291" s="1774"/>
      <c r="I291" s="1774"/>
      <c r="J291" s="1774"/>
      <c r="K291" s="1774"/>
      <c r="L291" s="1774"/>
      <c r="M291" s="1774"/>
      <c r="N291" s="1774"/>
      <c r="O291" s="1774"/>
      <c r="P291" s="1774"/>
      <c r="Q291" s="1774"/>
      <c r="R291" s="1774"/>
      <c r="S291" s="1067">
        <v>0</v>
      </c>
      <c r="T291" s="1067">
        <v>2438.64</v>
      </c>
      <c r="U291" s="1805"/>
      <c r="V291" s="1065"/>
      <c r="W291" s="1065"/>
      <c r="X291" s="1065"/>
      <c r="Y291" s="1065"/>
      <c r="Z291" s="1065"/>
      <c r="AA291" s="1065"/>
      <c r="AB291" s="1065"/>
      <c r="AC291" s="1065"/>
      <c r="AD291" s="1065"/>
      <c r="AE291" s="1065"/>
      <c r="AF291" s="1065"/>
      <c r="AG291" s="1065"/>
      <c r="AH291" s="1065"/>
      <c r="AI291" s="1065"/>
      <c r="AJ291" s="1065"/>
      <c r="AK291" s="1065"/>
      <c r="AL291" s="1065"/>
      <c r="AM291" s="1065"/>
      <c r="AN291" s="1065"/>
      <c r="AO291" s="1065"/>
      <c r="AP291" s="1065"/>
      <c r="AQ291" s="1065"/>
      <c r="AR291" s="1065"/>
      <c r="AS291" s="1065"/>
      <c r="AT291" s="1065"/>
      <c r="AU291" s="1065"/>
      <c r="AV291" s="1065"/>
      <c r="AW291" s="1065"/>
      <c r="AX291" s="1065"/>
      <c r="AY291" s="1065"/>
      <c r="AZ291" s="1065"/>
      <c r="BA291" s="1065"/>
      <c r="BB291" s="1065"/>
      <c r="BC291" s="1065"/>
      <c r="BD291" s="1065"/>
      <c r="BE291" s="1065"/>
      <c r="BF291" s="1065"/>
      <c r="BG291" s="1065"/>
      <c r="BH291" s="1065"/>
      <c r="BI291" s="1065"/>
      <c r="BJ291" s="1065"/>
      <c r="BK291" s="1065"/>
      <c r="BL291" s="1065"/>
      <c r="BM291" s="1065"/>
      <c r="BN291" s="1065"/>
      <c r="BO291" s="1065"/>
      <c r="BP291" s="1065"/>
      <c r="BQ291" s="1065"/>
      <c r="BR291" s="1065"/>
      <c r="BS291" s="1065"/>
      <c r="BT291" s="1065"/>
      <c r="BU291" s="1065"/>
      <c r="BV291" s="1065"/>
      <c r="BW291" s="1065"/>
      <c r="BX291" s="1065"/>
      <c r="BY291" s="1065"/>
      <c r="BZ291" s="1065"/>
      <c r="CA291" s="1065"/>
      <c r="CB291" s="1065"/>
      <c r="CC291" s="1065"/>
      <c r="CD291" s="1065"/>
      <c r="CE291" s="1065"/>
      <c r="CF291" s="1065"/>
      <c r="CG291" s="1065"/>
      <c r="CH291" s="1065"/>
      <c r="CI291" s="1065"/>
      <c r="CJ291" s="1065"/>
      <c r="CK291" s="1065"/>
      <c r="CL291" s="1065"/>
      <c r="CM291" s="1065"/>
      <c r="CN291" s="1065"/>
      <c r="CO291" s="1065"/>
      <c r="CP291" s="1065"/>
      <c r="CQ291" s="1065"/>
      <c r="CR291" s="1065"/>
      <c r="CS291" s="1065"/>
      <c r="CT291" s="1065"/>
      <c r="CU291" s="1065"/>
      <c r="CV291" s="1065"/>
      <c r="CW291" s="1065"/>
      <c r="CX291" s="1065"/>
      <c r="CY291" s="1065"/>
      <c r="CZ291" s="1065"/>
      <c r="DA291" s="1065"/>
      <c r="DB291" s="1065"/>
    </row>
    <row r="292" spans="1:106" ht="15" customHeight="1" thickBot="1">
      <c r="A292" s="1065"/>
      <c r="B292" s="1065"/>
      <c r="C292" s="1066" t="s">
        <v>705</v>
      </c>
      <c r="D292" s="1823"/>
      <c r="E292" s="1823"/>
      <c r="F292" s="1823"/>
      <c r="G292" s="1823"/>
      <c r="H292" s="1774"/>
      <c r="I292" s="1774"/>
      <c r="J292" s="1774"/>
      <c r="K292" s="1774"/>
      <c r="L292" s="1774"/>
      <c r="M292" s="1774"/>
      <c r="N292" s="1774"/>
      <c r="O292" s="1774"/>
      <c r="P292" s="1774"/>
      <c r="Q292" s="1774"/>
      <c r="R292" s="1774"/>
      <c r="S292" s="1067">
        <v>0</v>
      </c>
      <c r="T292" s="1067">
        <v>1700.6</v>
      </c>
      <c r="U292" s="1805"/>
      <c r="V292" s="1065"/>
      <c r="W292" s="1065"/>
      <c r="X292" s="1065"/>
      <c r="Y292" s="1065"/>
      <c r="Z292" s="1065"/>
      <c r="AA292" s="1065"/>
      <c r="AB292" s="1065"/>
      <c r="AC292" s="1065"/>
      <c r="AD292" s="1065"/>
      <c r="AE292" s="1065"/>
      <c r="AF292" s="1065"/>
      <c r="AG292" s="1065"/>
      <c r="AH292" s="1065"/>
      <c r="AI292" s="1065"/>
      <c r="AJ292" s="1065"/>
      <c r="AK292" s="1065"/>
      <c r="AL292" s="1065"/>
      <c r="AM292" s="1065"/>
      <c r="AN292" s="1065"/>
      <c r="AO292" s="1065"/>
      <c r="AP292" s="1065"/>
      <c r="AQ292" s="1065"/>
      <c r="AR292" s="1065"/>
      <c r="AS292" s="1065"/>
      <c r="AT292" s="1065"/>
      <c r="AU292" s="1065"/>
      <c r="AV292" s="1065"/>
      <c r="AW292" s="1065"/>
      <c r="AX292" s="1065"/>
      <c r="AY292" s="1065"/>
      <c r="AZ292" s="1065"/>
      <c r="BA292" s="1065"/>
      <c r="BB292" s="1065"/>
      <c r="BC292" s="1065"/>
      <c r="BD292" s="1065"/>
      <c r="BE292" s="1065"/>
      <c r="BF292" s="1065"/>
      <c r="BG292" s="1065"/>
      <c r="BH292" s="1065"/>
      <c r="BI292" s="1065"/>
      <c r="BJ292" s="1065"/>
      <c r="BK292" s="1065"/>
      <c r="BL292" s="1065"/>
      <c r="BM292" s="1065"/>
      <c r="BN292" s="1065"/>
      <c r="BO292" s="1065"/>
      <c r="BP292" s="1065"/>
      <c r="BQ292" s="1065"/>
      <c r="BR292" s="1065"/>
      <c r="BS292" s="1065"/>
      <c r="BT292" s="1065"/>
      <c r="BU292" s="1065"/>
      <c r="BV292" s="1065"/>
      <c r="BW292" s="1065"/>
      <c r="BX292" s="1065"/>
      <c r="BY292" s="1065"/>
      <c r="BZ292" s="1065"/>
      <c r="CA292" s="1065"/>
      <c r="CB292" s="1065"/>
      <c r="CC292" s="1065"/>
      <c r="CD292" s="1065"/>
      <c r="CE292" s="1065"/>
      <c r="CF292" s="1065"/>
      <c r="CG292" s="1065"/>
      <c r="CH292" s="1065"/>
      <c r="CI292" s="1065"/>
      <c r="CJ292" s="1065"/>
      <c r="CK292" s="1065"/>
      <c r="CL292" s="1065"/>
      <c r="CM292" s="1065"/>
      <c r="CN292" s="1065"/>
      <c r="CO292" s="1065"/>
      <c r="CP292" s="1065"/>
      <c r="CQ292" s="1065"/>
      <c r="CR292" s="1065"/>
      <c r="CS292" s="1065"/>
      <c r="CT292" s="1065"/>
      <c r="CU292" s="1065"/>
      <c r="CV292" s="1065"/>
      <c r="CW292" s="1065"/>
      <c r="CX292" s="1065"/>
      <c r="CY292" s="1065"/>
      <c r="CZ292" s="1065"/>
      <c r="DA292" s="1065"/>
      <c r="DB292" s="1065"/>
    </row>
    <row r="293" spans="1:106" ht="15" customHeight="1" thickBot="1">
      <c r="A293" s="1065"/>
      <c r="B293" s="1065"/>
      <c r="C293" s="1066" t="s">
        <v>706</v>
      </c>
      <c r="D293" s="1823"/>
      <c r="E293" s="1823"/>
      <c r="F293" s="1823"/>
      <c r="G293" s="1823"/>
      <c r="H293" s="1774"/>
      <c r="I293" s="1774"/>
      <c r="J293" s="1774"/>
      <c r="K293" s="1774"/>
      <c r="L293" s="1774"/>
      <c r="M293" s="1774"/>
      <c r="N293" s="1774"/>
      <c r="O293" s="1774"/>
      <c r="P293" s="1774"/>
      <c r="Q293" s="1774"/>
      <c r="R293" s="1774"/>
      <c r="S293" s="1067">
        <v>0</v>
      </c>
      <c r="T293" s="1067">
        <v>1445.46</v>
      </c>
      <c r="U293" s="1805"/>
      <c r="V293" s="1065"/>
      <c r="W293" s="1065"/>
      <c r="X293" s="1065"/>
      <c r="Y293" s="1065"/>
      <c r="Z293" s="1065"/>
      <c r="AA293" s="1065"/>
      <c r="AB293" s="1065"/>
      <c r="AC293" s="1065"/>
      <c r="AD293" s="1065"/>
      <c r="AE293" s="1065"/>
      <c r="AF293" s="1065"/>
      <c r="AG293" s="1065"/>
      <c r="AH293" s="1065"/>
      <c r="AI293" s="1065"/>
      <c r="AJ293" s="1065"/>
      <c r="AK293" s="1065"/>
      <c r="AL293" s="1065"/>
      <c r="AM293" s="1065"/>
      <c r="AN293" s="1065"/>
      <c r="AO293" s="1065"/>
      <c r="AP293" s="1065"/>
      <c r="AQ293" s="1065"/>
      <c r="AR293" s="1065"/>
      <c r="AS293" s="1065"/>
      <c r="AT293" s="1065"/>
      <c r="AU293" s="1065"/>
      <c r="AV293" s="1065"/>
      <c r="AW293" s="1065"/>
      <c r="AX293" s="1065"/>
      <c r="AY293" s="1065"/>
      <c r="AZ293" s="1065"/>
      <c r="BA293" s="1065"/>
      <c r="BB293" s="1065"/>
      <c r="BC293" s="1065"/>
      <c r="BD293" s="1065"/>
      <c r="BE293" s="1065"/>
      <c r="BF293" s="1065"/>
      <c r="BG293" s="1065"/>
      <c r="BH293" s="1065"/>
      <c r="BI293" s="1065"/>
      <c r="BJ293" s="1065"/>
      <c r="BK293" s="1065"/>
      <c r="BL293" s="1065"/>
      <c r="BM293" s="1065"/>
      <c r="BN293" s="1065"/>
      <c r="BO293" s="1065"/>
      <c r="BP293" s="1065"/>
      <c r="BQ293" s="1065"/>
      <c r="BR293" s="1065"/>
      <c r="BS293" s="1065"/>
      <c r="BT293" s="1065"/>
      <c r="BU293" s="1065"/>
      <c r="BV293" s="1065"/>
      <c r="BW293" s="1065"/>
      <c r="BX293" s="1065"/>
      <c r="BY293" s="1065"/>
      <c r="BZ293" s="1065"/>
      <c r="CA293" s="1065"/>
      <c r="CB293" s="1065"/>
      <c r="CC293" s="1065"/>
      <c r="CD293" s="1065"/>
      <c r="CE293" s="1065"/>
      <c r="CF293" s="1065"/>
      <c r="CG293" s="1065"/>
      <c r="CH293" s="1065"/>
      <c r="CI293" s="1065"/>
      <c r="CJ293" s="1065"/>
      <c r="CK293" s="1065"/>
      <c r="CL293" s="1065"/>
      <c r="CM293" s="1065"/>
      <c r="CN293" s="1065"/>
      <c r="CO293" s="1065"/>
      <c r="CP293" s="1065"/>
      <c r="CQ293" s="1065"/>
      <c r="CR293" s="1065"/>
      <c r="CS293" s="1065"/>
      <c r="CT293" s="1065"/>
      <c r="CU293" s="1065"/>
      <c r="CV293" s="1065"/>
      <c r="CW293" s="1065"/>
      <c r="CX293" s="1065"/>
      <c r="CY293" s="1065"/>
      <c r="CZ293" s="1065"/>
      <c r="DA293" s="1065"/>
      <c r="DB293" s="1065"/>
    </row>
    <row r="294" spans="1:106" ht="15" customHeight="1" thickBot="1">
      <c r="A294" s="1065"/>
      <c r="B294" s="1065"/>
      <c r="C294" s="1066" t="s">
        <v>707</v>
      </c>
      <c r="D294" s="1823"/>
      <c r="E294" s="1823"/>
      <c r="F294" s="1823"/>
      <c r="G294" s="1823"/>
      <c r="H294" s="1774"/>
      <c r="I294" s="1774"/>
      <c r="J294" s="1774"/>
      <c r="K294" s="1774"/>
      <c r="L294" s="1774"/>
      <c r="M294" s="1774"/>
      <c r="N294" s="1774"/>
      <c r="O294" s="1774"/>
      <c r="P294" s="1774"/>
      <c r="Q294" s="1774"/>
      <c r="R294" s="1774"/>
      <c r="S294" s="1067">
        <v>0</v>
      </c>
      <c r="T294" s="1067">
        <v>458.7</v>
      </c>
      <c r="U294" s="1805"/>
      <c r="V294" s="1065"/>
      <c r="W294" s="1065"/>
      <c r="X294" s="1065"/>
      <c r="Y294" s="1065"/>
      <c r="Z294" s="1065"/>
      <c r="AA294" s="1065"/>
      <c r="AB294" s="1065"/>
      <c r="AC294" s="1065"/>
      <c r="AD294" s="1065"/>
      <c r="AE294" s="1065"/>
      <c r="AF294" s="1065"/>
      <c r="AG294" s="1065"/>
      <c r="AH294" s="1065"/>
      <c r="AI294" s="1065"/>
      <c r="AJ294" s="1065"/>
      <c r="AK294" s="1065"/>
      <c r="AL294" s="1065"/>
      <c r="AM294" s="1065"/>
      <c r="AN294" s="1065"/>
      <c r="AO294" s="1065"/>
      <c r="AP294" s="1065"/>
      <c r="AQ294" s="1065"/>
      <c r="AR294" s="1065"/>
      <c r="AS294" s="1065"/>
      <c r="AT294" s="1065"/>
      <c r="AU294" s="1065"/>
      <c r="AV294" s="1065"/>
      <c r="AW294" s="1065"/>
      <c r="AX294" s="1065"/>
      <c r="AY294" s="1065"/>
      <c r="AZ294" s="1065"/>
      <c r="BA294" s="1065"/>
      <c r="BB294" s="1065"/>
      <c r="BC294" s="1065"/>
      <c r="BD294" s="1065"/>
      <c r="BE294" s="1065"/>
      <c r="BF294" s="1065"/>
      <c r="BG294" s="1065"/>
      <c r="BH294" s="1065"/>
      <c r="BI294" s="1065"/>
      <c r="BJ294" s="1065"/>
      <c r="BK294" s="1065"/>
      <c r="BL294" s="1065"/>
      <c r="BM294" s="1065"/>
      <c r="BN294" s="1065"/>
      <c r="BO294" s="1065"/>
      <c r="BP294" s="1065"/>
      <c r="BQ294" s="1065"/>
      <c r="BR294" s="1065"/>
      <c r="BS294" s="1065"/>
      <c r="BT294" s="1065"/>
      <c r="BU294" s="1065"/>
      <c r="BV294" s="1065"/>
      <c r="BW294" s="1065"/>
      <c r="BX294" s="1065"/>
      <c r="BY294" s="1065"/>
      <c r="BZ294" s="1065"/>
      <c r="CA294" s="1065"/>
      <c r="CB294" s="1065"/>
      <c r="CC294" s="1065"/>
      <c r="CD294" s="1065"/>
      <c r="CE294" s="1065"/>
      <c r="CF294" s="1065"/>
      <c r="CG294" s="1065"/>
      <c r="CH294" s="1065"/>
      <c r="CI294" s="1065"/>
      <c r="CJ294" s="1065"/>
      <c r="CK294" s="1065"/>
      <c r="CL294" s="1065"/>
      <c r="CM294" s="1065"/>
      <c r="CN294" s="1065"/>
      <c r="CO294" s="1065"/>
      <c r="CP294" s="1065"/>
      <c r="CQ294" s="1065"/>
      <c r="CR294" s="1065"/>
      <c r="CS294" s="1065"/>
      <c r="CT294" s="1065"/>
      <c r="CU294" s="1065"/>
      <c r="CV294" s="1065"/>
      <c r="CW294" s="1065"/>
      <c r="CX294" s="1065"/>
      <c r="CY294" s="1065"/>
      <c r="CZ294" s="1065"/>
      <c r="DA294" s="1065"/>
      <c r="DB294" s="1065"/>
    </row>
    <row r="295" spans="1:106" ht="15" customHeight="1" thickBot="1">
      <c r="A295" s="1065"/>
      <c r="B295" s="1065"/>
      <c r="C295" s="1066" t="s">
        <v>708</v>
      </c>
      <c r="D295" s="1823"/>
      <c r="E295" s="1823"/>
      <c r="F295" s="1823"/>
      <c r="G295" s="1823"/>
      <c r="H295" s="1774"/>
      <c r="I295" s="1774"/>
      <c r="J295" s="1774"/>
      <c r="K295" s="1774"/>
      <c r="L295" s="1774"/>
      <c r="M295" s="1774"/>
      <c r="N295" s="1774"/>
      <c r="O295" s="1774"/>
      <c r="P295" s="1774"/>
      <c r="Q295" s="1774"/>
      <c r="R295" s="1774"/>
      <c r="S295" s="1067">
        <v>0</v>
      </c>
      <c r="T295" s="1067">
        <v>5093.3999999999996</v>
      </c>
      <c r="U295" s="1805"/>
      <c r="V295" s="1065"/>
      <c r="W295" s="1065"/>
      <c r="X295" s="1065"/>
      <c r="Y295" s="1065"/>
      <c r="Z295" s="1065"/>
      <c r="AA295" s="1065"/>
      <c r="AB295" s="1065"/>
      <c r="AC295" s="1065"/>
      <c r="AD295" s="1065"/>
      <c r="AE295" s="1065"/>
      <c r="AF295" s="1065"/>
      <c r="AG295" s="1065"/>
      <c r="AH295" s="1065"/>
      <c r="AI295" s="1065"/>
      <c r="AJ295" s="1065"/>
      <c r="AK295" s="1065"/>
      <c r="AL295" s="1065"/>
      <c r="AM295" s="1065"/>
      <c r="AN295" s="1065"/>
      <c r="AO295" s="1065"/>
      <c r="AP295" s="1065"/>
      <c r="AQ295" s="1065"/>
      <c r="AR295" s="1065"/>
      <c r="AS295" s="1065"/>
      <c r="AT295" s="1065"/>
      <c r="AU295" s="1065"/>
      <c r="AV295" s="1065"/>
      <c r="AW295" s="1065"/>
      <c r="AX295" s="1065"/>
      <c r="AY295" s="1065"/>
      <c r="AZ295" s="1065"/>
      <c r="BA295" s="1065"/>
      <c r="BB295" s="1065"/>
      <c r="BC295" s="1065"/>
      <c r="BD295" s="1065"/>
      <c r="BE295" s="1065"/>
      <c r="BF295" s="1065"/>
      <c r="BG295" s="1065"/>
      <c r="BH295" s="1065"/>
      <c r="BI295" s="1065"/>
      <c r="BJ295" s="1065"/>
      <c r="BK295" s="1065"/>
      <c r="BL295" s="1065"/>
      <c r="BM295" s="1065"/>
      <c r="BN295" s="1065"/>
      <c r="BO295" s="1065"/>
      <c r="BP295" s="1065"/>
      <c r="BQ295" s="1065"/>
      <c r="BR295" s="1065"/>
      <c r="BS295" s="1065"/>
      <c r="BT295" s="1065"/>
      <c r="BU295" s="1065"/>
      <c r="BV295" s="1065"/>
      <c r="BW295" s="1065"/>
      <c r="BX295" s="1065"/>
      <c r="BY295" s="1065"/>
      <c r="BZ295" s="1065"/>
      <c r="CA295" s="1065"/>
      <c r="CB295" s="1065"/>
      <c r="CC295" s="1065"/>
      <c r="CD295" s="1065"/>
      <c r="CE295" s="1065"/>
      <c r="CF295" s="1065"/>
      <c r="CG295" s="1065"/>
      <c r="CH295" s="1065"/>
      <c r="CI295" s="1065"/>
      <c r="CJ295" s="1065"/>
      <c r="CK295" s="1065"/>
      <c r="CL295" s="1065"/>
      <c r="CM295" s="1065"/>
      <c r="CN295" s="1065"/>
      <c r="CO295" s="1065"/>
      <c r="CP295" s="1065"/>
      <c r="CQ295" s="1065"/>
      <c r="CR295" s="1065"/>
      <c r="CS295" s="1065"/>
      <c r="CT295" s="1065"/>
      <c r="CU295" s="1065"/>
      <c r="CV295" s="1065"/>
      <c r="CW295" s="1065"/>
      <c r="CX295" s="1065"/>
      <c r="CY295" s="1065"/>
      <c r="CZ295" s="1065"/>
      <c r="DA295" s="1065"/>
      <c r="DB295" s="1065"/>
    </row>
    <row r="296" spans="1:106" ht="15" customHeight="1" thickBot="1">
      <c r="A296" s="1065"/>
      <c r="B296" s="1065"/>
      <c r="C296" s="1069" t="s">
        <v>676</v>
      </c>
      <c r="D296" s="1823"/>
      <c r="E296" s="1823"/>
      <c r="F296" s="1823"/>
      <c r="G296" s="1823"/>
      <c r="H296" s="1774"/>
      <c r="I296" s="1774"/>
      <c r="J296" s="1774"/>
      <c r="K296" s="1774"/>
      <c r="L296" s="1774"/>
      <c r="M296" s="1774"/>
      <c r="N296" s="1774"/>
      <c r="O296" s="1774"/>
      <c r="P296" s="1774"/>
      <c r="Q296" s="1774"/>
      <c r="R296" s="1774"/>
      <c r="S296" s="1108">
        <v>0</v>
      </c>
      <c r="T296" s="1108">
        <v>173.9</v>
      </c>
      <c r="U296" s="1805"/>
      <c r="V296" s="1065"/>
      <c r="W296" s="1065"/>
      <c r="X296" s="1065"/>
      <c r="Y296" s="1065"/>
      <c r="Z296" s="1065"/>
      <c r="AA296" s="1065"/>
      <c r="AB296" s="1065"/>
      <c r="AC296" s="1065"/>
      <c r="AD296" s="1065"/>
      <c r="AE296" s="1065"/>
      <c r="AF296" s="1065"/>
      <c r="AG296" s="1065"/>
      <c r="AH296" s="1065"/>
      <c r="AI296" s="1065"/>
      <c r="AJ296" s="1065"/>
      <c r="AK296" s="1065"/>
      <c r="AL296" s="1065"/>
      <c r="AM296" s="1065"/>
      <c r="AN296" s="1065"/>
      <c r="AO296" s="1065"/>
      <c r="AP296" s="1065"/>
      <c r="AQ296" s="1065"/>
      <c r="AR296" s="1065"/>
      <c r="AS296" s="1065"/>
      <c r="AT296" s="1065"/>
      <c r="AU296" s="1065"/>
      <c r="AV296" s="1065"/>
      <c r="AW296" s="1065"/>
      <c r="AX296" s="1065"/>
      <c r="AY296" s="1065"/>
      <c r="AZ296" s="1065"/>
      <c r="BA296" s="1065"/>
      <c r="BB296" s="1065"/>
      <c r="BC296" s="1065"/>
      <c r="BD296" s="1065"/>
      <c r="BE296" s="1065"/>
      <c r="BF296" s="1065"/>
      <c r="BG296" s="1065"/>
      <c r="BH296" s="1065"/>
      <c r="BI296" s="1065"/>
      <c r="BJ296" s="1065"/>
      <c r="BK296" s="1065"/>
      <c r="BL296" s="1065"/>
      <c r="BM296" s="1065"/>
      <c r="BN296" s="1065"/>
      <c r="BO296" s="1065"/>
      <c r="BP296" s="1065"/>
      <c r="BQ296" s="1065"/>
      <c r="BR296" s="1065"/>
      <c r="BS296" s="1065"/>
      <c r="BT296" s="1065"/>
      <c r="BU296" s="1065"/>
      <c r="BV296" s="1065"/>
      <c r="BW296" s="1065"/>
      <c r="BX296" s="1065"/>
      <c r="BY296" s="1065"/>
      <c r="BZ296" s="1065"/>
      <c r="CA296" s="1065"/>
      <c r="CB296" s="1065"/>
      <c r="CC296" s="1065"/>
      <c r="CD296" s="1065"/>
      <c r="CE296" s="1065"/>
      <c r="CF296" s="1065"/>
      <c r="CG296" s="1065"/>
      <c r="CH296" s="1065"/>
      <c r="CI296" s="1065"/>
      <c r="CJ296" s="1065"/>
      <c r="CK296" s="1065"/>
      <c r="CL296" s="1065"/>
      <c r="CM296" s="1065"/>
      <c r="CN296" s="1065"/>
      <c r="CO296" s="1065"/>
      <c r="CP296" s="1065"/>
      <c r="CQ296" s="1065"/>
      <c r="CR296" s="1065"/>
      <c r="CS296" s="1065"/>
      <c r="CT296" s="1065"/>
      <c r="CU296" s="1065"/>
      <c r="CV296" s="1065"/>
      <c r="CW296" s="1065"/>
      <c r="CX296" s="1065"/>
      <c r="CY296" s="1065"/>
      <c r="CZ296" s="1065"/>
      <c r="DA296" s="1065"/>
      <c r="DB296" s="1065"/>
    </row>
    <row r="297" spans="1:106" ht="15" customHeight="1" thickBot="1">
      <c r="A297" s="1065"/>
      <c r="B297" s="1065"/>
      <c r="C297" s="1069" t="s">
        <v>316</v>
      </c>
      <c r="D297" s="1823"/>
      <c r="E297" s="1823"/>
      <c r="F297" s="1823"/>
      <c r="G297" s="1823"/>
      <c r="H297" s="1774"/>
      <c r="I297" s="1774"/>
      <c r="J297" s="1774"/>
      <c r="K297" s="1774"/>
      <c r="L297" s="1774"/>
      <c r="M297" s="1774"/>
      <c r="N297" s="1774"/>
      <c r="O297" s="1774"/>
      <c r="P297" s="1774"/>
      <c r="Q297" s="1774"/>
      <c r="R297" s="1774"/>
      <c r="S297" s="1108">
        <v>0</v>
      </c>
      <c r="T297" s="1108">
        <v>130.28</v>
      </c>
      <c r="U297" s="1805"/>
      <c r="V297" s="1065"/>
      <c r="W297" s="1065"/>
      <c r="X297" s="1065"/>
      <c r="Y297" s="1065"/>
      <c r="Z297" s="1065"/>
      <c r="AA297" s="1065"/>
      <c r="AB297" s="1065"/>
      <c r="AC297" s="1065"/>
      <c r="AD297" s="1065"/>
      <c r="AE297" s="1065"/>
      <c r="AF297" s="1065"/>
      <c r="AG297" s="1065"/>
      <c r="AH297" s="1065"/>
      <c r="AI297" s="1065"/>
      <c r="AJ297" s="1065"/>
      <c r="AK297" s="1065"/>
      <c r="AL297" s="1065"/>
      <c r="AM297" s="1065"/>
      <c r="AN297" s="1065"/>
      <c r="AO297" s="1065"/>
      <c r="AP297" s="1065"/>
      <c r="AQ297" s="1065"/>
      <c r="AR297" s="1065"/>
      <c r="AS297" s="1065"/>
      <c r="AT297" s="1065"/>
      <c r="AU297" s="1065"/>
      <c r="AV297" s="1065"/>
      <c r="AW297" s="1065"/>
      <c r="AX297" s="1065"/>
      <c r="AY297" s="1065"/>
      <c r="AZ297" s="1065"/>
      <c r="BA297" s="1065"/>
      <c r="BB297" s="1065"/>
      <c r="BC297" s="1065"/>
      <c r="BD297" s="1065"/>
      <c r="BE297" s="1065"/>
      <c r="BF297" s="1065"/>
      <c r="BG297" s="1065"/>
      <c r="BH297" s="1065"/>
      <c r="BI297" s="1065"/>
      <c r="BJ297" s="1065"/>
      <c r="BK297" s="1065"/>
      <c r="BL297" s="1065"/>
      <c r="BM297" s="1065"/>
      <c r="BN297" s="1065"/>
      <c r="BO297" s="1065"/>
      <c r="BP297" s="1065"/>
      <c r="BQ297" s="1065"/>
      <c r="BR297" s="1065"/>
      <c r="BS297" s="1065"/>
      <c r="BT297" s="1065"/>
      <c r="BU297" s="1065"/>
      <c r="BV297" s="1065"/>
      <c r="BW297" s="1065"/>
      <c r="BX297" s="1065"/>
      <c r="BY297" s="1065"/>
      <c r="BZ297" s="1065"/>
      <c r="CA297" s="1065"/>
      <c r="CB297" s="1065"/>
      <c r="CC297" s="1065"/>
      <c r="CD297" s="1065"/>
      <c r="CE297" s="1065"/>
      <c r="CF297" s="1065"/>
      <c r="CG297" s="1065"/>
      <c r="CH297" s="1065"/>
      <c r="CI297" s="1065"/>
      <c r="CJ297" s="1065"/>
      <c r="CK297" s="1065"/>
      <c r="CL297" s="1065"/>
      <c r="CM297" s="1065"/>
      <c r="CN297" s="1065"/>
      <c r="CO297" s="1065"/>
      <c r="CP297" s="1065"/>
      <c r="CQ297" s="1065"/>
      <c r="CR297" s="1065"/>
      <c r="CS297" s="1065"/>
      <c r="CT297" s="1065"/>
      <c r="CU297" s="1065"/>
      <c r="CV297" s="1065"/>
      <c r="CW297" s="1065"/>
      <c r="CX297" s="1065"/>
      <c r="CY297" s="1065"/>
      <c r="CZ297" s="1065"/>
      <c r="DA297" s="1065"/>
      <c r="DB297" s="1065"/>
    </row>
    <row r="298" spans="1:106" ht="15" customHeight="1" thickBot="1">
      <c r="A298" s="1065"/>
      <c r="B298" s="1065"/>
      <c r="C298" s="1069" t="s">
        <v>677</v>
      </c>
      <c r="D298" s="1823"/>
      <c r="E298" s="1823"/>
      <c r="F298" s="1823"/>
      <c r="G298" s="1823"/>
      <c r="H298" s="1774"/>
      <c r="I298" s="1774"/>
      <c r="J298" s="1774"/>
      <c r="K298" s="1774"/>
      <c r="L298" s="1774"/>
      <c r="M298" s="1774"/>
      <c r="N298" s="1774"/>
      <c r="O298" s="1774"/>
      <c r="P298" s="1774"/>
      <c r="Q298" s="1774"/>
      <c r="R298" s="1774"/>
      <c r="S298" s="1108">
        <v>0</v>
      </c>
      <c r="T298" s="1108">
        <v>130.28</v>
      </c>
      <c r="U298" s="1805"/>
      <c r="V298" s="1065"/>
      <c r="W298" s="1065"/>
      <c r="X298" s="1065"/>
      <c r="Y298" s="1065"/>
      <c r="Z298" s="1065"/>
      <c r="AA298" s="1065"/>
      <c r="AB298" s="1065"/>
      <c r="AC298" s="1065"/>
      <c r="AD298" s="1065"/>
      <c r="AE298" s="1065"/>
      <c r="AF298" s="1065"/>
      <c r="AG298" s="1065"/>
      <c r="AH298" s="1065"/>
      <c r="AI298" s="1065"/>
      <c r="AJ298" s="1065"/>
      <c r="AK298" s="1065"/>
      <c r="AL298" s="1065"/>
      <c r="AM298" s="1065"/>
      <c r="AN298" s="1065"/>
      <c r="AO298" s="1065"/>
      <c r="AP298" s="1065"/>
      <c r="AQ298" s="1065"/>
      <c r="AR298" s="1065"/>
      <c r="AS298" s="1065"/>
      <c r="AT298" s="1065"/>
      <c r="AU298" s="1065"/>
      <c r="AV298" s="1065"/>
      <c r="AW298" s="1065"/>
      <c r="AX298" s="1065"/>
      <c r="AY298" s="1065"/>
      <c r="AZ298" s="1065"/>
      <c r="BA298" s="1065"/>
      <c r="BB298" s="1065"/>
      <c r="BC298" s="1065"/>
      <c r="BD298" s="1065"/>
      <c r="BE298" s="1065"/>
      <c r="BF298" s="1065"/>
      <c r="BG298" s="1065"/>
      <c r="BH298" s="1065"/>
      <c r="BI298" s="1065"/>
      <c r="BJ298" s="1065"/>
      <c r="BK298" s="1065"/>
      <c r="BL298" s="1065"/>
      <c r="BM298" s="1065"/>
      <c r="BN298" s="1065"/>
      <c r="BO298" s="1065"/>
      <c r="BP298" s="1065"/>
      <c r="BQ298" s="1065"/>
      <c r="BR298" s="1065"/>
      <c r="BS298" s="1065"/>
      <c r="BT298" s="1065"/>
      <c r="BU298" s="1065"/>
      <c r="BV298" s="1065"/>
      <c r="BW298" s="1065"/>
      <c r="BX298" s="1065"/>
      <c r="BY298" s="1065"/>
      <c r="BZ298" s="1065"/>
      <c r="CA298" s="1065"/>
      <c r="CB298" s="1065"/>
      <c r="CC298" s="1065"/>
      <c r="CD298" s="1065"/>
      <c r="CE298" s="1065"/>
      <c r="CF298" s="1065"/>
      <c r="CG298" s="1065"/>
      <c r="CH298" s="1065"/>
      <c r="CI298" s="1065"/>
      <c r="CJ298" s="1065"/>
      <c r="CK298" s="1065"/>
      <c r="CL298" s="1065"/>
      <c r="CM298" s="1065"/>
      <c r="CN298" s="1065"/>
      <c r="CO298" s="1065"/>
      <c r="CP298" s="1065"/>
      <c r="CQ298" s="1065"/>
      <c r="CR298" s="1065"/>
      <c r="CS298" s="1065"/>
      <c r="CT298" s="1065"/>
      <c r="CU298" s="1065"/>
      <c r="CV298" s="1065"/>
      <c r="CW298" s="1065"/>
      <c r="CX298" s="1065"/>
      <c r="CY298" s="1065"/>
      <c r="CZ298" s="1065"/>
      <c r="DA298" s="1065"/>
      <c r="DB298" s="1065"/>
    </row>
    <row r="299" spans="1:106" ht="15" customHeight="1" thickBot="1">
      <c r="A299" s="1065"/>
      <c r="B299" s="1065"/>
      <c r="C299" s="1069" t="s">
        <v>680</v>
      </c>
      <c r="D299" s="1823"/>
      <c r="E299" s="1823"/>
      <c r="F299" s="1823"/>
      <c r="G299" s="1823"/>
      <c r="H299" s="1774"/>
      <c r="I299" s="1774"/>
      <c r="J299" s="1774"/>
      <c r="K299" s="1774"/>
      <c r="L299" s="1774"/>
      <c r="M299" s="1774"/>
      <c r="N299" s="1774"/>
      <c r="O299" s="1774"/>
      <c r="P299" s="1774"/>
      <c r="Q299" s="1774"/>
      <c r="R299" s="1774"/>
      <c r="S299" s="1108">
        <v>0</v>
      </c>
      <c r="T299" s="1108">
        <v>130.28</v>
      </c>
      <c r="U299" s="1805"/>
      <c r="V299" s="1065"/>
      <c r="W299" s="1065"/>
      <c r="X299" s="1065"/>
      <c r="Y299" s="1065"/>
      <c r="Z299" s="1065"/>
      <c r="AA299" s="1065"/>
      <c r="AB299" s="1065"/>
      <c r="AC299" s="1065"/>
      <c r="AD299" s="1065"/>
      <c r="AE299" s="1065"/>
      <c r="AF299" s="1065"/>
      <c r="AG299" s="1065"/>
      <c r="AH299" s="1065"/>
      <c r="AI299" s="1065"/>
      <c r="AJ299" s="1065"/>
      <c r="AK299" s="1065"/>
      <c r="AL299" s="1065"/>
      <c r="AM299" s="1065"/>
      <c r="AN299" s="1065"/>
      <c r="AO299" s="1065"/>
      <c r="AP299" s="1065"/>
      <c r="AQ299" s="1065"/>
      <c r="AR299" s="1065"/>
      <c r="AS299" s="1065"/>
      <c r="AT299" s="1065"/>
      <c r="AU299" s="1065"/>
      <c r="AV299" s="1065"/>
      <c r="AW299" s="1065"/>
      <c r="AX299" s="1065"/>
      <c r="AY299" s="1065"/>
      <c r="AZ299" s="1065"/>
      <c r="BA299" s="1065"/>
      <c r="BB299" s="1065"/>
      <c r="BC299" s="1065"/>
      <c r="BD299" s="1065"/>
      <c r="BE299" s="1065"/>
      <c r="BF299" s="1065"/>
      <c r="BG299" s="1065"/>
      <c r="BH299" s="1065"/>
      <c r="BI299" s="1065"/>
      <c r="BJ299" s="1065"/>
      <c r="BK299" s="1065"/>
      <c r="BL299" s="1065"/>
      <c r="BM299" s="1065"/>
      <c r="BN299" s="1065"/>
      <c r="BO299" s="1065"/>
      <c r="BP299" s="1065"/>
      <c r="BQ299" s="1065"/>
      <c r="BR299" s="1065"/>
      <c r="BS299" s="1065"/>
      <c r="BT299" s="1065"/>
      <c r="BU299" s="1065"/>
      <c r="BV299" s="1065"/>
      <c r="BW299" s="1065"/>
      <c r="BX299" s="1065"/>
      <c r="BY299" s="1065"/>
      <c r="BZ299" s="1065"/>
      <c r="CA299" s="1065"/>
      <c r="CB299" s="1065"/>
      <c r="CC299" s="1065"/>
      <c r="CD299" s="1065"/>
      <c r="CE299" s="1065"/>
      <c r="CF299" s="1065"/>
      <c r="CG299" s="1065"/>
      <c r="CH299" s="1065"/>
      <c r="CI299" s="1065"/>
      <c r="CJ299" s="1065"/>
      <c r="CK299" s="1065"/>
      <c r="CL299" s="1065"/>
      <c r="CM299" s="1065"/>
      <c r="CN299" s="1065"/>
      <c r="CO299" s="1065"/>
      <c r="CP299" s="1065"/>
      <c r="CQ299" s="1065"/>
      <c r="CR299" s="1065"/>
      <c r="CS299" s="1065"/>
      <c r="CT299" s="1065"/>
      <c r="CU299" s="1065"/>
      <c r="CV299" s="1065"/>
      <c r="CW299" s="1065"/>
      <c r="CX299" s="1065"/>
      <c r="CY299" s="1065"/>
      <c r="CZ299" s="1065"/>
      <c r="DA299" s="1065"/>
      <c r="DB299" s="1065"/>
    </row>
    <row r="300" spans="1:106" ht="15" customHeight="1" thickBot="1">
      <c r="A300" s="1065"/>
      <c r="B300" s="1065"/>
      <c r="C300" s="1109" t="s">
        <v>709</v>
      </c>
      <c r="D300" s="1774" t="s">
        <v>710</v>
      </c>
      <c r="E300" s="1774"/>
      <c r="F300" s="1774"/>
      <c r="G300" s="1774"/>
      <c r="H300" s="1774" t="s">
        <v>657</v>
      </c>
      <c r="I300" s="1774"/>
      <c r="J300" s="1774" t="s">
        <v>711</v>
      </c>
      <c r="K300" s="1774"/>
      <c r="L300" s="1774"/>
      <c r="M300" s="1774" t="s">
        <v>712</v>
      </c>
      <c r="N300" s="1774"/>
      <c r="O300" s="1774"/>
      <c r="P300" s="1774"/>
      <c r="Q300" s="1774"/>
      <c r="R300" s="1774"/>
      <c r="S300" s="1103">
        <v>1760.24</v>
      </c>
      <c r="T300" s="1110">
        <f>2*1760.24</f>
        <v>3520.48</v>
      </c>
      <c r="U300" s="1808">
        <f>SUM(T300:T301)</f>
        <v>17520.48</v>
      </c>
      <c r="V300" s="1065"/>
      <c r="W300" s="1065"/>
      <c r="X300" s="1065"/>
      <c r="Y300" s="1065"/>
      <c r="Z300" s="1065"/>
      <c r="AA300" s="1065"/>
      <c r="AB300" s="1065"/>
      <c r="AC300" s="1065"/>
      <c r="AD300" s="1065"/>
      <c r="AE300" s="1065"/>
      <c r="AF300" s="1065"/>
      <c r="AG300" s="1065"/>
      <c r="AH300" s="1065"/>
      <c r="AI300" s="1065"/>
      <c r="AJ300" s="1065"/>
      <c r="AK300" s="1065"/>
      <c r="AL300" s="1065"/>
      <c r="AM300" s="1065"/>
      <c r="AN300" s="1065"/>
      <c r="AO300" s="1065"/>
      <c r="AP300" s="1065"/>
      <c r="AQ300" s="1065"/>
      <c r="AR300" s="1065"/>
      <c r="AS300" s="1065"/>
      <c r="AT300" s="1065"/>
      <c r="AU300" s="1065"/>
      <c r="AV300" s="1065"/>
      <c r="AW300" s="1065"/>
      <c r="AX300" s="1065"/>
      <c r="AY300" s="1065"/>
      <c r="AZ300" s="1065"/>
      <c r="BA300" s="1065"/>
      <c r="BB300" s="1065"/>
      <c r="BC300" s="1065"/>
      <c r="BD300" s="1065"/>
      <c r="BE300" s="1065"/>
      <c r="BF300" s="1065"/>
      <c r="BG300" s="1065"/>
      <c r="BH300" s="1065"/>
      <c r="BI300" s="1065"/>
      <c r="BJ300" s="1065"/>
      <c r="BK300" s="1065"/>
      <c r="BL300" s="1065"/>
      <c r="BM300" s="1065"/>
      <c r="BN300" s="1065"/>
      <c r="BO300" s="1065"/>
      <c r="BP300" s="1065"/>
      <c r="BQ300" s="1065"/>
      <c r="BR300" s="1065"/>
      <c r="BS300" s="1065"/>
      <c r="BT300" s="1065"/>
      <c r="BU300" s="1065"/>
      <c r="BV300" s="1065"/>
      <c r="BW300" s="1065"/>
      <c r="BX300" s="1065"/>
      <c r="BY300" s="1065"/>
      <c r="BZ300" s="1065"/>
      <c r="CA300" s="1065"/>
      <c r="CB300" s="1065"/>
      <c r="CC300" s="1065"/>
      <c r="CD300" s="1065"/>
      <c r="CE300" s="1065"/>
      <c r="CF300" s="1065"/>
      <c r="CG300" s="1065"/>
      <c r="CH300" s="1065"/>
      <c r="CI300" s="1065"/>
      <c r="CJ300" s="1065"/>
      <c r="CK300" s="1065"/>
      <c r="CL300" s="1065"/>
      <c r="CM300" s="1065"/>
      <c r="CN300" s="1065"/>
      <c r="CO300" s="1065"/>
      <c r="CP300" s="1065"/>
      <c r="CQ300" s="1065"/>
      <c r="CR300" s="1065"/>
      <c r="CS300" s="1065"/>
      <c r="CT300" s="1065"/>
      <c r="CU300" s="1065"/>
      <c r="CV300" s="1065"/>
      <c r="CW300" s="1065"/>
      <c r="CX300" s="1065"/>
      <c r="CY300" s="1065"/>
      <c r="CZ300" s="1065"/>
      <c r="DA300" s="1065"/>
      <c r="DB300" s="1065"/>
    </row>
    <row r="301" spans="1:106" ht="15" customHeight="1" thickBot="1">
      <c r="A301" s="1065"/>
      <c r="B301" s="1065"/>
      <c r="C301" s="1111" t="s">
        <v>713</v>
      </c>
      <c r="D301" s="1774"/>
      <c r="E301" s="1774"/>
      <c r="F301" s="1774"/>
      <c r="G301" s="1774"/>
      <c r="H301" s="1774"/>
      <c r="I301" s="1774"/>
      <c r="J301" s="1774"/>
      <c r="K301" s="1774"/>
      <c r="L301" s="1774"/>
      <c r="M301" s="1774"/>
      <c r="N301" s="1774"/>
      <c r="O301" s="1774"/>
      <c r="P301" s="1774"/>
      <c r="Q301" s="1774"/>
      <c r="R301" s="1774"/>
      <c r="S301" s="1112">
        <v>7000</v>
      </c>
      <c r="T301" s="1108">
        <f>2*7000</f>
        <v>14000</v>
      </c>
      <c r="U301" s="1808"/>
      <c r="V301" s="1065"/>
      <c r="W301" s="1065"/>
      <c r="X301" s="1065"/>
      <c r="Y301" s="1065"/>
      <c r="Z301" s="1065"/>
      <c r="AA301" s="1065"/>
      <c r="AB301" s="1065"/>
      <c r="AC301" s="1065"/>
      <c r="AD301" s="1065"/>
      <c r="AE301" s="1065"/>
      <c r="AF301" s="1065"/>
      <c r="AG301" s="1065"/>
      <c r="AH301" s="1065"/>
      <c r="AI301" s="1065"/>
      <c r="AJ301" s="1065"/>
      <c r="AK301" s="1065"/>
      <c r="AL301" s="1065"/>
      <c r="AM301" s="1065"/>
      <c r="AN301" s="1065"/>
      <c r="AO301" s="1065"/>
      <c r="AP301" s="1065"/>
      <c r="AQ301" s="1065"/>
      <c r="AR301" s="1065"/>
      <c r="AS301" s="1065"/>
      <c r="AT301" s="1065"/>
      <c r="AU301" s="1065"/>
      <c r="AV301" s="1065"/>
      <c r="AW301" s="1065"/>
      <c r="AX301" s="1065"/>
      <c r="AY301" s="1065"/>
      <c r="AZ301" s="1065"/>
      <c r="BA301" s="1065"/>
      <c r="BB301" s="1065"/>
      <c r="BC301" s="1065"/>
      <c r="BD301" s="1065"/>
      <c r="BE301" s="1065"/>
      <c r="BF301" s="1065"/>
      <c r="BG301" s="1065"/>
      <c r="BH301" s="1065"/>
      <c r="BI301" s="1065"/>
      <c r="BJ301" s="1065"/>
      <c r="BK301" s="1065"/>
      <c r="BL301" s="1065"/>
      <c r="BM301" s="1065"/>
      <c r="BN301" s="1065"/>
      <c r="BO301" s="1065"/>
      <c r="BP301" s="1065"/>
      <c r="BQ301" s="1065"/>
      <c r="BR301" s="1065"/>
      <c r="BS301" s="1065"/>
      <c r="BT301" s="1065"/>
      <c r="BU301" s="1065"/>
      <c r="BV301" s="1065"/>
      <c r="BW301" s="1065"/>
      <c r="BX301" s="1065"/>
      <c r="BY301" s="1065"/>
      <c r="BZ301" s="1065"/>
      <c r="CA301" s="1065"/>
      <c r="CB301" s="1065"/>
      <c r="CC301" s="1065"/>
      <c r="CD301" s="1065"/>
      <c r="CE301" s="1065"/>
      <c r="CF301" s="1065"/>
      <c r="CG301" s="1065"/>
      <c r="CH301" s="1065"/>
      <c r="CI301" s="1065"/>
      <c r="CJ301" s="1065"/>
      <c r="CK301" s="1065"/>
      <c r="CL301" s="1065"/>
      <c r="CM301" s="1065"/>
      <c r="CN301" s="1065"/>
      <c r="CO301" s="1065"/>
      <c r="CP301" s="1065"/>
      <c r="CQ301" s="1065"/>
      <c r="CR301" s="1065"/>
      <c r="CS301" s="1065"/>
      <c r="CT301" s="1065"/>
      <c r="CU301" s="1065"/>
      <c r="CV301" s="1065"/>
      <c r="CW301" s="1065"/>
      <c r="CX301" s="1065"/>
      <c r="CY301" s="1065"/>
      <c r="CZ301" s="1065"/>
      <c r="DA301" s="1065"/>
      <c r="DB301" s="1065"/>
    </row>
    <row r="302" spans="1:106" ht="15" customHeight="1" thickBot="1">
      <c r="A302" s="1065"/>
      <c r="B302" s="1065"/>
      <c r="C302" s="1113" t="s">
        <v>713</v>
      </c>
      <c r="D302" s="1822" t="s">
        <v>714</v>
      </c>
      <c r="E302" s="1822"/>
      <c r="F302" s="1822"/>
      <c r="G302" s="1822"/>
      <c r="H302" s="1775" t="s">
        <v>657</v>
      </c>
      <c r="I302" s="1775"/>
      <c r="J302" s="1789" t="s">
        <v>715</v>
      </c>
      <c r="K302" s="1789"/>
      <c r="L302" s="1789"/>
      <c r="M302" s="1774" t="s">
        <v>716</v>
      </c>
      <c r="N302" s="1774"/>
      <c r="O302" s="1774"/>
      <c r="P302" s="1774"/>
      <c r="Q302" s="1774"/>
      <c r="R302" s="1774"/>
      <c r="S302" s="1072">
        <v>6800</v>
      </c>
      <c r="T302" s="1114">
        <v>6800</v>
      </c>
      <c r="U302" s="1115">
        <f>T302</f>
        <v>6800</v>
      </c>
      <c r="V302" s="1065"/>
      <c r="W302" s="1065"/>
      <c r="X302" s="1065"/>
      <c r="Y302" s="1065"/>
      <c r="Z302" s="1065"/>
      <c r="AA302" s="1065"/>
      <c r="AB302" s="1065"/>
      <c r="AC302" s="1065"/>
      <c r="AD302" s="1065"/>
      <c r="AE302" s="1065"/>
      <c r="AF302" s="1065"/>
      <c r="AG302" s="1065"/>
      <c r="AH302" s="1065"/>
      <c r="AI302" s="1065"/>
      <c r="AJ302" s="1065"/>
      <c r="AK302" s="1065"/>
      <c r="AL302" s="1065"/>
      <c r="AM302" s="1065"/>
      <c r="AN302" s="1065"/>
      <c r="AO302" s="1065"/>
      <c r="AP302" s="1065"/>
      <c r="AQ302" s="1065"/>
      <c r="AR302" s="1065"/>
      <c r="AS302" s="1065"/>
      <c r="AT302" s="1065"/>
      <c r="AU302" s="1065"/>
      <c r="AV302" s="1065"/>
      <c r="AW302" s="1065"/>
      <c r="AX302" s="1065"/>
      <c r="AY302" s="1065"/>
      <c r="AZ302" s="1065"/>
      <c r="BA302" s="1065"/>
      <c r="BB302" s="1065"/>
      <c r="BC302" s="1065"/>
      <c r="BD302" s="1065"/>
      <c r="BE302" s="1065"/>
      <c r="BF302" s="1065"/>
      <c r="BG302" s="1065"/>
      <c r="BH302" s="1065"/>
      <c r="BI302" s="1065"/>
      <c r="BJ302" s="1065"/>
      <c r="BK302" s="1065"/>
      <c r="BL302" s="1065"/>
      <c r="BM302" s="1065"/>
      <c r="BN302" s="1065"/>
      <c r="BO302" s="1065"/>
      <c r="BP302" s="1065"/>
      <c r="BQ302" s="1065"/>
      <c r="BR302" s="1065"/>
      <c r="BS302" s="1065"/>
      <c r="BT302" s="1065"/>
      <c r="BU302" s="1065"/>
      <c r="BV302" s="1065"/>
      <c r="BW302" s="1065"/>
      <c r="BX302" s="1065"/>
      <c r="BY302" s="1065"/>
      <c r="BZ302" s="1065"/>
      <c r="CA302" s="1065"/>
      <c r="CB302" s="1065"/>
      <c r="CC302" s="1065"/>
      <c r="CD302" s="1065"/>
      <c r="CE302" s="1065"/>
      <c r="CF302" s="1065"/>
      <c r="CG302" s="1065"/>
      <c r="CH302" s="1065"/>
      <c r="CI302" s="1065"/>
      <c r="CJ302" s="1065"/>
      <c r="CK302" s="1065"/>
      <c r="CL302" s="1065"/>
      <c r="CM302" s="1065"/>
      <c r="CN302" s="1065"/>
      <c r="CO302" s="1065"/>
      <c r="CP302" s="1065"/>
      <c r="CQ302" s="1065"/>
      <c r="CR302" s="1065"/>
      <c r="CS302" s="1065"/>
      <c r="CT302" s="1065"/>
      <c r="CU302" s="1065"/>
      <c r="CV302" s="1065"/>
      <c r="CW302" s="1065"/>
      <c r="CX302" s="1065"/>
      <c r="CY302" s="1065"/>
      <c r="CZ302" s="1065"/>
      <c r="DA302" s="1065"/>
      <c r="DB302" s="1065"/>
    </row>
    <row r="303" spans="1:106" ht="15" customHeight="1" thickBot="1">
      <c r="A303" s="1065"/>
      <c r="B303" s="1065"/>
      <c r="C303" s="1116" t="s">
        <v>707</v>
      </c>
      <c r="D303" s="1822"/>
      <c r="E303" s="1822"/>
      <c r="F303" s="1822"/>
      <c r="G303" s="1822"/>
      <c r="H303" s="1792" t="s">
        <v>671</v>
      </c>
      <c r="I303" s="1792"/>
      <c r="J303" s="1748" t="s">
        <v>717</v>
      </c>
      <c r="K303" s="1748"/>
      <c r="L303" s="1748"/>
      <c r="M303" s="1774"/>
      <c r="N303" s="1774"/>
      <c r="O303" s="1774"/>
      <c r="P303" s="1774"/>
      <c r="Q303" s="1774"/>
      <c r="R303" s="1774"/>
      <c r="S303" s="1108">
        <v>7000</v>
      </c>
      <c r="T303" s="1117">
        <v>7000</v>
      </c>
      <c r="U303" s="1118">
        <f>T303</f>
        <v>7000</v>
      </c>
      <c r="V303" s="1065"/>
      <c r="W303" s="1065"/>
      <c r="X303" s="1065"/>
      <c r="Y303" s="1065"/>
      <c r="Z303" s="1065"/>
      <c r="AA303" s="1065"/>
      <c r="AB303" s="1065"/>
      <c r="AC303" s="1065"/>
      <c r="AD303" s="1065"/>
      <c r="AE303" s="1065"/>
      <c r="AF303" s="1065"/>
      <c r="AG303" s="1065"/>
      <c r="AH303" s="1065"/>
      <c r="AI303" s="1065"/>
      <c r="AJ303" s="1065"/>
      <c r="AK303" s="1065"/>
      <c r="AL303" s="1065"/>
      <c r="AM303" s="1065"/>
      <c r="AN303" s="1065"/>
      <c r="AO303" s="1065"/>
      <c r="AP303" s="1065"/>
      <c r="AQ303" s="1065"/>
      <c r="AR303" s="1065"/>
      <c r="AS303" s="1065"/>
      <c r="AT303" s="1065"/>
      <c r="AU303" s="1065"/>
      <c r="AV303" s="1065"/>
      <c r="AW303" s="1065"/>
      <c r="AX303" s="1065"/>
      <c r="AY303" s="1065"/>
      <c r="AZ303" s="1065"/>
      <c r="BA303" s="1065"/>
      <c r="BB303" s="1065"/>
      <c r="BC303" s="1065"/>
      <c r="BD303" s="1065"/>
      <c r="BE303" s="1065"/>
      <c r="BF303" s="1065"/>
      <c r="BG303" s="1065"/>
      <c r="BH303" s="1065"/>
      <c r="BI303" s="1065"/>
      <c r="BJ303" s="1065"/>
      <c r="BK303" s="1065"/>
      <c r="BL303" s="1065"/>
      <c r="BM303" s="1065"/>
      <c r="BN303" s="1065"/>
      <c r="BO303" s="1065"/>
      <c r="BP303" s="1065"/>
      <c r="BQ303" s="1065"/>
      <c r="BR303" s="1065"/>
      <c r="BS303" s="1065"/>
      <c r="BT303" s="1065"/>
      <c r="BU303" s="1065"/>
      <c r="BV303" s="1065"/>
      <c r="BW303" s="1065"/>
      <c r="BX303" s="1065"/>
      <c r="BY303" s="1065"/>
      <c r="BZ303" s="1065"/>
      <c r="CA303" s="1065"/>
      <c r="CB303" s="1065"/>
      <c r="CC303" s="1065"/>
      <c r="CD303" s="1065"/>
      <c r="CE303" s="1065"/>
      <c r="CF303" s="1065"/>
      <c r="CG303" s="1065"/>
      <c r="CH303" s="1065"/>
      <c r="CI303" s="1065"/>
      <c r="CJ303" s="1065"/>
      <c r="CK303" s="1065"/>
      <c r="CL303" s="1065"/>
      <c r="CM303" s="1065"/>
      <c r="CN303" s="1065"/>
      <c r="CO303" s="1065"/>
      <c r="CP303" s="1065"/>
      <c r="CQ303" s="1065"/>
      <c r="CR303" s="1065"/>
      <c r="CS303" s="1065"/>
      <c r="CT303" s="1065"/>
      <c r="CU303" s="1065"/>
      <c r="CV303" s="1065"/>
      <c r="CW303" s="1065"/>
      <c r="CX303" s="1065"/>
      <c r="CY303" s="1065"/>
      <c r="CZ303" s="1065"/>
      <c r="DA303" s="1065"/>
      <c r="DB303" s="1065"/>
    </row>
    <row r="304" spans="1:106" ht="15" customHeight="1" thickBot="1">
      <c r="A304" s="1065"/>
      <c r="B304" s="1065"/>
      <c r="C304" s="1116" t="s">
        <v>718</v>
      </c>
      <c r="D304" s="1822"/>
      <c r="E304" s="1822"/>
      <c r="F304" s="1822"/>
      <c r="G304" s="1822"/>
      <c r="H304" s="1792" t="s">
        <v>671</v>
      </c>
      <c r="I304" s="1792"/>
      <c r="J304" s="1748" t="s">
        <v>719</v>
      </c>
      <c r="K304" s="1748"/>
      <c r="L304" s="1748"/>
      <c r="M304" s="1774"/>
      <c r="N304" s="1774"/>
      <c r="O304" s="1774"/>
      <c r="P304" s="1774"/>
      <c r="Q304" s="1774"/>
      <c r="R304" s="1774"/>
      <c r="S304" s="1097">
        <v>9500</v>
      </c>
      <c r="T304" s="1092">
        <v>9500</v>
      </c>
      <c r="U304" s="1119">
        <v>9500</v>
      </c>
      <c r="V304" s="1065"/>
      <c r="W304" s="1065"/>
      <c r="X304" s="1065"/>
      <c r="Y304" s="1065"/>
      <c r="Z304" s="1065"/>
      <c r="AA304" s="1065"/>
      <c r="AB304" s="1065"/>
      <c r="AC304" s="1065"/>
      <c r="AD304" s="1065"/>
      <c r="AE304" s="1065"/>
      <c r="AF304" s="1065"/>
      <c r="AG304" s="1065"/>
      <c r="AH304" s="1065"/>
      <c r="AI304" s="1065"/>
      <c r="AJ304" s="1065"/>
      <c r="AK304" s="1065"/>
      <c r="AL304" s="1065"/>
      <c r="AM304" s="1065"/>
      <c r="AN304" s="1065"/>
      <c r="AO304" s="1065"/>
      <c r="AP304" s="1065"/>
      <c r="AQ304" s="1065"/>
      <c r="AR304" s="1065"/>
      <c r="AS304" s="1065"/>
      <c r="AT304" s="1065"/>
      <c r="AU304" s="1065"/>
      <c r="AV304" s="1065"/>
      <c r="AW304" s="1065"/>
      <c r="AX304" s="1065"/>
      <c r="AY304" s="1065"/>
      <c r="AZ304" s="1065"/>
      <c r="BA304" s="1065"/>
      <c r="BB304" s="1065"/>
      <c r="BC304" s="1065"/>
      <c r="BD304" s="1065"/>
      <c r="BE304" s="1065"/>
      <c r="BF304" s="1065"/>
      <c r="BG304" s="1065"/>
      <c r="BH304" s="1065"/>
      <c r="BI304" s="1065"/>
      <c r="BJ304" s="1065"/>
      <c r="BK304" s="1065"/>
      <c r="BL304" s="1065"/>
      <c r="BM304" s="1065"/>
      <c r="BN304" s="1065"/>
      <c r="BO304" s="1065"/>
      <c r="BP304" s="1065"/>
      <c r="BQ304" s="1065"/>
      <c r="BR304" s="1065"/>
      <c r="BS304" s="1065"/>
      <c r="BT304" s="1065"/>
      <c r="BU304" s="1065"/>
      <c r="BV304" s="1065"/>
      <c r="BW304" s="1065"/>
      <c r="BX304" s="1065"/>
      <c r="BY304" s="1065"/>
      <c r="BZ304" s="1065"/>
      <c r="CA304" s="1065"/>
      <c r="CB304" s="1065"/>
      <c r="CC304" s="1065"/>
      <c r="CD304" s="1065"/>
      <c r="CE304" s="1065"/>
      <c r="CF304" s="1065"/>
      <c r="CG304" s="1065"/>
      <c r="CH304" s="1065"/>
      <c r="CI304" s="1065"/>
      <c r="CJ304" s="1065"/>
      <c r="CK304" s="1065"/>
      <c r="CL304" s="1065"/>
      <c r="CM304" s="1065"/>
      <c r="CN304" s="1065"/>
      <c r="CO304" s="1065"/>
      <c r="CP304" s="1065"/>
      <c r="CQ304" s="1065"/>
      <c r="CR304" s="1065"/>
      <c r="CS304" s="1065"/>
      <c r="CT304" s="1065"/>
      <c r="CU304" s="1065"/>
      <c r="CV304" s="1065"/>
      <c r="CW304" s="1065"/>
      <c r="CX304" s="1065"/>
      <c r="CY304" s="1065"/>
      <c r="CZ304" s="1065"/>
      <c r="DA304" s="1065"/>
      <c r="DB304" s="1065"/>
    </row>
    <row r="305" spans="1:106" ht="15" customHeight="1" thickBot="1">
      <c r="A305" s="1065"/>
      <c r="B305" s="1065"/>
      <c r="C305" s="1116" t="s">
        <v>720</v>
      </c>
      <c r="D305" s="1822"/>
      <c r="E305" s="1822"/>
      <c r="F305" s="1822"/>
      <c r="G305" s="1822"/>
      <c r="H305" s="1820" t="s">
        <v>657</v>
      </c>
      <c r="I305" s="1820"/>
      <c r="J305" s="1821" t="s">
        <v>721</v>
      </c>
      <c r="K305" s="1821"/>
      <c r="L305" s="1821"/>
      <c r="M305" s="1774"/>
      <c r="N305" s="1774"/>
      <c r="O305" s="1774"/>
      <c r="P305" s="1774"/>
      <c r="Q305" s="1774"/>
      <c r="R305" s="1774"/>
      <c r="S305" s="1097">
        <v>3500</v>
      </c>
      <c r="T305" s="1092">
        <v>3500</v>
      </c>
      <c r="U305" s="1119">
        <f>T305</f>
        <v>3500</v>
      </c>
      <c r="V305" s="1065"/>
      <c r="W305" s="1065"/>
      <c r="X305" s="1065"/>
      <c r="Y305" s="1065"/>
      <c r="Z305" s="1065"/>
      <c r="AA305" s="1065"/>
      <c r="AB305" s="1065"/>
      <c r="AC305" s="1065"/>
      <c r="AD305" s="1065"/>
      <c r="AE305" s="1065"/>
      <c r="AF305" s="1065"/>
      <c r="AG305" s="1065"/>
      <c r="AH305" s="1065"/>
      <c r="AI305" s="1065"/>
      <c r="AJ305" s="1065"/>
      <c r="AK305" s="1065"/>
      <c r="AL305" s="1065"/>
      <c r="AM305" s="1065"/>
      <c r="AN305" s="1065"/>
      <c r="AO305" s="1065"/>
      <c r="AP305" s="1065"/>
      <c r="AQ305" s="1065"/>
      <c r="AR305" s="1065"/>
      <c r="AS305" s="1065"/>
      <c r="AT305" s="1065"/>
      <c r="AU305" s="1065"/>
      <c r="AV305" s="1065"/>
      <c r="AW305" s="1065"/>
      <c r="AX305" s="1065"/>
      <c r="AY305" s="1065"/>
      <c r="AZ305" s="1065"/>
      <c r="BA305" s="1065"/>
      <c r="BB305" s="1065"/>
      <c r="BC305" s="1065"/>
      <c r="BD305" s="1065"/>
      <c r="BE305" s="1065"/>
      <c r="BF305" s="1065"/>
      <c r="BG305" s="1065"/>
      <c r="BH305" s="1065"/>
      <c r="BI305" s="1065"/>
      <c r="BJ305" s="1065"/>
      <c r="BK305" s="1065"/>
      <c r="BL305" s="1065"/>
      <c r="BM305" s="1065"/>
      <c r="BN305" s="1065"/>
      <c r="BO305" s="1065"/>
      <c r="BP305" s="1065"/>
      <c r="BQ305" s="1065"/>
      <c r="BR305" s="1065"/>
      <c r="BS305" s="1065"/>
      <c r="BT305" s="1065"/>
      <c r="BU305" s="1065"/>
      <c r="BV305" s="1065"/>
      <c r="BW305" s="1065"/>
      <c r="BX305" s="1065"/>
      <c r="BY305" s="1065"/>
      <c r="BZ305" s="1065"/>
      <c r="CA305" s="1065"/>
      <c r="CB305" s="1065"/>
      <c r="CC305" s="1065"/>
      <c r="CD305" s="1065"/>
      <c r="CE305" s="1065"/>
      <c r="CF305" s="1065"/>
      <c r="CG305" s="1065"/>
      <c r="CH305" s="1065"/>
      <c r="CI305" s="1065"/>
      <c r="CJ305" s="1065"/>
      <c r="CK305" s="1065"/>
      <c r="CL305" s="1065"/>
      <c r="CM305" s="1065"/>
      <c r="CN305" s="1065"/>
      <c r="CO305" s="1065"/>
      <c r="CP305" s="1065"/>
      <c r="CQ305" s="1065"/>
      <c r="CR305" s="1065"/>
      <c r="CS305" s="1065"/>
      <c r="CT305" s="1065"/>
      <c r="CU305" s="1065"/>
      <c r="CV305" s="1065"/>
      <c r="CW305" s="1065"/>
      <c r="CX305" s="1065"/>
      <c r="CY305" s="1065"/>
      <c r="CZ305" s="1065"/>
      <c r="DA305" s="1065"/>
      <c r="DB305" s="1065"/>
    </row>
    <row r="306" spans="1:106" ht="15" customHeight="1" thickBot="1">
      <c r="A306" s="1065"/>
      <c r="B306" s="1065"/>
      <c r="C306" s="1116" t="s">
        <v>662</v>
      </c>
      <c r="D306" s="1120" t="s">
        <v>722</v>
      </c>
      <c r="E306" s="1121"/>
      <c r="F306" s="1121"/>
      <c r="G306" s="1121"/>
      <c r="H306" s="1678" t="s">
        <v>657</v>
      </c>
      <c r="I306" s="1678"/>
      <c r="J306" s="1122" t="s">
        <v>723</v>
      </c>
      <c r="K306" s="1123"/>
      <c r="L306" s="1124"/>
      <c r="M306" s="1696" t="s">
        <v>724</v>
      </c>
      <c r="N306" s="1696"/>
      <c r="O306" s="1696"/>
      <c r="P306" s="1696"/>
      <c r="Q306" s="1696"/>
      <c r="R306" s="1696"/>
      <c r="S306" s="1097">
        <v>2400</v>
      </c>
      <c r="T306" s="1125">
        <v>2400</v>
      </c>
      <c r="U306" s="1119">
        <f>S306</f>
        <v>2400</v>
      </c>
      <c r="V306" s="1065"/>
      <c r="W306" s="1065"/>
      <c r="X306" s="1065"/>
      <c r="Y306" s="1065"/>
      <c r="Z306" s="1065"/>
      <c r="AA306" s="1065"/>
      <c r="AB306" s="1065"/>
      <c r="AC306" s="1065"/>
      <c r="AD306" s="1065"/>
      <c r="AE306" s="1065"/>
      <c r="AF306" s="1065"/>
      <c r="AG306" s="1065"/>
      <c r="AH306" s="1065"/>
      <c r="AI306" s="1065"/>
      <c r="AJ306" s="1065"/>
      <c r="AK306" s="1065"/>
      <c r="AL306" s="1065"/>
      <c r="AM306" s="1065"/>
      <c r="AN306" s="1065"/>
      <c r="AO306" s="1065"/>
      <c r="AP306" s="1065"/>
      <c r="AQ306" s="1065"/>
      <c r="AR306" s="1065"/>
      <c r="AS306" s="1065"/>
      <c r="AT306" s="1065"/>
      <c r="AU306" s="1065"/>
      <c r="AV306" s="1065"/>
      <c r="AW306" s="1065"/>
      <c r="AX306" s="1065"/>
      <c r="AY306" s="1065"/>
      <c r="AZ306" s="1065"/>
      <c r="BA306" s="1065"/>
      <c r="BB306" s="1065"/>
      <c r="BC306" s="1065"/>
      <c r="BD306" s="1065"/>
      <c r="BE306" s="1065"/>
      <c r="BF306" s="1065"/>
      <c r="BG306" s="1065"/>
      <c r="BH306" s="1065"/>
      <c r="BI306" s="1065"/>
      <c r="BJ306" s="1065"/>
      <c r="BK306" s="1065"/>
      <c r="BL306" s="1065"/>
      <c r="BM306" s="1065"/>
      <c r="BN306" s="1065"/>
      <c r="BO306" s="1065"/>
      <c r="BP306" s="1065"/>
      <c r="BQ306" s="1065"/>
      <c r="BR306" s="1065"/>
      <c r="BS306" s="1065"/>
      <c r="BT306" s="1065"/>
      <c r="BU306" s="1065"/>
      <c r="BV306" s="1065"/>
      <c r="BW306" s="1065"/>
      <c r="BX306" s="1065"/>
      <c r="BY306" s="1065"/>
      <c r="BZ306" s="1065"/>
      <c r="CA306" s="1065"/>
      <c r="CB306" s="1065"/>
      <c r="CC306" s="1065"/>
      <c r="CD306" s="1065"/>
      <c r="CE306" s="1065"/>
      <c r="CF306" s="1065"/>
      <c r="CG306" s="1065"/>
      <c r="CH306" s="1065"/>
      <c r="CI306" s="1065"/>
      <c r="CJ306" s="1065"/>
      <c r="CK306" s="1065"/>
      <c r="CL306" s="1065"/>
      <c r="CM306" s="1065"/>
      <c r="CN306" s="1065"/>
      <c r="CO306" s="1065"/>
      <c r="CP306" s="1065"/>
      <c r="CQ306" s="1065"/>
      <c r="CR306" s="1065"/>
      <c r="CS306" s="1065"/>
      <c r="CT306" s="1065"/>
      <c r="CU306" s="1065"/>
      <c r="CV306" s="1065"/>
      <c r="CW306" s="1065"/>
      <c r="CX306" s="1065"/>
      <c r="CY306" s="1065"/>
      <c r="CZ306" s="1065"/>
      <c r="DA306" s="1065"/>
      <c r="DB306" s="1065"/>
    </row>
    <row r="307" spans="1:106" ht="15" customHeight="1" thickBot="1">
      <c r="A307" s="1065"/>
      <c r="B307" s="1065"/>
      <c r="C307" s="1116" t="s">
        <v>678</v>
      </c>
      <c r="D307" s="1120" t="s">
        <v>722</v>
      </c>
      <c r="E307" s="1121"/>
      <c r="F307" s="1121"/>
      <c r="G307" s="1121"/>
      <c r="H307" s="1678" t="s">
        <v>671</v>
      </c>
      <c r="I307" s="1678"/>
      <c r="J307" s="1122" t="s">
        <v>725</v>
      </c>
      <c r="K307" s="1123"/>
      <c r="L307" s="1124"/>
      <c r="M307" s="1696"/>
      <c r="N307" s="1696"/>
      <c r="O307" s="1696"/>
      <c r="P307" s="1696"/>
      <c r="Q307" s="1696"/>
      <c r="R307" s="1696"/>
      <c r="S307" s="1097"/>
      <c r="T307" s="1092"/>
      <c r="U307" s="1119"/>
      <c r="V307" s="1065"/>
      <c r="W307" s="1065"/>
      <c r="X307" s="1065"/>
      <c r="Y307" s="1065"/>
      <c r="Z307" s="1065"/>
      <c r="AA307" s="1065"/>
      <c r="AB307" s="1065"/>
      <c r="AC307" s="1065"/>
      <c r="AD307" s="1065"/>
      <c r="AE307" s="1065"/>
      <c r="AF307" s="1065"/>
      <c r="AG307" s="1065"/>
      <c r="AH307" s="1065"/>
      <c r="AI307" s="1065"/>
      <c r="AJ307" s="1065"/>
      <c r="AK307" s="1065"/>
      <c r="AL307" s="1065"/>
      <c r="AM307" s="1065"/>
      <c r="AN307" s="1065"/>
      <c r="AO307" s="1065"/>
      <c r="AP307" s="1065"/>
      <c r="AQ307" s="1065"/>
      <c r="AR307" s="1065"/>
      <c r="AS307" s="1065"/>
      <c r="AT307" s="1065"/>
      <c r="AU307" s="1065"/>
      <c r="AV307" s="1065"/>
      <c r="AW307" s="1065"/>
      <c r="AX307" s="1065"/>
      <c r="AY307" s="1065"/>
      <c r="AZ307" s="1065"/>
      <c r="BA307" s="1065"/>
      <c r="BB307" s="1065"/>
      <c r="BC307" s="1065"/>
      <c r="BD307" s="1065"/>
      <c r="BE307" s="1065"/>
      <c r="BF307" s="1065"/>
      <c r="BG307" s="1065"/>
      <c r="BH307" s="1065"/>
      <c r="BI307" s="1065"/>
      <c r="BJ307" s="1065"/>
      <c r="BK307" s="1065"/>
      <c r="BL307" s="1065"/>
      <c r="BM307" s="1065"/>
      <c r="BN307" s="1065"/>
      <c r="BO307" s="1065"/>
      <c r="BP307" s="1065"/>
      <c r="BQ307" s="1065"/>
      <c r="BR307" s="1065"/>
      <c r="BS307" s="1065"/>
      <c r="BT307" s="1065"/>
      <c r="BU307" s="1065"/>
      <c r="BV307" s="1065"/>
      <c r="BW307" s="1065"/>
      <c r="BX307" s="1065"/>
      <c r="BY307" s="1065"/>
      <c r="BZ307" s="1065"/>
      <c r="CA307" s="1065"/>
      <c r="CB307" s="1065"/>
      <c r="CC307" s="1065"/>
      <c r="CD307" s="1065"/>
      <c r="CE307" s="1065"/>
      <c r="CF307" s="1065"/>
      <c r="CG307" s="1065"/>
      <c r="CH307" s="1065"/>
      <c r="CI307" s="1065"/>
      <c r="CJ307" s="1065"/>
      <c r="CK307" s="1065"/>
      <c r="CL307" s="1065"/>
      <c r="CM307" s="1065"/>
      <c r="CN307" s="1065"/>
      <c r="CO307" s="1065"/>
      <c r="CP307" s="1065"/>
      <c r="CQ307" s="1065"/>
      <c r="CR307" s="1065"/>
      <c r="CS307" s="1065"/>
      <c r="CT307" s="1065"/>
      <c r="CU307" s="1065"/>
      <c r="CV307" s="1065"/>
      <c r="CW307" s="1065"/>
      <c r="CX307" s="1065"/>
      <c r="CY307" s="1065"/>
      <c r="CZ307" s="1065"/>
      <c r="DA307" s="1065"/>
      <c r="DB307" s="1065"/>
    </row>
    <row r="308" spans="1:106" ht="24.75" customHeight="1" thickBot="1">
      <c r="A308" s="1065"/>
      <c r="B308" s="1065"/>
      <c r="C308" s="1126" t="s">
        <v>679</v>
      </c>
      <c r="D308" s="1818" t="s">
        <v>722</v>
      </c>
      <c r="E308" s="1818"/>
      <c r="F308" s="1818"/>
      <c r="G308" s="1818"/>
      <c r="H308" s="1780" t="s">
        <v>671</v>
      </c>
      <c r="I308" s="1780"/>
      <c r="J308" s="1819" t="s">
        <v>726</v>
      </c>
      <c r="K308" s="1819"/>
      <c r="L308" s="1819"/>
      <c r="M308" s="1780" t="s">
        <v>727</v>
      </c>
      <c r="N308" s="1780"/>
      <c r="O308" s="1780"/>
      <c r="P308" s="1780"/>
      <c r="Q308" s="1780"/>
      <c r="R308" s="1780"/>
      <c r="S308" s="1100">
        <v>5400</v>
      </c>
      <c r="T308" s="1101">
        <v>5400</v>
      </c>
      <c r="U308" s="1102">
        <v>5400</v>
      </c>
      <c r="V308" s="1065"/>
      <c r="W308" s="1065"/>
      <c r="X308" s="1065"/>
      <c r="Y308" s="1065"/>
      <c r="Z308" s="1065"/>
      <c r="AA308" s="1065"/>
      <c r="AB308" s="1065"/>
      <c r="AC308" s="1065"/>
      <c r="AD308" s="1065"/>
      <c r="AE308" s="1065"/>
      <c r="AF308" s="1065"/>
      <c r="AG308" s="1065"/>
      <c r="AH308" s="1065"/>
      <c r="AI308" s="1065"/>
      <c r="AJ308" s="1065"/>
      <c r="AK308" s="1065"/>
      <c r="AL308" s="1065"/>
      <c r="AM308" s="1065"/>
      <c r="AN308" s="1065"/>
      <c r="AO308" s="1065"/>
      <c r="AP308" s="1065"/>
      <c r="AQ308" s="1065"/>
      <c r="AR308" s="1065"/>
      <c r="AS308" s="1065"/>
      <c r="AT308" s="1065"/>
      <c r="AU308" s="1065"/>
      <c r="AV308" s="1065"/>
      <c r="AW308" s="1065"/>
      <c r="AX308" s="1065"/>
      <c r="AY308" s="1065"/>
      <c r="AZ308" s="1065"/>
      <c r="BA308" s="1065"/>
      <c r="BB308" s="1065"/>
      <c r="BC308" s="1065"/>
      <c r="BD308" s="1065"/>
      <c r="BE308" s="1065"/>
      <c r="BF308" s="1065"/>
      <c r="BG308" s="1065"/>
      <c r="BH308" s="1065"/>
      <c r="BI308" s="1065"/>
      <c r="BJ308" s="1065"/>
      <c r="BK308" s="1065"/>
      <c r="BL308" s="1065"/>
      <c r="BM308" s="1065"/>
      <c r="BN308" s="1065"/>
      <c r="BO308" s="1065"/>
      <c r="BP308" s="1065"/>
      <c r="BQ308" s="1065"/>
      <c r="BR308" s="1065"/>
      <c r="BS308" s="1065"/>
      <c r="BT308" s="1065"/>
      <c r="BU308" s="1065"/>
      <c r="BV308" s="1065"/>
      <c r="BW308" s="1065"/>
      <c r="BX308" s="1065"/>
      <c r="BY308" s="1065"/>
      <c r="BZ308" s="1065"/>
      <c r="CA308" s="1065"/>
      <c r="CB308" s="1065"/>
      <c r="CC308" s="1065"/>
      <c r="CD308" s="1065"/>
      <c r="CE308" s="1065"/>
      <c r="CF308" s="1065"/>
      <c r="CG308" s="1065"/>
      <c r="CH308" s="1065"/>
      <c r="CI308" s="1065"/>
      <c r="CJ308" s="1065"/>
      <c r="CK308" s="1065"/>
      <c r="CL308" s="1065"/>
      <c r="CM308" s="1065"/>
      <c r="CN308" s="1065"/>
      <c r="CO308" s="1065"/>
      <c r="CP308" s="1065"/>
      <c r="CQ308" s="1065"/>
      <c r="CR308" s="1065"/>
      <c r="CS308" s="1065"/>
      <c r="CT308" s="1065"/>
      <c r="CU308" s="1065"/>
      <c r="CV308" s="1065"/>
      <c r="CW308" s="1065"/>
      <c r="CX308" s="1065"/>
      <c r="CY308" s="1065"/>
      <c r="CZ308" s="1065"/>
      <c r="DA308" s="1065"/>
      <c r="DB308" s="1065"/>
    </row>
    <row r="309" spans="1:106" ht="15" customHeight="1" thickBot="1">
      <c r="A309" s="1065"/>
      <c r="B309" s="1065"/>
      <c r="C309" s="1817" t="s">
        <v>728</v>
      </c>
      <c r="D309" s="1817"/>
      <c r="E309" s="1817"/>
      <c r="F309" s="1817"/>
      <c r="G309" s="1817"/>
      <c r="H309" s="1817"/>
      <c r="I309" s="1817"/>
      <c r="J309" s="1817"/>
      <c r="K309" s="1817"/>
      <c r="L309" s="1817"/>
      <c r="M309" s="1817"/>
      <c r="N309" s="1817"/>
      <c r="O309" s="1817"/>
      <c r="P309" s="1817"/>
      <c r="Q309" s="1817"/>
      <c r="R309" s="1817"/>
      <c r="S309" s="1817"/>
      <c r="T309" s="1817"/>
      <c r="U309" s="1817"/>
      <c r="V309" s="1065"/>
      <c r="W309" s="1065"/>
      <c r="X309" s="1065"/>
      <c r="Y309" s="1065"/>
      <c r="Z309" s="1065"/>
      <c r="AA309" s="1065"/>
      <c r="AB309" s="1065"/>
      <c r="AC309" s="1065"/>
      <c r="AD309" s="1065"/>
      <c r="AE309" s="1065"/>
      <c r="AF309" s="1065"/>
      <c r="AG309" s="1065"/>
      <c r="AH309" s="1065"/>
      <c r="AI309" s="1065"/>
      <c r="AJ309" s="1065"/>
      <c r="AK309" s="1065"/>
      <c r="AL309" s="1065"/>
      <c r="AM309" s="1065"/>
      <c r="AN309" s="1065"/>
      <c r="AO309" s="1065"/>
      <c r="AP309" s="1065"/>
      <c r="AQ309" s="1065"/>
      <c r="AR309" s="1065"/>
      <c r="AS309" s="1065"/>
      <c r="AT309" s="1065"/>
      <c r="AU309" s="1065"/>
      <c r="AV309" s="1065"/>
      <c r="AW309" s="1065"/>
      <c r="AX309" s="1065"/>
      <c r="AY309" s="1065"/>
      <c r="AZ309" s="1065"/>
      <c r="BA309" s="1065"/>
      <c r="BB309" s="1065"/>
      <c r="BC309" s="1065"/>
      <c r="BD309" s="1065"/>
      <c r="BE309" s="1065"/>
      <c r="BF309" s="1065"/>
      <c r="BG309" s="1065"/>
      <c r="BH309" s="1065"/>
      <c r="BI309" s="1065"/>
      <c r="BJ309" s="1065"/>
      <c r="BK309" s="1065"/>
      <c r="BL309" s="1065"/>
      <c r="BM309" s="1065"/>
      <c r="BN309" s="1065"/>
      <c r="BO309" s="1065"/>
      <c r="BP309" s="1065"/>
      <c r="BQ309" s="1065"/>
      <c r="BR309" s="1065"/>
      <c r="BS309" s="1065"/>
      <c r="BT309" s="1065"/>
      <c r="BU309" s="1065"/>
      <c r="BV309" s="1065"/>
      <c r="BW309" s="1065"/>
      <c r="BX309" s="1065"/>
      <c r="BY309" s="1065"/>
      <c r="BZ309" s="1065"/>
      <c r="CA309" s="1065"/>
      <c r="CB309" s="1065"/>
      <c r="CC309" s="1065"/>
      <c r="CD309" s="1065"/>
      <c r="CE309" s="1065"/>
      <c r="CF309" s="1065"/>
      <c r="CG309" s="1065"/>
      <c r="CH309" s="1065"/>
      <c r="CI309" s="1065"/>
      <c r="CJ309" s="1065"/>
      <c r="CK309" s="1065"/>
      <c r="CL309" s="1065"/>
      <c r="CM309" s="1065"/>
      <c r="CN309" s="1065"/>
      <c r="CO309" s="1065"/>
      <c r="CP309" s="1065"/>
      <c r="CQ309" s="1065"/>
      <c r="CR309" s="1065"/>
      <c r="CS309" s="1065"/>
      <c r="CT309" s="1065"/>
      <c r="CU309" s="1065"/>
      <c r="CV309" s="1065"/>
      <c r="CW309" s="1065"/>
      <c r="CX309" s="1065"/>
      <c r="CY309" s="1065"/>
      <c r="CZ309" s="1065"/>
      <c r="DA309" s="1065"/>
      <c r="DB309" s="1065"/>
    </row>
    <row r="310" spans="1:106" ht="15" customHeight="1" thickBot="1">
      <c r="A310" s="1065"/>
      <c r="B310" s="1065"/>
      <c r="C310" s="1800" t="s">
        <v>648</v>
      </c>
      <c r="D310" s="1795" t="s">
        <v>649</v>
      </c>
      <c r="E310" s="1795"/>
      <c r="F310" s="1795"/>
      <c r="G310" s="1795"/>
      <c r="H310" s="1801" t="s">
        <v>650</v>
      </c>
      <c r="I310" s="1801"/>
      <c r="J310" s="1774" t="s">
        <v>651</v>
      </c>
      <c r="K310" s="1774"/>
      <c r="L310" s="1774"/>
      <c r="M310" s="1774" t="s">
        <v>652</v>
      </c>
      <c r="N310" s="1774"/>
      <c r="O310" s="1774"/>
      <c r="P310" s="1774"/>
      <c r="Q310" s="1774"/>
      <c r="R310" s="1774"/>
      <c r="S310" s="1743" t="s">
        <v>6</v>
      </c>
      <c r="T310" s="1744" t="s">
        <v>653</v>
      </c>
      <c r="U310" s="1745" t="s">
        <v>654</v>
      </c>
      <c r="V310" s="1065"/>
      <c r="W310" s="1065"/>
      <c r="X310" s="1065"/>
      <c r="Y310" s="1065"/>
      <c r="Z310" s="1065"/>
      <c r="AA310" s="1065"/>
      <c r="AB310" s="1065"/>
      <c r="AC310" s="1065"/>
      <c r="AD310" s="1065"/>
      <c r="AE310" s="1065"/>
      <c r="AF310" s="1065"/>
      <c r="AG310" s="1065"/>
      <c r="AH310" s="1065"/>
      <c r="AI310" s="1065"/>
      <c r="AJ310" s="1065"/>
      <c r="AK310" s="1065"/>
      <c r="AL310" s="1065"/>
      <c r="AM310" s="1065"/>
      <c r="AN310" s="1065"/>
      <c r="AO310" s="1065"/>
      <c r="AP310" s="1065"/>
      <c r="AQ310" s="1065"/>
      <c r="AR310" s="1065"/>
      <c r="AS310" s="1065"/>
      <c r="AT310" s="1065"/>
      <c r="AU310" s="1065"/>
      <c r="AV310" s="1065"/>
      <c r="AW310" s="1065"/>
      <c r="AX310" s="1065"/>
      <c r="AY310" s="1065"/>
      <c r="AZ310" s="1065"/>
      <c r="BA310" s="1065"/>
      <c r="BB310" s="1065"/>
      <c r="BC310" s="1065"/>
      <c r="BD310" s="1065"/>
      <c r="BE310" s="1065"/>
      <c r="BF310" s="1065"/>
      <c r="BG310" s="1065"/>
      <c r="BH310" s="1065"/>
      <c r="BI310" s="1065"/>
      <c r="BJ310" s="1065"/>
      <c r="BK310" s="1065"/>
      <c r="BL310" s="1065"/>
      <c r="BM310" s="1065"/>
      <c r="BN310" s="1065"/>
      <c r="BO310" s="1065"/>
      <c r="BP310" s="1065"/>
      <c r="BQ310" s="1065"/>
      <c r="BR310" s="1065"/>
      <c r="BS310" s="1065"/>
      <c r="BT310" s="1065"/>
      <c r="BU310" s="1065"/>
      <c r="BV310" s="1065"/>
      <c r="BW310" s="1065"/>
      <c r="BX310" s="1065"/>
      <c r="BY310" s="1065"/>
      <c r="BZ310" s="1065"/>
      <c r="CA310" s="1065"/>
      <c r="CB310" s="1065"/>
      <c r="CC310" s="1065"/>
      <c r="CD310" s="1065"/>
      <c r="CE310" s="1065"/>
      <c r="CF310" s="1065"/>
      <c r="CG310" s="1065"/>
      <c r="CH310" s="1065"/>
      <c r="CI310" s="1065"/>
      <c r="CJ310" s="1065"/>
      <c r="CK310" s="1065"/>
      <c r="CL310" s="1065"/>
      <c r="CM310" s="1065"/>
      <c r="CN310" s="1065"/>
      <c r="CO310" s="1065"/>
      <c r="CP310" s="1065"/>
      <c r="CQ310" s="1065"/>
      <c r="CR310" s="1065"/>
      <c r="CS310" s="1065"/>
      <c r="CT310" s="1065"/>
      <c r="CU310" s="1065"/>
      <c r="CV310" s="1065"/>
      <c r="CW310" s="1065"/>
      <c r="CX310" s="1065"/>
      <c r="CY310" s="1065"/>
      <c r="CZ310" s="1065"/>
      <c r="DA310" s="1065"/>
      <c r="DB310" s="1065"/>
    </row>
    <row r="311" spans="1:106" ht="15" customHeight="1">
      <c r="A311" s="1065"/>
      <c r="B311" s="1065"/>
      <c r="C311" s="1800"/>
      <c r="D311" s="1795"/>
      <c r="E311" s="1795"/>
      <c r="F311" s="1795"/>
      <c r="G311" s="1795"/>
      <c r="H311" s="1801"/>
      <c r="I311" s="1801"/>
      <c r="J311" s="1774"/>
      <c r="K311" s="1774"/>
      <c r="L311" s="1774"/>
      <c r="M311" s="1774"/>
      <c r="N311" s="1774"/>
      <c r="O311" s="1774"/>
      <c r="P311" s="1774"/>
      <c r="Q311" s="1774"/>
      <c r="R311" s="1774"/>
      <c r="S311" s="1743"/>
      <c r="T311" s="1744"/>
      <c r="U311" s="1745"/>
      <c r="V311" s="1065"/>
      <c r="W311" s="1065"/>
      <c r="X311" s="1065"/>
      <c r="Y311" s="1065"/>
      <c r="Z311" s="1065"/>
      <c r="AA311" s="1065"/>
      <c r="AB311" s="1065"/>
      <c r="AC311" s="1065"/>
      <c r="AD311" s="1065"/>
      <c r="AE311" s="1065"/>
      <c r="AF311" s="1065"/>
      <c r="AG311" s="1065"/>
      <c r="AH311" s="1065"/>
      <c r="AI311" s="1065"/>
      <c r="AJ311" s="1065"/>
      <c r="AK311" s="1065"/>
      <c r="AL311" s="1065"/>
      <c r="AM311" s="1065"/>
      <c r="AN311" s="1065"/>
      <c r="AO311" s="1065"/>
      <c r="AP311" s="1065"/>
      <c r="AQ311" s="1065"/>
      <c r="AR311" s="1065"/>
      <c r="AS311" s="1065"/>
      <c r="AT311" s="1065"/>
      <c r="AU311" s="1065"/>
      <c r="AV311" s="1065"/>
      <c r="AW311" s="1065"/>
      <c r="AX311" s="1065"/>
      <c r="AY311" s="1065"/>
      <c r="AZ311" s="1065"/>
      <c r="BA311" s="1065"/>
      <c r="BB311" s="1065"/>
      <c r="BC311" s="1065"/>
      <c r="BD311" s="1065"/>
      <c r="BE311" s="1065"/>
      <c r="BF311" s="1065"/>
      <c r="BG311" s="1065"/>
      <c r="BH311" s="1065"/>
      <c r="BI311" s="1065"/>
      <c r="BJ311" s="1065"/>
      <c r="BK311" s="1065"/>
      <c r="BL311" s="1065"/>
      <c r="BM311" s="1065"/>
      <c r="BN311" s="1065"/>
      <c r="BO311" s="1065"/>
      <c r="BP311" s="1065"/>
      <c r="BQ311" s="1065"/>
      <c r="BR311" s="1065"/>
      <c r="BS311" s="1065"/>
      <c r="BT311" s="1065"/>
      <c r="BU311" s="1065"/>
      <c r="BV311" s="1065"/>
      <c r="BW311" s="1065"/>
      <c r="BX311" s="1065"/>
      <c r="BY311" s="1065"/>
      <c r="BZ311" s="1065"/>
      <c r="CA311" s="1065"/>
      <c r="CB311" s="1065"/>
      <c r="CC311" s="1065"/>
      <c r="CD311" s="1065"/>
      <c r="CE311" s="1065"/>
      <c r="CF311" s="1065"/>
      <c r="CG311" s="1065"/>
      <c r="CH311" s="1065"/>
      <c r="CI311" s="1065"/>
      <c r="CJ311" s="1065"/>
      <c r="CK311" s="1065"/>
      <c r="CL311" s="1065"/>
      <c r="CM311" s="1065"/>
      <c r="CN311" s="1065"/>
      <c r="CO311" s="1065"/>
      <c r="CP311" s="1065"/>
      <c r="CQ311" s="1065"/>
      <c r="CR311" s="1065"/>
      <c r="CS311" s="1065"/>
      <c r="CT311" s="1065"/>
      <c r="CU311" s="1065"/>
      <c r="CV311" s="1065"/>
      <c r="CW311" s="1065"/>
      <c r="CX311" s="1065"/>
      <c r="CY311" s="1065"/>
      <c r="CZ311" s="1065"/>
      <c r="DA311" s="1065"/>
      <c r="DB311" s="1065"/>
    </row>
    <row r="312" spans="1:106" ht="15" customHeight="1" thickBot="1">
      <c r="A312" s="1065"/>
      <c r="B312" s="1065"/>
      <c r="C312" s="1127" t="s">
        <v>655</v>
      </c>
      <c r="D312" s="1756" t="s">
        <v>729</v>
      </c>
      <c r="E312" s="1756"/>
      <c r="F312" s="1756"/>
      <c r="G312" s="1756"/>
      <c r="H312" s="1756" t="s">
        <v>657</v>
      </c>
      <c r="I312" s="1756"/>
      <c r="J312" s="1747" t="s">
        <v>730</v>
      </c>
      <c r="K312" s="1747"/>
      <c r="L312" s="1747"/>
      <c r="M312" s="1756" t="s">
        <v>731</v>
      </c>
      <c r="N312" s="1756"/>
      <c r="O312" s="1756"/>
      <c r="P312" s="1756"/>
      <c r="Q312" s="1756"/>
      <c r="R312" s="1756"/>
      <c r="S312" s="1067">
        <v>850</v>
      </c>
      <c r="T312" s="1738">
        <f>SUM(S312:S360)</f>
        <v>157864.82</v>
      </c>
      <c r="U312" s="1809">
        <v>50000</v>
      </c>
      <c r="V312" s="1065"/>
      <c r="W312" s="1065"/>
      <c r="X312" s="1065"/>
      <c r="Y312" s="1065"/>
      <c r="Z312" s="1065"/>
      <c r="AA312" s="1065"/>
      <c r="AB312" s="1065"/>
      <c r="AC312" s="1065"/>
      <c r="AD312" s="1065"/>
      <c r="AE312" s="1065"/>
      <c r="AF312" s="1065"/>
      <c r="AG312" s="1065"/>
      <c r="AH312" s="1065"/>
      <c r="AI312" s="1065"/>
      <c r="AJ312" s="1065"/>
      <c r="AK312" s="1065"/>
      <c r="AL312" s="1065"/>
      <c r="AM312" s="1065"/>
      <c r="AN312" s="1065"/>
      <c r="AO312" s="1065"/>
      <c r="AP312" s="1065"/>
      <c r="AQ312" s="1065"/>
      <c r="AR312" s="1065"/>
      <c r="AS312" s="1065"/>
      <c r="AT312" s="1065"/>
      <c r="AU312" s="1065"/>
      <c r="AV312" s="1065"/>
      <c r="AW312" s="1065"/>
      <c r="AX312" s="1065"/>
      <c r="AY312" s="1065"/>
      <c r="AZ312" s="1065"/>
      <c r="BA312" s="1065"/>
      <c r="BB312" s="1065"/>
      <c r="BC312" s="1065"/>
      <c r="BD312" s="1065"/>
      <c r="BE312" s="1065"/>
      <c r="BF312" s="1065"/>
      <c r="BG312" s="1065"/>
      <c r="BH312" s="1065"/>
      <c r="BI312" s="1065"/>
      <c r="BJ312" s="1065"/>
      <c r="BK312" s="1065"/>
      <c r="BL312" s="1065"/>
      <c r="BM312" s="1065"/>
      <c r="BN312" s="1065"/>
      <c r="BO312" s="1065"/>
      <c r="BP312" s="1065"/>
      <c r="BQ312" s="1065"/>
      <c r="BR312" s="1065"/>
      <c r="BS312" s="1065"/>
      <c r="BT312" s="1065"/>
      <c r="BU312" s="1065"/>
      <c r="BV312" s="1065"/>
      <c r="BW312" s="1065"/>
      <c r="BX312" s="1065"/>
      <c r="BY312" s="1065"/>
      <c r="BZ312" s="1065"/>
      <c r="CA312" s="1065"/>
      <c r="CB312" s="1065"/>
      <c r="CC312" s="1065"/>
      <c r="CD312" s="1065"/>
      <c r="CE312" s="1065"/>
      <c r="CF312" s="1065"/>
      <c r="CG312" s="1065"/>
      <c r="CH312" s="1065"/>
      <c r="CI312" s="1065"/>
      <c r="CJ312" s="1065"/>
      <c r="CK312" s="1065"/>
      <c r="CL312" s="1065"/>
      <c r="CM312" s="1065"/>
      <c r="CN312" s="1065"/>
      <c r="CO312" s="1065"/>
      <c r="CP312" s="1065"/>
      <c r="CQ312" s="1065"/>
      <c r="CR312" s="1065"/>
      <c r="CS312" s="1065"/>
      <c r="CT312" s="1065"/>
      <c r="CU312" s="1065"/>
      <c r="CV312" s="1065"/>
      <c r="CW312" s="1065"/>
      <c r="CX312" s="1065"/>
      <c r="CY312" s="1065"/>
      <c r="CZ312" s="1065"/>
      <c r="DA312" s="1065"/>
      <c r="DB312" s="1065"/>
    </row>
    <row r="313" spans="1:106" ht="15" customHeight="1" thickBot="1">
      <c r="A313" s="1065"/>
      <c r="B313" s="1065"/>
      <c r="C313" s="1127" t="s">
        <v>663</v>
      </c>
      <c r="D313" s="1756" t="s">
        <v>700</v>
      </c>
      <c r="E313" s="1756"/>
      <c r="F313" s="1756"/>
      <c r="G313" s="1756"/>
      <c r="H313" s="1128" t="s">
        <v>657</v>
      </c>
      <c r="I313" s="1128"/>
      <c r="J313" s="1129" t="s">
        <v>732</v>
      </c>
      <c r="K313" s="1130"/>
      <c r="L313" s="1131"/>
      <c r="M313" s="1756" t="s">
        <v>733</v>
      </c>
      <c r="N313" s="1756"/>
      <c r="O313" s="1756"/>
      <c r="P313" s="1756"/>
      <c r="Q313" s="1756"/>
      <c r="R313" s="1756"/>
      <c r="S313" s="1097">
        <v>618</v>
      </c>
      <c r="T313" s="1738"/>
      <c r="U313" s="1809"/>
      <c r="V313" s="1065"/>
      <c r="W313" s="1065"/>
      <c r="X313" s="1065"/>
      <c r="Y313" s="1065"/>
      <c r="Z313" s="1065"/>
      <c r="AA313" s="1065"/>
      <c r="AB313" s="1065"/>
      <c r="AC313" s="1065"/>
      <c r="AD313" s="1065"/>
      <c r="AE313" s="1065"/>
      <c r="AF313" s="1065"/>
      <c r="AG313" s="1065"/>
      <c r="AH313" s="1065"/>
      <c r="AI313" s="1065"/>
      <c r="AJ313" s="1065"/>
      <c r="AK313" s="1065"/>
      <c r="AL313" s="1065"/>
      <c r="AM313" s="1065"/>
      <c r="AN313" s="1065"/>
      <c r="AO313" s="1065"/>
      <c r="AP313" s="1065"/>
      <c r="AQ313" s="1065"/>
      <c r="AR313" s="1065"/>
      <c r="AS313" s="1065"/>
      <c r="AT313" s="1065"/>
      <c r="AU313" s="1065"/>
      <c r="AV313" s="1065"/>
      <c r="AW313" s="1065"/>
      <c r="AX313" s="1065"/>
      <c r="AY313" s="1065"/>
      <c r="AZ313" s="1065"/>
      <c r="BA313" s="1065"/>
      <c r="BB313" s="1065"/>
      <c r="BC313" s="1065"/>
      <c r="BD313" s="1065"/>
      <c r="BE313" s="1065"/>
      <c r="BF313" s="1065"/>
      <c r="BG313" s="1065"/>
      <c r="BH313" s="1065"/>
      <c r="BI313" s="1065"/>
      <c r="BJ313" s="1065"/>
      <c r="BK313" s="1065"/>
      <c r="BL313" s="1065"/>
      <c r="BM313" s="1065"/>
      <c r="BN313" s="1065"/>
      <c r="BO313" s="1065"/>
      <c r="BP313" s="1065"/>
      <c r="BQ313" s="1065"/>
      <c r="BR313" s="1065"/>
      <c r="BS313" s="1065"/>
      <c r="BT313" s="1065"/>
      <c r="BU313" s="1065"/>
      <c r="BV313" s="1065"/>
      <c r="BW313" s="1065"/>
      <c r="BX313" s="1065"/>
      <c r="BY313" s="1065"/>
      <c r="BZ313" s="1065"/>
      <c r="CA313" s="1065"/>
      <c r="CB313" s="1065"/>
      <c r="CC313" s="1065"/>
      <c r="CD313" s="1065"/>
      <c r="CE313" s="1065"/>
      <c r="CF313" s="1065"/>
      <c r="CG313" s="1065"/>
      <c r="CH313" s="1065"/>
      <c r="CI313" s="1065"/>
      <c r="CJ313" s="1065"/>
      <c r="CK313" s="1065"/>
      <c r="CL313" s="1065"/>
      <c r="CM313" s="1065"/>
      <c r="CN313" s="1065"/>
      <c r="CO313" s="1065"/>
      <c r="CP313" s="1065"/>
      <c r="CQ313" s="1065"/>
      <c r="CR313" s="1065"/>
      <c r="CS313" s="1065"/>
      <c r="CT313" s="1065"/>
      <c r="CU313" s="1065"/>
      <c r="CV313" s="1065"/>
      <c r="CW313" s="1065"/>
      <c r="CX313" s="1065"/>
      <c r="CY313" s="1065"/>
      <c r="CZ313" s="1065"/>
      <c r="DA313" s="1065"/>
      <c r="DB313" s="1065"/>
    </row>
    <row r="314" spans="1:106" ht="15" customHeight="1" thickBot="1">
      <c r="A314" s="1065"/>
      <c r="B314" s="1065"/>
      <c r="C314" s="1127" t="s">
        <v>549</v>
      </c>
      <c r="D314" s="1132" t="s">
        <v>700</v>
      </c>
      <c r="E314" s="1133"/>
      <c r="F314" s="1133"/>
      <c r="G314" s="1134"/>
      <c r="H314" s="1129" t="s">
        <v>671</v>
      </c>
      <c r="I314" s="1131"/>
      <c r="J314" s="1132" t="s">
        <v>734</v>
      </c>
      <c r="K314" s="1133"/>
      <c r="L314" s="1134"/>
      <c r="M314" s="1694" t="s">
        <v>735</v>
      </c>
      <c r="N314" s="1694"/>
      <c r="O314" s="1694"/>
      <c r="P314" s="1694"/>
      <c r="Q314" s="1694"/>
      <c r="R314" s="1694"/>
      <c r="S314" s="1067">
        <v>350</v>
      </c>
      <c r="T314" s="1738"/>
      <c r="U314" s="1809"/>
      <c r="V314" s="1065"/>
      <c r="W314" s="1065"/>
      <c r="X314" s="1065"/>
      <c r="Y314" s="1065"/>
      <c r="Z314" s="1065"/>
      <c r="AA314" s="1065"/>
      <c r="AB314" s="1065"/>
      <c r="AC314" s="1065"/>
      <c r="AD314" s="1065"/>
      <c r="AE314" s="1065"/>
      <c r="AF314" s="1065"/>
      <c r="AG314" s="1065"/>
      <c r="AH314" s="1065"/>
      <c r="AI314" s="1065"/>
      <c r="AJ314" s="1065"/>
      <c r="AK314" s="1065"/>
      <c r="AL314" s="1065"/>
      <c r="AM314" s="1065"/>
      <c r="AN314" s="1065"/>
      <c r="AO314" s="1065"/>
      <c r="AP314" s="1065"/>
      <c r="AQ314" s="1065"/>
      <c r="AR314" s="1065"/>
      <c r="AS314" s="1065"/>
      <c r="AT314" s="1065"/>
      <c r="AU314" s="1065"/>
      <c r="AV314" s="1065"/>
      <c r="AW314" s="1065"/>
      <c r="AX314" s="1065"/>
      <c r="AY314" s="1065"/>
      <c r="AZ314" s="1065"/>
      <c r="BA314" s="1065"/>
      <c r="BB314" s="1065"/>
      <c r="BC314" s="1065"/>
      <c r="BD314" s="1065"/>
      <c r="BE314" s="1065"/>
      <c r="BF314" s="1065"/>
      <c r="BG314" s="1065"/>
      <c r="BH314" s="1065"/>
      <c r="BI314" s="1065"/>
      <c r="BJ314" s="1065"/>
      <c r="BK314" s="1065"/>
      <c r="BL314" s="1065"/>
      <c r="BM314" s="1065"/>
      <c r="BN314" s="1065"/>
      <c r="BO314" s="1065"/>
      <c r="BP314" s="1065"/>
      <c r="BQ314" s="1065"/>
      <c r="BR314" s="1065"/>
      <c r="BS314" s="1065"/>
      <c r="BT314" s="1065"/>
      <c r="BU314" s="1065"/>
      <c r="BV314" s="1065"/>
      <c r="BW314" s="1065"/>
      <c r="BX314" s="1065"/>
      <c r="BY314" s="1065"/>
      <c r="BZ314" s="1065"/>
      <c r="CA314" s="1065"/>
      <c r="CB314" s="1065"/>
      <c r="CC314" s="1065"/>
      <c r="CD314" s="1065"/>
      <c r="CE314" s="1065"/>
      <c r="CF314" s="1065"/>
      <c r="CG314" s="1065"/>
      <c r="CH314" s="1065"/>
      <c r="CI314" s="1065"/>
      <c r="CJ314" s="1065"/>
      <c r="CK314" s="1065"/>
      <c r="CL314" s="1065"/>
      <c r="CM314" s="1065"/>
      <c r="CN314" s="1065"/>
      <c r="CO314" s="1065"/>
      <c r="CP314" s="1065"/>
      <c r="CQ314" s="1065"/>
      <c r="CR314" s="1065"/>
      <c r="CS314" s="1065"/>
      <c r="CT314" s="1065"/>
      <c r="CU314" s="1065"/>
      <c r="CV314" s="1065"/>
      <c r="CW314" s="1065"/>
      <c r="CX314" s="1065"/>
      <c r="CY314" s="1065"/>
      <c r="CZ314" s="1065"/>
      <c r="DA314" s="1065"/>
      <c r="DB314" s="1065"/>
    </row>
    <row r="315" spans="1:106" ht="15" customHeight="1" thickBot="1">
      <c r="A315" s="1065"/>
      <c r="B315" s="1065"/>
      <c r="C315" s="1127" t="s">
        <v>549</v>
      </c>
      <c r="D315" s="1132" t="s">
        <v>700</v>
      </c>
      <c r="E315" s="1133"/>
      <c r="F315" s="1133"/>
      <c r="G315" s="1134"/>
      <c r="H315" s="1129" t="s">
        <v>671</v>
      </c>
      <c r="I315" s="1131"/>
      <c r="J315" s="1132" t="s">
        <v>736</v>
      </c>
      <c r="K315" s="1133"/>
      <c r="L315" s="1134"/>
      <c r="M315" s="1694" t="s">
        <v>737</v>
      </c>
      <c r="N315" s="1694"/>
      <c r="O315" s="1694"/>
      <c r="P315" s="1694"/>
      <c r="Q315" s="1694"/>
      <c r="R315" s="1694"/>
      <c r="S315" s="1067">
        <v>1750</v>
      </c>
      <c r="T315" s="1738"/>
      <c r="U315" s="1809"/>
      <c r="V315" s="1065"/>
      <c r="W315" s="1065"/>
      <c r="X315" s="1065"/>
      <c r="Y315" s="1065"/>
      <c r="Z315" s="1065"/>
      <c r="AA315" s="1065"/>
      <c r="AB315" s="1065"/>
      <c r="AC315" s="1065"/>
      <c r="AD315" s="1065"/>
      <c r="AE315" s="1065"/>
      <c r="AF315" s="1065"/>
      <c r="AG315" s="1065"/>
      <c r="AH315" s="1065"/>
      <c r="AI315" s="1065"/>
      <c r="AJ315" s="1065"/>
      <c r="AK315" s="1065"/>
      <c r="AL315" s="1065"/>
      <c r="AM315" s="1065"/>
      <c r="AN315" s="1065"/>
      <c r="AO315" s="1065"/>
      <c r="AP315" s="1065"/>
      <c r="AQ315" s="1065"/>
      <c r="AR315" s="1065"/>
      <c r="AS315" s="1065"/>
      <c r="AT315" s="1065"/>
      <c r="AU315" s="1065"/>
      <c r="AV315" s="1065"/>
      <c r="AW315" s="1065"/>
      <c r="AX315" s="1065"/>
      <c r="AY315" s="1065"/>
      <c r="AZ315" s="1065"/>
      <c r="BA315" s="1065"/>
      <c r="BB315" s="1065"/>
      <c r="BC315" s="1065"/>
      <c r="BD315" s="1065"/>
      <c r="BE315" s="1065"/>
      <c r="BF315" s="1065"/>
      <c r="BG315" s="1065"/>
      <c r="BH315" s="1065"/>
      <c r="BI315" s="1065"/>
      <c r="BJ315" s="1065"/>
      <c r="BK315" s="1065"/>
      <c r="BL315" s="1065"/>
      <c r="BM315" s="1065"/>
      <c r="BN315" s="1065"/>
      <c r="BO315" s="1065"/>
      <c r="BP315" s="1065"/>
      <c r="BQ315" s="1065"/>
      <c r="BR315" s="1065"/>
      <c r="BS315" s="1065"/>
      <c r="BT315" s="1065"/>
      <c r="BU315" s="1065"/>
      <c r="BV315" s="1065"/>
      <c r="BW315" s="1065"/>
      <c r="BX315" s="1065"/>
      <c r="BY315" s="1065"/>
      <c r="BZ315" s="1065"/>
      <c r="CA315" s="1065"/>
      <c r="CB315" s="1065"/>
      <c r="CC315" s="1065"/>
      <c r="CD315" s="1065"/>
      <c r="CE315" s="1065"/>
      <c r="CF315" s="1065"/>
      <c r="CG315" s="1065"/>
      <c r="CH315" s="1065"/>
      <c r="CI315" s="1065"/>
      <c r="CJ315" s="1065"/>
      <c r="CK315" s="1065"/>
      <c r="CL315" s="1065"/>
      <c r="CM315" s="1065"/>
      <c r="CN315" s="1065"/>
      <c r="CO315" s="1065"/>
      <c r="CP315" s="1065"/>
      <c r="CQ315" s="1065"/>
      <c r="CR315" s="1065"/>
      <c r="CS315" s="1065"/>
      <c r="CT315" s="1065"/>
      <c r="CU315" s="1065"/>
      <c r="CV315" s="1065"/>
      <c r="CW315" s="1065"/>
      <c r="CX315" s="1065"/>
      <c r="CY315" s="1065"/>
      <c r="CZ315" s="1065"/>
      <c r="DA315" s="1065"/>
      <c r="DB315" s="1065"/>
    </row>
    <row r="316" spans="1:106" ht="15" customHeight="1" thickBot="1">
      <c r="A316" s="1065"/>
      <c r="B316" s="1065"/>
      <c r="C316" s="1127" t="s">
        <v>679</v>
      </c>
      <c r="D316" s="1756" t="s">
        <v>714</v>
      </c>
      <c r="E316" s="1756"/>
      <c r="F316" s="1756"/>
      <c r="G316" s="1756"/>
      <c r="H316" s="1129" t="s">
        <v>657</v>
      </c>
      <c r="I316" s="1131"/>
      <c r="J316" s="1756" t="s">
        <v>738</v>
      </c>
      <c r="K316" s="1756"/>
      <c r="L316" s="1756"/>
      <c r="M316" s="1694" t="s">
        <v>739</v>
      </c>
      <c r="N316" s="1694"/>
      <c r="O316" s="1694"/>
      <c r="P316" s="1694"/>
      <c r="Q316" s="1694"/>
      <c r="R316" s="1694"/>
      <c r="S316" s="1067">
        <v>7000</v>
      </c>
      <c r="T316" s="1738"/>
      <c r="U316" s="1809"/>
      <c r="V316" s="1065"/>
      <c r="W316" s="1065"/>
      <c r="X316" s="1065"/>
      <c r="Y316" s="1065"/>
      <c r="Z316" s="1065"/>
      <c r="AA316" s="1065"/>
      <c r="AB316" s="1065"/>
      <c r="AC316" s="1065"/>
      <c r="AD316" s="1065"/>
      <c r="AE316" s="1065"/>
      <c r="AF316" s="1065"/>
      <c r="AG316" s="1065"/>
      <c r="AH316" s="1065"/>
      <c r="AI316" s="1065"/>
      <c r="AJ316" s="1065"/>
      <c r="AK316" s="1065"/>
      <c r="AL316" s="1065"/>
      <c r="AM316" s="1065"/>
      <c r="AN316" s="1065"/>
      <c r="AO316" s="1065"/>
      <c r="AP316" s="1065"/>
      <c r="AQ316" s="1065"/>
      <c r="AR316" s="1065"/>
      <c r="AS316" s="1065"/>
      <c r="AT316" s="1065"/>
      <c r="AU316" s="1065"/>
      <c r="AV316" s="1065"/>
      <c r="AW316" s="1065"/>
      <c r="AX316" s="1065"/>
      <c r="AY316" s="1065"/>
      <c r="AZ316" s="1065"/>
      <c r="BA316" s="1065"/>
      <c r="BB316" s="1065"/>
      <c r="BC316" s="1065"/>
      <c r="BD316" s="1065"/>
      <c r="BE316" s="1065"/>
      <c r="BF316" s="1065"/>
      <c r="BG316" s="1065"/>
      <c r="BH316" s="1065"/>
      <c r="BI316" s="1065"/>
      <c r="BJ316" s="1065"/>
      <c r="BK316" s="1065"/>
      <c r="BL316" s="1065"/>
      <c r="BM316" s="1065"/>
      <c r="BN316" s="1065"/>
      <c r="BO316" s="1065"/>
      <c r="BP316" s="1065"/>
      <c r="BQ316" s="1065"/>
      <c r="BR316" s="1065"/>
      <c r="BS316" s="1065"/>
      <c r="BT316" s="1065"/>
      <c r="BU316" s="1065"/>
      <c r="BV316" s="1065"/>
      <c r="BW316" s="1065"/>
      <c r="BX316" s="1065"/>
      <c r="BY316" s="1065"/>
      <c r="BZ316" s="1065"/>
      <c r="CA316" s="1065"/>
      <c r="CB316" s="1065"/>
      <c r="CC316" s="1065"/>
      <c r="CD316" s="1065"/>
      <c r="CE316" s="1065"/>
      <c r="CF316" s="1065"/>
      <c r="CG316" s="1065"/>
      <c r="CH316" s="1065"/>
      <c r="CI316" s="1065"/>
      <c r="CJ316" s="1065"/>
      <c r="CK316" s="1065"/>
      <c r="CL316" s="1065"/>
      <c r="CM316" s="1065"/>
      <c r="CN316" s="1065"/>
      <c r="CO316" s="1065"/>
      <c r="CP316" s="1065"/>
      <c r="CQ316" s="1065"/>
      <c r="CR316" s="1065"/>
      <c r="CS316" s="1065"/>
      <c r="CT316" s="1065"/>
      <c r="CU316" s="1065"/>
      <c r="CV316" s="1065"/>
      <c r="CW316" s="1065"/>
      <c r="CX316" s="1065"/>
      <c r="CY316" s="1065"/>
      <c r="CZ316" s="1065"/>
      <c r="DA316" s="1065"/>
      <c r="DB316" s="1065"/>
    </row>
    <row r="317" spans="1:106" ht="15" customHeight="1" thickBot="1">
      <c r="A317" s="1065"/>
      <c r="B317" s="1065"/>
      <c r="C317" s="1127" t="s">
        <v>113</v>
      </c>
      <c r="D317" s="1132" t="s">
        <v>714</v>
      </c>
      <c r="E317" s="1133"/>
      <c r="F317" s="1133"/>
      <c r="G317" s="1134"/>
      <c r="H317" s="1129" t="s">
        <v>657</v>
      </c>
      <c r="I317" s="1131"/>
      <c r="J317" s="1132" t="s">
        <v>740</v>
      </c>
      <c r="K317" s="1133"/>
      <c r="L317" s="1134"/>
      <c r="M317" s="1694" t="s">
        <v>741</v>
      </c>
      <c r="N317" s="1694"/>
      <c r="O317" s="1694"/>
      <c r="P317" s="1694"/>
      <c r="Q317" s="1694"/>
      <c r="R317" s="1694"/>
      <c r="S317" s="1067">
        <v>6800</v>
      </c>
      <c r="T317" s="1738"/>
      <c r="U317" s="1809"/>
      <c r="V317" s="1065"/>
      <c r="W317" s="1065"/>
      <c r="X317" s="1065"/>
      <c r="Y317" s="1065"/>
      <c r="Z317" s="1065"/>
      <c r="AA317" s="1065"/>
      <c r="AB317" s="1065"/>
      <c r="AC317" s="1065"/>
      <c r="AD317" s="1065"/>
      <c r="AE317" s="1065"/>
      <c r="AF317" s="1065"/>
      <c r="AG317" s="1065"/>
      <c r="AH317" s="1065"/>
      <c r="AI317" s="1065"/>
      <c r="AJ317" s="1065"/>
      <c r="AK317" s="1065"/>
      <c r="AL317" s="1065"/>
      <c r="AM317" s="1065"/>
      <c r="AN317" s="1065"/>
      <c r="AO317" s="1065"/>
      <c r="AP317" s="1065"/>
      <c r="AQ317" s="1065"/>
      <c r="AR317" s="1065"/>
      <c r="AS317" s="1065"/>
      <c r="AT317" s="1065"/>
      <c r="AU317" s="1065"/>
      <c r="AV317" s="1065"/>
      <c r="AW317" s="1065"/>
      <c r="AX317" s="1065"/>
      <c r="AY317" s="1065"/>
      <c r="AZ317" s="1065"/>
      <c r="BA317" s="1065"/>
      <c r="BB317" s="1065"/>
      <c r="BC317" s="1065"/>
      <c r="BD317" s="1065"/>
      <c r="BE317" s="1065"/>
      <c r="BF317" s="1065"/>
      <c r="BG317" s="1065"/>
      <c r="BH317" s="1065"/>
      <c r="BI317" s="1065"/>
      <c r="BJ317" s="1065"/>
      <c r="BK317" s="1065"/>
      <c r="BL317" s="1065"/>
      <c r="BM317" s="1065"/>
      <c r="BN317" s="1065"/>
      <c r="BO317" s="1065"/>
      <c r="BP317" s="1065"/>
      <c r="BQ317" s="1065"/>
      <c r="BR317" s="1065"/>
      <c r="BS317" s="1065"/>
      <c r="BT317" s="1065"/>
      <c r="BU317" s="1065"/>
      <c r="BV317" s="1065"/>
      <c r="BW317" s="1065"/>
      <c r="BX317" s="1065"/>
      <c r="BY317" s="1065"/>
      <c r="BZ317" s="1065"/>
      <c r="CA317" s="1065"/>
      <c r="CB317" s="1065"/>
      <c r="CC317" s="1065"/>
      <c r="CD317" s="1065"/>
      <c r="CE317" s="1065"/>
      <c r="CF317" s="1065"/>
      <c r="CG317" s="1065"/>
      <c r="CH317" s="1065"/>
      <c r="CI317" s="1065"/>
      <c r="CJ317" s="1065"/>
      <c r="CK317" s="1065"/>
      <c r="CL317" s="1065"/>
      <c r="CM317" s="1065"/>
      <c r="CN317" s="1065"/>
      <c r="CO317" s="1065"/>
      <c r="CP317" s="1065"/>
      <c r="CQ317" s="1065"/>
      <c r="CR317" s="1065"/>
      <c r="CS317" s="1065"/>
      <c r="CT317" s="1065"/>
      <c r="CU317" s="1065"/>
      <c r="CV317" s="1065"/>
      <c r="CW317" s="1065"/>
      <c r="CX317" s="1065"/>
      <c r="CY317" s="1065"/>
      <c r="CZ317" s="1065"/>
      <c r="DA317" s="1065"/>
      <c r="DB317" s="1065"/>
    </row>
    <row r="318" spans="1:106" ht="15" customHeight="1" thickBot="1">
      <c r="A318" s="1065"/>
      <c r="B318" s="1065"/>
      <c r="C318" s="1127" t="s">
        <v>679</v>
      </c>
      <c r="D318" s="1132" t="s">
        <v>714</v>
      </c>
      <c r="E318" s="1133"/>
      <c r="F318" s="1133"/>
      <c r="G318" s="1134"/>
      <c r="H318" s="1129" t="s">
        <v>657</v>
      </c>
      <c r="I318" s="1131"/>
      <c r="J318" s="1132" t="s">
        <v>742</v>
      </c>
      <c r="K318" s="1133"/>
      <c r="L318" s="1134"/>
      <c r="M318" s="1694" t="s">
        <v>741</v>
      </c>
      <c r="N318" s="1694"/>
      <c r="O318" s="1694"/>
      <c r="P318" s="1694"/>
      <c r="Q318" s="1694"/>
      <c r="R318" s="1694"/>
      <c r="S318" s="1067">
        <v>7000</v>
      </c>
      <c r="T318" s="1738"/>
      <c r="U318" s="1809"/>
      <c r="V318" s="1065"/>
      <c r="W318" s="1065"/>
      <c r="X318" s="1065"/>
      <c r="Y318" s="1065"/>
      <c r="Z318" s="1065"/>
      <c r="AA318" s="1065"/>
      <c r="AB318" s="1065"/>
      <c r="AC318" s="1065"/>
      <c r="AD318" s="1065"/>
      <c r="AE318" s="1065"/>
      <c r="AF318" s="1065"/>
      <c r="AG318" s="1065"/>
      <c r="AH318" s="1065"/>
      <c r="AI318" s="1065"/>
      <c r="AJ318" s="1065"/>
      <c r="AK318" s="1065"/>
      <c r="AL318" s="1065"/>
      <c r="AM318" s="1065"/>
      <c r="AN318" s="1065"/>
      <c r="AO318" s="1065"/>
      <c r="AP318" s="1065"/>
      <c r="AQ318" s="1065"/>
      <c r="AR318" s="1065"/>
      <c r="AS318" s="1065"/>
      <c r="AT318" s="1065"/>
      <c r="AU318" s="1065"/>
      <c r="AV318" s="1065"/>
      <c r="AW318" s="1065"/>
      <c r="AX318" s="1065"/>
      <c r="AY318" s="1065"/>
      <c r="AZ318" s="1065"/>
      <c r="BA318" s="1065"/>
      <c r="BB318" s="1065"/>
      <c r="BC318" s="1065"/>
      <c r="BD318" s="1065"/>
      <c r="BE318" s="1065"/>
      <c r="BF318" s="1065"/>
      <c r="BG318" s="1065"/>
      <c r="BH318" s="1065"/>
      <c r="BI318" s="1065"/>
      <c r="BJ318" s="1065"/>
      <c r="BK318" s="1065"/>
      <c r="BL318" s="1065"/>
      <c r="BM318" s="1065"/>
      <c r="BN318" s="1065"/>
      <c r="BO318" s="1065"/>
      <c r="BP318" s="1065"/>
      <c r="BQ318" s="1065"/>
      <c r="BR318" s="1065"/>
      <c r="BS318" s="1065"/>
      <c r="BT318" s="1065"/>
      <c r="BU318" s="1065"/>
      <c r="BV318" s="1065"/>
      <c r="BW318" s="1065"/>
      <c r="BX318" s="1065"/>
      <c r="BY318" s="1065"/>
      <c r="BZ318" s="1065"/>
      <c r="CA318" s="1065"/>
      <c r="CB318" s="1065"/>
      <c r="CC318" s="1065"/>
      <c r="CD318" s="1065"/>
      <c r="CE318" s="1065"/>
      <c r="CF318" s="1065"/>
      <c r="CG318" s="1065"/>
      <c r="CH318" s="1065"/>
      <c r="CI318" s="1065"/>
      <c r="CJ318" s="1065"/>
      <c r="CK318" s="1065"/>
      <c r="CL318" s="1065"/>
      <c r="CM318" s="1065"/>
      <c r="CN318" s="1065"/>
      <c r="CO318" s="1065"/>
      <c r="CP318" s="1065"/>
      <c r="CQ318" s="1065"/>
      <c r="CR318" s="1065"/>
      <c r="CS318" s="1065"/>
      <c r="CT318" s="1065"/>
      <c r="CU318" s="1065"/>
      <c r="CV318" s="1065"/>
      <c r="CW318" s="1065"/>
      <c r="CX318" s="1065"/>
      <c r="CY318" s="1065"/>
      <c r="CZ318" s="1065"/>
      <c r="DA318" s="1065"/>
      <c r="DB318" s="1065"/>
    </row>
    <row r="319" spans="1:106" ht="15" customHeight="1" thickBot="1">
      <c r="A319" s="1065"/>
      <c r="B319" s="1065"/>
      <c r="C319" s="1127" t="s">
        <v>113</v>
      </c>
      <c r="D319" s="1756" t="s">
        <v>714</v>
      </c>
      <c r="E319" s="1756"/>
      <c r="F319" s="1756"/>
      <c r="G319" s="1756"/>
      <c r="H319" s="1129" t="s">
        <v>657</v>
      </c>
      <c r="I319" s="1131"/>
      <c r="J319" s="1132" t="s">
        <v>743</v>
      </c>
      <c r="K319" s="1133"/>
      <c r="L319" s="1134"/>
      <c r="M319" s="1694" t="s">
        <v>744</v>
      </c>
      <c r="N319" s="1694"/>
      <c r="O319" s="1694"/>
      <c r="P319" s="1694"/>
      <c r="Q319" s="1694"/>
      <c r="R319" s="1694"/>
      <c r="S319" s="1067">
        <v>2880</v>
      </c>
      <c r="T319" s="1738"/>
      <c r="U319" s="1809"/>
      <c r="V319" s="1065"/>
      <c r="W319" s="1065"/>
      <c r="X319" s="1065"/>
      <c r="Y319" s="1065"/>
      <c r="Z319" s="1065"/>
      <c r="AA319" s="1065"/>
      <c r="AB319" s="1065"/>
      <c r="AC319" s="1065"/>
      <c r="AD319" s="1065"/>
      <c r="AE319" s="1065"/>
      <c r="AF319" s="1065"/>
      <c r="AG319" s="1065"/>
      <c r="AH319" s="1065"/>
      <c r="AI319" s="1065"/>
      <c r="AJ319" s="1065"/>
      <c r="AK319" s="1065"/>
      <c r="AL319" s="1065"/>
      <c r="AM319" s="1065"/>
      <c r="AN319" s="1065"/>
      <c r="AO319" s="1065"/>
      <c r="AP319" s="1065"/>
      <c r="AQ319" s="1065"/>
      <c r="AR319" s="1065"/>
      <c r="AS319" s="1065"/>
      <c r="AT319" s="1065"/>
      <c r="AU319" s="1065"/>
      <c r="AV319" s="1065"/>
      <c r="AW319" s="1065"/>
      <c r="AX319" s="1065"/>
      <c r="AY319" s="1065"/>
      <c r="AZ319" s="1065"/>
      <c r="BA319" s="1065"/>
      <c r="BB319" s="1065"/>
      <c r="BC319" s="1065"/>
      <c r="BD319" s="1065"/>
      <c r="BE319" s="1065"/>
      <c r="BF319" s="1065"/>
      <c r="BG319" s="1065"/>
      <c r="BH319" s="1065"/>
      <c r="BI319" s="1065"/>
      <c r="BJ319" s="1065"/>
      <c r="BK319" s="1065"/>
      <c r="BL319" s="1065"/>
      <c r="BM319" s="1065"/>
      <c r="BN319" s="1065"/>
      <c r="BO319" s="1065"/>
      <c r="BP319" s="1065"/>
      <c r="BQ319" s="1065"/>
      <c r="BR319" s="1065"/>
      <c r="BS319" s="1065"/>
      <c r="BT319" s="1065"/>
      <c r="BU319" s="1065"/>
      <c r="BV319" s="1065"/>
      <c r="BW319" s="1065"/>
      <c r="BX319" s="1065"/>
      <c r="BY319" s="1065"/>
      <c r="BZ319" s="1065"/>
      <c r="CA319" s="1065"/>
      <c r="CB319" s="1065"/>
      <c r="CC319" s="1065"/>
      <c r="CD319" s="1065"/>
      <c r="CE319" s="1065"/>
      <c r="CF319" s="1065"/>
      <c r="CG319" s="1065"/>
      <c r="CH319" s="1065"/>
      <c r="CI319" s="1065"/>
      <c r="CJ319" s="1065"/>
      <c r="CK319" s="1065"/>
      <c r="CL319" s="1065"/>
      <c r="CM319" s="1065"/>
      <c r="CN319" s="1065"/>
      <c r="CO319" s="1065"/>
      <c r="CP319" s="1065"/>
      <c r="CQ319" s="1065"/>
      <c r="CR319" s="1065"/>
      <c r="CS319" s="1065"/>
      <c r="CT319" s="1065"/>
      <c r="CU319" s="1065"/>
      <c r="CV319" s="1065"/>
      <c r="CW319" s="1065"/>
      <c r="CX319" s="1065"/>
      <c r="CY319" s="1065"/>
      <c r="CZ319" s="1065"/>
      <c r="DA319" s="1065"/>
      <c r="DB319" s="1065"/>
    </row>
    <row r="320" spans="1:106" ht="15" customHeight="1" thickBot="1">
      <c r="A320" s="1065"/>
      <c r="B320" s="1065"/>
      <c r="C320" s="1127" t="s">
        <v>745</v>
      </c>
      <c r="D320" s="1756" t="s">
        <v>746</v>
      </c>
      <c r="E320" s="1756"/>
      <c r="F320" s="1756"/>
      <c r="G320" s="1756"/>
      <c r="H320" s="1129" t="s">
        <v>671</v>
      </c>
      <c r="I320" s="1131"/>
      <c r="J320" s="1132" t="s">
        <v>747</v>
      </c>
      <c r="K320" s="1133"/>
      <c r="L320" s="1134"/>
      <c r="M320" s="1694" t="s">
        <v>748</v>
      </c>
      <c r="N320" s="1694"/>
      <c r="O320" s="1694"/>
      <c r="P320" s="1694"/>
      <c r="Q320" s="1694"/>
      <c r="R320" s="1694"/>
      <c r="S320" s="1067">
        <v>3777.5</v>
      </c>
      <c r="T320" s="1738"/>
      <c r="U320" s="1809"/>
      <c r="V320" s="1065"/>
      <c r="W320" s="1065"/>
      <c r="X320" s="1065"/>
      <c r="Y320" s="1065"/>
      <c r="Z320" s="1065"/>
      <c r="AA320" s="1065"/>
      <c r="AB320" s="1065"/>
      <c r="AC320" s="1065"/>
      <c r="AD320" s="1065"/>
      <c r="AE320" s="1065"/>
      <c r="AF320" s="1065"/>
      <c r="AG320" s="1065"/>
      <c r="AH320" s="1065"/>
      <c r="AI320" s="1065"/>
      <c r="AJ320" s="1065"/>
      <c r="AK320" s="1065"/>
      <c r="AL320" s="1065"/>
      <c r="AM320" s="1065"/>
      <c r="AN320" s="1065"/>
      <c r="AO320" s="1065"/>
      <c r="AP320" s="1065"/>
      <c r="AQ320" s="1065"/>
      <c r="AR320" s="1065"/>
      <c r="AS320" s="1065"/>
      <c r="AT320" s="1065"/>
      <c r="AU320" s="1065"/>
      <c r="AV320" s="1065"/>
      <c r="AW320" s="1065"/>
      <c r="AX320" s="1065"/>
      <c r="AY320" s="1065"/>
      <c r="AZ320" s="1065"/>
      <c r="BA320" s="1065"/>
      <c r="BB320" s="1065"/>
      <c r="BC320" s="1065"/>
      <c r="BD320" s="1065"/>
      <c r="BE320" s="1065"/>
      <c r="BF320" s="1065"/>
      <c r="BG320" s="1065"/>
      <c r="BH320" s="1065"/>
      <c r="BI320" s="1065"/>
      <c r="BJ320" s="1065"/>
      <c r="BK320" s="1065"/>
      <c r="BL320" s="1065"/>
      <c r="BM320" s="1065"/>
      <c r="BN320" s="1065"/>
      <c r="BO320" s="1065"/>
      <c r="BP320" s="1065"/>
      <c r="BQ320" s="1065"/>
      <c r="BR320" s="1065"/>
      <c r="BS320" s="1065"/>
      <c r="BT320" s="1065"/>
      <c r="BU320" s="1065"/>
      <c r="BV320" s="1065"/>
      <c r="BW320" s="1065"/>
      <c r="BX320" s="1065"/>
      <c r="BY320" s="1065"/>
      <c r="BZ320" s="1065"/>
      <c r="CA320" s="1065"/>
      <c r="CB320" s="1065"/>
      <c r="CC320" s="1065"/>
      <c r="CD320" s="1065"/>
      <c r="CE320" s="1065"/>
      <c r="CF320" s="1065"/>
      <c r="CG320" s="1065"/>
      <c r="CH320" s="1065"/>
      <c r="CI320" s="1065"/>
      <c r="CJ320" s="1065"/>
      <c r="CK320" s="1065"/>
      <c r="CL320" s="1065"/>
      <c r="CM320" s="1065"/>
      <c r="CN320" s="1065"/>
      <c r="CO320" s="1065"/>
      <c r="CP320" s="1065"/>
      <c r="CQ320" s="1065"/>
      <c r="CR320" s="1065"/>
      <c r="CS320" s="1065"/>
      <c r="CT320" s="1065"/>
      <c r="CU320" s="1065"/>
      <c r="CV320" s="1065"/>
      <c r="CW320" s="1065"/>
      <c r="CX320" s="1065"/>
      <c r="CY320" s="1065"/>
      <c r="CZ320" s="1065"/>
      <c r="DA320" s="1065"/>
      <c r="DB320" s="1065"/>
    </row>
    <row r="321" spans="1:106" ht="15" customHeight="1" thickBot="1">
      <c r="A321" s="1065"/>
      <c r="B321" s="1065"/>
      <c r="C321" s="1127" t="s">
        <v>663</v>
      </c>
      <c r="D321" s="1132" t="s">
        <v>700</v>
      </c>
      <c r="E321" s="1133"/>
      <c r="F321" s="1133"/>
      <c r="G321" s="1134"/>
      <c r="H321" s="1129" t="s">
        <v>657</v>
      </c>
      <c r="I321" s="1131"/>
      <c r="J321" s="1132" t="s">
        <v>732</v>
      </c>
      <c r="K321" s="1133"/>
      <c r="L321" s="1134"/>
      <c r="M321" s="1129" t="s">
        <v>733</v>
      </c>
      <c r="N321" s="1130"/>
      <c r="O321" s="1130"/>
      <c r="P321" s="1135"/>
      <c r="Q321" s="1135"/>
      <c r="R321" s="1136"/>
      <c r="S321" s="1067">
        <v>618</v>
      </c>
      <c r="T321" s="1738"/>
      <c r="U321" s="1809"/>
      <c r="V321" s="1065"/>
      <c r="W321" s="1065"/>
      <c r="X321" s="1065"/>
      <c r="Y321" s="1065"/>
      <c r="Z321" s="1065"/>
      <c r="AA321" s="1065"/>
      <c r="AB321" s="1065"/>
      <c r="AC321" s="1065"/>
      <c r="AD321" s="1065"/>
      <c r="AE321" s="1065"/>
      <c r="AF321" s="1065"/>
      <c r="AG321" s="1065"/>
      <c r="AH321" s="1065"/>
      <c r="AI321" s="1065"/>
      <c r="AJ321" s="1065"/>
      <c r="AK321" s="1065"/>
      <c r="AL321" s="1065"/>
      <c r="AM321" s="1065"/>
      <c r="AN321" s="1065"/>
      <c r="AO321" s="1065"/>
      <c r="AP321" s="1065"/>
      <c r="AQ321" s="1065"/>
      <c r="AR321" s="1065"/>
      <c r="AS321" s="1065"/>
      <c r="AT321" s="1065"/>
      <c r="AU321" s="1065"/>
      <c r="AV321" s="1065"/>
      <c r="AW321" s="1065"/>
      <c r="AX321" s="1065"/>
      <c r="AY321" s="1065"/>
      <c r="AZ321" s="1065"/>
      <c r="BA321" s="1065"/>
      <c r="BB321" s="1065"/>
      <c r="BC321" s="1065"/>
      <c r="BD321" s="1065"/>
      <c r="BE321" s="1065"/>
      <c r="BF321" s="1065"/>
      <c r="BG321" s="1065"/>
      <c r="BH321" s="1065"/>
      <c r="BI321" s="1065"/>
      <c r="BJ321" s="1065"/>
      <c r="BK321" s="1065"/>
      <c r="BL321" s="1065"/>
      <c r="BM321" s="1065"/>
      <c r="BN321" s="1065"/>
      <c r="BO321" s="1065"/>
      <c r="BP321" s="1065"/>
      <c r="BQ321" s="1065"/>
      <c r="BR321" s="1065"/>
      <c r="BS321" s="1065"/>
      <c r="BT321" s="1065"/>
      <c r="BU321" s="1065"/>
      <c r="BV321" s="1065"/>
      <c r="BW321" s="1065"/>
      <c r="BX321" s="1065"/>
      <c r="BY321" s="1065"/>
      <c r="BZ321" s="1065"/>
      <c r="CA321" s="1065"/>
      <c r="CB321" s="1065"/>
      <c r="CC321" s="1065"/>
      <c r="CD321" s="1065"/>
      <c r="CE321" s="1065"/>
      <c r="CF321" s="1065"/>
      <c r="CG321" s="1065"/>
      <c r="CH321" s="1065"/>
      <c r="CI321" s="1065"/>
      <c r="CJ321" s="1065"/>
      <c r="CK321" s="1065"/>
      <c r="CL321" s="1065"/>
      <c r="CM321" s="1065"/>
      <c r="CN321" s="1065"/>
      <c r="CO321" s="1065"/>
      <c r="CP321" s="1065"/>
      <c r="CQ321" s="1065"/>
      <c r="CR321" s="1065"/>
      <c r="CS321" s="1065"/>
      <c r="CT321" s="1065"/>
      <c r="CU321" s="1065"/>
      <c r="CV321" s="1065"/>
      <c r="CW321" s="1065"/>
      <c r="CX321" s="1065"/>
      <c r="CY321" s="1065"/>
      <c r="CZ321" s="1065"/>
      <c r="DA321" s="1065"/>
      <c r="DB321" s="1065"/>
    </row>
    <row r="322" spans="1:106" ht="15" customHeight="1" thickBot="1">
      <c r="A322" s="1065"/>
      <c r="B322" s="1065"/>
      <c r="C322" s="1127" t="s">
        <v>663</v>
      </c>
      <c r="D322" s="1132" t="s">
        <v>700</v>
      </c>
      <c r="E322" s="1133"/>
      <c r="F322" s="1133"/>
      <c r="G322" s="1134"/>
      <c r="H322" s="1129" t="s">
        <v>671</v>
      </c>
      <c r="I322" s="1131"/>
      <c r="J322" s="1132" t="s">
        <v>749</v>
      </c>
      <c r="K322" s="1133"/>
      <c r="L322" s="1134"/>
      <c r="M322" s="1129" t="s">
        <v>737</v>
      </c>
      <c r="N322" s="1130"/>
      <c r="O322" s="1130"/>
      <c r="P322" s="1135"/>
      <c r="Q322" s="1135"/>
      <c r="R322" s="1136"/>
      <c r="S322" s="1067">
        <v>1750</v>
      </c>
      <c r="T322" s="1738"/>
      <c r="U322" s="1809"/>
      <c r="V322" s="1065"/>
      <c r="W322" s="1065"/>
      <c r="X322" s="1065"/>
      <c r="Y322" s="1065"/>
      <c r="Z322" s="1065"/>
      <c r="AA322" s="1065"/>
      <c r="AB322" s="1065"/>
      <c r="AC322" s="1065"/>
      <c r="AD322" s="1065"/>
      <c r="AE322" s="1065"/>
      <c r="AF322" s="1065"/>
      <c r="AG322" s="1065"/>
      <c r="AH322" s="1065"/>
      <c r="AI322" s="1065"/>
      <c r="AJ322" s="1065"/>
      <c r="AK322" s="1065"/>
      <c r="AL322" s="1065"/>
      <c r="AM322" s="1065"/>
      <c r="AN322" s="1065"/>
      <c r="AO322" s="1065"/>
      <c r="AP322" s="1065"/>
      <c r="AQ322" s="1065"/>
      <c r="AR322" s="1065"/>
      <c r="AS322" s="1065"/>
      <c r="AT322" s="1065"/>
      <c r="AU322" s="1065"/>
      <c r="AV322" s="1065"/>
      <c r="AW322" s="1065"/>
      <c r="AX322" s="1065"/>
      <c r="AY322" s="1065"/>
      <c r="AZ322" s="1065"/>
      <c r="BA322" s="1065"/>
      <c r="BB322" s="1065"/>
      <c r="BC322" s="1065"/>
      <c r="BD322" s="1065"/>
      <c r="BE322" s="1065"/>
      <c r="BF322" s="1065"/>
      <c r="BG322" s="1065"/>
      <c r="BH322" s="1065"/>
      <c r="BI322" s="1065"/>
      <c r="BJ322" s="1065"/>
      <c r="BK322" s="1065"/>
      <c r="BL322" s="1065"/>
      <c r="BM322" s="1065"/>
      <c r="BN322" s="1065"/>
      <c r="BO322" s="1065"/>
      <c r="BP322" s="1065"/>
      <c r="BQ322" s="1065"/>
      <c r="BR322" s="1065"/>
      <c r="BS322" s="1065"/>
      <c r="BT322" s="1065"/>
      <c r="BU322" s="1065"/>
      <c r="BV322" s="1065"/>
      <c r="BW322" s="1065"/>
      <c r="BX322" s="1065"/>
      <c r="BY322" s="1065"/>
      <c r="BZ322" s="1065"/>
      <c r="CA322" s="1065"/>
      <c r="CB322" s="1065"/>
      <c r="CC322" s="1065"/>
      <c r="CD322" s="1065"/>
      <c r="CE322" s="1065"/>
      <c r="CF322" s="1065"/>
      <c r="CG322" s="1065"/>
      <c r="CH322" s="1065"/>
      <c r="CI322" s="1065"/>
      <c r="CJ322" s="1065"/>
      <c r="CK322" s="1065"/>
      <c r="CL322" s="1065"/>
      <c r="CM322" s="1065"/>
      <c r="CN322" s="1065"/>
      <c r="CO322" s="1065"/>
      <c r="CP322" s="1065"/>
      <c r="CQ322" s="1065"/>
      <c r="CR322" s="1065"/>
      <c r="CS322" s="1065"/>
      <c r="CT322" s="1065"/>
      <c r="CU322" s="1065"/>
      <c r="CV322" s="1065"/>
      <c r="CW322" s="1065"/>
      <c r="CX322" s="1065"/>
      <c r="CY322" s="1065"/>
      <c r="CZ322" s="1065"/>
      <c r="DA322" s="1065"/>
      <c r="DB322" s="1065"/>
    </row>
    <row r="323" spans="1:106" ht="15" customHeight="1" thickBot="1">
      <c r="A323" s="1065"/>
      <c r="B323" s="1065"/>
      <c r="C323" s="1127" t="s">
        <v>549</v>
      </c>
      <c r="D323" s="1132" t="s">
        <v>700</v>
      </c>
      <c r="E323" s="1133"/>
      <c r="F323" s="1133"/>
      <c r="G323" s="1134"/>
      <c r="H323" s="1129" t="s">
        <v>671</v>
      </c>
      <c r="I323" s="1131"/>
      <c r="J323" s="1132" t="s">
        <v>750</v>
      </c>
      <c r="K323" s="1133"/>
      <c r="L323" s="1134"/>
      <c r="M323" s="1129" t="s">
        <v>735</v>
      </c>
      <c r="N323" s="1130"/>
      <c r="O323" s="1130"/>
      <c r="P323" s="1135"/>
      <c r="Q323" s="1135"/>
      <c r="R323" s="1136"/>
      <c r="S323" s="1067">
        <v>350</v>
      </c>
      <c r="T323" s="1738"/>
      <c r="U323" s="1809"/>
      <c r="V323" s="1065"/>
      <c r="W323" s="1065"/>
      <c r="X323" s="1065"/>
      <c r="Y323" s="1065"/>
      <c r="Z323" s="1065"/>
      <c r="AA323" s="1065"/>
      <c r="AB323" s="1065"/>
      <c r="AC323" s="1065"/>
      <c r="AD323" s="1065"/>
      <c r="AE323" s="1065"/>
      <c r="AF323" s="1065"/>
      <c r="AG323" s="1065"/>
      <c r="AH323" s="1065"/>
      <c r="AI323" s="1065"/>
      <c r="AJ323" s="1065"/>
      <c r="AK323" s="1065"/>
      <c r="AL323" s="1065"/>
      <c r="AM323" s="1065"/>
      <c r="AN323" s="1065"/>
      <c r="AO323" s="1065"/>
      <c r="AP323" s="1065"/>
      <c r="AQ323" s="1065"/>
      <c r="AR323" s="1065"/>
      <c r="AS323" s="1065"/>
      <c r="AT323" s="1065"/>
      <c r="AU323" s="1065"/>
      <c r="AV323" s="1065"/>
      <c r="AW323" s="1065"/>
      <c r="AX323" s="1065"/>
      <c r="AY323" s="1065"/>
      <c r="AZ323" s="1065"/>
      <c r="BA323" s="1065"/>
      <c r="BB323" s="1065"/>
      <c r="BC323" s="1065"/>
      <c r="BD323" s="1065"/>
      <c r="BE323" s="1065"/>
      <c r="BF323" s="1065"/>
      <c r="BG323" s="1065"/>
      <c r="BH323" s="1065"/>
      <c r="BI323" s="1065"/>
      <c r="BJ323" s="1065"/>
      <c r="BK323" s="1065"/>
      <c r="BL323" s="1065"/>
      <c r="BM323" s="1065"/>
      <c r="BN323" s="1065"/>
      <c r="BO323" s="1065"/>
      <c r="BP323" s="1065"/>
      <c r="BQ323" s="1065"/>
      <c r="BR323" s="1065"/>
      <c r="BS323" s="1065"/>
      <c r="BT323" s="1065"/>
      <c r="BU323" s="1065"/>
      <c r="BV323" s="1065"/>
      <c r="BW323" s="1065"/>
      <c r="BX323" s="1065"/>
      <c r="BY323" s="1065"/>
      <c r="BZ323" s="1065"/>
      <c r="CA323" s="1065"/>
      <c r="CB323" s="1065"/>
      <c r="CC323" s="1065"/>
      <c r="CD323" s="1065"/>
      <c r="CE323" s="1065"/>
      <c r="CF323" s="1065"/>
      <c r="CG323" s="1065"/>
      <c r="CH323" s="1065"/>
      <c r="CI323" s="1065"/>
      <c r="CJ323" s="1065"/>
      <c r="CK323" s="1065"/>
      <c r="CL323" s="1065"/>
      <c r="CM323" s="1065"/>
      <c r="CN323" s="1065"/>
      <c r="CO323" s="1065"/>
      <c r="CP323" s="1065"/>
      <c r="CQ323" s="1065"/>
      <c r="CR323" s="1065"/>
      <c r="CS323" s="1065"/>
      <c r="CT323" s="1065"/>
      <c r="CU323" s="1065"/>
      <c r="CV323" s="1065"/>
      <c r="CW323" s="1065"/>
      <c r="CX323" s="1065"/>
      <c r="CY323" s="1065"/>
      <c r="CZ323" s="1065"/>
      <c r="DA323" s="1065"/>
      <c r="DB323" s="1065"/>
    </row>
    <row r="324" spans="1:106" ht="15" customHeight="1" thickBot="1">
      <c r="A324" s="1065"/>
      <c r="B324" s="1065"/>
      <c r="C324" s="1127" t="s">
        <v>679</v>
      </c>
      <c r="D324" s="1132" t="s">
        <v>714</v>
      </c>
      <c r="E324" s="1133"/>
      <c r="F324" s="1133"/>
      <c r="G324" s="1134"/>
      <c r="H324" s="1129" t="s">
        <v>671</v>
      </c>
      <c r="I324" s="1131"/>
      <c r="J324" s="1132" t="s">
        <v>751</v>
      </c>
      <c r="K324" s="1133"/>
      <c r="L324" s="1134"/>
      <c r="M324" s="1129" t="s">
        <v>752</v>
      </c>
      <c r="N324" s="1130"/>
      <c r="O324" s="1130"/>
      <c r="P324" s="1135"/>
      <c r="Q324" s="1135"/>
      <c r="R324" s="1136"/>
      <c r="S324" s="1067">
        <v>3500</v>
      </c>
      <c r="T324" s="1738"/>
      <c r="U324" s="1809"/>
      <c r="V324" s="1065"/>
      <c r="W324" s="1065"/>
      <c r="X324" s="1065"/>
      <c r="Y324" s="1065"/>
      <c r="Z324" s="1065"/>
      <c r="AA324" s="1065"/>
      <c r="AB324" s="1065"/>
      <c r="AC324" s="1065"/>
      <c r="AD324" s="1065"/>
      <c r="AE324" s="1065"/>
      <c r="AF324" s="1065"/>
      <c r="AG324" s="1065"/>
      <c r="AH324" s="1065"/>
      <c r="AI324" s="1065"/>
      <c r="AJ324" s="1065"/>
      <c r="AK324" s="1065"/>
      <c r="AL324" s="1065"/>
      <c r="AM324" s="1065"/>
      <c r="AN324" s="1065"/>
      <c r="AO324" s="1065"/>
      <c r="AP324" s="1065"/>
      <c r="AQ324" s="1065"/>
      <c r="AR324" s="1065"/>
      <c r="AS324" s="1065"/>
      <c r="AT324" s="1065"/>
      <c r="AU324" s="1065"/>
      <c r="AV324" s="1065"/>
      <c r="AW324" s="1065"/>
      <c r="AX324" s="1065"/>
      <c r="AY324" s="1065"/>
      <c r="AZ324" s="1065"/>
      <c r="BA324" s="1065"/>
      <c r="BB324" s="1065"/>
      <c r="BC324" s="1065"/>
      <c r="BD324" s="1065"/>
      <c r="BE324" s="1065"/>
      <c r="BF324" s="1065"/>
      <c r="BG324" s="1065"/>
      <c r="BH324" s="1065"/>
      <c r="BI324" s="1065"/>
      <c r="BJ324" s="1065"/>
      <c r="BK324" s="1065"/>
      <c r="BL324" s="1065"/>
      <c r="BM324" s="1065"/>
      <c r="BN324" s="1065"/>
      <c r="BO324" s="1065"/>
      <c r="BP324" s="1065"/>
      <c r="BQ324" s="1065"/>
      <c r="BR324" s="1065"/>
      <c r="BS324" s="1065"/>
      <c r="BT324" s="1065"/>
      <c r="BU324" s="1065"/>
      <c r="BV324" s="1065"/>
      <c r="BW324" s="1065"/>
      <c r="BX324" s="1065"/>
      <c r="BY324" s="1065"/>
      <c r="BZ324" s="1065"/>
      <c r="CA324" s="1065"/>
      <c r="CB324" s="1065"/>
      <c r="CC324" s="1065"/>
      <c r="CD324" s="1065"/>
      <c r="CE324" s="1065"/>
      <c r="CF324" s="1065"/>
      <c r="CG324" s="1065"/>
      <c r="CH324" s="1065"/>
      <c r="CI324" s="1065"/>
      <c r="CJ324" s="1065"/>
      <c r="CK324" s="1065"/>
      <c r="CL324" s="1065"/>
      <c r="CM324" s="1065"/>
      <c r="CN324" s="1065"/>
      <c r="CO324" s="1065"/>
      <c r="CP324" s="1065"/>
      <c r="CQ324" s="1065"/>
      <c r="CR324" s="1065"/>
      <c r="CS324" s="1065"/>
      <c r="CT324" s="1065"/>
      <c r="CU324" s="1065"/>
      <c r="CV324" s="1065"/>
      <c r="CW324" s="1065"/>
      <c r="CX324" s="1065"/>
      <c r="CY324" s="1065"/>
      <c r="CZ324" s="1065"/>
      <c r="DA324" s="1065"/>
      <c r="DB324" s="1065"/>
    </row>
    <row r="325" spans="1:106" ht="15" customHeight="1" thickBot="1">
      <c r="A325" s="1065"/>
      <c r="B325" s="1065"/>
      <c r="C325" s="1127" t="s">
        <v>669</v>
      </c>
      <c r="D325" s="1132" t="s">
        <v>714</v>
      </c>
      <c r="E325" s="1133"/>
      <c r="F325" s="1133"/>
      <c r="G325" s="1134"/>
      <c r="H325" s="1129" t="s">
        <v>657</v>
      </c>
      <c r="I325" s="1131"/>
      <c r="J325" s="1132" t="s">
        <v>753</v>
      </c>
      <c r="K325" s="1133"/>
      <c r="L325" s="1134"/>
      <c r="M325" s="1129" t="s">
        <v>754</v>
      </c>
      <c r="N325" s="1130"/>
      <c r="O325" s="1130"/>
      <c r="P325" s="1135"/>
      <c r="Q325" s="1135"/>
      <c r="R325" s="1136"/>
      <c r="S325" s="1067">
        <v>2500</v>
      </c>
      <c r="T325" s="1738"/>
      <c r="U325" s="1809"/>
      <c r="V325" s="1065"/>
      <c r="W325" s="1065"/>
      <c r="X325" s="1065"/>
      <c r="Y325" s="1065"/>
      <c r="Z325" s="1065"/>
      <c r="AA325" s="1065"/>
      <c r="AB325" s="1065"/>
      <c r="AC325" s="1065"/>
      <c r="AD325" s="1065"/>
      <c r="AE325" s="1065"/>
      <c r="AF325" s="1065"/>
      <c r="AG325" s="1065"/>
      <c r="AH325" s="1065"/>
      <c r="AI325" s="1065"/>
      <c r="AJ325" s="1065"/>
      <c r="AK325" s="1065"/>
      <c r="AL325" s="1065"/>
      <c r="AM325" s="1065"/>
      <c r="AN325" s="1065"/>
      <c r="AO325" s="1065"/>
      <c r="AP325" s="1065"/>
      <c r="AQ325" s="1065"/>
      <c r="AR325" s="1065"/>
      <c r="AS325" s="1065"/>
      <c r="AT325" s="1065"/>
      <c r="AU325" s="1065"/>
      <c r="AV325" s="1065"/>
      <c r="AW325" s="1065"/>
      <c r="AX325" s="1065"/>
      <c r="AY325" s="1065"/>
      <c r="AZ325" s="1065"/>
      <c r="BA325" s="1065"/>
      <c r="BB325" s="1065"/>
      <c r="BC325" s="1065"/>
      <c r="BD325" s="1065"/>
      <c r="BE325" s="1065"/>
      <c r="BF325" s="1065"/>
      <c r="BG325" s="1065"/>
      <c r="BH325" s="1065"/>
      <c r="BI325" s="1065"/>
      <c r="BJ325" s="1065"/>
      <c r="BK325" s="1065"/>
      <c r="BL325" s="1065"/>
      <c r="BM325" s="1065"/>
      <c r="BN325" s="1065"/>
      <c r="BO325" s="1065"/>
      <c r="BP325" s="1065"/>
      <c r="BQ325" s="1065"/>
      <c r="BR325" s="1065"/>
      <c r="BS325" s="1065"/>
      <c r="BT325" s="1065"/>
      <c r="BU325" s="1065"/>
      <c r="BV325" s="1065"/>
      <c r="BW325" s="1065"/>
      <c r="BX325" s="1065"/>
      <c r="BY325" s="1065"/>
      <c r="BZ325" s="1065"/>
      <c r="CA325" s="1065"/>
      <c r="CB325" s="1065"/>
      <c r="CC325" s="1065"/>
      <c r="CD325" s="1065"/>
      <c r="CE325" s="1065"/>
      <c r="CF325" s="1065"/>
      <c r="CG325" s="1065"/>
      <c r="CH325" s="1065"/>
      <c r="CI325" s="1065"/>
      <c r="CJ325" s="1065"/>
      <c r="CK325" s="1065"/>
      <c r="CL325" s="1065"/>
      <c r="CM325" s="1065"/>
      <c r="CN325" s="1065"/>
      <c r="CO325" s="1065"/>
      <c r="CP325" s="1065"/>
      <c r="CQ325" s="1065"/>
      <c r="CR325" s="1065"/>
      <c r="CS325" s="1065"/>
      <c r="CT325" s="1065"/>
      <c r="CU325" s="1065"/>
      <c r="CV325" s="1065"/>
      <c r="CW325" s="1065"/>
      <c r="CX325" s="1065"/>
      <c r="CY325" s="1065"/>
      <c r="CZ325" s="1065"/>
      <c r="DA325" s="1065"/>
      <c r="DB325" s="1065"/>
    </row>
    <row r="326" spans="1:106" ht="15" customHeight="1" thickBot="1">
      <c r="A326" s="1065"/>
      <c r="B326" s="1065"/>
      <c r="C326" s="1127" t="s">
        <v>707</v>
      </c>
      <c r="D326" s="1132" t="s">
        <v>714</v>
      </c>
      <c r="E326" s="1133"/>
      <c r="F326" s="1133"/>
      <c r="G326" s="1134"/>
      <c r="H326" s="1129" t="s">
        <v>671</v>
      </c>
      <c r="I326" s="1131"/>
      <c r="J326" s="1132" t="s">
        <v>755</v>
      </c>
      <c r="K326" s="1133"/>
      <c r="L326" s="1134"/>
      <c r="M326" s="1129" t="s">
        <v>756</v>
      </c>
      <c r="N326" s="1130"/>
      <c r="O326" s="1130"/>
      <c r="P326" s="1135"/>
      <c r="Q326" s="1135"/>
      <c r="R326" s="1136"/>
      <c r="S326" s="1067">
        <v>6450</v>
      </c>
      <c r="T326" s="1738"/>
      <c r="U326" s="1809"/>
      <c r="V326" s="1065"/>
      <c r="W326" s="1065"/>
      <c r="X326" s="1065"/>
      <c r="Y326" s="1065"/>
      <c r="Z326" s="1065"/>
      <c r="AA326" s="1065"/>
      <c r="AB326" s="1065"/>
      <c r="AC326" s="1065"/>
      <c r="AD326" s="1065"/>
      <c r="AE326" s="1065"/>
      <c r="AF326" s="1065"/>
      <c r="AG326" s="1065"/>
      <c r="AH326" s="1065"/>
      <c r="AI326" s="1065"/>
      <c r="AJ326" s="1065"/>
      <c r="AK326" s="1065"/>
      <c r="AL326" s="1065"/>
      <c r="AM326" s="1065"/>
      <c r="AN326" s="1065"/>
      <c r="AO326" s="1065"/>
      <c r="AP326" s="1065"/>
      <c r="AQ326" s="1065"/>
      <c r="AR326" s="1065"/>
      <c r="AS326" s="1065"/>
      <c r="AT326" s="1065"/>
      <c r="AU326" s="1065"/>
      <c r="AV326" s="1065"/>
      <c r="AW326" s="1065"/>
      <c r="AX326" s="1065"/>
      <c r="AY326" s="1065"/>
      <c r="AZ326" s="1065"/>
      <c r="BA326" s="1065"/>
      <c r="BB326" s="1065"/>
      <c r="BC326" s="1065"/>
      <c r="BD326" s="1065"/>
      <c r="BE326" s="1065"/>
      <c r="BF326" s="1065"/>
      <c r="BG326" s="1065"/>
      <c r="BH326" s="1065"/>
      <c r="BI326" s="1065"/>
      <c r="BJ326" s="1065"/>
      <c r="BK326" s="1065"/>
      <c r="BL326" s="1065"/>
      <c r="BM326" s="1065"/>
      <c r="BN326" s="1065"/>
      <c r="BO326" s="1065"/>
      <c r="BP326" s="1065"/>
      <c r="BQ326" s="1065"/>
      <c r="BR326" s="1065"/>
      <c r="BS326" s="1065"/>
      <c r="BT326" s="1065"/>
      <c r="BU326" s="1065"/>
      <c r="BV326" s="1065"/>
      <c r="BW326" s="1065"/>
      <c r="BX326" s="1065"/>
      <c r="BY326" s="1065"/>
      <c r="BZ326" s="1065"/>
      <c r="CA326" s="1065"/>
      <c r="CB326" s="1065"/>
      <c r="CC326" s="1065"/>
      <c r="CD326" s="1065"/>
      <c r="CE326" s="1065"/>
      <c r="CF326" s="1065"/>
      <c r="CG326" s="1065"/>
      <c r="CH326" s="1065"/>
      <c r="CI326" s="1065"/>
      <c r="CJ326" s="1065"/>
      <c r="CK326" s="1065"/>
      <c r="CL326" s="1065"/>
      <c r="CM326" s="1065"/>
      <c r="CN326" s="1065"/>
      <c r="CO326" s="1065"/>
      <c r="CP326" s="1065"/>
      <c r="CQ326" s="1065"/>
      <c r="CR326" s="1065"/>
      <c r="CS326" s="1065"/>
      <c r="CT326" s="1065"/>
      <c r="CU326" s="1065"/>
      <c r="CV326" s="1065"/>
      <c r="CW326" s="1065"/>
      <c r="CX326" s="1065"/>
      <c r="CY326" s="1065"/>
      <c r="CZ326" s="1065"/>
      <c r="DA326" s="1065"/>
      <c r="DB326" s="1065"/>
    </row>
    <row r="327" spans="1:106" ht="15" customHeight="1" thickBot="1">
      <c r="A327" s="1065"/>
      <c r="B327" s="1065"/>
      <c r="C327" s="1127" t="s">
        <v>679</v>
      </c>
      <c r="D327" s="1132" t="s">
        <v>757</v>
      </c>
      <c r="E327" s="1133"/>
      <c r="F327" s="1133"/>
      <c r="G327" s="1134"/>
      <c r="H327" s="1129" t="s">
        <v>671</v>
      </c>
      <c r="I327" s="1131"/>
      <c r="J327" s="1132" t="s">
        <v>758</v>
      </c>
      <c r="K327" s="1133"/>
      <c r="L327" s="1134"/>
      <c r="M327" s="1129" t="s">
        <v>759</v>
      </c>
      <c r="N327" s="1130"/>
      <c r="O327" s="1130"/>
      <c r="P327" s="1135"/>
      <c r="Q327" s="1135"/>
      <c r="R327" s="1136"/>
      <c r="S327" s="1067">
        <v>3520.8</v>
      </c>
      <c r="T327" s="1738"/>
      <c r="U327" s="1809"/>
      <c r="V327" s="1065"/>
      <c r="W327" s="1065"/>
      <c r="X327" s="1065"/>
      <c r="Y327" s="1065"/>
      <c r="Z327" s="1065"/>
      <c r="AA327" s="1065"/>
      <c r="AB327" s="1065"/>
      <c r="AC327" s="1065"/>
      <c r="AD327" s="1065"/>
      <c r="AE327" s="1065"/>
      <c r="AF327" s="1065"/>
      <c r="AG327" s="1065"/>
      <c r="AH327" s="1065"/>
      <c r="AI327" s="1065"/>
      <c r="AJ327" s="1065"/>
      <c r="AK327" s="1065"/>
      <c r="AL327" s="1065"/>
      <c r="AM327" s="1065"/>
      <c r="AN327" s="1065"/>
      <c r="AO327" s="1065"/>
      <c r="AP327" s="1065"/>
      <c r="AQ327" s="1065"/>
      <c r="AR327" s="1065"/>
      <c r="AS327" s="1065"/>
      <c r="AT327" s="1065"/>
      <c r="AU327" s="1065"/>
      <c r="AV327" s="1065"/>
      <c r="AW327" s="1065"/>
      <c r="AX327" s="1065"/>
      <c r="AY327" s="1065"/>
      <c r="AZ327" s="1065"/>
      <c r="BA327" s="1065"/>
      <c r="BB327" s="1065"/>
      <c r="BC327" s="1065"/>
      <c r="BD327" s="1065"/>
      <c r="BE327" s="1065"/>
      <c r="BF327" s="1065"/>
      <c r="BG327" s="1065"/>
      <c r="BH327" s="1065"/>
      <c r="BI327" s="1065"/>
      <c r="BJ327" s="1065"/>
      <c r="BK327" s="1065"/>
      <c r="BL327" s="1065"/>
      <c r="BM327" s="1065"/>
      <c r="BN327" s="1065"/>
      <c r="BO327" s="1065"/>
      <c r="BP327" s="1065"/>
      <c r="BQ327" s="1065"/>
      <c r="BR327" s="1065"/>
      <c r="BS327" s="1065"/>
      <c r="BT327" s="1065"/>
      <c r="BU327" s="1065"/>
      <c r="BV327" s="1065"/>
      <c r="BW327" s="1065"/>
      <c r="BX327" s="1065"/>
      <c r="BY327" s="1065"/>
      <c r="BZ327" s="1065"/>
      <c r="CA327" s="1065"/>
      <c r="CB327" s="1065"/>
      <c r="CC327" s="1065"/>
      <c r="CD327" s="1065"/>
      <c r="CE327" s="1065"/>
      <c r="CF327" s="1065"/>
      <c r="CG327" s="1065"/>
      <c r="CH327" s="1065"/>
      <c r="CI327" s="1065"/>
      <c r="CJ327" s="1065"/>
      <c r="CK327" s="1065"/>
      <c r="CL327" s="1065"/>
      <c r="CM327" s="1065"/>
      <c r="CN327" s="1065"/>
      <c r="CO327" s="1065"/>
      <c r="CP327" s="1065"/>
      <c r="CQ327" s="1065"/>
      <c r="CR327" s="1065"/>
      <c r="CS327" s="1065"/>
      <c r="CT327" s="1065"/>
      <c r="CU327" s="1065"/>
      <c r="CV327" s="1065"/>
      <c r="CW327" s="1065"/>
      <c r="CX327" s="1065"/>
      <c r="CY327" s="1065"/>
      <c r="CZ327" s="1065"/>
      <c r="DA327" s="1065"/>
      <c r="DB327" s="1065"/>
    </row>
    <row r="328" spans="1:106" ht="15" customHeight="1" thickBot="1">
      <c r="A328" s="1065"/>
      <c r="B328" s="1065"/>
      <c r="C328" s="1127" t="s">
        <v>316</v>
      </c>
      <c r="D328" s="1132" t="s">
        <v>757</v>
      </c>
      <c r="E328" s="1133"/>
      <c r="F328" s="1133"/>
      <c r="G328" s="1134"/>
      <c r="H328" s="1129" t="s">
        <v>671</v>
      </c>
      <c r="I328" s="1131"/>
      <c r="J328" s="1132" t="s">
        <v>760</v>
      </c>
      <c r="K328" s="1133"/>
      <c r="L328" s="1134"/>
      <c r="M328" s="1129" t="s">
        <v>759</v>
      </c>
      <c r="N328" s="1130"/>
      <c r="O328" s="1130"/>
      <c r="P328" s="1135"/>
      <c r="Q328" s="1135"/>
      <c r="R328" s="1136"/>
      <c r="S328" s="1067">
        <v>950.4</v>
      </c>
      <c r="T328" s="1738"/>
      <c r="U328" s="1809"/>
      <c r="V328" s="1065"/>
      <c r="W328" s="1065"/>
      <c r="X328" s="1065"/>
      <c r="Y328" s="1065"/>
      <c r="Z328" s="1065"/>
      <c r="AA328" s="1065"/>
      <c r="AB328" s="1065"/>
      <c r="AC328" s="1065"/>
      <c r="AD328" s="1065"/>
      <c r="AE328" s="1065"/>
      <c r="AF328" s="1065"/>
      <c r="AG328" s="1065"/>
      <c r="AH328" s="1065"/>
      <c r="AI328" s="1065"/>
      <c r="AJ328" s="1065"/>
      <c r="AK328" s="1065"/>
      <c r="AL328" s="1065"/>
      <c r="AM328" s="1065"/>
      <c r="AN328" s="1065"/>
      <c r="AO328" s="1065"/>
      <c r="AP328" s="1065"/>
      <c r="AQ328" s="1065"/>
      <c r="AR328" s="1065"/>
      <c r="AS328" s="1065"/>
      <c r="AT328" s="1065"/>
      <c r="AU328" s="1065"/>
      <c r="AV328" s="1065"/>
      <c r="AW328" s="1065"/>
      <c r="AX328" s="1065"/>
      <c r="AY328" s="1065"/>
      <c r="AZ328" s="1065"/>
      <c r="BA328" s="1065"/>
      <c r="BB328" s="1065"/>
      <c r="BC328" s="1065"/>
      <c r="BD328" s="1065"/>
      <c r="BE328" s="1065"/>
      <c r="BF328" s="1065"/>
      <c r="BG328" s="1065"/>
      <c r="BH328" s="1065"/>
      <c r="BI328" s="1065"/>
      <c r="BJ328" s="1065"/>
      <c r="BK328" s="1065"/>
      <c r="BL328" s="1065"/>
      <c r="BM328" s="1065"/>
      <c r="BN328" s="1065"/>
      <c r="BO328" s="1065"/>
      <c r="BP328" s="1065"/>
      <c r="BQ328" s="1065"/>
      <c r="BR328" s="1065"/>
      <c r="BS328" s="1065"/>
      <c r="BT328" s="1065"/>
      <c r="BU328" s="1065"/>
      <c r="BV328" s="1065"/>
      <c r="BW328" s="1065"/>
      <c r="BX328" s="1065"/>
      <c r="BY328" s="1065"/>
      <c r="BZ328" s="1065"/>
      <c r="CA328" s="1065"/>
      <c r="CB328" s="1065"/>
      <c r="CC328" s="1065"/>
      <c r="CD328" s="1065"/>
      <c r="CE328" s="1065"/>
      <c r="CF328" s="1065"/>
      <c r="CG328" s="1065"/>
      <c r="CH328" s="1065"/>
      <c r="CI328" s="1065"/>
      <c r="CJ328" s="1065"/>
      <c r="CK328" s="1065"/>
      <c r="CL328" s="1065"/>
      <c r="CM328" s="1065"/>
      <c r="CN328" s="1065"/>
      <c r="CO328" s="1065"/>
      <c r="CP328" s="1065"/>
      <c r="CQ328" s="1065"/>
      <c r="CR328" s="1065"/>
      <c r="CS328" s="1065"/>
      <c r="CT328" s="1065"/>
      <c r="CU328" s="1065"/>
      <c r="CV328" s="1065"/>
      <c r="CW328" s="1065"/>
      <c r="CX328" s="1065"/>
      <c r="CY328" s="1065"/>
      <c r="CZ328" s="1065"/>
      <c r="DA328" s="1065"/>
      <c r="DB328" s="1065"/>
    </row>
    <row r="329" spans="1:106" ht="15" customHeight="1" thickBot="1">
      <c r="A329" s="1065"/>
      <c r="B329" s="1065"/>
      <c r="C329" s="1127" t="s">
        <v>675</v>
      </c>
      <c r="D329" s="1132" t="s">
        <v>761</v>
      </c>
      <c r="E329" s="1133"/>
      <c r="F329" s="1133"/>
      <c r="G329" s="1134"/>
      <c r="H329" s="1129" t="s">
        <v>671</v>
      </c>
      <c r="I329" s="1131"/>
      <c r="J329" s="1132" t="s">
        <v>762</v>
      </c>
      <c r="K329" s="1133"/>
      <c r="L329" s="1134"/>
      <c r="M329" s="1129" t="s">
        <v>763</v>
      </c>
      <c r="N329" s="1130"/>
      <c r="O329" s="1130"/>
      <c r="P329" s="1135"/>
      <c r="Q329" s="1135"/>
      <c r="R329" s="1136"/>
      <c r="S329" s="1067">
        <v>780</v>
      </c>
      <c r="T329" s="1738"/>
      <c r="U329" s="1809"/>
      <c r="V329" s="1065"/>
      <c r="W329" s="1065"/>
      <c r="X329" s="1065"/>
      <c r="Y329" s="1065"/>
      <c r="Z329" s="1065"/>
      <c r="AA329" s="1065"/>
      <c r="AB329" s="1065"/>
      <c r="AC329" s="1065"/>
      <c r="AD329" s="1065"/>
      <c r="AE329" s="1065"/>
      <c r="AF329" s="1065"/>
      <c r="AG329" s="1065"/>
      <c r="AH329" s="1065"/>
      <c r="AI329" s="1065"/>
      <c r="AJ329" s="1065"/>
      <c r="AK329" s="1065"/>
      <c r="AL329" s="1065"/>
      <c r="AM329" s="1065"/>
      <c r="AN329" s="1065"/>
      <c r="AO329" s="1065"/>
      <c r="AP329" s="1065"/>
      <c r="AQ329" s="1065"/>
      <c r="AR329" s="1065"/>
      <c r="AS329" s="1065"/>
      <c r="AT329" s="1065"/>
      <c r="AU329" s="1065"/>
      <c r="AV329" s="1065"/>
      <c r="AW329" s="1065"/>
      <c r="AX329" s="1065"/>
      <c r="AY329" s="1065"/>
      <c r="AZ329" s="1065"/>
      <c r="BA329" s="1065"/>
      <c r="BB329" s="1065"/>
      <c r="BC329" s="1065"/>
      <c r="BD329" s="1065"/>
      <c r="BE329" s="1065"/>
      <c r="BF329" s="1065"/>
      <c r="BG329" s="1065"/>
      <c r="BH329" s="1065"/>
      <c r="BI329" s="1065"/>
      <c r="BJ329" s="1065"/>
      <c r="BK329" s="1065"/>
      <c r="BL329" s="1065"/>
      <c r="BM329" s="1065"/>
      <c r="BN329" s="1065"/>
      <c r="BO329" s="1065"/>
      <c r="BP329" s="1065"/>
      <c r="BQ329" s="1065"/>
      <c r="BR329" s="1065"/>
      <c r="BS329" s="1065"/>
      <c r="BT329" s="1065"/>
      <c r="BU329" s="1065"/>
      <c r="BV329" s="1065"/>
      <c r="BW329" s="1065"/>
      <c r="BX329" s="1065"/>
      <c r="BY329" s="1065"/>
      <c r="BZ329" s="1065"/>
      <c r="CA329" s="1065"/>
      <c r="CB329" s="1065"/>
      <c r="CC329" s="1065"/>
      <c r="CD329" s="1065"/>
      <c r="CE329" s="1065"/>
      <c r="CF329" s="1065"/>
      <c r="CG329" s="1065"/>
      <c r="CH329" s="1065"/>
      <c r="CI329" s="1065"/>
      <c r="CJ329" s="1065"/>
      <c r="CK329" s="1065"/>
      <c r="CL329" s="1065"/>
      <c r="CM329" s="1065"/>
      <c r="CN329" s="1065"/>
      <c r="CO329" s="1065"/>
      <c r="CP329" s="1065"/>
      <c r="CQ329" s="1065"/>
      <c r="CR329" s="1065"/>
      <c r="CS329" s="1065"/>
      <c r="CT329" s="1065"/>
      <c r="CU329" s="1065"/>
      <c r="CV329" s="1065"/>
      <c r="CW329" s="1065"/>
      <c r="CX329" s="1065"/>
      <c r="CY329" s="1065"/>
      <c r="CZ329" s="1065"/>
      <c r="DA329" s="1065"/>
      <c r="DB329" s="1065"/>
    </row>
    <row r="330" spans="1:106" ht="15" customHeight="1" thickBot="1">
      <c r="A330" s="1065"/>
      <c r="B330" s="1065"/>
      <c r="C330" s="1127"/>
      <c r="D330" s="1132"/>
      <c r="E330" s="1133"/>
      <c r="F330" s="1133"/>
      <c r="G330" s="1134"/>
      <c r="H330" s="1129"/>
      <c r="I330" s="1131"/>
      <c r="J330" s="1132"/>
      <c r="K330" s="1133"/>
      <c r="L330" s="1134"/>
      <c r="M330" s="1129"/>
      <c r="N330" s="1130"/>
      <c r="O330" s="1130"/>
      <c r="P330" s="1135"/>
      <c r="Q330" s="1135"/>
      <c r="R330" s="1136"/>
      <c r="S330" s="1067"/>
      <c r="T330" s="1738"/>
      <c r="U330" s="1809"/>
      <c r="V330" s="1065"/>
      <c r="W330" s="1065"/>
      <c r="X330" s="1065"/>
      <c r="Y330" s="1065"/>
      <c r="Z330" s="1065"/>
      <c r="AA330" s="1065"/>
      <c r="AB330" s="1065"/>
      <c r="AC330" s="1065"/>
      <c r="AD330" s="1065"/>
      <c r="AE330" s="1065"/>
      <c r="AF330" s="1065"/>
      <c r="AG330" s="1065"/>
      <c r="AH330" s="1065"/>
      <c r="AI330" s="1065"/>
      <c r="AJ330" s="1065"/>
      <c r="AK330" s="1065"/>
      <c r="AL330" s="1065"/>
      <c r="AM330" s="1065"/>
      <c r="AN330" s="1065"/>
      <c r="AO330" s="1065"/>
      <c r="AP330" s="1065"/>
      <c r="AQ330" s="1065"/>
      <c r="AR330" s="1065"/>
      <c r="AS330" s="1065"/>
      <c r="AT330" s="1065"/>
      <c r="AU330" s="1065"/>
      <c r="AV330" s="1065"/>
      <c r="AW330" s="1065"/>
      <c r="AX330" s="1065"/>
      <c r="AY330" s="1065"/>
      <c r="AZ330" s="1065"/>
      <c r="BA330" s="1065"/>
      <c r="BB330" s="1065"/>
      <c r="BC330" s="1065"/>
      <c r="BD330" s="1065"/>
      <c r="BE330" s="1065"/>
      <c r="BF330" s="1065"/>
      <c r="BG330" s="1065"/>
      <c r="BH330" s="1065"/>
      <c r="BI330" s="1065"/>
      <c r="BJ330" s="1065"/>
      <c r="BK330" s="1065"/>
      <c r="BL330" s="1065"/>
      <c r="BM330" s="1065"/>
      <c r="BN330" s="1065"/>
      <c r="BO330" s="1065"/>
      <c r="BP330" s="1065"/>
      <c r="BQ330" s="1065"/>
      <c r="BR330" s="1065"/>
      <c r="BS330" s="1065"/>
      <c r="BT330" s="1065"/>
      <c r="BU330" s="1065"/>
      <c r="BV330" s="1065"/>
      <c r="BW330" s="1065"/>
      <c r="BX330" s="1065"/>
      <c r="BY330" s="1065"/>
      <c r="BZ330" s="1065"/>
      <c r="CA330" s="1065"/>
      <c r="CB330" s="1065"/>
      <c r="CC330" s="1065"/>
      <c r="CD330" s="1065"/>
      <c r="CE330" s="1065"/>
      <c r="CF330" s="1065"/>
      <c r="CG330" s="1065"/>
      <c r="CH330" s="1065"/>
      <c r="CI330" s="1065"/>
      <c r="CJ330" s="1065"/>
      <c r="CK330" s="1065"/>
      <c r="CL330" s="1065"/>
      <c r="CM330" s="1065"/>
      <c r="CN330" s="1065"/>
      <c r="CO330" s="1065"/>
      <c r="CP330" s="1065"/>
      <c r="CQ330" s="1065"/>
      <c r="CR330" s="1065"/>
      <c r="CS330" s="1065"/>
      <c r="CT330" s="1065"/>
      <c r="CU330" s="1065"/>
      <c r="CV330" s="1065"/>
      <c r="CW330" s="1065"/>
      <c r="CX330" s="1065"/>
      <c r="CY330" s="1065"/>
      <c r="CZ330" s="1065"/>
      <c r="DA330" s="1065"/>
      <c r="DB330" s="1065"/>
    </row>
    <row r="331" spans="1:106" ht="15" customHeight="1" thickBot="1">
      <c r="A331" s="1065"/>
      <c r="B331" s="1065"/>
      <c r="C331" s="1137" t="s">
        <v>669</v>
      </c>
      <c r="D331" s="1694" t="s">
        <v>710</v>
      </c>
      <c r="E331" s="1694"/>
      <c r="F331" s="1694"/>
      <c r="G331" s="1694"/>
      <c r="H331" s="1694" t="s">
        <v>657</v>
      </c>
      <c r="I331" s="1694"/>
      <c r="J331" s="1747" t="s">
        <v>764</v>
      </c>
      <c r="K331" s="1747"/>
      <c r="L331" s="1747"/>
      <c r="M331" s="1756" t="s">
        <v>733</v>
      </c>
      <c r="N331" s="1756"/>
      <c r="O331" s="1756"/>
      <c r="P331" s="1756"/>
      <c r="Q331" s="1756"/>
      <c r="R331" s="1756"/>
      <c r="S331" s="1067">
        <v>550</v>
      </c>
      <c r="T331" s="1738"/>
      <c r="U331" s="1809"/>
      <c r="V331" s="1065"/>
      <c r="W331" s="1065"/>
      <c r="X331" s="1065"/>
      <c r="Y331" s="1065"/>
      <c r="Z331" s="1065"/>
      <c r="AA331" s="1065"/>
      <c r="AB331" s="1065"/>
      <c r="AC331" s="1065"/>
      <c r="AD331" s="1065"/>
      <c r="AE331" s="1065"/>
      <c r="AF331" s="1065"/>
      <c r="AG331" s="1065"/>
      <c r="AH331" s="1065"/>
      <c r="AI331" s="1065"/>
      <c r="AJ331" s="1065"/>
      <c r="AK331" s="1065"/>
      <c r="AL331" s="1065"/>
      <c r="AM331" s="1065"/>
      <c r="AN331" s="1065"/>
      <c r="AO331" s="1065"/>
      <c r="AP331" s="1065"/>
      <c r="AQ331" s="1065"/>
      <c r="AR331" s="1065"/>
      <c r="AS331" s="1065"/>
      <c r="AT331" s="1065"/>
      <c r="AU331" s="1065"/>
      <c r="AV331" s="1065"/>
      <c r="AW331" s="1065"/>
      <c r="AX331" s="1065"/>
      <c r="AY331" s="1065"/>
      <c r="AZ331" s="1065"/>
      <c r="BA331" s="1065"/>
      <c r="BB331" s="1065"/>
      <c r="BC331" s="1065"/>
      <c r="BD331" s="1065"/>
      <c r="BE331" s="1065"/>
      <c r="BF331" s="1065"/>
      <c r="BG331" s="1065"/>
      <c r="BH331" s="1065"/>
      <c r="BI331" s="1065"/>
      <c r="BJ331" s="1065"/>
      <c r="BK331" s="1065"/>
      <c r="BL331" s="1065"/>
      <c r="BM331" s="1065"/>
      <c r="BN331" s="1065"/>
      <c r="BO331" s="1065"/>
      <c r="BP331" s="1065"/>
      <c r="BQ331" s="1065"/>
      <c r="BR331" s="1065"/>
      <c r="BS331" s="1065"/>
      <c r="BT331" s="1065"/>
      <c r="BU331" s="1065"/>
      <c r="BV331" s="1065"/>
      <c r="BW331" s="1065"/>
      <c r="BX331" s="1065"/>
      <c r="BY331" s="1065"/>
      <c r="BZ331" s="1065"/>
      <c r="CA331" s="1065"/>
      <c r="CB331" s="1065"/>
      <c r="CC331" s="1065"/>
      <c r="CD331" s="1065"/>
      <c r="CE331" s="1065"/>
      <c r="CF331" s="1065"/>
      <c r="CG331" s="1065"/>
      <c r="CH331" s="1065"/>
      <c r="CI331" s="1065"/>
      <c r="CJ331" s="1065"/>
      <c r="CK331" s="1065"/>
      <c r="CL331" s="1065"/>
      <c r="CM331" s="1065"/>
      <c r="CN331" s="1065"/>
      <c r="CO331" s="1065"/>
      <c r="CP331" s="1065"/>
      <c r="CQ331" s="1065"/>
      <c r="CR331" s="1065"/>
      <c r="CS331" s="1065"/>
      <c r="CT331" s="1065"/>
      <c r="CU331" s="1065"/>
      <c r="CV331" s="1065"/>
      <c r="CW331" s="1065"/>
      <c r="CX331" s="1065"/>
      <c r="CY331" s="1065"/>
      <c r="CZ331" s="1065"/>
      <c r="DA331" s="1065"/>
      <c r="DB331" s="1065"/>
    </row>
    <row r="332" spans="1:106" ht="15" customHeight="1" thickBot="1">
      <c r="A332" s="1065"/>
      <c r="B332" s="1065"/>
      <c r="C332" s="1137" t="s">
        <v>765</v>
      </c>
      <c r="D332" s="1694" t="s">
        <v>710</v>
      </c>
      <c r="E332" s="1694"/>
      <c r="F332" s="1694"/>
      <c r="G332" s="1694"/>
      <c r="H332" s="1694" t="s">
        <v>657</v>
      </c>
      <c r="I332" s="1694"/>
      <c r="J332" s="1747" t="s">
        <v>766</v>
      </c>
      <c r="K332" s="1747"/>
      <c r="L332" s="1747"/>
      <c r="M332" s="1756" t="s">
        <v>767</v>
      </c>
      <c r="N332" s="1756"/>
      <c r="O332" s="1756"/>
      <c r="P332" s="1756"/>
      <c r="Q332" s="1756"/>
      <c r="R332" s="1756"/>
      <c r="S332" s="1067">
        <v>8041</v>
      </c>
      <c r="T332" s="1738"/>
      <c r="U332" s="1809"/>
      <c r="V332" s="1065"/>
      <c r="W332" s="1065"/>
      <c r="X332" s="1065"/>
      <c r="Y332" s="1065"/>
      <c r="Z332" s="1065"/>
      <c r="AA332" s="1065"/>
      <c r="AB332" s="1065"/>
      <c r="AC332" s="1065"/>
      <c r="AD332" s="1065"/>
      <c r="AE332" s="1065"/>
      <c r="AF332" s="1065"/>
      <c r="AG332" s="1065"/>
      <c r="AH332" s="1065"/>
      <c r="AI332" s="1065"/>
      <c r="AJ332" s="1065"/>
      <c r="AK332" s="1065"/>
      <c r="AL332" s="1065"/>
      <c r="AM332" s="1065"/>
      <c r="AN332" s="1065"/>
      <c r="AO332" s="1065"/>
      <c r="AP332" s="1065"/>
      <c r="AQ332" s="1065"/>
      <c r="AR332" s="1065"/>
      <c r="AS332" s="1065"/>
      <c r="AT332" s="1065"/>
      <c r="AU332" s="1065"/>
      <c r="AV332" s="1065"/>
      <c r="AW332" s="1065"/>
      <c r="AX332" s="1065"/>
      <c r="AY332" s="1065"/>
      <c r="AZ332" s="1065"/>
      <c r="BA332" s="1065"/>
      <c r="BB332" s="1065"/>
      <c r="BC332" s="1065"/>
      <c r="BD332" s="1065"/>
      <c r="BE332" s="1065"/>
      <c r="BF332" s="1065"/>
      <c r="BG332" s="1065"/>
      <c r="BH332" s="1065"/>
      <c r="BI332" s="1065"/>
      <c r="BJ332" s="1065"/>
      <c r="BK332" s="1065"/>
      <c r="BL332" s="1065"/>
      <c r="BM332" s="1065"/>
      <c r="BN332" s="1065"/>
      <c r="BO332" s="1065"/>
      <c r="BP332" s="1065"/>
      <c r="BQ332" s="1065"/>
      <c r="BR332" s="1065"/>
      <c r="BS332" s="1065"/>
      <c r="BT332" s="1065"/>
      <c r="BU332" s="1065"/>
      <c r="BV332" s="1065"/>
      <c r="BW332" s="1065"/>
      <c r="BX332" s="1065"/>
      <c r="BY332" s="1065"/>
      <c r="BZ332" s="1065"/>
      <c r="CA332" s="1065"/>
      <c r="CB332" s="1065"/>
      <c r="CC332" s="1065"/>
      <c r="CD332" s="1065"/>
      <c r="CE332" s="1065"/>
      <c r="CF332" s="1065"/>
      <c r="CG332" s="1065"/>
      <c r="CH332" s="1065"/>
      <c r="CI332" s="1065"/>
      <c r="CJ332" s="1065"/>
      <c r="CK332" s="1065"/>
      <c r="CL332" s="1065"/>
      <c r="CM332" s="1065"/>
      <c r="CN332" s="1065"/>
      <c r="CO332" s="1065"/>
      <c r="CP332" s="1065"/>
      <c r="CQ332" s="1065"/>
      <c r="CR332" s="1065"/>
      <c r="CS332" s="1065"/>
      <c r="CT332" s="1065"/>
      <c r="CU332" s="1065"/>
      <c r="CV332" s="1065"/>
      <c r="CW332" s="1065"/>
      <c r="CX332" s="1065"/>
      <c r="CY332" s="1065"/>
      <c r="CZ332" s="1065"/>
      <c r="DA332" s="1065"/>
      <c r="DB332" s="1065"/>
    </row>
    <row r="333" spans="1:106" ht="15" customHeight="1" thickBot="1">
      <c r="A333" s="1065"/>
      <c r="B333" s="1065"/>
      <c r="C333" s="1127" t="s">
        <v>669</v>
      </c>
      <c r="D333" s="1694" t="s">
        <v>710</v>
      </c>
      <c r="E333" s="1694"/>
      <c r="F333" s="1694"/>
      <c r="G333" s="1694"/>
      <c r="H333" s="1694" t="s">
        <v>657</v>
      </c>
      <c r="I333" s="1694"/>
      <c r="J333" s="1747" t="s">
        <v>768</v>
      </c>
      <c r="K333" s="1747"/>
      <c r="L333" s="1747"/>
      <c r="M333" s="1694" t="s">
        <v>769</v>
      </c>
      <c r="N333" s="1694"/>
      <c r="O333" s="1694"/>
      <c r="P333" s="1694"/>
      <c r="Q333" s="1694"/>
      <c r="R333" s="1694"/>
      <c r="S333" s="1067">
        <v>2058</v>
      </c>
      <c r="T333" s="1738"/>
      <c r="U333" s="1809"/>
      <c r="V333" s="1065"/>
      <c r="W333" s="1065"/>
      <c r="X333" s="1065"/>
      <c r="Y333" s="1065"/>
      <c r="Z333" s="1065"/>
      <c r="AA333" s="1065"/>
      <c r="AB333" s="1065"/>
      <c r="AC333" s="1065"/>
      <c r="AD333" s="1065"/>
      <c r="AE333" s="1065"/>
      <c r="AF333" s="1065"/>
      <c r="AG333" s="1065"/>
      <c r="AH333" s="1065"/>
      <c r="AI333" s="1065"/>
      <c r="AJ333" s="1065"/>
      <c r="AK333" s="1065"/>
      <c r="AL333" s="1065"/>
      <c r="AM333" s="1065"/>
      <c r="AN333" s="1065"/>
      <c r="AO333" s="1065"/>
      <c r="AP333" s="1065"/>
      <c r="AQ333" s="1065"/>
      <c r="AR333" s="1065"/>
      <c r="AS333" s="1065"/>
      <c r="AT333" s="1065"/>
      <c r="AU333" s="1065"/>
      <c r="AV333" s="1065"/>
      <c r="AW333" s="1065"/>
      <c r="AX333" s="1065"/>
      <c r="AY333" s="1065"/>
      <c r="AZ333" s="1065"/>
      <c r="BA333" s="1065"/>
      <c r="BB333" s="1065"/>
      <c r="BC333" s="1065"/>
      <c r="BD333" s="1065"/>
      <c r="BE333" s="1065"/>
      <c r="BF333" s="1065"/>
      <c r="BG333" s="1065"/>
      <c r="BH333" s="1065"/>
      <c r="BI333" s="1065"/>
      <c r="BJ333" s="1065"/>
      <c r="BK333" s="1065"/>
      <c r="BL333" s="1065"/>
      <c r="BM333" s="1065"/>
      <c r="BN333" s="1065"/>
      <c r="BO333" s="1065"/>
      <c r="BP333" s="1065"/>
      <c r="BQ333" s="1065"/>
      <c r="BR333" s="1065"/>
      <c r="BS333" s="1065"/>
      <c r="BT333" s="1065"/>
      <c r="BU333" s="1065"/>
      <c r="BV333" s="1065"/>
      <c r="BW333" s="1065"/>
      <c r="BX333" s="1065"/>
      <c r="BY333" s="1065"/>
      <c r="BZ333" s="1065"/>
      <c r="CA333" s="1065"/>
      <c r="CB333" s="1065"/>
      <c r="CC333" s="1065"/>
      <c r="CD333" s="1065"/>
      <c r="CE333" s="1065"/>
      <c r="CF333" s="1065"/>
      <c r="CG333" s="1065"/>
      <c r="CH333" s="1065"/>
      <c r="CI333" s="1065"/>
      <c r="CJ333" s="1065"/>
      <c r="CK333" s="1065"/>
      <c r="CL333" s="1065"/>
      <c r="CM333" s="1065"/>
      <c r="CN333" s="1065"/>
      <c r="CO333" s="1065"/>
      <c r="CP333" s="1065"/>
      <c r="CQ333" s="1065"/>
      <c r="CR333" s="1065"/>
      <c r="CS333" s="1065"/>
      <c r="CT333" s="1065"/>
      <c r="CU333" s="1065"/>
      <c r="CV333" s="1065"/>
      <c r="CW333" s="1065"/>
      <c r="CX333" s="1065"/>
      <c r="CY333" s="1065"/>
      <c r="CZ333" s="1065"/>
      <c r="DA333" s="1065"/>
      <c r="DB333" s="1065"/>
    </row>
    <row r="334" spans="1:106" ht="15" customHeight="1" thickBot="1">
      <c r="A334" s="1065"/>
      <c r="B334" s="1065"/>
      <c r="C334" s="1127" t="s">
        <v>669</v>
      </c>
      <c r="D334" s="1694" t="s">
        <v>710</v>
      </c>
      <c r="E334" s="1694"/>
      <c r="F334" s="1694"/>
      <c r="G334" s="1694"/>
      <c r="H334" s="1694" t="s">
        <v>657</v>
      </c>
      <c r="I334" s="1694"/>
      <c r="J334" s="1747" t="s">
        <v>770</v>
      </c>
      <c r="K334" s="1747"/>
      <c r="L334" s="1747"/>
      <c r="M334" s="1694" t="s">
        <v>769</v>
      </c>
      <c r="N334" s="1694"/>
      <c r="O334" s="1694"/>
      <c r="P334" s="1694"/>
      <c r="Q334" s="1694"/>
      <c r="R334" s="1694"/>
      <c r="S334" s="1067">
        <v>550</v>
      </c>
      <c r="T334" s="1738"/>
      <c r="U334" s="1809"/>
      <c r="V334" s="1065"/>
      <c r="W334" s="1065"/>
      <c r="X334" s="1065"/>
      <c r="Y334" s="1065"/>
      <c r="Z334" s="1065"/>
      <c r="AA334" s="1065"/>
      <c r="AB334" s="1065"/>
      <c r="AC334" s="1065"/>
      <c r="AD334" s="1065"/>
      <c r="AE334" s="1065"/>
      <c r="AF334" s="1065"/>
      <c r="AG334" s="1065"/>
      <c r="AH334" s="1065"/>
      <c r="AI334" s="1065"/>
      <c r="AJ334" s="1065"/>
      <c r="AK334" s="1065"/>
      <c r="AL334" s="1065"/>
      <c r="AM334" s="1065"/>
      <c r="AN334" s="1065"/>
      <c r="AO334" s="1065"/>
      <c r="AP334" s="1065"/>
      <c r="AQ334" s="1065"/>
      <c r="AR334" s="1065"/>
      <c r="AS334" s="1065"/>
      <c r="AT334" s="1065"/>
      <c r="AU334" s="1065"/>
      <c r="AV334" s="1065"/>
      <c r="AW334" s="1065"/>
      <c r="AX334" s="1065"/>
      <c r="AY334" s="1065"/>
      <c r="AZ334" s="1065"/>
      <c r="BA334" s="1065"/>
      <c r="BB334" s="1065"/>
      <c r="BC334" s="1065"/>
      <c r="BD334" s="1065"/>
      <c r="BE334" s="1065"/>
      <c r="BF334" s="1065"/>
      <c r="BG334" s="1065"/>
      <c r="BH334" s="1065"/>
      <c r="BI334" s="1065"/>
      <c r="BJ334" s="1065"/>
      <c r="BK334" s="1065"/>
      <c r="BL334" s="1065"/>
      <c r="BM334" s="1065"/>
      <c r="BN334" s="1065"/>
      <c r="BO334" s="1065"/>
      <c r="BP334" s="1065"/>
      <c r="BQ334" s="1065"/>
      <c r="BR334" s="1065"/>
      <c r="BS334" s="1065"/>
      <c r="BT334" s="1065"/>
      <c r="BU334" s="1065"/>
      <c r="BV334" s="1065"/>
      <c r="BW334" s="1065"/>
      <c r="BX334" s="1065"/>
      <c r="BY334" s="1065"/>
      <c r="BZ334" s="1065"/>
      <c r="CA334" s="1065"/>
      <c r="CB334" s="1065"/>
      <c r="CC334" s="1065"/>
      <c r="CD334" s="1065"/>
      <c r="CE334" s="1065"/>
      <c r="CF334" s="1065"/>
      <c r="CG334" s="1065"/>
      <c r="CH334" s="1065"/>
      <c r="CI334" s="1065"/>
      <c r="CJ334" s="1065"/>
      <c r="CK334" s="1065"/>
      <c r="CL334" s="1065"/>
      <c r="CM334" s="1065"/>
      <c r="CN334" s="1065"/>
      <c r="CO334" s="1065"/>
      <c r="CP334" s="1065"/>
      <c r="CQ334" s="1065"/>
      <c r="CR334" s="1065"/>
      <c r="CS334" s="1065"/>
      <c r="CT334" s="1065"/>
      <c r="CU334" s="1065"/>
      <c r="CV334" s="1065"/>
      <c r="CW334" s="1065"/>
      <c r="CX334" s="1065"/>
      <c r="CY334" s="1065"/>
      <c r="CZ334" s="1065"/>
      <c r="DA334" s="1065"/>
      <c r="DB334" s="1065"/>
    </row>
    <row r="335" spans="1:106" ht="15" customHeight="1" thickBot="1">
      <c r="A335" s="1065"/>
      <c r="B335" s="1065"/>
      <c r="C335" s="1127" t="s">
        <v>669</v>
      </c>
      <c r="D335" s="1694" t="s">
        <v>710</v>
      </c>
      <c r="E335" s="1694"/>
      <c r="F335" s="1694"/>
      <c r="G335" s="1694"/>
      <c r="H335" s="1694" t="s">
        <v>657</v>
      </c>
      <c r="I335" s="1694"/>
      <c r="J335" s="1747" t="s">
        <v>771</v>
      </c>
      <c r="K335" s="1747"/>
      <c r="L335" s="1747"/>
      <c r="M335" s="1694" t="s">
        <v>769</v>
      </c>
      <c r="N335" s="1694"/>
      <c r="O335" s="1694"/>
      <c r="P335" s="1694"/>
      <c r="Q335" s="1694"/>
      <c r="R335" s="1694"/>
      <c r="S335" s="1067">
        <v>550</v>
      </c>
      <c r="T335" s="1738"/>
      <c r="U335" s="1809"/>
      <c r="V335" s="1065"/>
      <c r="W335" s="1065"/>
      <c r="X335" s="1065"/>
      <c r="Y335" s="1065"/>
      <c r="Z335" s="1065"/>
      <c r="AA335" s="1065"/>
      <c r="AB335" s="1065"/>
      <c r="AC335" s="1065"/>
      <c r="AD335" s="1065"/>
      <c r="AE335" s="1065"/>
      <c r="AF335" s="1065"/>
      <c r="AG335" s="1065"/>
      <c r="AH335" s="1065"/>
      <c r="AI335" s="1065"/>
      <c r="AJ335" s="1065"/>
      <c r="AK335" s="1065"/>
      <c r="AL335" s="1065"/>
      <c r="AM335" s="1065"/>
      <c r="AN335" s="1065"/>
      <c r="AO335" s="1065"/>
      <c r="AP335" s="1065"/>
      <c r="AQ335" s="1065"/>
      <c r="AR335" s="1065"/>
      <c r="AS335" s="1065"/>
      <c r="AT335" s="1065"/>
      <c r="AU335" s="1065"/>
      <c r="AV335" s="1065"/>
      <c r="AW335" s="1065"/>
      <c r="AX335" s="1065"/>
      <c r="AY335" s="1065"/>
      <c r="AZ335" s="1065"/>
      <c r="BA335" s="1065"/>
      <c r="BB335" s="1065"/>
      <c r="BC335" s="1065"/>
      <c r="BD335" s="1065"/>
      <c r="BE335" s="1065"/>
      <c r="BF335" s="1065"/>
      <c r="BG335" s="1065"/>
      <c r="BH335" s="1065"/>
      <c r="BI335" s="1065"/>
      <c r="BJ335" s="1065"/>
      <c r="BK335" s="1065"/>
      <c r="BL335" s="1065"/>
      <c r="BM335" s="1065"/>
      <c r="BN335" s="1065"/>
      <c r="BO335" s="1065"/>
      <c r="BP335" s="1065"/>
      <c r="BQ335" s="1065"/>
      <c r="BR335" s="1065"/>
      <c r="BS335" s="1065"/>
      <c r="BT335" s="1065"/>
      <c r="BU335" s="1065"/>
      <c r="BV335" s="1065"/>
      <c r="BW335" s="1065"/>
      <c r="BX335" s="1065"/>
      <c r="BY335" s="1065"/>
      <c r="BZ335" s="1065"/>
      <c r="CA335" s="1065"/>
      <c r="CB335" s="1065"/>
      <c r="CC335" s="1065"/>
      <c r="CD335" s="1065"/>
      <c r="CE335" s="1065"/>
      <c r="CF335" s="1065"/>
      <c r="CG335" s="1065"/>
      <c r="CH335" s="1065"/>
      <c r="CI335" s="1065"/>
      <c r="CJ335" s="1065"/>
      <c r="CK335" s="1065"/>
      <c r="CL335" s="1065"/>
      <c r="CM335" s="1065"/>
      <c r="CN335" s="1065"/>
      <c r="CO335" s="1065"/>
      <c r="CP335" s="1065"/>
      <c r="CQ335" s="1065"/>
      <c r="CR335" s="1065"/>
      <c r="CS335" s="1065"/>
      <c r="CT335" s="1065"/>
      <c r="CU335" s="1065"/>
      <c r="CV335" s="1065"/>
      <c r="CW335" s="1065"/>
      <c r="CX335" s="1065"/>
      <c r="CY335" s="1065"/>
      <c r="CZ335" s="1065"/>
      <c r="DA335" s="1065"/>
      <c r="DB335" s="1065"/>
    </row>
    <row r="336" spans="1:106" ht="15" customHeight="1" thickBot="1">
      <c r="A336" s="1065"/>
      <c r="B336" s="1065"/>
      <c r="C336" s="1127" t="s">
        <v>492</v>
      </c>
      <c r="D336" s="1756" t="s">
        <v>700</v>
      </c>
      <c r="E336" s="1756"/>
      <c r="F336" s="1756"/>
      <c r="G336" s="1756"/>
      <c r="H336" s="1756" t="s">
        <v>657</v>
      </c>
      <c r="I336" s="1756"/>
      <c r="J336" s="1694" t="s">
        <v>772</v>
      </c>
      <c r="K336" s="1694"/>
      <c r="L336" s="1694"/>
      <c r="M336" s="1756" t="s">
        <v>773</v>
      </c>
      <c r="N336" s="1756"/>
      <c r="O336" s="1756"/>
      <c r="P336" s="1756"/>
      <c r="Q336" s="1756"/>
      <c r="R336" s="1756"/>
      <c r="S336" s="1067">
        <v>657.28</v>
      </c>
      <c r="T336" s="1738"/>
      <c r="U336" s="1809"/>
      <c r="V336" s="1065"/>
      <c r="W336" s="1065"/>
      <c r="X336" s="1065"/>
      <c r="Y336" s="1065"/>
      <c r="Z336" s="1065"/>
      <c r="AA336" s="1065"/>
      <c r="AB336" s="1065"/>
      <c r="AC336" s="1065"/>
      <c r="AD336" s="1065"/>
      <c r="AE336" s="1065"/>
      <c r="AF336" s="1065"/>
      <c r="AG336" s="1065"/>
      <c r="AH336" s="1065"/>
      <c r="AI336" s="1065"/>
      <c r="AJ336" s="1065"/>
      <c r="AK336" s="1065"/>
      <c r="AL336" s="1065"/>
      <c r="AM336" s="1065"/>
      <c r="AN336" s="1065"/>
      <c r="AO336" s="1065"/>
      <c r="AP336" s="1065"/>
      <c r="AQ336" s="1065"/>
      <c r="AR336" s="1065"/>
      <c r="AS336" s="1065"/>
      <c r="AT336" s="1065"/>
      <c r="AU336" s="1065"/>
      <c r="AV336" s="1065"/>
      <c r="AW336" s="1065"/>
      <c r="AX336" s="1065"/>
      <c r="AY336" s="1065"/>
      <c r="AZ336" s="1065"/>
      <c r="BA336" s="1065"/>
      <c r="BB336" s="1065"/>
      <c r="BC336" s="1065"/>
      <c r="BD336" s="1065"/>
      <c r="BE336" s="1065"/>
      <c r="BF336" s="1065"/>
      <c r="BG336" s="1065"/>
      <c r="BH336" s="1065"/>
      <c r="BI336" s="1065"/>
      <c r="BJ336" s="1065"/>
      <c r="BK336" s="1065"/>
      <c r="BL336" s="1065"/>
      <c r="BM336" s="1065"/>
      <c r="BN336" s="1065"/>
      <c r="BO336" s="1065"/>
      <c r="BP336" s="1065"/>
      <c r="BQ336" s="1065"/>
      <c r="BR336" s="1065"/>
      <c r="BS336" s="1065"/>
      <c r="BT336" s="1065"/>
      <c r="BU336" s="1065"/>
      <c r="BV336" s="1065"/>
      <c r="BW336" s="1065"/>
      <c r="BX336" s="1065"/>
      <c r="BY336" s="1065"/>
      <c r="BZ336" s="1065"/>
      <c r="CA336" s="1065"/>
      <c r="CB336" s="1065"/>
      <c r="CC336" s="1065"/>
      <c r="CD336" s="1065"/>
      <c r="CE336" s="1065"/>
      <c r="CF336" s="1065"/>
      <c r="CG336" s="1065"/>
      <c r="CH336" s="1065"/>
      <c r="CI336" s="1065"/>
      <c r="CJ336" s="1065"/>
      <c r="CK336" s="1065"/>
      <c r="CL336" s="1065"/>
      <c r="CM336" s="1065"/>
      <c r="CN336" s="1065"/>
      <c r="CO336" s="1065"/>
      <c r="CP336" s="1065"/>
      <c r="CQ336" s="1065"/>
      <c r="CR336" s="1065"/>
      <c r="CS336" s="1065"/>
      <c r="CT336" s="1065"/>
      <c r="CU336" s="1065"/>
      <c r="CV336" s="1065"/>
      <c r="CW336" s="1065"/>
      <c r="CX336" s="1065"/>
      <c r="CY336" s="1065"/>
      <c r="CZ336" s="1065"/>
      <c r="DA336" s="1065"/>
      <c r="DB336" s="1065"/>
    </row>
    <row r="337" spans="1:106" ht="15" customHeight="1" thickBot="1">
      <c r="A337" s="1065"/>
      <c r="B337" s="1065"/>
      <c r="C337" s="1127" t="s">
        <v>662</v>
      </c>
      <c r="D337" s="1756" t="s">
        <v>700</v>
      </c>
      <c r="E337" s="1756"/>
      <c r="F337" s="1756"/>
      <c r="G337" s="1756"/>
      <c r="H337" s="1128" t="s">
        <v>657</v>
      </c>
      <c r="I337" s="1128"/>
      <c r="J337" s="1129" t="s">
        <v>774</v>
      </c>
      <c r="K337" s="1130"/>
      <c r="L337" s="1131"/>
      <c r="M337" s="1132" t="s">
        <v>775</v>
      </c>
      <c r="N337" s="1133"/>
      <c r="O337" s="1133"/>
      <c r="P337" s="1138"/>
      <c r="Q337" s="1138"/>
      <c r="R337" s="1139"/>
      <c r="S337" s="1067">
        <v>1550</v>
      </c>
      <c r="T337" s="1738"/>
      <c r="U337" s="1809"/>
      <c r="V337" s="1065"/>
      <c r="W337" s="1065"/>
      <c r="X337" s="1065"/>
      <c r="Y337" s="1065"/>
      <c r="Z337" s="1065"/>
      <c r="AA337" s="1065"/>
      <c r="AB337" s="1065"/>
      <c r="AC337" s="1065"/>
      <c r="AD337" s="1065"/>
      <c r="AE337" s="1065"/>
      <c r="AF337" s="1065"/>
      <c r="AG337" s="1065"/>
      <c r="AH337" s="1065"/>
      <c r="AI337" s="1065"/>
      <c r="AJ337" s="1065"/>
      <c r="AK337" s="1065"/>
      <c r="AL337" s="1065"/>
      <c r="AM337" s="1065"/>
      <c r="AN337" s="1065"/>
      <c r="AO337" s="1065"/>
      <c r="AP337" s="1065"/>
      <c r="AQ337" s="1065"/>
      <c r="AR337" s="1065"/>
      <c r="AS337" s="1065"/>
      <c r="AT337" s="1065"/>
      <c r="AU337" s="1065"/>
      <c r="AV337" s="1065"/>
      <c r="AW337" s="1065"/>
      <c r="AX337" s="1065"/>
      <c r="AY337" s="1065"/>
      <c r="AZ337" s="1065"/>
      <c r="BA337" s="1065"/>
      <c r="BB337" s="1065"/>
      <c r="BC337" s="1065"/>
      <c r="BD337" s="1065"/>
      <c r="BE337" s="1065"/>
      <c r="BF337" s="1065"/>
      <c r="BG337" s="1065"/>
      <c r="BH337" s="1065"/>
      <c r="BI337" s="1065"/>
      <c r="BJ337" s="1065"/>
      <c r="BK337" s="1065"/>
      <c r="BL337" s="1065"/>
      <c r="BM337" s="1065"/>
      <c r="BN337" s="1065"/>
      <c r="BO337" s="1065"/>
      <c r="BP337" s="1065"/>
      <c r="BQ337" s="1065"/>
      <c r="BR337" s="1065"/>
      <c r="BS337" s="1065"/>
      <c r="BT337" s="1065"/>
      <c r="BU337" s="1065"/>
      <c r="BV337" s="1065"/>
      <c r="BW337" s="1065"/>
      <c r="BX337" s="1065"/>
      <c r="BY337" s="1065"/>
      <c r="BZ337" s="1065"/>
      <c r="CA337" s="1065"/>
      <c r="CB337" s="1065"/>
      <c r="CC337" s="1065"/>
      <c r="CD337" s="1065"/>
      <c r="CE337" s="1065"/>
      <c r="CF337" s="1065"/>
      <c r="CG337" s="1065"/>
      <c r="CH337" s="1065"/>
      <c r="CI337" s="1065"/>
      <c r="CJ337" s="1065"/>
      <c r="CK337" s="1065"/>
      <c r="CL337" s="1065"/>
      <c r="CM337" s="1065"/>
      <c r="CN337" s="1065"/>
      <c r="CO337" s="1065"/>
      <c r="CP337" s="1065"/>
      <c r="CQ337" s="1065"/>
      <c r="CR337" s="1065"/>
      <c r="CS337" s="1065"/>
      <c r="CT337" s="1065"/>
      <c r="CU337" s="1065"/>
      <c r="CV337" s="1065"/>
      <c r="CW337" s="1065"/>
      <c r="CX337" s="1065"/>
      <c r="CY337" s="1065"/>
      <c r="CZ337" s="1065"/>
      <c r="DA337" s="1065"/>
      <c r="DB337" s="1065"/>
    </row>
    <row r="338" spans="1:106" ht="15" customHeight="1" thickBot="1">
      <c r="A338" s="1065"/>
      <c r="B338" s="1065"/>
      <c r="C338" s="1127" t="s">
        <v>662</v>
      </c>
      <c r="D338" s="1756" t="s">
        <v>700</v>
      </c>
      <c r="E338" s="1756"/>
      <c r="F338" s="1756"/>
      <c r="G338" s="1756"/>
      <c r="H338" s="1128" t="s">
        <v>657</v>
      </c>
      <c r="I338" s="1128"/>
      <c r="J338" s="1129" t="s">
        <v>776</v>
      </c>
      <c r="K338" s="1130"/>
      <c r="L338" s="1131"/>
      <c r="M338" s="1132" t="s">
        <v>777</v>
      </c>
      <c r="N338" s="1133"/>
      <c r="O338" s="1133"/>
      <c r="P338" s="1138"/>
      <c r="Q338" s="1138"/>
      <c r="R338" s="1139"/>
      <c r="S338" s="1067">
        <v>1550</v>
      </c>
      <c r="T338" s="1738"/>
      <c r="U338" s="1809"/>
      <c r="V338" s="1065"/>
      <c r="W338" s="1065"/>
      <c r="X338" s="1065"/>
      <c r="Y338" s="1065"/>
      <c r="Z338" s="1065"/>
      <c r="AA338" s="1065"/>
      <c r="AB338" s="1065"/>
      <c r="AC338" s="1065"/>
      <c r="AD338" s="1065"/>
      <c r="AE338" s="1065"/>
      <c r="AF338" s="1065"/>
      <c r="AG338" s="1065"/>
      <c r="AH338" s="1065"/>
      <c r="AI338" s="1065"/>
      <c r="AJ338" s="1065"/>
      <c r="AK338" s="1065"/>
      <c r="AL338" s="1065"/>
      <c r="AM338" s="1065"/>
      <c r="AN338" s="1065"/>
      <c r="AO338" s="1065"/>
      <c r="AP338" s="1065"/>
      <c r="AQ338" s="1065"/>
      <c r="AR338" s="1065"/>
      <c r="AS338" s="1065"/>
      <c r="AT338" s="1065"/>
      <c r="AU338" s="1065"/>
      <c r="AV338" s="1065"/>
      <c r="AW338" s="1065"/>
      <c r="AX338" s="1065"/>
      <c r="AY338" s="1065"/>
      <c r="AZ338" s="1065"/>
      <c r="BA338" s="1065"/>
      <c r="BB338" s="1065"/>
      <c r="BC338" s="1065"/>
      <c r="BD338" s="1065"/>
      <c r="BE338" s="1065"/>
      <c r="BF338" s="1065"/>
      <c r="BG338" s="1065"/>
      <c r="BH338" s="1065"/>
      <c r="BI338" s="1065"/>
      <c r="BJ338" s="1065"/>
      <c r="BK338" s="1065"/>
      <c r="BL338" s="1065"/>
      <c r="BM338" s="1065"/>
      <c r="BN338" s="1065"/>
      <c r="BO338" s="1065"/>
      <c r="BP338" s="1065"/>
      <c r="BQ338" s="1065"/>
      <c r="BR338" s="1065"/>
      <c r="BS338" s="1065"/>
      <c r="BT338" s="1065"/>
      <c r="BU338" s="1065"/>
      <c r="BV338" s="1065"/>
      <c r="BW338" s="1065"/>
      <c r="BX338" s="1065"/>
      <c r="BY338" s="1065"/>
      <c r="BZ338" s="1065"/>
      <c r="CA338" s="1065"/>
      <c r="CB338" s="1065"/>
      <c r="CC338" s="1065"/>
      <c r="CD338" s="1065"/>
      <c r="CE338" s="1065"/>
      <c r="CF338" s="1065"/>
      <c r="CG338" s="1065"/>
      <c r="CH338" s="1065"/>
      <c r="CI338" s="1065"/>
      <c r="CJ338" s="1065"/>
      <c r="CK338" s="1065"/>
      <c r="CL338" s="1065"/>
      <c r="CM338" s="1065"/>
      <c r="CN338" s="1065"/>
      <c r="CO338" s="1065"/>
      <c r="CP338" s="1065"/>
      <c r="CQ338" s="1065"/>
      <c r="CR338" s="1065"/>
      <c r="CS338" s="1065"/>
      <c r="CT338" s="1065"/>
      <c r="CU338" s="1065"/>
      <c r="CV338" s="1065"/>
      <c r="CW338" s="1065"/>
      <c r="CX338" s="1065"/>
      <c r="CY338" s="1065"/>
      <c r="CZ338" s="1065"/>
      <c r="DA338" s="1065"/>
      <c r="DB338" s="1065"/>
    </row>
    <row r="339" spans="1:106" ht="15" customHeight="1" thickBot="1">
      <c r="A339" s="1065"/>
      <c r="B339" s="1065"/>
      <c r="C339" s="1127" t="s">
        <v>662</v>
      </c>
      <c r="D339" s="1756" t="s">
        <v>700</v>
      </c>
      <c r="E339" s="1756"/>
      <c r="F339" s="1756"/>
      <c r="G339" s="1756"/>
      <c r="H339" s="1128" t="s">
        <v>657</v>
      </c>
      <c r="I339" s="1128"/>
      <c r="J339" s="1129" t="s">
        <v>778</v>
      </c>
      <c r="K339" s="1130"/>
      <c r="L339" s="1131"/>
      <c r="M339" s="1132" t="s">
        <v>775</v>
      </c>
      <c r="N339" s="1133"/>
      <c r="O339" s="1133"/>
      <c r="P339" s="1138"/>
      <c r="Q339" s="1138"/>
      <c r="R339" s="1139"/>
      <c r="S339" s="1067">
        <v>1550</v>
      </c>
      <c r="T339" s="1738"/>
      <c r="U339" s="1809"/>
      <c r="V339" s="1065"/>
      <c r="W339" s="1065"/>
      <c r="X339" s="1065"/>
      <c r="Y339" s="1065"/>
      <c r="Z339" s="1065"/>
      <c r="AA339" s="1065"/>
      <c r="AB339" s="1065"/>
      <c r="AC339" s="1065"/>
      <c r="AD339" s="1065"/>
      <c r="AE339" s="1065"/>
      <c r="AF339" s="1065"/>
      <c r="AG339" s="1065"/>
      <c r="AH339" s="1065"/>
      <c r="AI339" s="1065"/>
      <c r="AJ339" s="1065"/>
      <c r="AK339" s="1065"/>
      <c r="AL339" s="1065"/>
      <c r="AM339" s="1065"/>
      <c r="AN339" s="1065"/>
      <c r="AO339" s="1065"/>
      <c r="AP339" s="1065"/>
      <c r="AQ339" s="1065"/>
      <c r="AR339" s="1065"/>
      <c r="AS339" s="1065"/>
      <c r="AT339" s="1065"/>
      <c r="AU339" s="1065"/>
      <c r="AV339" s="1065"/>
      <c r="AW339" s="1065"/>
      <c r="AX339" s="1065"/>
      <c r="AY339" s="1065"/>
      <c r="AZ339" s="1065"/>
      <c r="BA339" s="1065"/>
      <c r="BB339" s="1065"/>
      <c r="BC339" s="1065"/>
      <c r="BD339" s="1065"/>
      <c r="BE339" s="1065"/>
      <c r="BF339" s="1065"/>
      <c r="BG339" s="1065"/>
      <c r="BH339" s="1065"/>
      <c r="BI339" s="1065"/>
      <c r="BJ339" s="1065"/>
      <c r="BK339" s="1065"/>
      <c r="BL339" s="1065"/>
      <c r="BM339" s="1065"/>
      <c r="BN339" s="1065"/>
      <c r="BO339" s="1065"/>
      <c r="BP339" s="1065"/>
      <c r="BQ339" s="1065"/>
      <c r="BR339" s="1065"/>
      <c r="BS339" s="1065"/>
      <c r="BT339" s="1065"/>
      <c r="BU339" s="1065"/>
      <c r="BV339" s="1065"/>
      <c r="BW339" s="1065"/>
      <c r="BX339" s="1065"/>
      <c r="BY339" s="1065"/>
      <c r="BZ339" s="1065"/>
      <c r="CA339" s="1065"/>
      <c r="CB339" s="1065"/>
      <c r="CC339" s="1065"/>
      <c r="CD339" s="1065"/>
      <c r="CE339" s="1065"/>
      <c r="CF339" s="1065"/>
      <c r="CG339" s="1065"/>
      <c r="CH339" s="1065"/>
      <c r="CI339" s="1065"/>
      <c r="CJ339" s="1065"/>
      <c r="CK339" s="1065"/>
      <c r="CL339" s="1065"/>
      <c r="CM339" s="1065"/>
      <c r="CN339" s="1065"/>
      <c r="CO339" s="1065"/>
      <c r="CP339" s="1065"/>
      <c r="CQ339" s="1065"/>
      <c r="CR339" s="1065"/>
      <c r="CS339" s="1065"/>
      <c r="CT339" s="1065"/>
      <c r="CU339" s="1065"/>
      <c r="CV339" s="1065"/>
      <c r="CW339" s="1065"/>
      <c r="CX339" s="1065"/>
      <c r="CY339" s="1065"/>
      <c r="CZ339" s="1065"/>
      <c r="DA339" s="1065"/>
      <c r="DB339" s="1065"/>
    </row>
    <row r="340" spans="1:106" ht="15" customHeight="1" thickBot="1">
      <c r="A340" s="1065"/>
      <c r="B340" s="1065"/>
      <c r="C340" s="1127" t="s">
        <v>662</v>
      </c>
      <c r="D340" s="1756" t="s">
        <v>700</v>
      </c>
      <c r="E340" s="1756"/>
      <c r="F340" s="1756"/>
      <c r="G340" s="1756"/>
      <c r="H340" s="1128" t="s">
        <v>657</v>
      </c>
      <c r="I340" s="1128"/>
      <c r="J340" s="1129" t="s">
        <v>779</v>
      </c>
      <c r="K340" s="1130"/>
      <c r="L340" s="1131"/>
      <c r="M340" s="1132" t="s">
        <v>780</v>
      </c>
      <c r="N340" s="1133"/>
      <c r="O340" s="1133"/>
      <c r="P340" s="1138"/>
      <c r="Q340" s="1138"/>
      <c r="R340" s="1139"/>
      <c r="S340" s="1067">
        <v>316.8</v>
      </c>
      <c r="T340" s="1738"/>
      <c r="U340" s="1809"/>
      <c r="V340" s="1065"/>
      <c r="W340" s="1065"/>
      <c r="X340" s="1065"/>
      <c r="Y340" s="1065"/>
      <c r="Z340" s="1065"/>
      <c r="AA340" s="1065"/>
      <c r="AB340" s="1065"/>
      <c r="AC340" s="1065"/>
      <c r="AD340" s="1065"/>
      <c r="AE340" s="1065"/>
      <c r="AF340" s="1065"/>
      <c r="AG340" s="1065"/>
      <c r="AH340" s="1065"/>
      <c r="AI340" s="1065"/>
      <c r="AJ340" s="1065"/>
      <c r="AK340" s="1065"/>
      <c r="AL340" s="1065"/>
      <c r="AM340" s="1065"/>
      <c r="AN340" s="1065"/>
      <c r="AO340" s="1065"/>
      <c r="AP340" s="1065"/>
      <c r="AQ340" s="1065"/>
      <c r="AR340" s="1065"/>
      <c r="AS340" s="1065"/>
      <c r="AT340" s="1065"/>
      <c r="AU340" s="1065"/>
      <c r="AV340" s="1065"/>
      <c r="AW340" s="1065"/>
      <c r="AX340" s="1065"/>
      <c r="AY340" s="1065"/>
      <c r="AZ340" s="1065"/>
      <c r="BA340" s="1065"/>
      <c r="BB340" s="1065"/>
      <c r="BC340" s="1065"/>
      <c r="BD340" s="1065"/>
      <c r="BE340" s="1065"/>
      <c r="BF340" s="1065"/>
      <c r="BG340" s="1065"/>
      <c r="BH340" s="1065"/>
      <c r="BI340" s="1065"/>
      <c r="BJ340" s="1065"/>
      <c r="BK340" s="1065"/>
      <c r="BL340" s="1065"/>
      <c r="BM340" s="1065"/>
      <c r="BN340" s="1065"/>
      <c r="BO340" s="1065"/>
      <c r="BP340" s="1065"/>
      <c r="BQ340" s="1065"/>
      <c r="BR340" s="1065"/>
      <c r="BS340" s="1065"/>
      <c r="BT340" s="1065"/>
      <c r="BU340" s="1065"/>
      <c r="BV340" s="1065"/>
      <c r="BW340" s="1065"/>
      <c r="BX340" s="1065"/>
      <c r="BY340" s="1065"/>
      <c r="BZ340" s="1065"/>
      <c r="CA340" s="1065"/>
      <c r="CB340" s="1065"/>
      <c r="CC340" s="1065"/>
      <c r="CD340" s="1065"/>
      <c r="CE340" s="1065"/>
      <c r="CF340" s="1065"/>
      <c r="CG340" s="1065"/>
      <c r="CH340" s="1065"/>
      <c r="CI340" s="1065"/>
      <c r="CJ340" s="1065"/>
      <c r="CK340" s="1065"/>
      <c r="CL340" s="1065"/>
      <c r="CM340" s="1065"/>
      <c r="CN340" s="1065"/>
      <c r="CO340" s="1065"/>
      <c r="CP340" s="1065"/>
      <c r="CQ340" s="1065"/>
      <c r="CR340" s="1065"/>
      <c r="CS340" s="1065"/>
      <c r="CT340" s="1065"/>
      <c r="CU340" s="1065"/>
      <c r="CV340" s="1065"/>
      <c r="CW340" s="1065"/>
      <c r="CX340" s="1065"/>
      <c r="CY340" s="1065"/>
      <c r="CZ340" s="1065"/>
      <c r="DA340" s="1065"/>
      <c r="DB340" s="1065"/>
    </row>
    <row r="341" spans="1:106" ht="15" customHeight="1" thickBot="1">
      <c r="A341" s="1065"/>
      <c r="B341" s="1065"/>
      <c r="C341" s="1127" t="s">
        <v>300</v>
      </c>
      <c r="D341" s="1756" t="s">
        <v>700</v>
      </c>
      <c r="E341" s="1756"/>
      <c r="F341" s="1756"/>
      <c r="G341" s="1756"/>
      <c r="H341" s="1128" t="s">
        <v>657</v>
      </c>
      <c r="I341" s="1128"/>
      <c r="J341" s="1129" t="s">
        <v>781</v>
      </c>
      <c r="K341" s="1130"/>
      <c r="L341" s="1131"/>
      <c r="M341" s="1132" t="s">
        <v>782</v>
      </c>
      <c r="N341" s="1133"/>
      <c r="O341" s="1133"/>
      <c r="P341" s="1138"/>
      <c r="Q341" s="1138"/>
      <c r="R341" s="1139"/>
      <c r="S341" s="1067">
        <v>650</v>
      </c>
      <c r="T341" s="1738"/>
      <c r="U341" s="1809"/>
      <c r="V341" s="1065"/>
      <c r="W341" s="1065"/>
      <c r="X341" s="1065"/>
      <c r="Y341" s="1065"/>
      <c r="Z341" s="1065"/>
      <c r="AA341" s="1065"/>
      <c r="AB341" s="1065"/>
      <c r="AC341" s="1065"/>
      <c r="AD341" s="1065"/>
      <c r="AE341" s="1065"/>
      <c r="AF341" s="1065"/>
      <c r="AG341" s="1065"/>
      <c r="AH341" s="1065"/>
      <c r="AI341" s="1065"/>
      <c r="AJ341" s="1065"/>
      <c r="AK341" s="1065"/>
      <c r="AL341" s="1065"/>
      <c r="AM341" s="1065"/>
      <c r="AN341" s="1065"/>
      <c r="AO341" s="1065"/>
      <c r="AP341" s="1065"/>
      <c r="AQ341" s="1065"/>
      <c r="AR341" s="1065"/>
      <c r="AS341" s="1065"/>
      <c r="AT341" s="1065"/>
      <c r="AU341" s="1065"/>
      <c r="AV341" s="1065"/>
      <c r="AW341" s="1065"/>
      <c r="AX341" s="1065"/>
      <c r="AY341" s="1065"/>
      <c r="AZ341" s="1065"/>
      <c r="BA341" s="1065"/>
      <c r="BB341" s="1065"/>
      <c r="BC341" s="1065"/>
      <c r="BD341" s="1065"/>
      <c r="BE341" s="1065"/>
      <c r="BF341" s="1065"/>
      <c r="BG341" s="1065"/>
      <c r="BH341" s="1065"/>
      <c r="BI341" s="1065"/>
      <c r="BJ341" s="1065"/>
      <c r="BK341" s="1065"/>
      <c r="BL341" s="1065"/>
      <c r="BM341" s="1065"/>
      <c r="BN341" s="1065"/>
      <c r="BO341" s="1065"/>
      <c r="BP341" s="1065"/>
      <c r="BQ341" s="1065"/>
      <c r="BR341" s="1065"/>
      <c r="BS341" s="1065"/>
      <c r="BT341" s="1065"/>
      <c r="BU341" s="1065"/>
      <c r="BV341" s="1065"/>
      <c r="BW341" s="1065"/>
      <c r="BX341" s="1065"/>
      <c r="BY341" s="1065"/>
      <c r="BZ341" s="1065"/>
      <c r="CA341" s="1065"/>
      <c r="CB341" s="1065"/>
      <c r="CC341" s="1065"/>
      <c r="CD341" s="1065"/>
      <c r="CE341" s="1065"/>
      <c r="CF341" s="1065"/>
      <c r="CG341" s="1065"/>
      <c r="CH341" s="1065"/>
      <c r="CI341" s="1065"/>
      <c r="CJ341" s="1065"/>
      <c r="CK341" s="1065"/>
      <c r="CL341" s="1065"/>
      <c r="CM341" s="1065"/>
      <c r="CN341" s="1065"/>
      <c r="CO341" s="1065"/>
      <c r="CP341" s="1065"/>
      <c r="CQ341" s="1065"/>
      <c r="CR341" s="1065"/>
      <c r="CS341" s="1065"/>
      <c r="CT341" s="1065"/>
      <c r="CU341" s="1065"/>
      <c r="CV341" s="1065"/>
      <c r="CW341" s="1065"/>
      <c r="CX341" s="1065"/>
      <c r="CY341" s="1065"/>
      <c r="CZ341" s="1065"/>
      <c r="DA341" s="1065"/>
      <c r="DB341" s="1065"/>
    </row>
    <row r="342" spans="1:106" ht="15" customHeight="1" thickBot="1">
      <c r="A342" s="1065"/>
      <c r="B342" s="1065"/>
      <c r="C342" s="1127" t="s">
        <v>300</v>
      </c>
      <c r="D342" s="1756" t="s">
        <v>700</v>
      </c>
      <c r="E342" s="1756"/>
      <c r="F342" s="1756"/>
      <c r="G342" s="1756"/>
      <c r="H342" s="1128" t="s">
        <v>657</v>
      </c>
      <c r="I342" s="1128"/>
      <c r="J342" s="1129" t="s">
        <v>783</v>
      </c>
      <c r="K342" s="1130"/>
      <c r="L342" s="1131"/>
      <c r="M342" s="1132" t="s">
        <v>784</v>
      </c>
      <c r="N342" s="1133"/>
      <c r="O342" s="1133"/>
      <c r="P342" s="1138"/>
      <c r="Q342" s="1138"/>
      <c r="R342" s="1139"/>
      <c r="S342" s="1067">
        <v>22396.1</v>
      </c>
      <c r="T342" s="1738"/>
      <c r="U342" s="1809"/>
      <c r="V342" s="1065"/>
      <c r="W342" s="1065"/>
      <c r="X342" s="1065"/>
      <c r="Y342" s="1065"/>
      <c r="Z342" s="1065"/>
      <c r="AA342" s="1065"/>
      <c r="AB342" s="1065"/>
      <c r="AC342" s="1065"/>
      <c r="AD342" s="1065"/>
      <c r="AE342" s="1065"/>
      <c r="AF342" s="1065"/>
      <c r="AG342" s="1065"/>
      <c r="AH342" s="1065"/>
      <c r="AI342" s="1065"/>
      <c r="AJ342" s="1065"/>
      <c r="AK342" s="1065"/>
      <c r="AL342" s="1065"/>
      <c r="AM342" s="1065"/>
      <c r="AN342" s="1065"/>
      <c r="AO342" s="1065"/>
      <c r="AP342" s="1065"/>
      <c r="AQ342" s="1065"/>
      <c r="AR342" s="1065"/>
      <c r="AS342" s="1065"/>
      <c r="AT342" s="1065"/>
      <c r="AU342" s="1065"/>
      <c r="AV342" s="1065"/>
      <c r="AW342" s="1065"/>
      <c r="AX342" s="1065"/>
      <c r="AY342" s="1065"/>
      <c r="AZ342" s="1065"/>
      <c r="BA342" s="1065"/>
      <c r="BB342" s="1065"/>
      <c r="BC342" s="1065"/>
      <c r="BD342" s="1065"/>
      <c r="BE342" s="1065"/>
      <c r="BF342" s="1065"/>
      <c r="BG342" s="1065"/>
      <c r="BH342" s="1065"/>
      <c r="BI342" s="1065"/>
      <c r="BJ342" s="1065"/>
      <c r="BK342" s="1065"/>
      <c r="BL342" s="1065"/>
      <c r="BM342" s="1065"/>
      <c r="BN342" s="1065"/>
      <c r="BO342" s="1065"/>
      <c r="BP342" s="1065"/>
      <c r="BQ342" s="1065"/>
      <c r="BR342" s="1065"/>
      <c r="BS342" s="1065"/>
      <c r="BT342" s="1065"/>
      <c r="BU342" s="1065"/>
      <c r="BV342" s="1065"/>
      <c r="BW342" s="1065"/>
      <c r="BX342" s="1065"/>
      <c r="BY342" s="1065"/>
      <c r="BZ342" s="1065"/>
      <c r="CA342" s="1065"/>
      <c r="CB342" s="1065"/>
      <c r="CC342" s="1065"/>
      <c r="CD342" s="1065"/>
      <c r="CE342" s="1065"/>
      <c r="CF342" s="1065"/>
      <c r="CG342" s="1065"/>
      <c r="CH342" s="1065"/>
      <c r="CI342" s="1065"/>
      <c r="CJ342" s="1065"/>
      <c r="CK342" s="1065"/>
      <c r="CL342" s="1065"/>
      <c r="CM342" s="1065"/>
      <c r="CN342" s="1065"/>
      <c r="CO342" s="1065"/>
      <c r="CP342" s="1065"/>
      <c r="CQ342" s="1065"/>
      <c r="CR342" s="1065"/>
      <c r="CS342" s="1065"/>
      <c r="CT342" s="1065"/>
      <c r="CU342" s="1065"/>
      <c r="CV342" s="1065"/>
      <c r="CW342" s="1065"/>
      <c r="CX342" s="1065"/>
      <c r="CY342" s="1065"/>
      <c r="CZ342" s="1065"/>
      <c r="DA342" s="1065"/>
      <c r="DB342" s="1065"/>
    </row>
    <row r="343" spans="1:106" ht="15" customHeight="1" thickBot="1">
      <c r="A343" s="1065"/>
      <c r="B343" s="1065"/>
      <c r="C343" s="1127" t="s">
        <v>679</v>
      </c>
      <c r="D343" s="1756" t="s">
        <v>700</v>
      </c>
      <c r="E343" s="1756"/>
      <c r="F343" s="1756"/>
      <c r="G343" s="1756"/>
      <c r="H343" s="1694" t="s">
        <v>671</v>
      </c>
      <c r="I343" s="1694"/>
      <c r="J343" s="1756" t="s">
        <v>785</v>
      </c>
      <c r="K343" s="1756"/>
      <c r="L343" s="1756"/>
      <c r="M343" s="1756" t="s">
        <v>786</v>
      </c>
      <c r="N343" s="1756"/>
      <c r="O343" s="1756"/>
      <c r="P343" s="1756"/>
      <c r="Q343" s="1756"/>
      <c r="R343" s="1756"/>
      <c r="S343" s="1067">
        <v>2284.1999999999998</v>
      </c>
      <c r="T343" s="1738"/>
      <c r="U343" s="1809"/>
      <c r="V343" s="1065"/>
      <c r="W343" s="1065"/>
      <c r="X343" s="1065"/>
      <c r="Y343" s="1065"/>
      <c r="Z343" s="1065"/>
      <c r="AA343" s="1065"/>
      <c r="AB343" s="1065"/>
      <c r="AC343" s="1065"/>
      <c r="AD343" s="1065"/>
      <c r="AE343" s="1065"/>
      <c r="AF343" s="1065"/>
      <c r="AG343" s="1065"/>
      <c r="AH343" s="1065"/>
      <c r="AI343" s="1065"/>
      <c r="AJ343" s="1065"/>
      <c r="AK343" s="1065"/>
      <c r="AL343" s="1065"/>
      <c r="AM343" s="1065"/>
      <c r="AN343" s="1065"/>
      <c r="AO343" s="1065"/>
      <c r="AP343" s="1065"/>
      <c r="AQ343" s="1065"/>
      <c r="AR343" s="1065"/>
      <c r="AS343" s="1065"/>
      <c r="AT343" s="1065"/>
      <c r="AU343" s="1065"/>
      <c r="AV343" s="1065"/>
      <c r="AW343" s="1065"/>
      <c r="AX343" s="1065"/>
      <c r="AY343" s="1065"/>
      <c r="AZ343" s="1065"/>
      <c r="BA343" s="1065"/>
      <c r="BB343" s="1065"/>
      <c r="BC343" s="1065"/>
      <c r="BD343" s="1065"/>
      <c r="BE343" s="1065"/>
      <c r="BF343" s="1065"/>
      <c r="BG343" s="1065"/>
      <c r="BH343" s="1065"/>
      <c r="BI343" s="1065"/>
      <c r="BJ343" s="1065"/>
      <c r="BK343" s="1065"/>
      <c r="BL343" s="1065"/>
      <c r="BM343" s="1065"/>
      <c r="BN343" s="1065"/>
      <c r="BO343" s="1065"/>
      <c r="BP343" s="1065"/>
      <c r="BQ343" s="1065"/>
      <c r="BR343" s="1065"/>
      <c r="BS343" s="1065"/>
      <c r="BT343" s="1065"/>
      <c r="BU343" s="1065"/>
      <c r="BV343" s="1065"/>
      <c r="BW343" s="1065"/>
      <c r="BX343" s="1065"/>
      <c r="BY343" s="1065"/>
      <c r="BZ343" s="1065"/>
      <c r="CA343" s="1065"/>
      <c r="CB343" s="1065"/>
      <c r="CC343" s="1065"/>
      <c r="CD343" s="1065"/>
      <c r="CE343" s="1065"/>
      <c r="CF343" s="1065"/>
      <c r="CG343" s="1065"/>
      <c r="CH343" s="1065"/>
      <c r="CI343" s="1065"/>
      <c r="CJ343" s="1065"/>
      <c r="CK343" s="1065"/>
      <c r="CL343" s="1065"/>
      <c r="CM343" s="1065"/>
      <c r="CN343" s="1065"/>
      <c r="CO343" s="1065"/>
      <c r="CP343" s="1065"/>
      <c r="CQ343" s="1065"/>
      <c r="CR343" s="1065"/>
      <c r="CS343" s="1065"/>
      <c r="CT343" s="1065"/>
      <c r="CU343" s="1065"/>
      <c r="CV343" s="1065"/>
      <c r="CW343" s="1065"/>
      <c r="CX343" s="1065"/>
      <c r="CY343" s="1065"/>
      <c r="CZ343" s="1065"/>
      <c r="DA343" s="1065"/>
      <c r="DB343" s="1065"/>
    </row>
    <row r="344" spans="1:106" ht="15" customHeight="1" thickBot="1">
      <c r="A344" s="1065"/>
      <c r="B344" s="1065"/>
      <c r="C344" s="1127" t="s">
        <v>679</v>
      </c>
      <c r="D344" s="1756" t="s">
        <v>700</v>
      </c>
      <c r="E344" s="1756"/>
      <c r="F344" s="1756"/>
      <c r="G344" s="1756"/>
      <c r="H344" s="1694" t="s">
        <v>671</v>
      </c>
      <c r="I344" s="1694"/>
      <c r="J344" s="1756" t="s">
        <v>787</v>
      </c>
      <c r="K344" s="1756"/>
      <c r="L344" s="1756"/>
      <c r="M344" s="1756" t="s">
        <v>788</v>
      </c>
      <c r="N344" s="1756"/>
      <c r="O344" s="1756"/>
      <c r="P344" s="1756"/>
      <c r="Q344" s="1756"/>
      <c r="R344" s="1756"/>
      <c r="S344" s="1067">
        <v>1150</v>
      </c>
      <c r="T344" s="1738"/>
      <c r="U344" s="1809"/>
      <c r="V344" s="1065"/>
      <c r="W344" s="1065"/>
      <c r="X344" s="1065"/>
      <c r="Y344" s="1065"/>
      <c r="Z344" s="1065"/>
      <c r="AA344" s="1065"/>
      <c r="AB344" s="1065"/>
      <c r="AC344" s="1065"/>
      <c r="AD344" s="1065"/>
      <c r="AE344" s="1065"/>
      <c r="AF344" s="1065"/>
      <c r="AG344" s="1065"/>
      <c r="AH344" s="1065"/>
      <c r="AI344" s="1065"/>
      <c r="AJ344" s="1065"/>
      <c r="AK344" s="1065"/>
      <c r="AL344" s="1065"/>
      <c r="AM344" s="1065"/>
      <c r="AN344" s="1065"/>
      <c r="AO344" s="1065"/>
      <c r="AP344" s="1065"/>
      <c r="AQ344" s="1065"/>
      <c r="AR344" s="1065"/>
      <c r="AS344" s="1065"/>
      <c r="AT344" s="1065"/>
      <c r="AU344" s="1065"/>
      <c r="AV344" s="1065"/>
      <c r="AW344" s="1065"/>
      <c r="AX344" s="1065"/>
      <c r="AY344" s="1065"/>
      <c r="AZ344" s="1065"/>
      <c r="BA344" s="1065"/>
      <c r="BB344" s="1065"/>
      <c r="BC344" s="1065"/>
      <c r="BD344" s="1065"/>
      <c r="BE344" s="1065"/>
      <c r="BF344" s="1065"/>
      <c r="BG344" s="1065"/>
      <c r="BH344" s="1065"/>
      <c r="BI344" s="1065"/>
      <c r="BJ344" s="1065"/>
      <c r="BK344" s="1065"/>
      <c r="BL344" s="1065"/>
      <c r="BM344" s="1065"/>
      <c r="BN344" s="1065"/>
      <c r="BO344" s="1065"/>
      <c r="BP344" s="1065"/>
      <c r="BQ344" s="1065"/>
      <c r="BR344" s="1065"/>
      <c r="BS344" s="1065"/>
      <c r="BT344" s="1065"/>
      <c r="BU344" s="1065"/>
      <c r="BV344" s="1065"/>
      <c r="BW344" s="1065"/>
      <c r="BX344" s="1065"/>
      <c r="BY344" s="1065"/>
      <c r="BZ344" s="1065"/>
      <c r="CA344" s="1065"/>
      <c r="CB344" s="1065"/>
      <c r="CC344" s="1065"/>
      <c r="CD344" s="1065"/>
      <c r="CE344" s="1065"/>
      <c r="CF344" s="1065"/>
      <c r="CG344" s="1065"/>
      <c r="CH344" s="1065"/>
      <c r="CI344" s="1065"/>
      <c r="CJ344" s="1065"/>
      <c r="CK344" s="1065"/>
      <c r="CL344" s="1065"/>
      <c r="CM344" s="1065"/>
      <c r="CN344" s="1065"/>
      <c r="CO344" s="1065"/>
      <c r="CP344" s="1065"/>
      <c r="CQ344" s="1065"/>
      <c r="CR344" s="1065"/>
      <c r="CS344" s="1065"/>
      <c r="CT344" s="1065"/>
      <c r="CU344" s="1065"/>
      <c r="CV344" s="1065"/>
      <c r="CW344" s="1065"/>
      <c r="CX344" s="1065"/>
      <c r="CY344" s="1065"/>
      <c r="CZ344" s="1065"/>
      <c r="DA344" s="1065"/>
      <c r="DB344" s="1065"/>
    </row>
    <row r="345" spans="1:106" ht="15" customHeight="1" thickBot="1">
      <c r="A345" s="1065"/>
      <c r="B345" s="1065"/>
      <c r="C345" s="1127" t="s">
        <v>549</v>
      </c>
      <c r="D345" s="1132" t="s">
        <v>700</v>
      </c>
      <c r="E345" s="1133"/>
      <c r="F345" s="1133"/>
      <c r="G345" s="1134"/>
      <c r="H345" s="1129" t="s">
        <v>671</v>
      </c>
      <c r="I345" s="1131"/>
      <c r="J345" s="1132" t="s">
        <v>789</v>
      </c>
      <c r="K345" s="1133"/>
      <c r="L345" s="1134"/>
      <c r="M345" s="1132" t="s">
        <v>735</v>
      </c>
      <c r="N345" s="1133"/>
      <c r="O345" s="1133"/>
      <c r="P345" s="1138"/>
      <c r="Q345" s="1138"/>
      <c r="R345" s="1139"/>
      <c r="S345" s="1067">
        <v>996</v>
      </c>
      <c r="T345" s="1738"/>
      <c r="U345" s="1809"/>
      <c r="V345" s="1065"/>
      <c r="W345" s="1065"/>
      <c r="X345" s="1065"/>
      <c r="Y345" s="1065"/>
      <c r="Z345" s="1065"/>
      <c r="AA345" s="1065"/>
      <c r="AB345" s="1065"/>
      <c r="AC345" s="1065"/>
      <c r="AD345" s="1065"/>
      <c r="AE345" s="1065"/>
      <c r="AF345" s="1065"/>
      <c r="AG345" s="1065"/>
      <c r="AH345" s="1065"/>
      <c r="AI345" s="1065"/>
      <c r="AJ345" s="1065"/>
      <c r="AK345" s="1065"/>
      <c r="AL345" s="1065"/>
      <c r="AM345" s="1065"/>
      <c r="AN345" s="1065"/>
      <c r="AO345" s="1065"/>
      <c r="AP345" s="1065"/>
      <c r="AQ345" s="1065"/>
      <c r="AR345" s="1065"/>
      <c r="AS345" s="1065"/>
      <c r="AT345" s="1065"/>
      <c r="AU345" s="1065"/>
      <c r="AV345" s="1065"/>
      <c r="AW345" s="1065"/>
      <c r="AX345" s="1065"/>
      <c r="AY345" s="1065"/>
      <c r="AZ345" s="1065"/>
      <c r="BA345" s="1065"/>
      <c r="BB345" s="1065"/>
      <c r="BC345" s="1065"/>
      <c r="BD345" s="1065"/>
      <c r="BE345" s="1065"/>
      <c r="BF345" s="1065"/>
      <c r="BG345" s="1065"/>
      <c r="BH345" s="1065"/>
      <c r="BI345" s="1065"/>
      <c r="BJ345" s="1065"/>
      <c r="BK345" s="1065"/>
      <c r="BL345" s="1065"/>
      <c r="BM345" s="1065"/>
      <c r="BN345" s="1065"/>
      <c r="BO345" s="1065"/>
      <c r="BP345" s="1065"/>
      <c r="BQ345" s="1065"/>
      <c r="BR345" s="1065"/>
      <c r="BS345" s="1065"/>
      <c r="BT345" s="1065"/>
      <c r="BU345" s="1065"/>
      <c r="BV345" s="1065"/>
      <c r="BW345" s="1065"/>
      <c r="BX345" s="1065"/>
      <c r="BY345" s="1065"/>
      <c r="BZ345" s="1065"/>
      <c r="CA345" s="1065"/>
      <c r="CB345" s="1065"/>
      <c r="CC345" s="1065"/>
      <c r="CD345" s="1065"/>
      <c r="CE345" s="1065"/>
      <c r="CF345" s="1065"/>
      <c r="CG345" s="1065"/>
      <c r="CH345" s="1065"/>
      <c r="CI345" s="1065"/>
      <c r="CJ345" s="1065"/>
      <c r="CK345" s="1065"/>
      <c r="CL345" s="1065"/>
      <c r="CM345" s="1065"/>
      <c r="CN345" s="1065"/>
      <c r="CO345" s="1065"/>
      <c r="CP345" s="1065"/>
      <c r="CQ345" s="1065"/>
      <c r="CR345" s="1065"/>
      <c r="CS345" s="1065"/>
      <c r="CT345" s="1065"/>
      <c r="CU345" s="1065"/>
      <c r="CV345" s="1065"/>
      <c r="CW345" s="1065"/>
      <c r="CX345" s="1065"/>
      <c r="CY345" s="1065"/>
      <c r="CZ345" s="1065"/>
      <c r="DA345" s="1065"/>
      <c r="DB345" s="1065"/>
    </row>
    <row r="346" spans="1:106" ht="15" customHeight="1" thickBot="1">
      <c r="A346" s="1065"/>
      <c r="B346" s="1065"/>
      <c r="C346" s="1127" t="s">
        <v>549</v>
      </c>
      <c r="D346" s="1132" t="s">
        <v>700</v>
      </c>
      <c r="E346" s="1133"/>
      <c r="F346" s="1133"/>
      <c r="G346" s="1134"/>
      <c r="H346" s="1129" t="s">
        <v>671</v>
      </c>
      <c r="I346" s="1131"/>
      <c r="J346" s="1132" t="s">
        <v>790</v>
      </c>
      <c r="K346" s="1133"/>
      <c r="L346" s="1134"/>
      <c r="M346" s="1132" t="s">
        <v>735</v>
      </c>
      <c r="N346" s="1133"/>
      <c r="O346" s="1133"/>
      <c r="P346" s="1138"/>
      <c r="Q346" s="1138"/>
      <c r="R346" s="1139"/>
      <c r="S346" s="1067">
        <v>1635.8</v>
      </c>
      <c r="T346" s="1738"/>
      <c r="U346" s="1809"/>
      <c r="V346" s="1065"/>
      <c r="W346" s="1065"/>
      <c r="X346" s="1065"/>
      <c r="Y346" s="1065"/>
      <c r="Z346" s="1065"/>
      <c r="AA346" s="1065"/>
      <c r="AB346" s="1065"/>
      <c r="AC346" s="1065"/>
      <c r="AD346" s="1065"/>
      <c r="AE346" s="1065"/>
      <c r="AF346" s="1065"/>
      <c r="AG346" s="1065"/>
      <c r="AH346" s="1065"/>
      <c r="AI346" s="1065"/>
      <c r="AJ346" s="1065"/>
      <c r="AK346" s="1065"/>
      <c r="AL346" s="1065"/>
      <c r="AM346" s="1065"/>
      <c r="AN346" s="1065"/>
      <c r="AO346" s="1065"/>
      <c r="AP346" s="1065"/>
      <c r="AQ346" s="1065"/>
      <c r="AR346" s="1065"/>
      <c r="AS346" s="1065"/>
      <c r="AT346" s="1065"/>
      <c r="AU346" s="1065"/>
      <c r="AV346" s="1065"/>
      <c r="AW346" s="1065"/>
      <c r="AX346" s="1065"/>
      <c r="AY346" s="1065"/>
      <c r="AZ346" s="1065"/>
      <c r="BA346" s="1065"/>
      <c r="BB346" s="1065"/>
      <c r="BC346" s="1065"/>
      <c r="BD346" s="1065"/>
      <c r="BE346" s="1065"/>
      <c r="BF346" s="1065"/>
      <c r="BG346" s="1065"/>
      <c r="BH346" s="1065"/>
      <c r="BI346" s="1065"/>
      <c r="BJ346" s="1065"/>
      <c r="BK346" s="1065"/>
      <c r="BL346" s="1065"/>
      <c r="BM346" s="1065"/>
      <c r="BN346" s="1065"/>
      <c r="BO346" s="1065"/>
      <c r="BP346" s="1065"/>
      <c r="BQ346" s="1065"/>
      <c r="BR346" s="1065"/>
      <c r="BS346" s="1065"/>
      <c r="BT346" s="1065"/>
      <c r="BU346" s="1065"/>
      <c r="BV346" s="1065"/>
      <c r="BW346" s="1065"/>
      <c r="BX346" s="1065"/>
      <c r="BY346" s="1065"/>
      <c r="BZ346" s="1065"/>
      <c r="CA346" s="1065"/>
      <c r="CB346" s="1065"/>
      <c r="CC346" s="1065"/>
      <c r="CD346" s="1065"/>
      <c r="CE346" s="1065"/>
      <c r="CF346" s="1065"/>
      <c r="CG346" s="1065"/>
      <c r="CH346" s="1065"/>
      <c r="CI346" s="1065"/>
      <c r="CJ346" s="1065"/>
      <c r="CK346" s="1065"/>
      <c r="CL346" s="1065"/>
      <c r="CM346" s="1065"/>
      <c r="CN346" s="1065"/>
      <c r="CO346" s="1065"/>
      <c r="CP346" s="1065"/>
      <c r="CQ346" s="1065"/>
      <c r="CR346" s="1065"/>
      <c r="CS346" s="1065"/>
      <c r="CT346" s="1065"/>
      <c r="CU346" s="1065"/>
      <c r="CV346" s="1065"/>
      <c r="CW346" s="1065"/>
      <c r="CX346" s="1065"/>
      <c r="CY346" s="1065"/>
      <c r="CZ346" s="1065"/>
      <c r="DA346" s="1065"/>
      <c r="DB346" s="1065"/>
    </row>
    <row r="347" spans="1:106" ht="15" customHeight="1" thickBot="1">
      <c r="A347" s="1065"/>
      <c r="B347" s="1065"/>
      <c r="C347" s="1127" t="s">
        <v>680</v>
      </c>
      <c r="D347" s="1132" t="s">
        <v>700</v>
      </c>
      <c r="E347" s="1133"/>
      <c r="F347" s="1133"/>
      <c r="G347" s="1134"/>
      <c r="H347" s="1129" t="s">
        <v>671</v>
      </c>
      <c r="I347" s="1131"/>
      <c r="J347" s="1132" t="s">
        <v>791</v>
      </c>
      <c r="K347" s="1133"/>
      <c r="L347" s="1134"/>
      <c r="M347" s="1132" t="s">
        <v>735</v>
      </c>
      <c r="N347" s="1133"/>
      <c r="O347" s="1133"/>
      <c r="P347" s="1138"/>
      <c r="Q347" s="1138"/>
      <c r="R347" s="1139"/>
      <c r="S347" s="1067">
        <v>4983.0600000000004</v>
      </c>
      <c r="T347" s="1738"/>
      <c r="U347" s="1809"/>
      <c r="V347" s="1065"/>
      <c r="W347" s="1065"/>
      <c r="X347" s="1065"/>
      <c r="Y347" s="1065"/>
      <c r="Z347" s="1065"/>
      <c r="AA347" s="1065"/>
      <c r="AB347" s="1065"/>
      <c r="AC347" s="1065"/>
      <c r="AD347" s="1065"/>
      <c r="AE347" s="1065"/>
      <c r="AF347" s="1065"/>
      <c r="AG347" s="1065"/>
      <c r="AH347" s="1065"/>
      <c r="AI347" s="1065"/>
      <c r="AJ347" s="1065"/>
      <c r="AK347" s="1065"/>
      <c r="AL347" s="1065"/>
      <c r="AM347" s="1065"/>
      <c r="AN347" s="1065"/>
      <c r="AO347" s="1065"/>
      <c r="AP347" s="1065"/>
      <c r="AQ347" s="1065"/>
      <c r="AR347" s="1065"/>
      <c r="AS347" s="1065"/>
      <c r="AT347" s="1065"/>
      <c r="AU347" s="1065"/>
      <c r="AV347" s="1065"/>
      <c r="AW347" s="1065"/>
      <c r="AX347" s="1065"/>
      <c r="AY347" s="1065"/>
      <c r="AZ347" s="1065"/>
      <c r="BA347" s="1065"/>
      <c r="BB347" s="1065"/>
      <c r="BC347" s="1065"/>
      <c r="BD347" s="1065"/>
      <c r="BE347" s="1065"/>
      <c r="BF347" s="1065"/>
      <c r="BG347" s="1065"/>
      <c r="BH347" s="1065"/>
      <c r="BI347" s="1065"/>
      <c r="BJ347" s="1065"/>
      <c r="BK347" s="1065"/>
      <c r="BL347" s="1065"/>
      <c r="BM347" s="1065"/>
      <c r="BN347" s="1065"/>
      <c r="BO347" s="1065"/>
      <c r="BP347" s="1065"/>
      <c r="BQ347" s="1065"/>
      <c r="BR347" s="1065"/>
      <c r="BS347" s="1065"/>
      <c r="BT347" s="1065"/>
      <c r="BU347" s="1065"/>
      <c r="BV347" s="1065"/>
      <c r="BW347" s="1065"/>
      <c r="BX347" s="1065"/>
      <c r="BY347" s="1065"/>
      <c r="BZ347" s="1065"/>
      <c r="CA347" s="1065"/>
      <c r="CB347" s="1065"/>
      <c r="CC347" s="1065"/>
      <c r="CD347" s="1065"/>
      <c r="CE347" s="1065"/>
      <c r="CF347" s="1065"/>
      <c r="CG347" s="1065"/>
      <c r="CH347" s="1065"/>
      <c r="CI347" s="1065"/>
      <c r="CJ347" s="1065"/>
      <c r="CK347" s="1065"/>
      <c r="CL347" s="1065"/>
      <c r="CM347" s="1065"/>
      <c r="CN347" s="1065"/>
      <c r="CO347" s="1065"/>
      <c r="CP347" s="1065"/>
      <c r="CQ347" s="1065"/>
      <c r="CR347" s="1065"/>
      <c r="CS347" s="1065"/>
      <c r="CT347" s="1065"/>
      <c r="CU347" s="1065"/>
      <c r="CV347" s="1065"/>
      <c r="CW347" s="1065"/>
      <c r="CX347" s="1065"/>
      <c r="CY347" s="1065"/>
      <c r="CZ347" s="1065"/>
      <c r="DA347" s="1065"/>
      <c r="DB347" s="1065"/>
    </row>
    <row r="348" spans="1:106" ht="15" customHeight="1" thickBot="1">
      <c r="A348" s="1065"/>
      <c r="B348" s="1065"/>
      <c r="C348" s="1127" t="s">
        <v>550</v>
      </c>
      <c r="D348" s="1756" t="s">
        <v>714</v>
      </c>
      <c r="E348" s="1756"/>
      <c r="F348" s="1756"/>
      <c r="G348" s="1756"/>
      <c r="H348" s="1694" t="s">
        <v>671</v>
      </c>
      <c r="I348" s="1694"/>
      <c r="J348" s="1756" t="s">
        <v>792</v>
      </c>
      <c r="K348" s="1756"/>
      <c r="L348" s="1756"/>
      <c r="M348" s="1756" t="s">
        <v>793</v>
      </c>
      <c r="N348" s="1756"/>
      <c r="O348" s="1756"/>
      <c r="P348" s="1756"/>
      <c r="Q348" s="1756"/>
      <c r="R348" s="1756"/>
      <c r="S348" s="1067">
        <v>9500</v>
      </c>
      <c r="T348" s="1738"/>
      <c r="U348" s="1809"/>
      <c r="V348" s="1065"/>
      <c r="W348" s="1065"/>
      <c r="X348" s="1065"/>
      <c r="Y348" s="1065"/>
      <c r="Z348" s="1065"/>
      <c r="AA348" s="1065"/>
      <c r="AB348" s="1065"/>
      <c r="AC348" s="1065"/>
      <c r="AD348" s="1065"/>
      <c r="AE348" s="1065"/>
      <c r="AF348" s="1065"/>
      <c r="AG348" s="1065"/>
      <c r="AH348" s="1065"/>
      <c r="AI348" s="1065"/>
      <c r="AJ348" s="1065"/>
      <c r="AK348" s="1065"/>
      <c r="AL348" s="1065"/>
      <c r="AM348" s="1065"/>
      <c r="AN348" s="1065"/>
      <c r="AO348" s="1065"/>
      <c r="AP348" s="1065"/>
      <c r="AQ348" s="1065"/>
      <c r="AR348" s="1065"/>
      <c r="AS348" s="1065"/>
      <c r="AT348" s="1065"/>
      <c r="AU348" s="1065"/>
      <c r="AV348" s="1065"/>
      <c r="AW348" s="1065"/>
      <c r="AX348" s="1065"/>
      <c r="AY348" s="1065"/>
      <c r="AZ348" s="1065"/>
      <c r="BA348" s="1065"/>
      <c r="BB348" s="1065"/>
      <c r="BC348" s="1065"/>
      <c r="BD348" s="1065"/>
      <c r="BE348" s="1065"/>
      <c r="BF348" s="1065"/>
      <c r="BG348" s="1065"/>
      <c r="BH348" s="1065"/>
      <c r="BI348" s="1065"/>
      <c r="BJ348" s="1065"/>
      <c r="BK348" s="1065"/>
      <c r="BL348" s="1065"/>
      <c r="BM348" s="1065"/>
      <c r="BN348" s="1065"/>
      <c r="BO348" s="1065"/>
      <c r="BP348" s="1065"/>
      <c r="BQ348" s="1065"/>
      <c r="BR348" s="1065"/>
      <c r="BS348" s="1065"/>
      <c r="BT348" s="1065"/>
      <c r="BU348" s="1065"/>
      <c r="BV348" s="1065"/>
      <c r="BW348" s="1065"/>
      <c r="BX348" s="1065"/>
      <c r="BY348" s="1065"/>
      <c r="BZ348" s="1065"/>
      <c r="CA348" s="1065"/>
      <c r="CB348" s="1065"/>
      <c r="CC348" s="1065"/>
      <c r="CD348" s="1065"/>
      <c r="CE348" s="1065"/>
      <c r="CF348" s="1065"/>
      <c r="CG348" s="1065"/>
      <c r="CH348" s="1065"/>
      <c r="CI348" s="1065"/>
      <c r="CJ348" s="1065"/>
      <c r="CK348" s="1065"/>
      <c r="CL348" s="1065"/>
      <c r="CM348" s="1065"/>
      <c r="CN348" s="1065"/>
      <c r="CO348" s="1065"/>
      <c r="CP348" s="1065"/>
      <c r="CQ348" s="1065"/>
      <c r="CR348" s="1065"/>
      <c r="CS348" s="1065"/>
      <c r="CT348" s="1065"/>
      <c r="CU348" s="1065"/>
      <c r="CV348" s="1065"/>
      <c r="CW348" s="1065"/>
      <c r="CX348" s="1065"/>
      <c r="CY348" s="1065"/>
      <c r="CZ348" s="1065"/>
      <c r="DA348" s="1065"/>
      <c r="DB348" s="1065"/>
    </row>
    <row r="349" spans="1:106" ht="15" customHeight="1" thickBot="1">
      <c r="A349" s="1065"/>
      <c r="B349" s="1065"/>
      <c r="C349" s="1127" t="s">
        <v>678</v>
      </c>
      <c r="D349" s="1747" t="s">
        <v>722</v>
      </c>
      <c r="E349" s="1747"/>
      <c r="F349" s="1747"/>
      <c r="G349" s="1747"/>
      <c r="H349" s="1694" t="s">
        <v>671</v>
      </c>
      <c r="I349" s="1694"/>
      <c r="J349" s="1756" t="s">
        <v>794</v>
      </c>
      <c r="K349" s="1756"/>
      <c r="L349" s="1756"/>
      <c r="M349" s="1756" t="s">
        <v>795</v>
      </c>
      <c r="N349" s="1756"/>
      <c r="O349" s="1756"/>
      <c r="P349" s="1756"/>
      <c r="Q349" s="1756"/>
      <c r="R349" s="1756"/>
      <c r="S349" s="1067">
        <v>800</v>
      </c>
      <c r="T349" s="1738"/>
      <c r="U349" s="1809"/>
      <c r="V349" s="1065"/>
      <c r="W349" s="1065"/>
      <c r="X349" s="1065"/>
      <c r="Y349" s="1065"/>
      <c r="Z349" s="1065"/>
      <c r="AA349" s="1065"/>
      <c r="AB349" s="1065"/>
      <c r="AC349" s="1065"/>
      <c r="AD349" s="1065"/>
      <c r="AE349" s="1065"/>
      <c r="AF349" s="1065"/>
      <c r="AG349" s="1065"/>
      <c r="AH349" s="1065"/>
      <c r="AI349" s="1065"/>
      <c r="AJ349" s="1065"/>
      <c r="AK349" s="1065"/>
      <c r="AL349" s="1065"/>
      <c r="AM349" s="1065"/>
      <c r="AN349" s="1065"/>
      <c r="AO349" s="1065"/>
      <c r="AP349" s="1065"/>
      <c r="AQ349" s="1065"/>
      <c r="AR349" s="1065"/>
      <c r="AS349" s="1065"/>
      <c r="AT349" s="1065"/>
      <c r="AU349" s="1065"/>
      <c r="AV349" s="1065"/>
      <c r="AW349" s="1065"/>
      <c r="AX349" s="1065"/>
      <c r="AY349" s="1065"/>
      <c r="AZ349" s="1065"/>
      <c r="BA349" s="1065"/>
      <c r="BB349" s="1065"/>
      <c r="BC349" s="1065"/>
      <c r="BD349" s="1065"/>
      <c r="BE349" s="1065"/>
      <c r="BF349" s="1065"/>
      <c r="BG349" s="1065"/>
      <c r="BH349" s="1065"/>
      <c r="BI349" s="1065"/>
      <c r="BJ349" s="1065"/>
      <c r="BK349" s="1065"/>
      <c r="BL349" s="1065"/>
      <c r="BM349" s="1065"/>
      <c r="BN349" s="1065"/>
      <c r="BO349" s="1065"/>
      <c r="BP349" s="1065"/>
      <c r="BQ349" s="1065"/>
      <c r="BR349" s="1065"/>
      <c r="BS349" s="1065"/>
      <c r="BT349" s="1065"/>
      <c r="BU349" s="1065"/>
      <c r="BV349" s="1065"/>
      <c r="BW349" s="1065"/>
      <c r="BX349" s="1065"/>
      <c r="BY349" s="1065"/>
      <c r="BZ349" s="1065"/>
      <c r="CA349" s="1065"/>
      <c r="CB349" s="1065"/>
      <c r="CC349" s="1065"/>
      <c r="CD349" s="1065"/>
      <c r="CE349" s="1065"/>
      <c r="CF349" s="1065"/>
      <c r="CG349" s="1065"/>
      <c r="CH349" s="1065"/>
      <c r="CI349" s="1065"/>
      <c r="CJ349" s="1065"/>
      <c r="CK349" s="1065"/>
      <c r="CL349" s="1065"/>
      <c r="CM349" s="1065"/>
      <c r="CN349" s="1065"/>
      <c r="CO349" s="1065"/>
      <c r="CP349" s="1065"/>
      <c r="CQ349" s="1065"/>
      <c r="CR349" s="1065"/>
      <c r="CS349" s="1065"/>
      <c r="CT349" s="1065"/>
      <c r="CU349" s="1065"/>
      <c r="CV349" s="1065"/>
      <c r="CW349" s="1065"/>
      <c r="CX349" s="1065"/>
      <c r="CY349" s="1065"/>
      <c r="CZ349" s="1065"/>
      <c r="DA349" s="1065"/>
      <c r="DB349" s="1065"/>
    </row>
    <row r="350" spans="1:106" ht="15" customHeight="1" thickBot="1">
      <c r="A350" s="1065"/>
      <c r="B350" s="1065"/>
      <c r="C350" s="1127" t="s">
        <v>110</v>
      </c>
      <c r="D350" s="1747" t="s">
        <v>796</v>
      </c>
      <c r="E350" s="1747"/>
      <c r="F350" s="1747"/>
      <c r="G350" s="1747"/>
      <c r="H350" s="1694" t="s">
        <v>671</v>
      </c>
      <c r="I350" s="1694"/>
      <c r="J350" s="1756" t="s">
        <v>797</v>
      </c>
      <c r="K350" s="1756"/>
      <c r="L350" s="1756"/>
      <c r="M350" s="1756" t="s">
        <v>798</v>
      </c>
      <c r="N350" s="1756"/>
      <c r="O350" s="1756"/>
      <c r="P350" s="1756"/>
      <c r="Q350" s="1756"/>
      <c r="R350" s="1756"/>
      <c r="S350" s="1067">
        <v>1650</v>
      </c>
      <c r="T350" s="1738"/>
      <c r="U350" s="1809"/>
      <c r="V350" s="1065"/>
      <c r="W350" s="1065"/>
      <c r="X350" s="1065"/>
      <c r="Y350" s="1065"/>
      <c r="Z350" s="1065"/>
      <c r="AA350" s="1065"/>
      <c r="AB350" s="1065"/>
      <c r="AC350" s="1065"/>
      <c r="AD350" s="1065"/>
      <c r="AE350" s="1065"/>
      <c r="AF350" s="1065"/>
      <c r="AG350" s="1065"/>
      <c r="AH350" s="1065"/>
      <c r="AI350" s="1065"/>
      <c r="AJ350" s="1065"/>
      <c r="AK350" s="1065"/>
      <c r="AL350" s="1065"/>
      <c r="AM350" s="1065"/>
      <c r="AN350" s="1065"/>
      <c r="AO350" s="1065"/>
      <c r="AP350" s="1065"/>
      <c r="AQ350" s="1065"/>
      <c r="AR350" s="1065"/>
      <c r="AS350" s="1065"/>
      <c r="AT350" s="1065"/>
      <c r="AU350" s="1065"/>
      <c r="AV350" s="1065"/>
      <c r="AW350" s="1065"/>
      <c r="AX350" s="1065"/>
      <c r="AY350" s="1065"/>
      <c r="AZ350" s="1065"/>
      <c r="BA350" s="1065"/>
      <c r="BB350" s="1065"/>
      <c r="BC350" s="1065"/>
      <c r="BD350" s="1065"/>
      <c r="BE350" s="1065"/>
      <c r="BF350" s="1065"/>
      <c r="BG350" s="1065"/>
      <c r="BH350" s="1065"/>
      <c r="BI350" s="1065"/>
      <c r="BJ350" s="1065"/>
      <c r="BK350" s="1065"/>
      <c r="BL350" s="1065"/>
      <c r="BM350" s="1065"/>
      <c r="BN350" s="1065"/>
      <c r="BO350" s="1065"/>
      <c r="BP350" s="1065"/>
      <c r="BQ350" s="1065"/>
      <c r="BR350" s="1065"/>
      <c r="BS350" s="1065"/>
      <c r="BT350" s="1065"/>
      <c r="BU350" s="1065"/>
      <c r="BV350" s="1065"/>
      <c r="BW350" s="1065"/>
      <c r="BX350" s="1065"/>
      <c r="BY350" s="1065"/>
      <c r="BZ350" s="1065"/>
      <c r="CA350" s="1065"/>
      <c r="CB350" s="1065"/>
      <c r="CC350" s="1065"/>
      <c r="CD350" s="1065"/>
      <c r="CE350" s="1065"/>
      <c r="CF350" s="1065"/>
      <c r="CG350" s="1065"/>
      <c r="CH350" s="1065"/>
      <c r="CI350" s="1065"/>
      <c r="CJ350" s="1065"/>
      <c r="CK350" s="1065"/>
      <c r="CL350" s="1065"/>
      <c r="CM350" s="1065"/>
      <c r="CN350" s="1065"/>
      <c r="CO350" s="1065"/>
      <c r="CP350" s="1065"/>
      <c r="CQ350" s="1065"/>
      <c r="CR350" s="1065"/>
      <c r="CS350" s="1065"/>
      <c r="CT350" s="1065"/>
      <c r="CU350" s="1065"/>
      <c r="CV350" s="1065"/>
      <c r="CW350" s="1065"/>
      <c r="CX350" s="1065"/>
      <c r="CY350" s="1065"/>
      <c r="CZ350" s="1065"/>
      <c r="DA350" s="1065"/>
      <c r="DB350" s="1065"/>
    </row>
    <row r="351" spans="1:106" ht="16.5" thickBot="1">
      <c r="A351" s="1065"/>
      <c r="B351" s="1065"/>
      <c r="C351" s="1127" t="s">
        <v>679</v>
      </c>
      <c r="D351" s="1747" t="s">
        <v>722</v>
      </c>
      <c r="E351" s="1747"/>
      <c r="F351" s="1747"/>
      <c r="G351" s="1747"/>
      <c r="H351" s="1694" t="s">
        <v>671</v>
      </c>
      <c r="I351" s="1694"/>
      <c r="J351" s="1756" t="s">
        <v>799</v>
      </c>
      <c r="K351" s="1756"/>
      <c r="L351" s="1756"/>
      <c r="M351" s="1756" t="s">
        <v>800</v>
      </c>
      <c r="N351" s="1756"/>
      <c r="O351" s="1756"/>
      <c r="P351" s="1756"/>
      <c r="Q351" s="1756"/>
      <c r="R351" s="1756"/>
      <c r="S351" s="1067">
        <v>5400</v>
      </c>
      <c r="T351" s="1738"/>
      <c r="U351" s="1809"/>
      <c r="V351" s="1065"/>
      <c r="W351" s="1065"/>
      <c r="X351" s="1065"/>
      <c r="Y351" s="1065"/>
      <c r="Z351" s="1065"/>
      <c r="AA351" s="1065"/>
      <c r="AB351" s="1065"/>
      <c r="AC351" s="1065"/>
      <c r="AD351" s="1065"/>
      <c r="AE351" s="1065"/>
      <c r="AF351" s="1065"/>
      <c r="AG351" s="1065"/>
      <c r="AH351" s="1065"/>
      <c r="AI351" s="1065"/>
      <c r="AJ351" s="1065"/>
      <c r="AK351" s="1065"/>
      <c r="AL351" s="1065"/>
      <c r="AM351" s="1065"/>
      <c r="AN351" s="1065"/>
      <c r="AO351" s="1065"/>
      <c r="AP351" s="1065"/>
      <c r="AQ351" s="1065"/>
      <c r="AR351" s="1065"/>
      <c r="AS351" s="1065"/>
      <c r="AT351" s="1065"/>
      <c r="AU351" s="1065"/>
      <c r="AV351" s="1065"/>
      <c r="AW351" s="1065"/>
      <c r="AX351" s="1065"/>
      <c r="AY351" s="1065"/>
      <c r="AZ351" s="1065"/>
      <c r="BA351" s="1065"/>
      <c r="BB351" s="1065"/>
      <c r="BC351" s="1065"/>
      <c r="BD351" s="1065"/>
      <c r="BE351" s="1065"/>
      <c r="BF351" s="1065"/>
      <c r="BG351" s="1065"/>
      <c r="BH351" s="1065"/>
      <c r="BI351" s="1065"/>
      <c r="BJ351" s="1065"/>
      <c r="BK351" s="1065"/>
      <c r="BL351" s="1065"/>
      <c r="BM351" s="1065"/>
      <c r="BN351" s="1065"/>
      <c r="BO351" s="1065"/>
      <c r="BP351" s="1065"/>
      <c r="BQ351" s="1065"/>
      <c r="BR351" s="1065"/>
      <c r="BS351" s="1065"/>
      <c r="BT351" s="1065"/>
      <c r="BU351" s="1065"/>
      <c r="BV351" s="1065"/>
      <c r="BW351" s="1065"/>
      <c r="BX351" s="1065"/>
      <c r="BY351" s="1065"/>
      <c r="BZ351" s="1065"/>
      <c r="CA351" s="1065"/>
      <c r="CB351" s="1065"/>
      <c r="CC351" s="1065"/>
      <c r="CD351" s="1065"/>
      <c r="CE351" s="1065"/>
      <c r="CF351" s="1065"/>
      <c r="CG351" s="1065"/>
      <c r="CH351" s="1065"/>
      <c r="CI351" s="1065"/>
      <c r="CJ351" s="1065"/>
      <c r="CK351" s="1065"/>
      <c r="CL351" s="1065"/>
      <c r="CM351" s="1065"/>
      <c r="CN351" s="1065"/>
      <c r="CO351" s="1065"/>
      <c r="CP351" s="1065"/>
      <c r="CQ351" s="1065"/>
      <c r="CR351" s="1065"/>
      <c r="CS351" s="1065"/>
      <c r="CT351" s="1065"/>
      <c r="CU351" s="1065"/>
      <c r="CV351" s="1065"/>
      <c r="CW351" s="1065"/>
      <c r="CX351" s="1065"/>
      <c r="CY351" s="1065"/>
      <c r="CZ351" s="1065"/>
      <c r="DA351" s="1065"/>
      <c r="DB351" s="1065"/>
    </row>
    <row r="352" spans="1:106" ht="16.5" thickBot="1">
      <c r="A352" s="1065"/>
      <c r="B352" s="1065"/>
      <c r="C352" s="1127" t="s">
        <v>679</v>
      </c>
      <c r="D352" s="1747" t="s">
        <v>700</v>
      </c>
      <c r="E352" s="1747"/>
      <c r="F352" s="1747"/>
      <c r="G352" s="1747"/>
      <c r="H352" s="1694" t="s">
        <v>671</v>
      </c>
      <c r="I352" s="1694"/>
      <c r="J352" s="1756" t="s">
        <v>801</v>
      </c>
      <c r="K352" s="1756"/>
      <c r="L352" s="1756"/>
      <c r="M352" s="1756" t="s">
        <v>802</v>
      </c>
      <c r="N352" s="1756"/>
      <c r="O352" s="1756"/>
      <c r="P352" s="1756"/>
      <c r="Q352" s="1756"/>
      <c r="R352" s="1756"/>
      <c r="S352" s="1067">
        <v>4750.8</v>
      </c>
      <c r="T352" s="1738"/>
      <c r="U352" s="1809"/>
      <c r="V352" s="1065"/>
      <c r="W352" s="1065"/>
      <c r="X352" s="1065"/>
      <c r="Y352" s="1065"/>
      <c r="Z352" s="1065"/>
      <c r="AA352" s="1065"/>
      <c r="AB352" s="1065"/>
      <c r="AC352" s="1065"/>
      <c r="AD352" s="1065"/>
      <c r="AE352" s="1065"/>
      <c r="AF352" s="1065"/>
      <c r="AG352" s="1065"/>
      <c r="AH352" s="1065"/>
      <c r="AI352" s="1065"/>
      <c r="AJ352" s="1065"/>
      <c r="AK352" s="1065"/>
      <c r="AL352" s="1065"/>
      <c r="AM352" s="1065"/>
      <c r="AN352" s="1065"/>
      <c r="AO352" s="1065"/>
      <c r="AP352" s="1065"/>
      <c r="AQ352" s="1065"/>
      <c r="AR352" s="1065"/>
      <c r="AS352" s="1065"/>
      <c r="AT352" s="1065"/>
      <c r="AU352" s="1065"/>
      <c r="AV352" s="1065"/>
      <c r="AW352" s="1065"/>
      <c r="AX352" s="1065"/>
      <c r="AY352" s="1065"/>
      <c r="AZ352" s="1065"/>
      <c r="BA352" s="1065"/>
      <c r="BB352" s="1065"/>
      <c r="BC352" s="1065"/>
      <c r="BD352" s="1065"/>
      <c r="BE352" s="1065"/>
      <c r="BF352" s="1065"/>
      <c r="BG352" s="1065"/>
      <c r="BH352" s="1065"/>
      <c r="BI352" s="1065"/>
      <c r="BJ352" s="1065"/>
      <c r="BK352" s="1065"/>
      <c r="BL352" s="1065"/>
      <c r="BM352" s="1065"/>
      <c r="BN352" s="1065"/>
      <c r="BO352" s="1065"/>
      <c r="BP352" s="1065"/>
      <c r="BQ352" s="1065"/>
      <c r="BR352" s="1065"/>
      <c r="BS352" s="1065"/>
      <c r="BT352" s="1065"/>
      <c r="BU352" s="1065"/>
      <c r="BV352" s="1065"/>
      <c r="BW352" s="1065"/>
      <c r="BX352" s="1065"/>
      <c r="BY352" s="1065"/>
      <c r="BZ352" s="1065"/>
      <c r="CA352" s="1065"/>
      <c r="CB352" s="1065"/>
      <c r="CC352" s="1065"/>
      <c r="CD352" s="1065"/>
      <c r="CE352" s="1065"/>
      <c r="CF352" s="1065"/>
      <c r="CG352" s="1065"/>
      <c r="CH352" s="1065"/>
      <c r="CI352" s="1065"/>
      <c r="CJ352" s="1065"/>
      <c r="CK352" s="1065"/>
      <c r="CL352" s="1065"/>
      <c r="CM352" s="1065"/>
      <c r="CN352" s="1065"/>
      <c r="CO352" s="1065"/>
      <c r="CP352" s="1065"/>
      <c r="CQ352" s="1065"/>
      <c r="CR352" s="1065"/>
      <c r="CS352" s="1065"/>
      <c r="CT352" s="1065"/>
      <c r="CU352" s="1065"/>
      <c r="CV352" s="1065"/>
      <c r="CW352" s="1065"/>
      <c r="CX352" s="1065"/>
      <c r="CY352" s="1065"/>
      <c r="CZ352" s="1065"/>
      <c r="DA352" s="1065"/>
      <c r="DB352" s="1065"/>
    </row>
    <row r="353" spans="1:106" ht="16.5" thickBot="1">
      <c r="A353" s="1065"/>
      <c r="B353" s="1065"/>
      <c r="C353" s="1127" t="s">
        <v>679</v>
      </c>
      <c r="D353" s="1747" t="s">
        <v>700</v>
      </c>
      <c r="E353" s="1747"/>
      <c r="F353" s="1747"/>
      <c r="G353" s="1747"/>
      <c r="H353" s="1694" t="s">
        <v>671</v>
      </c>
      <c r="I353" s="1694"/>
      <c r="J353" s="1756" t="s">
        <v>803</v>
      </c>
      <c r="K353" s="1756"/>
      <c r="L353" s="1756"/>
      <c r="M353" s="1756" t="s">
        <v>804</v>
      </c>
      <c r="N353" s="1756"/>
      <c r="O353" s="1756"/>
      <c r="P353" s="1756"/>
      <c r="Q353" s="1756"/>
      <c r="R353" s="1756"/>
      <c r="S353" s="1067">
        <v>8541.4</v>
      </c>
      <c r="T353" s="1738"/>
      <c r="U353" s="1809"/>
      <c r="V353" s="1065"/>
      <c r="W353" s="1065"/>
      <c r="X353" s="1065"/>
      <c r="Y353" s="1065"/>
      <c r="Z353" s="1065"/>
      <c r="AA353" s="1065"/>
      <c r="AB353" s="1065"/>
      <c r="AC353" s="1065"/>
      <c r="AD353" s="1065"/>
      <c r="AE353" s="1065"/>
      <c r="AF353" s="1065"/>
      <c r="AG353" s="1065"/>
      <c r="AH353" s="1065"/>
      <c r="AI353" s="1065"/>
      <c r="AJ353" s="1065"/>
      <c r="AK353" s="1065"/>
      <c r="AL353" s="1065"/>
      <c r="AM353" s="1065"/>
      <c r="AN353" s="1065"/>
      <c r="AO353" s="1065"/>
      <c r="AP353" s="1065"/>
      <c r="AQ353" s="1065"/>
      <c r="AR353" s="1065"/>
      <c r="AS353" s="1065"/>
      <c r="AT353" s="1065"/>
      <c r="AU353" s="1065"/>
      <c r="AV353" s="1065"/>
      <c r="AW353" s="1065"/>
      <c r="AX353" s="1065"/>
      <c r="AY353" s="1065"/>
      <c r="AZ353" s="1065"/>
      <c r="BA353" s="1065"/>
      <c r="BB353" s="1065"/>
      <c r="BC353" s="1065"/>
      <c r="BD353" s="1065"/>
      <c r="BE353" s="1065"/>
      <c r="BF353" s="1065"/>
      <c r="BG353" s="1065"/>
      <c r="BH353" s="1065"/>
      <c r="BI353" s="1065"/>
      <c r="BJ353" s="1065"/>
      <c r="BK353" s="1065"/>
      <c r="BL353" s="1065"/>
      <c r="BM353" s="1065"/>
      <c r="BN353" s="1065"/>
      <c r="BO353" s="1065"/>
      <c r="BP353" s="1065"/>
      <c r="BQ353" s="1065"/>
      <c r="BR353" s="1065"/>
      <c r="BS353" s="1065"/>
      <c r="BT353" s="1065"/>
      <c r="BU353" s="1065"/>
      <c r="BV353" s="1065"/>
      <c r="BW353" s="1065"/>
      <c r="BX353" s="1065"/>
      <c r="BY353" s="1065"/>
      <c r="BZ353" s="1065"/>
      <c r="CA353" s="1065"/>
      <c r="CB353" s="1065"/>
      <c r="CC353" s="1065"/>
      <c r="CD353" s="1065"/>
      <c r="CE353" s="1065"/>
      <c r="CF353" s="1065"/>
      <c r="CG353" s="1065"/>
      <c r="CH353" s="1065"/>
      <c r="CI353" s="1065"/>
      <c r="CJ353" s="1065"/>
      <c r="CK353" s="1065"/>
      <c r="CL353" s="1065"/>
      <c r="CM353" s="1065"/>
      <c r="CN353" s="1065"/>
      <c r="CO353" s="1065"/>
      <c r="CP353" s="1065"/>
      <c r="CQ353" s="1065"/>
      <c r="CR353" s="1065"/>
      <c r="CS353" s="1065"/>
      <c r="CT353" s="1065"/>
      <c r="CU353" s="1065"/>
      <c r="CV353" s="1065"/>
      <c r="CW353" s="1065"/>
      <c r="CX353" s="1065"/>
      <c r="CY353" s="1065"/>
      <c r="CZ353" s="1065"/>
      <c r="DA353" s="1065"/>
      <c r="DB353" s="1065"/>
    </row>
    <row r="354" spans="1:106" ht="16.5" thickBot="1">
      <c r="A354" s="1065"/>
      <c r="B354" s="1065"/>
      <c r="C354" s="1127" t="s">
        <v>679</v>
      </c>
      <c r="D354" s="1747" t="s">
        <v>805</v>
      </c>
      <c r="E354" s="1747"/>
      <c r="F354" s="1747"/>
      <c r="G354" s="1747"/>
      <c r="H354" s="1694" t="s">
        <v>671</v>
      </c>
      <c r="I354" s="1694"/>
      <c r="J354" s="1756" t="s">
        <v>806</v>
      </c>
      <c r="K354" s="1756"/>
      <c r="L354" s="1756"/>
      <c r="M354" s="1756" t="s">
        <v>807</v>
      </c>
      <c r="N354" s="1756"/>
      <c r="O354" s="1756"/>
      <c r="P354" s="1756"/>
      <c r="Q354" s="1756"/>
      <c r="R354" s="1756"/>
      <c r="S354" s="1067">
        <v>5353.68</v>
      </c>
      <c r="T354" s="1738"/>
      <c r="U354" s="1809"/>
      <c r="V354" s="1065"/>
      <c r="W354" s="1065"/>
      <c r="X354" s="1065"/>
      <c r="Y354" s="1065"/>
      <c r="Z354" s="1065"/>
      <c r="AA354" s="1065"/>
      <c r="AB354" s="1065"/>
      <c r="AC354" s="1065"/>
      <c r="AD354" s="1065"/>
      <c r="AE354" s="1065"/>
      <c r="AF354" s="1065"/>
      <c r="AG354" s="1065"/>
      <c r="AH354" s="1065"/>
      <c r="AI354" s="1065"/>
      <c r="AJ354" s="1065"/>
      <c r="AK354" s="1065"/>
      <c r="AL354" s="1065"/>
      <c r="AM354" s="1065"/>
      <c r="AN354" s="1065"/>
      <c r="AO354" s="1065"/>
      <c r="AP354" s="1065"/>
      <c r="AQ354" s="1065"/>
      <c r="AR354" s="1065"/>
      <c r="AS354" s="1065"/>
      <c r="AT354" s="1065"/>
      <c r="AU354" s="1065"/>
      <c r="AV354" s="1065"/>
      <c r="AW354" s="1065"/>
      <c r="AX354" s="1065"/>
      <c r="AY354" s="1065"/>
      <c r="AZ354" s="1065"/>
      <c r="BA354" s="1065"/>
      <c r="BB354" s="1065"/>
      <c r="BC354" s="1065"/>
      <c r="BD354" s="1065"/>
      <c r="BE354" s="1065"/>
      <c r="BF354" s="1065"/>
      <c r="BG354" s="1065"/>
      <c r="BH354" s="1065"/>
      <c r="BI354" s="1065"/>
      <c r="BJ354" s="1065"/>
      <c r="BK354" s="1065"/>
      <c r="BL354" s="1065"/>
      <c r="BM354" s="1065"/>
      <c r="BN354" s="1065"/>
      <c r="BO354" s="1065"/>
      <c r="BP354" s="1065"/>
      <c r="BQ354" s="1065"/>
      <c r="BR354" s="1065"/>
      <c r="BS354" s="1065"/>
      <c r="BT354" s="1065"/>
      <c r="BU354" s="1065"/>
      <c r="BV354" s="1065"/>
      <c r="BW354" s="1065"/>
      <c r="BX354" s="1065"/>
      <c r="BY354" s="1065"/>
      <c r="BZ354" s="1065"/>
      <c r="CA354" s="1065"/>
      <c r="CB354" s="1065"/>
      <c r="CC354" s="1065"/>
      <c r="CD354" s="1065"/>
      <c r="CE354" s="1065"/>
      <c r="CF354" s="1065"/>
      <c r="CG354" s="1065"/>
      <c r="CH354" s="1065"/>
      <c r="CI354" s="1065"/>
      <c r="CJ354" s="1065"/>
      <c r="CK354" s="1065"/>
      <c r="CL354" s="1065"/>
      <c r="CM354" s="1065"/>
      <c r="CN354" s="1065"/>
      <c r="CO354" s="1065"/>
      <c r="CP354" s="1065"/>
      <c r="CQ354" s="1065"/>
      <c r="CR354" s="1065"/>
      <c r="CS354" s="1065"/>
      <c r="CT354" s="1065"/>
      <c r="CU354" s="1065"/>
      <c r="CV354" s="1065"/>
      <c r="CW354" s="1065"/>
      <c r="CX354" s="1065"/>
      <c r="CY354" s="1065"/>
      <c r="CZ354" s="1065"/>
      <c r="DA354" s="1065"/>
      <c r="DB354" s="1065"/>
    </row>
    <row r="355" spans="1:106" ht="17.25" thickBot="1">
      <c r="A355" s="1065"/>
      <c r="B355" s="1065"/>
      <c r="C355" s="1140" t="s">
        <v>678</v>
      </c>
      <c r="D355" s="1747" t="s">
        <v>722</v>
      </c>
      <c r="E355" s="1747"/>
      <c r="F355" s="1747"/>
      <c r="G355" s="1747"/>
      <c r="H355" s="1694" t="s">
        <v>671</v>
      </c>
      <c r="I355" s="1694"/>
      <c r="J355" s="1756" t="s">
        <v>808</v>
      </c>
      <c r="K355" s="1756"/>
      <c r="L355" s="1756"/>
      <c r="M355" s="1756" t="s">
        <v>795</v>
      </c>
      <c r="N355" s="1756"/>
      <c r="O355" s="1756"/>
      <c r="P355" s="1756"/>
      <c r="Q355" s="1756"/>
      <c r="R355" s="1756"/>
      <c r="S355" s="1067">
        <v>800</v>
      </c>
      <c r="T355" s="1738"/>
      <c r="U355" s="1809"/>
      <c r="V355" s="1065"/>
      <c r="W355" s="1065"/>
      <c r="X355" s="1065"/>
      <c r="Y355" s="1065"/>
      <c r="Z355" s="1065"/>
      <c r="AA355" s="1065"/>
      <c r="AB355" s="1065"/>
      <c r="AC355" s="1065"/>
      <c r="AD355" s="1065"/>
      <c r="AE355" s="1065"/>
      <c r="AF355" s="1065"/>
      <c r="AG355" s="1065"/>
      <c r="AH355" s="1065"/>
      <c r="AI355" s="1065"/>
      <c r="AJ355" s="1065"/>
      <c r="AK355" s="1065"/>
      <c r="AL355" s="1065"/>
      <c r="AM355" s="1065"/>
      <c r="AN355" s="1065"/>
      <c r="AO355" s="1065"/>
      <c r="AP355" s="1065"/>
      <c r="AQ355" s="1065"/>
      <c r="AR355" s="1065"/>
      <c r="AS355" s="1065"/>
      <c r="AT355" s="1065"/>
      <c r="AU355" s="1065"/>
      <c r="AV355" s="1065"/>
      <c r="AW355" s="1065"/>
      <c r="AX355" s="1065"/>
      <c r="AY355" s="1065"/>
      <c r="AZ355" s="1065"/>
      <c r="BA355" s="1065"/>
      <c r="BB355" s="1065"/>
      <c r="BC355" s="1065"/>
      <c r="BD355" s="1065"/>
      <c r="BE355" s="1065"/>
      <c r="BF355" s="1065"/>
      <c r="BG355" s="1065"/>
      <c r="BH355" s="1065"/>
      <c r="BI355" s="1065"/>
      <c r="BJ355" s="1065"/>
      <c r="BK355" s="1065"/>
      <c r="BL355" s="1065"/>
      <c r="BM355" s="1065"/>
      <c r="BN355" s="1065"/>
      <c r="BO355" s="1065"/>
      <c r="BP355" s="1065"/>
      <c r="BQ355" s="1065"/>
      <c r="BR355" s="1065"/>
      <c r="BS355" s="1065"/>
      <c r="BT355" s="1065"/>
      <c r="BU355" s="1065"/>
      <c r="BV355" s="1065"/>
      <c r="BW355" s="1065"/>
      <c r="BX355" s="1065"/>
      <c r="BY355" s="1065"/>
      <c r="BZ355" s="1065"/>
      <c r="CA355" s="1065"/>
      <c r="CB355" s="1065"/>
      <c r="CC355" s="1065"/>
      <c r="CD355" s="1065"/>
      <c r="CE355" s="1065"/>
      <c r="CF355" s="1065"/>
      <c r="CG355" s="1065"/>
      <c r="CH355" s="1065"/>
      <c r="CI355" s="1065"/>
      <c r="CJ355" s="1065"/>
      <c r="CK355" s="1065"/>
      <c r="CL355" s="1065"/>
      <c r="CM355" s="1065"/>
      <c r="CN355" s="1065"/>
      <c r="CO355" s="1065"/>
      <c r="CP355" s="1065"/>
      <c r="CQ355" s="1065"/>
      <c r="CR355" s="1065"/>
      <c r="CS355" s="1065"/>
      <c r="CT355" s="1065"/>
      <c r="CU355" s="1065"/>
      <c r="CV355" s="1065"/>
      <c r="CW355" s="1065"/>
      <c r="CX355" s="1065"/>
      <c r="CY355" s="1065"/>
      <c r="CZ355" s="1065"/>
      <c r="DA355" s="1065"/>
      <c r="DB355" s="1065"/>
    </row>
    <row r="356" spans="1:106" ht="15" customHeight="1" thickBot="1">
      <c r="A356" s="1065"/>
      <c r="B356" s="1065"/>
      <c r="C356" s="1140" t="s">
        <v>662</v>
      </c>
      <c r="D356" s="1747" t="s">
        <v>722</v>
      </c>
      <c r="E356" s="1747"/>
      <c r="F356" s="1747"/>
      <c r="G356" s="1747"/>
      <c r="H356" s="1756" t="s">
        <v>657</v>
      </c>
      <c r="I356" s="1756"/>
      <c r="J356" s="1756" t="s">
        <v>809</v>
      </c>
      <c r="K356" s="1756"/>
      <c r="L356" s="1756"/>
      <c r="M356" s="1756" t="s">
        <v>795</v>
      </c>
      <c r="N356" s="1756"/>
      <c r="O356" s="1756"/>
      <c r="P356" s="1756"/>
      <c r="Q356" s="1756"/>
      <c r="R356" s="1756"/>
      <c r="S356" s="1067">
        <v>800</v>
      </c>
      <c r="T356" s="1738"/>
      <c r="U356" s="1809"/>
      <c r="V356" s="1065"/>
      <c r="W356" s="1065"/>
      <c r="X356" s="1065"/>
      <c r="Y356" s="1065"/>
      <c r="Z356" s="1065"/>
      <c r="AA356" s="1065"/>
      <c r="AB356" s="1065"/>
      <c r="AC356" s="1065"/>
      <c r="AD356" s="1065"/>
      <c r="AE356" s="1065"/>
      <c r="AF356" s="1065"/>
      <c r="AG356" s="1065"/>
      <c r="AH356" s="1065"/>
      <c r="AI356" s="1065"/>
      <c r="AJ356" s="1065"/>
      <c r="AK356" s="1065"/>
      <c r="AL356" s="1065"/>
      <c r="AM356" s="1065"/>
      <c r="AN356" s="1065"/>
      <c r="AO356" s="1065"/>
      <c r="AP356" s="1065"/>
      <c r="AQ356" s="1065"/>
      <c r="AR356" s="1065"/>
      <c r="AS356" s="1065"/>
      <c r="AT356" s="1065"/>
      <c r="AU356" s="1065"/>
      <c r="AV356" s="1065"/>
      <c r="AW356" s="1065"/>
      <c r="AX356" s="1065"/>
      <c r="AY356" s="1065"/>
      <c r="AZ356" s="1065"/>
      <c r="BA356" s="1065"/>
      <c r="BB356" s="1065"/>
      <c r="BC356" s="1065"/>
      <c r="BD356" s="1065"/>
      <c r="BE356" s="1065"/>
      <c r="BF356" s="1065"/>
      <c r="BG356" s="1065"/>
      <c r="BH356" s="1065"/>
      <c r="BI356" s="1065"/>
      <c r="BJ356" s="1065"/>
      <c r="BK356" s="1065"/>
      <c r="BL356" s="1065"/>
      <c r="BM356" s="1065"/>
      <c r="BN356" s="1065"/>
      <c r="BO356" s="1065"/>
      <c r="BP356" s="1065"/>
      <c r="BQ356" s="1065"/>
      <c r="BR356" s="1065"/>
      <c r="BS356" s="1065"/>
      <c r="BT356" s="1065"/>
      <c r="BU356" s="1065"/>
      <c r="BV356" s="1065"/>
      <c r="BW356" s="1065"/>
      <c r="BX356" s="1065"/>
      <c r="BY356" s="1065"/>
      <c r="BZ356" s="1065"/>
      <c r="CA356" s="1065"/>
      <c r="CB356" s="1065"/>
      <c r="CC356" s="1065"/>
      <c r="CD356" s="1065"/>
      <c r="CE356" s="1065"/>
      <c r="CF356" s="1065"/>
      <c r="CG356" s="1065"/>
      <c r="CH356" s="1065"/>
      <c r="CI356" s="1065"/>
      <c r="CJ356" s="1065"/>
      <c r="CK356" s="1065"/>
      <c r="CL356" s="1065"/>
      <c r="CM356" s="1065"/>
      <c r="CN356" s="1065"/>
      <c r="CO356" s="1065"/>
      <c r="CP356" s="1065"/>
      <c r="CQ356" s="1065"/>
      <c r="CR356" s="1065"/>
      <c r="CS356" s="1065"/>
      <c r="CT356" s="1065"/>
      <c r="CU356" s="1065"/>
      <c r="CV356" s="1065"/>
      <c r="CW356" s="1065"/>
      <c r="CX356" s="1065"/>
      <c r="CY356" s="1065"/>
      <c r="CZ356" s="1065"/>
      <c r="DA356" s="1065"/>
      <c r="DB356" s="1065"/>
    </row>
    <row r="357" spans="1:106" ht="15" customHeight="1" thickBot="1">
      <c r="A357" s="1065"/>
      <c r="B357" s="1065"/>
      <c r="C357" s="1140" t="s">
        <v>810</v>
      </c>
      <c r="D357" s="1747" t="s">
        <v>746</v>
      </c>
      <c r="E357" s="1747"/>
      <c r="F357" s="1747"/>
      <c r="G357" s="1747"/>
      <c r="H357" s="1694" t="s">
        <v>671</v>
      </c>
      <c r="I357" s="1694"/>
      <c r="J357" s="1756" t="s">
        <v>811</v>
      </c>
      <c r="K357" s="1756"/>
      <c r="L357" s="1756"/>
      <c r="M357" s="1816" t="s">
        <v>812</v>
      </c>
      <c r="N357" s="1816"/>
      <c r="O357" s="1816"/>
      <c r="P357" s="1816"/>
      <c r="Q357" s="1816"/>
      <c r="R357" s="1816"/>
      <c r="S357" s="1141">
        <v>9856</v>
      </c>
      <c r="T357" s="1738"/>
      <c r="U357" s="1809"/>
      <c r="V357" s="1065"/>
      <c r="W357" s="1065"/>
      <c r="X357" s="1065"/>
      <c r="Y357" s="1065"/>
      <c r="Z357" s="1065"/>
      <c r="AA357" s="1065"/>
      <c r="AB357" s="1065"/>
      <c r="AC357" s="1065"/>
      <c r="AD357" s="1065"/>
      <c r="AE357" s="1065"/>
      <c r="AF357" s="1065"/>
      <c r="AG357" s="1065"/>
      <c r="AH357" s="1065"/>
      <c r="AI357" s="1065"/>
      <c r="AJ357" s="1065"/>
      <c r="AK357" s="1065"/>
      <c r="AL357" s="1065"/>
      <c r="AM357" s="1065"/>
      <c r="AN357" s="1065"/>
      <c r="AO357" s="1065"/>
      <c r="AP357" s="1065"/>
      <c r="AQ357" s="1065"/>
      <c r="AR357" s="1065"/>
      <c r="AS357" s="1065"/>
      <c r="AT357" s="1065"/>
      <c r="AU357" s="1065"/>
      <c r="AV357" s="1065"/>
      <c r="AW357" s="1065"/>
      <c r="AX357" s="1065"/>
      <c r="AY357" s="1065"/>
      <c r="AZ357" s="1065"/>
      <c r="BA357" s="1065"/>
      <c r="BB357" s="1065"/>
      <c r="BC357" s="1065"/>
      <c r="BD357" s="1065"/>
      <c r="BE357" s="1065"/>
      <c r="BF357" s="1065"/>
      <c r="BG357" s="1065"/>
      <c r="BH357" s="1065"/>
      <c r="BI357" s="1065"/>
      <c r="BJ357" s="1065"/>
      <c r="BK357" s="1065"/>
      <c r="BL357" s="1065"/>
      <c r="BM357" s="1065"/>
      <c r="BN357" s="1065"/>
      <c r="BO357" s="1065"/>
      <c r="BP357" s="1065"/>
      <c r="BQ357" s="1065"/>
      <c r="BR357" s="1065"/>
      <c r="BS357" s="1065"/>
      <c r="BT357" s="1065"/>
      <c r="BU357" s="1065"/>
      <c r="BV357" s="1065"/>
      <c r="BW357" s="1065"/>
      <c r="BX357" s="1065"/>
      <c r="BY357" s="1065"/>
      <c r="BZ357" s="1065"/>
      <c r="CA357" s="1065"/>
      <c r="CB357" s="1065"/>
      <c r="CC357" s="1065"/>
      <c r="CD357" s="1065"/>
      <c r="CE357" s="1065"/>
      <c r="CF357" s="1065"/>
      <c r="CG357" s="1065"/>
      <c r="CH357" s="1065"/>
      <c r="CI357" s="1065"/>
      <c r="CJ357" s="1065"/>
      <c r="CK357" s="1065"/>
      <c r="CL357" s="1065"/>
      <c r="CM357" s="1065"/>
      <c r="CN357" s="1065"/>
      <c r="CO357" s="1065"/>
      <c r="CP357" s="1065"/>
      <c r="CQ357" s="1065"/>
      <c r="CR357" s="1065"/>
      <c r="CS357" s="1065"/>
      <c r="CT357" s="1065"/>
      <c r="CU357" s="1065"/>
      <c r="CV357" s="1065"/>
      <c r="CW357" s="1065"/>
      <c r="CX357" s="1065"/>
      <c r="CY357" s="1065"/>
      <c r="CZ357" s="1065"/>
      <c r="DA357" s="1065"/>
      <c r="DB357" s="1065"/>
    </row>
    <row r="358" spans="1:106" ht="15" customHeight="1" thickBot="1">
      <c r="A358" s="1065"/>
      <c r="B358" s="1065"/>
      <c r="C358" s="1140" t="s">
        <v>113</v>
      </c>
      <c r="D358" s="1756" t="s">
        <v>714</v>
      </c>
      <c r="E358" s="1756"/>
      <c r="F358" s="1756"/>
      <c r="G358" s="1756"/>
      <c r="H358" s="1142" t="s">
        <v>657</v>
      </c>
      <c r="I358" s="1142"/>
      <c r="J358" s="1756" t="s">
        <v>813</v>
      </c>
      <c r="K358" s="1756"/>
      <c r="L358" s="1756"/>
      <c r="M358" s="1756" t="s">
        <v>814</v>
      </c>
      <c r="N358" s="1756"/>
      <c r="O358" s="1756"/>
      <c r="P358" s="1756"/>
      <c r="Q358" s="1756"/>
      <c r="R358" s="1756"/>
      <c r="S358" s="1067">
        <v>4500</v>
      </c>
      <c r="T358" s="1738"/>
      <c r="U358" s="1809"/>
      <c r="V358" s="1065"/>
      <c r="W358" s="1065"/>
      <c r="X358" s="1065"/>
      <c r="Y358" s="1065"/>
      <c r="Z358" s="1065"/>
      <c r="AA358" s="1065"/>
      <c r="AB358" s="1065"/>
      <c r="AC358" s="1065"/>
      <c r="AD358" s="1065"/>
      <c r="AE358" s="1065"/>
      <c r="AF358" s="1065"/>
      <c r="AG358" s="1065"/>
      <c r="AH358" s="1065"/>
      <c r="AI358" s="1065"/>
      <c r="AJ358" s="1065"/>
      <c r="AK358" s="1065"/>
      <c r="AL358" s="1065"/>
      <c r="AM358" s="1065"/>
      <c r="AN358" s="1065"/>
      <c r="AO358" s="1065"/>
      <c r="AP358" s="1065"/>
      <c r="AQ358" s="1065"/>
      <c r="AR358" s="1065"/>
      <c r="AS358" s="1065"/>
      <c r="AT358" s="1065"/>
      <c r="AU358" s="1065"/>
      <c r="AV358" s="1065"/>
      <c r="AW358" s="1065"/>
      <c r="AX358" s="1065"/>
      <c r="AY358" s="1065"/>
      <c r="AZ358" s="1065"/>
      <c r="BA358" s="1065"/>
      <c r="BB358" s="1065"/>
      <c r="BC358" s="1065"/>
      <c r="BD358" s="1065"/>
      <c r="BE358" s="1065"/>
      <c r="BF358" s="1065"/>
      <c r="BG358" s="1065"/>
      <c r="BH358" s="1065"/>
      <c r="BI358" s="1065"/>
      <c r="BJ358" s="1065"/>
      <c r="BK358" s="1065"/>
      <c r="BL358" s="1065"/>
      <c r="BM358" s="1065"/>
      <c r="BN358" s="1065"/>
      <c r="BO358" s="1065"/>
      <c r="BP358" s="1065"/>
      <c r="BQ358" s="1065"/>
      <c r="BR358" s="1065"/>
      <c r="BS358" s="1065"/>
      <c r="BT358" s="1065"/>
      <c r="BU358" s="1065"/>
      <c r="BV358" s="1065"/>
      <c r="BW358" s="1065"/>
      <c r="BX358" s="1065"/>
      <c r="BY358" s="1065"/>
      <c r="BZ358" s="1065"/>
      <c r="CA358" s="1065"/>
      <c r="CB358" s="1065"/>
      <c r="CC358" s="1065"/>
      <c r="CD358" s="1065"/>
      <c r="CE358" s="1065"/>
      <c r="CF358" s="1065"/>
      <c r="CG358" s="1065"/>
      <c r="CH358" s="1065"/>
      <c r="CI358" s="1065"/>
      <c r="CJ358" s="1065"/>
      <c r="CK358" s="1065"/>
      <c r="CL358" s="1065"/>
      <c r="CM358" s="1065"/>
      <c r="CN358" s="1065"/>
      <c r="CO358" s="1065"/>
      <c r="CP358" s="1065"/>
      <c r="CQ358" s="1065"/>
      <c r="CR358" s="1065"/>
      <c r="CS358" s="1065"/>
      <c r="CT358" s="1065"/>
      <c r="CU358" s="1065"/>
      <c r="CV358" s="1065"/>
      <c r="CW358" s="1065"/>
      <c r="CX358" s="1065"/>
      <c r="CY358" s="1065"/>
      <c r="CZ358" s="1065"/>
      <c r="DA358" s="1065"/>
      <c r="DB358" s="1065"/>
    </row>
    <row r="359" spans="1:106" ht="15" customHeight="1" thickBot="1">
      <c r="A359" s="1065"/>
      <c r="B359" s="1065"/>
      <c r="C359" s="1140" t="s">
        <v>679</v>
      </c>
      <c r="D359" s="1756" t="s">
        <v>714</v>
      </c>
      <c r="E359" s="1756"/>
      <c r="F359" s="1756"/>
      <c r="G359" s="1756"/>
      <c r="H359" s="1142" t="s">
        <v>671</v>
      </c>
      <c r="I359" s="1142"/>
      <c r="J359" s="1756" t="s">
        <v>815</v>
      </c>
      <c r="K359" s="1756"/>
      <c r="L359" s="1756"/>
      <c r="M359" s="1756" t="s">
        <v>814</v>
      </c>
      <c r="N359" s="1756"/>
      <c r="O359" s="1756"/>
      <c r="P359" s="1756"/>
      <c r="Q359" s="1756"/>
      <c r="R359" s="1756"/>
      <c r="S359" s="1067">
        <v>3000</v>
      </c>
      <c r="T359" s="1738"/>
      <c r="U359" s="1809"/>
      <c r="V359" s="1065"/>
      <c r="W359" s="1065"/>
      <c r="X359" s="1065"/>
      <c r="Y359" s="1065"/>
      <c r="Z359" s="1065"/>
      <c r="AA359" s="1065"/>
      <c r="AB359" s="1065"/>
      <c r="AC359" s="1065"/>
      <c r="AD359" s="1065"/>
      <c r="AE359" s="1065"/>
      <c r="AF359" s="1065"/>
      <c r="AG359" s="1065"/>
      <c r="AH359" s="1065"/>
      <c r="AI359" s="1065"/>
      <c r="AJ359" s="1065"/>
      <c r="AK359" s="1065"/>
      <c r="AL359" s="1065"/>
      <c r="AM359" s="1065"/>
      <c r="AN359" s="1065"/>
      <c r="AO359" s="1065"/>
      <c r="AP359" s="1065"/>
      <c r="AQ359" s="1065"/>
      <c r="AR359" s="1065"/>
      <c r="AS359" s="1065"/>
      <c r="AT359" s="1065"/>
      <c r="AU359" s="1065"/>
      <c r="AV359" s="1065"/>
      <c r="AW359" s="1065"/>
      <c r="AX359" s="1065"/>
      <c r="AY359" s="1065"/>
      <c r="AZ359" s="1065"/>
      <c r="BA359" s="1065"/>
      <c r="BB359" s="1065"/>
      <c r="BC359" s="1065"/>
      <c r="BD359" s="1065"/>
      <c r="BE359" s="1065"/>
      <c r="BF359" s="1065"/>
      <c r="BG359" s="1065"/>
      <c r="BH359" s="1065"/>
      <c r="BI359" s="1065"/>
      <c r="BJ359" s="1065"/>
      <c r="BK359" s="1065"/>
      <c r="BL359" s="1065"/>
      <c r="BM359" s="1065"/>
      <c r="BN359" s="1065"/>
      <c r="BO359" s="1065"/>
      <c r="BP359" s="1065"/>
      <c r="BQ359" s="1065"/>
      <c r="BR359" s="1065"/>
      <c r="BS359" s="1065"/>
      <c r="BT359" s="1065"/>
      <c r="BU359" s="1065"/>
      <c r="BV359" s="1065"/>
      <c r="BW359" s="1065"/>
      <c r="BX359" s="1065"/>
      <c r="BY359" s="1065"/>
      <c r="BZ359" s="1065"/>
      <c r="CA359" s="1065"/>
      <c r="CB359" s="1065"/>
      <c r="CC359" s="1065"/>
      <c r="CD359" s="1065"/>
      <c r="CE359" s="1065"/>
      <c r="CF359" s="1065"/>
      <c r="CG359" s="1065"/>
      <c r="CH359" s="1065"/>
      <c r="CI359" s="1065"/>
      <c r="CJ359" s="1065"/>
      <c r="CK359" s="1065"/>
      <c r="CL359" s="1065"/>
      <c r="CM359" s="1065"/>
      <c r="CN359" s="1065"/>
      <c r="CO359" s="1065"/>
      <c r="CP359" s="1065"/>
      <c r="CQ359" s="1065"/>
      <c r="CR359" s="1065"/>
      <c r="CS359" s="1065"/>
      <c r="CT359" s="1065"/>
      <c r="CU359" s="1065"/>
      <c r="CV359" s="1065"/>
      <c r="CW359" s="1065"/>
      <c r="CX359" s="1065"/>
      <c r="CY359" s="1065"/>
      <c r="CZ359" s="1065"/>
      <c r="DA359" s="1065"/>
      <c r="DB359" s="1065"/>
    </row>
    <row r="360" spans="1:106" ht="15" customHeight="1" thickBot="1">
      <c r="A360" s="1065"/>
      <c r="B360" s="1065"/>
      <c r="C360" s="1143"/>
      <c r="D360" s="1813"/>
      <c r="E360" s="1813"/>
      <c r="F360" s="1813"/>
      <c r="G360" s="1813"/>
      <c r="H360" s="1780"/>
      <c r="I360" s="1780"/>
      <c r="J360" s="1814"/>
      <c r="K360" s="1814"/>
      <c r="L360" s="1814"/>
      <c r="M360" s="1815"/>
      <c r="N360" s="1815"/>
      <c r="O360" s="1815"/>
      <c r="P360" s="1815"/>
      <c r="Q360" s="1815"/>
      <c r="R360" s="1815"/>
      <c r="S360" s="1100"/>
      <c r="T360" s="1738"/>
      <c r="U360" s="1809"/>
      <c r="V360" s="1065"/>
      <c r="W360" s="1065"/>
      <c r="X360" s="1065"/>
      <c r="Y360" s="1065"/>
      <c r="Z360" s="1065"/>
      <c r="AA360" s="1065"/>
      <c r="AB360" s="1065"/>
      <c r="AC360" s="1065"/>
      <c r="AD360" s="1065"/>
      <c r="AE360" s="1065"/>
      <c r="AF360" s="1065"/>
      <c r="AG360" s="1065"/>
      <c r="AH360" s="1065"/>
      <c r="AI360" s="1065"/>
      <c r="AJ360" s="1065"/>
      <c r="AK360" s="1065"/>
      <c r="AL360" s="1065"/>
      <c r="AM360" s="1065"/>
      <c r="AN360" s="1065"/>
      <c r="AO360" s="1065"/>
      <c r="AP360" s="1065"/>
      <c r="AQ360" s="1065"/>
      <c r="AR360" s="1065"/>
      <c r="AS360" s="1065"/>
      <c r="AT360" s="1065"/>
      <c r="AU360" s="1065"/>
      <c r="AV360" s="1065"/>
      <c r="AW360" s="1065"/>
      <c r="AX360" s="1065"/>
      <c r="AY360" s="1065"/>
      <c r="AZ360" s="1065"/>
      <c r="BA360" s="1065"/>
      <c r="BB360" s="1065"/>
      <c r="BC360" s="1065"/>
      <c r="BD360" s="1065"/>
      <c r="BE360" s="1065"/>
      <c r="BF360" s="1065"/>
      <c r="BG360" s="1065"/>
      <c r="BH360" s="1065"/>
      <c r="BI360" s="1065"/>
      <c r="BJ360" s="1065"/>
      <c r="BK360" s="1065"/>
      <c r="BL360" s="1065"/>
      <c r="BM360" s="1065"/>
      <c r="BN360" s="1065"/>
      <c r="BO360" s="1065"/>
      <c r="BP360" s="1065"/>
      <c r="BQ360" s="1065"/>
      <c r="BR360" s="1065"/>
      <c r="BS360" s="1065"/>
      <c r="BT360" s="1065"/>
      <c r="BU360" s="1065"/>
      <c r="BV360" s="1065"/>
      <c r="BW360" s="1065"/>
      <c r="BX360" s="1065"/>
      <c r="BY360" s="1065"/>
      <c r="BZ360" s="1065"/>
      <c r="CA360" s="1065"/>
      <c r="CB360" s="1065"/>
      <c r="CC360" s="1065"/>
      <c r="CD360" s="1065"/>
      <c r="CE360" s="1065"/>
      <c r="CF360" s="1065"/>
      <c r="CG360" s="1065"/>
      <c r="CH360" s="1065"/>
      <c r="CI360" s="1065"/>
      <c r="CJ360" s="1065"/>
      <c r="CK360" s="1065"/>
      <c r="CL360" s="1065"/>
      <c r="CM360" s="1065"/>
      <c r="CN360" s="1065"/>
      <c r="CO360" s="1065"/>
      <c r="CP360" s="1065"/>
      <c r="CQ360" s="1065"/>
      <c r="CR360" s="1065"/>
      <c r="CS360" s="1065"/>
      <c r="CT360" s="1065"/>
      <c r="CU360" s="1065"/>
      <c r="CV360" s="1065"/>
      <c r="CW360" s="1065"/>
      <c r="CX360" s="1065"/>
      <c r="CY360" s="1065"/>
      <c r="CZ360" s="1065"/>
      <c r="DA360" s="1065"/>
      <c r="DB360" s="1065"/>
    </row>
    <row r="361" spans="1:106" ht="15" customHeight="1" thickBot="1">
      <c r="A361" s="1065"/>
      <c r="B361" s="1065"/>
      <c r="C361" s="1799" t="s">
        <v>816</v>
      </c>
      <c r="D361" s="1799"/>
      <c r="E361" s="1799"/>
      <c r="F361" s="1799"/>
      <c r="G361" s="1799"/>
      <c r="H361" s="1799"/>
      <c r="I361" s="1799"/>
      <c r="J361" s="1799"/>
      <c r="K361" s="1799"/>
      <c r="L361" s="1799"/>
      <c r="M361" s="1799"/>
      <c r="N361" s="1799"/>
      <c r="O361" s="1799"/>
      <c r="P361" s="1799"/>
      <c r="Q361" s="1799"/>
      <c r="R361" s="1799"/>
      <c r="S361" s="1799"/>
      <c r="T361" s="1799"/>
      <c r="U361" s="1799"/>
      <c r="V361" s="1065"/>
      <c r="W361" s="1065"/>
      <c r="X361" s="1065"/>
      <c r="Y361" s="1065"/>
      <c r="Z361" s="1065"/>
      <c r="AA361" s="1065"/>
      <c r="AB361" s="1065"/>
      <c r="AC361" s="1065"/>
      <c r="AD361" s="1065"/>
      <c r="AE361" s="1065"/>
      <c r="AF361" s="1065"/>
      <c r="AG361" s="1065"/>
      <c r="AH361" s="1065"/>
      <c r="AI361" s="1065"/>
      <c r="AJ361" s="1065"/>
      <c r="AK361" s="1065"/>
      <c r="AL361" s="1065"/>
      <c r="AM361" s="1065"/>
      <c r="AN361" s="1065"/>
      <c r="AO361" s="1065"/>
      <c r="AP361" s="1065"/>
      <c r="AQ361" s="1065"/>
      <c r="AR361" s="1065"/>
      <c r="AS361" s="1065"/>
      <c r="AT361" s="1065"/>
      <c r="AU361" s="1065"/>
      <c r="AV361" s="1065"/>
      <c r="AW361" s="1065"/>
      <c r="AX361" s="1065"/>
      <c r="AY361" s="1065"/>
      <c r="AZ361" s="1065"/>
      <c r="BA361" s="1065"/>
      <c r="BB361" s="1065"/>
      <c r="BC361" s="1065"/>
      <c r="BD361" s="1065"/>
      <c r="BE361" s="1065"/>
      <c r="BF361" s="1065"/>
      <c r="BG361" s="1065"/>
      <c r="BH361" s="1065"/>
      <c r="BI361" s="1065"/>
      <c r="BJ361" s="1065"/>
      <c r="BK361" s="1065"/>
      <c r="BL361" s="1065"/>
      <c r="BM361" s="1065"/>
      <c r="BN361" s="1065"/>
      <c r="BO361" s="1065"/>
      <c r="BP361" s="1065"/>
      <c r="BQ361" s="1065"/>
      <c r="BR361" s="1065"/>
      <c r="BS361" s="1065"/>
      <c r="BT361" s="1065"/>
      <c r="BU361" s="1065"/>
      <c r="BV361" s="1065"/>
      <c r="BW361" s="1065"/>
      <c r="BX361" s="1065"/>
      <c r="BY361" s="1065"/>
      <c r="BZ361" s="1065"/>
      <c r="CA361" s="1065"/>
      <c r="CB361" s="1065"/>
      <c r="CC361" s="1065"/>
      <c r="CD361" s="1065"/>
      <c r="CE361" s="1065"/>
      <c r="CF361" s="1065"/>
      <c r="CG361" s="1065"/>
      <c r="CH361" s="1065"/>
      <c r="CI361" s="1065"/>
      <c r="CJ361" s="1065"/>
      <c r="CK361" s="1065"/>
      <c r="CL361" s="1065"/>
      <c r="CM361" s="1065"/>
      <c r="CN361" s="1065"/>
      <c r="CO361" s="1065"/>
      <c r="CP361" s="1065"/>
      <c r="CQ361" s="1065"/>
      <c r="CR361" s="1065"/>
      <c r="CS361" s="1065"/>
      <c r="CT361" s="1065"/>
      <c r="CU361" s="1065"/>
      <c r="CV361" s="1065"/>
      <c r="CW361" s="1065"/>
      <c r="CX361" s="1065"/>
      <c r="CY361" s="1065"/>
      <c r="CZ361" s="1065"/>
      <c r="DA361" s="1065"/>
      <c r="DB361" s="1065"/>
    </row>
    <row r="362" spans="1:106" ht="15" customHeight="1" thickBot="1">
      <c r="A362" s="1065"/>
      <c r="B362" s="1065"/>
      <c r="C362" s="1741" t="s">
        <v>648</v>
      </c>
      <c r="D362" s="1742" t="s">
        <v>649</v>
      </c>
      <c r="E362" s="1742"/>
      <c r="F362" s="1742"/>
      <c r="G362" s="1742"/>
      <c r="H362" s="1759" t="s">
        <v>650</v>
      </c>
      <c r="I362" s="1759"/>
      <c r="J362" s="1743" t="s">
        <v>651</v>
      </c>
      <c r="K362" s="1743"/>
      <c r="L362" s="1743"/>
      <c r="M362" s="1743" t="s">
        <v>652</v>
      </c>
      <c r="N362" s="1743"/>
      <c r="O362" s="1743"/>
      <c r="P362" s="1743"/>
      <c r="Q362" s="1743"/>
      <c r="R362" s="1743"/>
      <c r="S362" s="1743" t="s">
        <v>6</v>
      </c>
      <c r="T362" s="1744" t="s">
        <v>653</v>
      </c>
      <c r="U362" s="1745" t="s">
        <v>654</v>
      </c>
      <c r="V362" s="1065"/>
      <c r="W362" s="1065"/>
      <c r="X362" s="1065"/>
      <c r="Y362" s="1065"/>
      <c r="Z362" s="1065"/>
      <c r="AA362" s="1065"/>
      <c r="AB362" s="1065"/>
      <c r="AC362" s="1065"/>
      <c r="AD362" s="1065"/>
      <c r="AE362" s="1065"/>
      <c r="AF362" s="1065"/>
      <c r="AG362" s="1065"/>
      <c r="AH362" s="1065"/>
      <c r="AI362" s="1065"/>
      <c r="AJ362" s="1065"/>
      <c r="AK362" s="1065"/>
      <c r="AL362" s="1065"/>
      <c r="AM362" s="1065"/>
      <c r="AN362" s="1065"/>
      <c r="AO362" s="1065"/>
      <c r="AP362" s="1065"/>
      <c r="AQ362" s="1065"/>
      <c r="AR362" s="1065"/>
      <c r="AS362" s="1065"/>
      <c r="AT362" s="1065"/>
      <c r="AU362" s="1065"/>
      <c r="AV362" s="1065"/>
      <c r="AW362" s="1065"/>
      <c r="AX362" s="1065"/>
      <c r="AY362" s="1065"/>
      <c r="AZ362" s="1065"/>
      <c r="BA362" s="1065"/>
      <c r="BB362" s="1065"/>
      <c r="BC362" s="1065"/>
      <c r="BD362" s="1065"/>
      <c r="BE362" s="1065"/>
      <c r="BF362" s="1065"/>
      <c r="BG362" s="1065"/>
      <c r="BH362" s="1065"/>
      <c r="BI362" s="1065"/>
      <c r="BJ362" s="1065"/>
      <c r="BK362" s="1065"/>
      <c r="BL362" s="1065"/>
      <c r="BM362" s="1065"/>
      <c r="BN362" s="1065"/>
      <c r="BO362" s="1065"/>
      <c r="BP362" s="1065"/>
      <c r="BQ362" s="1065"/>
      <c r="BR362" s="1065"/>
      <c r="BS362" s="1065"/>
      <c r="BT362" s="1065"/>
      <c r="BU362" s="1065"/>
      <c r="BV362" s="1065"/>
      <c r="BW362" s="1065"/>
      <c r="BX362" s="1065"/>
      <c r="BY362" s="1065"/>
      <c r="BZ362" s="1065"/>
      <c r="CA362" s="1065"/>
      <c r="CB362" s="1065"/>
      <c r="CC362" s="1065"/>
      <c r="CD362" s="1065"/>
      <c r="CE362" s="1065"/>
      <c r="CF362" s="1065"/>
      <c r="CG362" s="1065"/>
      <c r="CH362" s="1065"/>
      <c r="CI362" s="1065"/>
      <c r="CJ362" s="1065"/>
      <c r="CK362" s="1065"/>
      <c r="CL362" s="1065"/>
      <c r="CM362" s="1065"/>
      <c r="CN362" s="1065"/>
      <c r="CO362" s="1065"/>
      <c r="CP362" s="1065"/>
      <c r="CQ362" s="1065"/>
      <c r="CR362" s="1065"/>
      <c r="CS362" s="1065"/>
      <c r="CT362" s="1065"/>
      <c r="CU362" s="1065"/>
      <c r="CV362" s="1065"/>
      <c r="CW362" s="1065"/>
      <c r="CX362" s="1065"/>
      <c r="CY362" s="1065"/>
      <c r="CZ362" s="1065"/>
      <c r="DA362" s="1065"/>
      <c r="DB362" s="1065"/>
    </row>
    <row r="363" spans="1:106" ht="15" customHeight="1">
      <c r="A363" s="1065"/>
      <c r="B363" s="1065"/>
      <c r="C363" s="1741"/>
      <c r="D363" s="1742"/>
      <c r="E363" s="1742"/>
      <c r="F363" s="1742"/>
      <c r="G363" s="1742"/>
      <c r="H363" s="1759"/>
      <c r="I363" s="1759"/>
      <c r="J363" s="1743"/>
      <c r="K363" s="1743"/>
      <c r="L363" s="1743"/>
      <c r="M363" s="1743"/>
      <c r="N363" s="1743"/>
      <c r="O363" s="1743"/>
      <c r="P363" s="1743"/>
      <c r="Q363" s="1743"/>
      <c r="R363" s="1743"/>
      <c r="S363" s="1743"/>
      <c r="T363" s="1744"/>
      <c r="U363" s="1745"/>
      <c r="V363" s="1065"/>
      <c r="W363" s="1065"/>
      <c r="X363" s="1065"/>
      <c r="Y363" s="1065"/>
      <c r="Z363" s="1065"/>
      <c r="AA363" s="1065"/>
      <c r="AB363" s="1065"/>
      <c r="AC363" s="1065"/>
      <c r="AD363" s="1065"/>
      <c r="AE363" s="1065"/>
      <c r="AF363" s="1065"/>
      <c r="AG363" s="1065"/>
      <c r="AH363" s="1065"/>
      <c r="AI363" s="1065"/>
      <c r="AJ363" s="1065"/>
      <c r="AK363" s="1065"/>
      <c r="AL363" s="1065"/>
      <c r="AM363" s="1065"/>
      <c r="AN363" s="1065"/>
      <c r="AO363" s="1065"/>
      <c r="AP363" s="1065"/>
      <c r="AQ363" s="1065"/>
      <c r="AR363" s="1065"/>
      <c r="AS363" s="1065"/>
      <c r="AT363" s="1065"/>
      <c r="AU363" s="1065"/>
      <c r="AV363" s="1065"/>
      <c r="AW363" s="1065"/>
      <c r="AX363" s="1065"/>
      <c r="AY363" s="1065"/>
      <c r="AZ363" s="1065"/>
      <c r="BA363" s="1065"/>
      <c r="BB363" s="1065"/>
      <c r="BC363" s="1065"/>
      <c r="BD363" s="1065"/>
      <c r="BE363" s="1065"/>
      <c r="BF363" s="1065"/>
      <c r="BG363" s="1065"/>
      <c r="BH363" s="1065"/>
      <c r="BI363" s="1065"/>
      <c r="BJ363" s="1065"/>
      <c r="BK363" s="1065"/>
      <c r="BL363" s="1065"/>
      <c r="BM363" s="1065"/>
      <c r="BN363" s="1065"/>
      <c r="BO363" s="1065"/>
      <c r="BP363" s="1065"/>
      <c r="BQ363" s="1065"/>
      <c r="BR363" s="1065"/>
      <c r="BS363" s="1065"/>
      <c r="BT363" s="1065"/>
      <c r="BU363" s="1065"/>
      <c r="BV363" s="1065"/>
      <c r="BW363" s="1065"/>
      <c r="BX363" s="1065"/>
      <c r="BY363" s="1065"/>
      <c r="BZ363" s="1065"/>
      <c r="CA363" s="1065"/>
      <c r="CB363" s="1065"/>
      <c r="CC363" s="1065"/>
      <c r="CD363" s="1065"/>
      <c r="CE363" s="1065"/>
      <c r="CF363" s="1065"/>
      <c r="CG363" s="1065"/>
      <c r="CH363" s="1065"/>
      <c r="CI363" s="1065"/>
      <c r="CJ363" s="1065"/>
      <c r="CK363" s="1065"/>
      <c r="CL363" s="1065"/>
      <c r="CM363" s="1065"/>
      <c r="CN363" s="1065"/>
      <c r="CO363" s="1065"/>
      <c r="CP363" s="1065"/>
      <c r="CQ363" s="1065"/>
      <c r="CR363" s="1065"/>
      <c r="CS363" s="1065"/>
      <c r="CT363" s="1065"/>
      <c r="CU363" s="1065"/>
      <c r="CV363" s="1065"/>
      <c r="CW363" s="1065"/>
      <c r="CX363" s="1065"/>
      <c r="CY363" s="1065"/>
      <c r="CZ363" s="1065"/>
      <c r="DA363" s="1065"/>
      <c r="DB363" s="1065"/>
    </row>
    <row r="364" spans="1:106" ht="15" customHeight="1" thickBot="1">
      <c r="A364" s="1065"/>
      <c r="B364" s="1065"/>
      <c r="C364" s="1144" t="s">
        <v>655</v>
      </c>
      <c r="D364" s="1692" t="s">
        <v>700</v>
      </c>
      <c r="E364" s="1692"/>
      <c r="F364" s="1692"/>
      <c r="G364" s="1692"/>
      <c r="H364" s="1791" t="s">
        <v>657</v>
      </c>
      <c r="I364" s="1791"/>
      <c r="J364" s="1811" t="s">
        <v>817</v>
      </c>
      <c r="K364" s="1811"/>
      <c r="L364" s="1811"/>
      <c r="M364" s="1812" t="s">
        <v>818</v>
      </c>
      <c r="N364" s="1812"/>
      <c r="O364" s="1812"/>
      <c r="P364" s="1812"/>
      <c r="Q364" s="1812"/>
      <c r="R364" s="1812"/>
      <c r="S364" s="1145"/>
      <c r="T364" s="1146"/>
      <c r="U364" s="1739">
        <v>0</v>
      </c>
      <c r="V364" s="1065"/>
      <c r="W364" s="1065"/>
      <c r="X364" s="1065"/>
      <c r="Y364" s="1065"/>
      <c r="Z364" s="1065"/>
      <c r="AA364" s="1065"/>
      <c r="AB364" s="1065"/>
      <c r="AC364" s="1065"/>
      <c r="AD364" s="1065"/>
      <c r="AE364" s="1065"/>
      <c r="AF364" s="1065"/>
      <c r="AG364" s="1065"/>
      <c r="AH364" s="1065"/>
      <c r="AI364" s="1065"/>
      <c r="AJ364" s="1065"/>
      <c r="AK364" s="1065"/>
      <c r="AL364" s="1065"/>
      <c r="AM364" s="1065"/>
      <c r="AN364" s="1065"/>
      <c r="AO364" s="1065"/>
      <c r="AP364" s="1065"/>
      <c r="AQ364" s="1065"/>
      <c r="AR364" s="1065"/>
      <c r="AS364" s="1065"/>
      <c r="AT364" s="1065"/>
      <c r="AU364" s="1065"/>
      <c r="AV364" s="1065"/>
      <c r="AW364" s="1065"/>
      <c r="AX364" s="1065"/>
      <c r="AY364" s="1065"/>
      <c r="AZ364" s="1065"/>
      <c r="BA364" s="1065"/>
      <c r="BB364" s="1065"/>
      <c r="BC364" s="1065"/>
      <c r="BD364" s="1065"/>
      <c r="BE364" s="1065"/>
      <c r="BF364" s="1065"/>
      <c r="BG364" s="1065"/>
      <c r="BH364" s="1065"/>
      <c r="BI364" s="1065"/>
      <c r="BJ364" s="1065"/>
      <c r="BK364" s="1065"/>
      <c r="BL364" s="1065"/>
      <c r="BM364" s="1065"/>
      <c r="BN364" s="1065"/>
      <c r="BO364" s="1065"/>
      <c r="BP364" s="1065"/>
      <c r="BQ364" s="1065"/>
      <c r="BR364" s="1065"/>
      <c r="BS364" s="1065"/>
      <c r="BT364" s="1065"/>
      <c r="BU364" s="1065"/>
      <c r="BV364" s="1065"/>
      <c r="BW364" s="1065"/>
      <c r="BX364" s="1065"/>
      <c r="BY364" s="1065"/>
      <c r="BZ364" s="1065"/>
      <c r="CA364" s="1065"/>
      <c r="CB364" s="1065"/>
      <c r="CC364" s="1065"/>
      <c r="CD364" s="1065"/>
      <c r="CE364" s="1065"/>
      <c r="CF364" s="1065"/>
      <c r="CG364" s="1065"/>
      <c r="CH364" s="1065"/>
      <c r="CI364" s="1065"/>
      <c r="CJ364" s="1065"/>
      <c r="CK364" s="1065"/>
      <c r="CL364" s="1065"/>
      <c r="CM364" s="1065"/>
      <c r="CN364" s="1065"/>
      <c r="CO364" s="1065"/>
      <c r="CP364" s="1065"/>
      <c r="CQ364" s="1065"/>
      <c r="CR364" s="1065"/>
      <c r="CS364" s="1065"/>
      <c r="CT364" s="1065"/>
      <c r="CU364" s="1065"/>
      <c r="CV364" s="1065"/>
      <c r="CW364" s="1065"/>
      <c r="CX364" s="1065"/>
      <c r="CY364" s="1065"/>
      <c r="CZ364" s="1065"/>
      <c r="DA364" s="1065"/>
      <c r="DB364" s="1065"/>
    </row>
    <row r="365" spans="1:106" ht="15" customHeight="1" thickBot="1">
      <c r="A365" s="1065"/>
      <c r="B365" s="1065"/>
      <c r="C365" s="1144" t="s">
        <v>660</v>
      </c>
      <c r="D365" s="1692"/>
      <c r="E365" s="1692"/>
      <c r="F365" s="1692"/>
      <c r="G365" s="1692"/>
      <c r="H365" s="1791"/>
      <c r="I365" s="1791"/>
      <c r="J365" s="1811"/>
      <c r="K365" s="1811"/>
      <c r="L365" s="1811"/>
      <c r="M365" s="1812"/>
      <c r="N365" s="1812"/>
      <c r="O365" s="1812"/>
      <c r="P365" s="1812"/>
      <c r="Q365" s="1812"/>
      <c r="R365" s="1812"/>
      <c r="S365" s="1147"/>
      <c r="T365" s="1148"/>
      <c r="U365" s="1739"/>
      <c r="V365" s="1065"/>
      <c r="W365" s="1065"/>
      <c r="X365" s="1065"/>
      <c r="Y365" s="1065"/>
      <c r="Z365" s="1065"/>
      <c r="AA365" s="1065"/>
      <c r="AB365" s="1065"/>
      <c r="AC365" s="1065"/>
      <c r="AD365" s="1065"/>
      <c r="AE365" s="1065"/>
      <c r="AF365" s="1065"/>
      <c r="AG365" s="1065"/>
      <c r="AH365" s="1065"/>
      <c r="AI365" s="1065"/>
      <c r="AJ365" s="1065"/>
      <c r="AK365" s="1065"/>
      <c r="AL365" s="1065"/>
      <c r="AM365" s="1065"/>
      <c r="AN365" s="1065"/>
      <c r="AO365" s="1065"/>
      <c r="AP365" s="1065"/>
      <c r="AQ365" s="1065"/>
      <c r="AR365" s="1065"/>
      <c r="AS365" s="1065"/>
      <c r="AT365" s="1065"/>
      <c r="AU365" s="1065"/>
      <c r="AV365" s="1065"/>
      <c r="AW365" s="1065"/>
      <c r="AX365" s="1065"/>
      <c r="AY365" s="1065"/>
      <c r="AZ365" s="1065"/>
      <c r="BA365" s="1065"/>
      <c r="BB365" s="1065"/>
      <c r="BC365" s="1065"/>
      <c r="BD365" s="1065"/>
      <c r="BE365" s="1065"/>
      <c r="BF365" s="1065"/>
      <c r="BG365" s="1065"/>
      <c r="BH365" s="1065"/>
      <c r="BI365" s="1065"/>
      <c r="BJ365" s="1065"/>
      <c r="BK365" s="1065"/>
      <c r="BL365" s="1065"/>
      <c r="BM365" s="1065"/>
      <c r="BN365" s="1065"/>
      <c r="BO365" s="1065"/>
      <c r="BP365" s="1065"/>
      <c r="BQ365" s="1065"/>
      <c r="BR365" s="1065"/>
      <c r="BS365" s="1065"/>
      <c r="BT365" s="1065"/>
      <c r="BU365" s="1065"/>
      <c r="BV365" s="1065"/>
      <c r="BW365" s="1065"/>
      <c r="BX365" s="1065"/>
      <c r="BY365" s="1065"/>
      <c r="BZ365" s="1065"/>
      <c r="CA365" s="1065"/>
      <c r="CB365" s="1065"/>
      <c r="CC365" s="1065"/>
      <c r="CD365" s="1065"/>
      <c r="CE365" s="1065"/>
      <c r="CF365" s="1065"/>
      <c r="CG365" s="1065"/>
      <c r="CH365" s="1065"/>
      <c r="CI365" s="1065"/>
      <c r="CJ365" s="1065"/>
      <c r="CK365" s="1065"/>
      <c r="CL365" s="1065"/>
      <c r="CM365" s="1065"/>
      <c r="CN365" s="1065"/>
      <c r="CO365" s="1065"/>
      <c r="CP365" s="1065"/>
      <c r="CQ365" s="1065"/>
      <c r="CR365" s="1065"/>
      <c r="CS365" s="1065"/>
      <c r="CT365" s="1065"/>
      <c r="CU365" s="1065"/>
      <c r="CV365" s="1065"/>
      <c r="CW365" s="1065"/>
      <c r="CX365" s="1065"/>
      <c r="CY365" s="1065"/>
      <c r="CZ365" s="1065"/>
      <c r="DA365" s="1065"/>
      <c r="DB365" s="1065"/>
    </row>
    <row r="366" spans="1:106" ht="15" customHeight="1" thickBot="1">
      <c r="A366" s="1065"/>
      <c r="B366" s="1065"/>
      <c r="C366" s="1144" t="s">
        <v>661</v>
      </c>
      <c r="D366" s="1692"/>
      <c r="E366" s="1692"/>
      <c r="F366" s="1692"/>
      <c r="G366" s="1692"/>
      <c r="H366" s="1791"/>
      <c r="I366" s="1791"/>
      <c r="J366" s="1811"/>
      <c r="K366" s="1811"/>
      <c r="L366" s="1811"/>
      <c r="M366" s="1812"/>
      <c r="N366" s="1812"/>
      <c r="O366" s="1812"/>
      <c r="P366" s="1812"/>
      <c r="Q366" s="1812"/>
      <c r="R366" s="1812"/>
      <c r="S366" s="1147"/>
      <c r="T366" s="1148"/>
      <c r="U366" s="1739"/>
      <c r="V366" s="1065"/>
      <c r="W366" s="1065"/>
      <c r="X366" s="1065"/>
      <c r="Y366" s="1065"/>
      <c r="Z366" s="1065"/>
      <c r="AA366" s="1065"/>
      <c r="AB366" s="1065"/>
      <c r="AC366" s="1065"/>
      <c r="AD366" s="1065"/>
      <c r="AE366" s="1065"/>
      <c r="AF366" s="1065"/>
      <c r="AG366" s="1065"/>
      <c r="AH366" s="1065"/>
      <c r="AI366" s="1065"/>
      <c r="AJ366" s="1065"/>
      <c r="AK366" s="1065"/>
      <c r="AL366" s="1065"/>
      <c r="AM366" s="1065"/>
      <c r="AN366" s="1065"/>
      <c r="AO366" s="1065"/>
      <c r="AP366" s="1065"/>
      <c r="AQ366" s="1065"/>
      <c r="AR366" s="1065"/>
      <c r="AS366" s="1065"/>
      <c r="AT366" s="1065"/>
      <c r="AU366" s="1065"/>
      <c r="AV366" s="1065"/>
      <c r="AW366" s="1065"/>
      <c r="AX366" s="1065"/>
      <c r="AY366" s="1065"/>
      <c r="AZ366" s="1065"/>
      <c r="BA366" s="1065"/>
      <c r="BB366" s="1065"/>
      <c r="BC366" s="1065"/>
      <c r="BD366" s="1065"/>
      <c r="BE366" s="1065"/>
      <c r="BF366" s="1065"/>
      <c r="BG366" s="1065"/>
      <c r="BH366" s="1065"/>
      <c r="BI366" s="1065"/>
      <c r="BJ366" s="1065"/>
      <c r="BK366" s="1065"/>
      <c r="BL366" s="1065"/>
      <c r="BM366" s="1065"/>
      <c r="BN366" s="1065"/>
      <c r="BO366" s="1065"/>
      <c r="BP366" s="1065"/>
      <c r="BQ366" s="1065"/>
      <c r="BR366" s="1065"/>
      <c r="BS366" s="1065"/>
      <c r="BT366" s="1065"/>
      <c r="BU366" s="1065"/>
      <c r="BV366" s="1065"/>
      <c r="BW366" s="1065"/>
      <c r="BX366" s="1065"/>
      <c r="BY366" s="1065"/>
      <c r="BZ366" s="1065"/>
      <c r="CA366" s="1065"/>
      <c r="CB366" s="1065"/>
      <c r="CC366" s="1065"/>
      <c r="CD366" s="1065"/>
      <c r="CE366" s="1065"/>
      <c r="CF366" s="1065"/>
      <c r="CG366" s="1065"/>
      <c r="CH366" s="1065"/>
      <c r="CI366" s="1065"/>
      <c r="CJ366" s="1065"/>
      <c r="CK366" s="1065"/>
      <c r="CL366" s="1065"/>
      <c r="CM366" s="1065"/>
      <c r="CN366" s="1065"/>
      <c r="CO366" s="1065"/>
      <c r="CP366" s="1065"/>
      <c r="CQ366" s="1065"/>
      <c r="CR366" s="1065"/>
      <c r="CS366" s="1065"/>
      <c r="CT366" s="1065"/>
      <c r="CU366" s="1065"/>
      <c r="CV366" s="1065"/>
      <c r="CW366" s="1065"/>
      <c r="CX366" s="1065"/>
      <c r="CY366" s="1065"/>
      <c r="CZ366" s="1065"/>
      <c r="DA366" s="1065"/>
      <c r="DB366" s="1065"/>
    </row>
    <row r="367" spans="1:106" ht="15" customHeight="1" thickBot="1">
      <c r="A367" s="1065"/>
      <c r="B367" s="1065"/>
      <c r="C367" s="1144" t="s">
        <v>492</v>
      </c>
      <c r="D367" s="1692"/>
      <c r="E367" s="1692"/>
      <c r="F367" s="1692"/>
      <c r="G367" s="1692"/>
      <c r="H367" s="1791"/>
      <c r="I367" s="1791"/>
      <c r="J367" s="1811"/>
      <c r="K367" s="1811"/>
      <c r="L367" s="1811"/>
      <c r="M367" s="1812"/>
      <c r="N367" s="1812"/>
      <c r="O367" s="1812"/>
      <c r="P367" s="1812"/>
      <c r="Q367" s="1812"/>
      <c r="R367" s="1812"/>
      <c r="S367" s="1147"/>
      <c r="T367" s="1148"/>
      <c r="U367" s="1739"/>
      <c r="V367" s="1065"/>
      <c r="W367" s="1065"/>
      <c r="X367" s="1065"/>
      <c r="Y367" s="1065"/>
      <c r="Z367" s="1065"/>
      <c r="AA367" s="1065"/>
      <c r="AB367" s="1065"/>
      <c r="AC367" s="1065"/>
      <c r="AD367" s="1065"/>
      <c r="AE367" s="1065"/>
      <c r="AF367" s="1065"/>
      <c r="AG367" s="1065"/>
      <c r="AH367" s="1065"/>
      <c r="AI367" s="1065"/>
      <c r="AJ367" s="1065"/>
      <c r="AK367" s="1065"/>
      <c r="AL367" s="1065"/>
      <c r="AM367" s="1065"/>
      <c r="AN367" s="1065"/>
      <c r="AO367" s="1065"/>
      <c r="AP367" s="1065"/>
      <c r="AQ367" s="1065"/>
      <c r="AR367" s="1065"/>
      <c r="AS367" s="1065"/>
      <c r="AT367" s="1065"/>
      <c r="AU367" s="1065"/>
      <c r="AV367" s="1065"/>
      <c r="AW367" s="1065"/>
      <c r="AX367" s="1065"/>
      <c r="AY367" s="1065"/>
      <c r="AZ367" s="1065"/>
      <c r="BA367" s="1065"/>
      <c r="BB367" s="1065"/>
      <c r="BC367" s="1065"/>
      <c r="BD367" s="1065"/>
      <c r="BE367" s="1065"/>
      <c r="BF367" s="1065"/>
      <c r="BG367" s="1065"/>
      <c r="BH367" s="1065"/>
      <c r="BI367" s="1065"/>
      <c r="BJ367" s="1065"/>
      <c r="BK367" s="1065"/>
      <c r="BL367" s="1065"/>
      <c r="BM367" s="1065"/>
      <c r="BN367" s="1065"/>
      <c r="BO367" s="1065"/>
      <c r="BP367" s="1065"/>
      <c r="BQ367" s="1065"/>
      <c r="BR367" s="1065"/>
      <c r="BS367" s="1065"/>
      <c r="BT367" s="1065"/>
      <c r="BU367" s="1065"/>
      <c r="BV367" s="1065"/>
      <c r="BW367" s="1065"/>
      <c r="BX367" s="1065"/>
      <c r="BY367" s="1065"/>
      <c r="BZ367" s="1065"/>
      <c r="CA367" s="1065"/>
      <c r="CB367" s="1065"/>
      <c r="CC367" s="1065"/>
      <c r="CD367" s="1065"/>
      <c r="CE367" s="1065"/>
      <c r="CF367" s="1065"/>
      <c r="CG367" s="1065"/>
      <c r="CH367" s="1065"/>
      <c r="CI367" s="1065"/>
      <c r="CJ367" s="1065"/>
      <c r="CK367" s="1065"/>
      <c r="CL367" s="1065"/>
      <c r="CM367" s="1065"/>
      <c r="CN367" s="1065"/>
      <c r="CO367" s="1065"/>
      <c r="CP367" s="1065"/>
      <c r="CQ367" s="1065"/>
      <c r="CR367" s="1065"/>
      <c r="CS367" s="1065"/>
      <c r="CT367" s="1065"/>
      <c r="CU367" s="1065"/>
      <c r="CV367" s="1065"/>
      <c r="CW367" s="1065"/>
      <c r="CX367" s="1065"/>
      <c r="CY367" s="1065"/>
      <c r="CZ367" s="1065"/>
      <c r="DA367" s="1065"/>
      <c r="DB367" s="1065"/>
    </row>
    <row r="368" spans="1:106" ht="15" customHeight="1" thickBot="1">
      <c r="A368" s="1065"/>
      <c r="B368" s="1065"/>
      <c r="C368" s="1144" t="s">
        <v>662</v>
      </c>
      <c r="D368" s="1692"/>
      <c r="E368" s="1692"/>
      <c r="F368" s="1692"/>
      <c r="G368" s="1692"/>
      <c r="H368" s="1791"/>
      <c r="I368" s="1791"/>
      <c r="J368" s="1811"/>
      <c r="K368" s="1811"/>
      <c r="L368" s="1811"/>
      <c r="M368" s="1812"/>
      <c r="N368" s="1812"/>
      <c r="O368" s="1812"/>
      <c r="P368" s="1812"/>
      <c r="Q368" s="1812"/>
      <c r="R368" s="1812"/>
      <c r="S368" s="1147"/>
      <c r="T368" s="1148"/>
      <c r="U368" s="1739"/>
      <c r="V368" s="1065"/>
      <c r="W368" s="1065"/>
      <c r="X368" s="1065"/>
      <c r="Y368" s="1065"/>
      <c r="Z368" s="1065"/>
      <c r="AA368" s="1065"/>
      <c r="AB368" s="1065"/>
      <c r="AC368" s="1065"/>
      <c r="AD368" s="1065"/>
      <c r="AE368" s="1065"/>
      <c r="AF368" s="1065"/>
      <c r="AG368" s="1065"/>
      <c r="AH368" s="1065"/>
      <c r="AI368" s="1065"/>
      <c r="AJ368" s="1065"/>
      <c r="AK368" s="1065"/>
      <c r="AL368" s="1065"/>
      <c r="AM368" s="1065"/>
      <c r="AN368" s="1065"/>
      <c r="AO368" s="1065"/>
      <c r="AP368" s="1065"/>
      <c r="AQ368" s="1065"/>
      <c r="AR368" s="1065"/>
      <c r="AS368" s="1065"/>
      <c r="AT368" s="1065"/>
      <c r="AU368" s="1065"/>
      <c r="AV368" s="1065"/>
      <c r="AW368" s="1065"/>
      <c r="AX368" s="1065"/>
      <c r="AY368" s="1065"/>
      <c r="AZ368" s="1065"/>
      <c r="BA368" s="1065"/>
      <c r="BB368" s="1065"/>
      <c r="BC368" s="1065"/>
      <c r="BD368" s="1065"/>
      <c r="BE368" s="1065"/>
      <c r="BF368" s="1065"/>
      <c r="BG368" s="1065"/>
      <c r="BH368" s="1065"/>
      <c r="BI368" s="1065"/>
      <c r="BJ368" s="1065"/>
      <c r="BK368" s="1065"/>
      <c r="BL368" s="1065"/>
      <c r="BM368" s="1065"/>
      <c r="BN368" s="1065"/>
      <c r="BO368" s="1065"/>
      <c r="BP368" s="1065"/>
      <c r="BQ368" s="1065"/>
      <c r="BR368" s="1065"/>
      <c r="BS368" s="1065"/>
      <c r="BT368" s="1065"/>
      <c r="BU368" s="1065"/>
      <c r="BV368" s="1065"/>
      <c r="BW368" s="1065"/>
      <c r="BX368" s="1065"/>
      <c r="BY368" s="1065"/>
      <c r="BZ368" s="1065"/>
      <c r="CA368" s="1065"/>
      <c r="CB368" s="1065"/>
      <c r="CC368" s="1065"/>
      <c r="CD368" s="1065"/>
      <c r="CE368" s="1065"/>
      <c r="CF368" s="1065"/>
      <c r="CG368" s="1065"/>
      <c r="CH368" s="1065"/>
      <c r="CI368" s="1065"/>
      <c r="CJ368" s="1065"/>
      <c r="CK368" s="1065"/>
      <c r="CL368" s="1065"/>
      <c r="CM368" s="1065"/>
      <c r="CN368" s="1065"/>
      <c r="CO368" s="1065"/>
      <c r="CP368" s="1065"/>
      <c r="CQ368" s="1065"/>
      <c r="CR368" s="1065"/>
      <c r="CS368" s="1065"/>
      <c r="CT368" s="1065"/>
      <c r="CU368" s="1065"/>
      <c r="CV368" s="1065"/>
      <c r="CW368" s="1065"/>
      <c r="CX368" s="1065"/>
      <c r="CY368" s="1065"/>
      <c r="CZ368" s="1065"/>
      <c r="DA368" s="1065"/>
      <c r="DB368" s="1065"/>
    </row>
    <row r="369" spans="1:106" ht="15" customHeight="1" thickBot="1">
      <c r="A369" s="1065"/>
      <c r="B369" s="1065"/>
      <c r="C369" s="1144" t="s">
        <v>300</v>
      </c>
      <c r="D369" s="1692"/>
      <c r="E369" s="1692"/>
      <c r="F369" s="1692"/>
      <c r="G369" s="1692"/>
      <c r="H369" s="1791"/>
      <c r="I369" s="1791"/>
      <c r="J369" s="1811"/>
      <c r="K369" s="1811"/>
      <c r="L369" s="1811"/>
      <c r="M369" s="1812"/>
      <c r="N369" s="1812"/>
      <c r="O369" s="1812"/>
      <c r="P369" s="1812"/>
      <c r="Q369" s="1812"/>
      <c r="R369" s="1812"/>
      <c r="S369" s="1147"/>
      <c r="T369" s="1148"/>
      <c r="U369" s="1739"/>
      <c r="V369" s="1065"/>
      <c r="W369" s="1065"/>
      <c r="X369" s="1065"/>
      <c r="Y369" s="1065"/>
      <c r="Z369" s="1065"/>
      <c r="AA369" s="1065"/>
      <c r="AB369" s="1065"/>
      <c r="AC369" s="1065"/>
      <c r="AD369" s="1065"/>
      <c r="AE369" s="1065"/>
      <c r="AF369" s="1065"/>
      <c r="AG369" s="1065"/>
      <c r="AH369" s="1065"/>
      <c r="AI369" s="1065"/>
      <c r="AJ369" s="1065"/>
      <c r="AK369" s="1065"/>
      <c r="AL369" s="1065"/>
      <c r="AM369" s="1065"/>
      <c r="AN369" s="1065"/>
      <c r="AO369" s="1065"/>
      <c r="AP369" s="1065"/>
      <c r="AQ369" s="1065"/>
      <c r="AR369" s="1065"/>
      <c r="AS369" s="1065"/>
      <c r="AT369" s="1065"/>
      <c r="AU369" s="1065"/>
      <c r="AV369" s="1065"/>
      <c r="AW369" s="1065"/>
      <c r="AX369" s="1065"/>
      <c r="AY369" s="1065"/>
      <c r="AZ369" s="1065"/>
      <c r="BA369" s="1065"/>
      <c r="BB369" s="1065"/>
      <c r="BC369" s="1065"/>
      <c r="BD369" s="1065"/>
      <c r="BE369" s="1065"/>
      <c r="BF369" s="1065"/>
      <c r="BG369" s="1065"/>
      <c r="BH369" s="1065"/>
      <c r="BI369" s="1065"/>
      <c r="BJ369" s="1065"/>
      <c r="BK369" s="1065"/>
      <c r="BL369" s="1065"/>
      <c r="BM369" s="1065"/>
      <c r="BN369" s="1065"/>
      <c r="BO369" s="1065"/>
      <c r="BP369" s="1065"/>
      <c r="BQ369" s="1065"/>
      <c r="BR369" s="1065"/>
      <c r="BS369" s="1065"/>
      <c r="BT369" s="1065"/>
      <c r="BU369" s="1065"/>
      <c r="BV369" s="1065"/>
      <c r="BW369" s="1065"/>
      <c r="BX369" s="1065"/>
      <c r="BY369" s="1065"/>
      <c r="BZ369" s="1065"/>
      <c r="CA369" s="1065"/>
      <c r="CB369" s="1065"/>
      <c r="CC369" s="1065"/>
      <c r="CD369" s="1065"/>
      <c r="CE369" s="1065"/>
      <c r="CF369" s="1065"/>
      <c r="CG369" s="1065"/>
      <c r="CH369" s="1065"/>
      <c r="CI369" s="1065"/>
      <c r="CJ369" s="1065"/>
      <c r="CK369" s="1065"/>
      <c r="CL369" s="1065"/>
      <c r="CM369" s="1065"/>
      <c r="CN369" s="1065"/>
      <c r="CO369" s="1065"/>
      <c r="CP369" s="1065"/>
      <c r="CQ369" s="1065"/>
      <c r="CR369" s="1065"/>
      <c r="CS369" s="1065"/>
      <c r="CT369" s="1065"/>
      <c r="CU369" s="1065"/>
      <c r="CV369" s="1065"/>
      <c r="CW369" s="1065"/>
      <c r="CX369" s="1065"/>
      <c r="CY369" s="1065"/>
      <c r="CZ369" s="1065"/>
      <c r="DA369" s="1065"/>
      <c r="DB369" s="1065"/>
    </row>
    <row r="370" spans="1:106" ht="15" customHeight="1" thickBot="1">
      <c r="A370" s="1065"/>
      <c r="B370" s="1065"/>
      <c r="C370" s="1144" t="s">
        <v>686</v>
      </c>
      <c r="D370" s="1692"/>
      <c r="E370" s="1692"/>
      <c r="F370" s="1692"/>
      <c r="G370" s="1692"/>
      <c r="H370" s="1791"/>
      <c r="I370" s="1791"/>
      <c r="J370" s="1811"/>
      <c r="K370" s="1811"/>
      <c r="L370" s="1811"/>
      <c r="M370" s="1812"/>
      <c r="N370" s="1812"/>
      <c r="O370" s="1812"/>
      <c r="P370" s="1812"/>
      <c r="Q370" s="1812"/>
      <c r="R370" s="1812"/>
      <c r="S370" s="1147"/>
      <c r="T370" s="1148"/>
      <c r="U370" s="1739"/>
      <c r="V370" s="1065"/>
      <c r="W370" s="1065"/>
      <c r="X370" s="1065"/>
      <c r="Y370" s="1065"/>
      <c r="Z370" s="1065"/>
      <c r="AA370" s="1065"/>
      <c r="AB370" s="1065"/>
      <c r="AC370" s="1065"/>
      <c r="AD370" s="1065"/>
      <c r="AE370" s="1065"/>
      <c r="AF370" s="1065"/>
      <c r="AG370" s="1065"/>
      <c r="AH370" s="1065"/>
      <c r="AI370" s="1065"/>
      <c r="AJ370" s="1065"/>
      <c r="AK370" s="1065"/>
      <c r="AL370" s="1065"/>
      <c r="AM370" s="1065"/>
      <c r="AN370" s="1065"/>
      <c r="AO370" s="1065"/>
      <c r="AP370" s="1065"/>
      <c r="AQ370" s="1065"/>
      <c r="AR370" s="1065"/>
      <c r="AS370" s="1065"/>
      <c r="AT370" s="1065"/>
      <c r="AU370" s="1065"/>
      <c r="AV370" s="1065"/>
      <c r="AW370" s="1065"/>
      <c r="AX370" s="1065"/>
      <c r="AY370" s="1065"/>
      <c r="AZ370" s="1065"/>
      <c r="BA370" s="1065"/>
      <c r="BB370" s="1065"/>
      <c r="BC370" s="1065"/>
      <c r="BD370" s="1065"/>
      <c r="BE370" s="1065"/>
      <c r="BF370" s="1065"/>
      <c r="BG370" s="1065"/>
      <c r="BH370" s="1065"/>
      <c r="BI370" s="1065"/>
      <c r="BJ370" s="1065"/>
      <c r="BK370" s="1065"/>
      <c r="BL370" s="1065"/>
      <c r="BM370" s="1065"/>
      <c r="BN370" s="1065"/>
      <c r="BO370" s="1065"/>
      <c r="BP370" s="1065"/>
      <c r="BQ370" s="1065"/>
      <c r="BR370" s="1065"/>
      <c r="BS370" s="1065"/>
      <c r="BT370" s="1065"/>
      <c r="BU370" s="1065"/>
      <c r="BV370" s="1065"/>
      <c r="BW370" s="1065"/>
      <c r="BX370" s="1065"/>
      <c r="BY370" s="1065"/>
      <c r="BZ370" s="1065"/>
      <c r="CA370" s="1065"/>
      <c r="CB370" s="1065"/>
      <c r="CC370" s="1065"/>
      <c r="CD370" s="1065"/>
      <c r="CE370" s="1065"/>
      <c r="CF370" s="1065"/>
      <c r="CG370" s="1065"/>
      <c r="CH370" s="1065"/>
      <c r="CI370" s="1065"/>
      <c r="CJ370" s="1065"/>
      <c r="CK370" s="1065"/>
      <c r="CL370" s="1065"/>
      <c r="CM370" s="1065"/>
      <c r="CN370" s="1065"/>
      <c r="CO370" s="1065"/>
      <c r="CP370" s="1065"/>
      <c r="CQ370" s="1065"/>
      <c r="CR370" s="1065"/>
      <c r="CS370" s="1065"/>
      <c r="CT370" s="1065"/>
      <c r="CU370" s="1065"/>
      <c r="CV370" s="1065"/>
      <c r="CW370" s="1065"/>
      <c r="CX370" s="1065"/>
      <c r="CY370" s="1065"/>
      <c r="CZ370" s="1065"/>
      <c r="DA370" s="1065"/>
      <c r="DB370" s="1065"/>
    </row>
    <row r="371" spans="1:106" ht="15" customHeight="1" thickBot="1">
      <c r="A371" s="1065"/>
      <c r="B371" s="1065"/>
      <c r="C371" s="1144" t="s">
        <v>301</v>
      </c>
      <c r="D371" s="1692"/>
      <c r="E371" s="1692"/>
      <c r="F371" s="1692"/>
      <c r="G371" s="1692"/>
      <c r="H371" s="1791"/>
      <c r="I371" s="1791"/>
      <c r="J371" s="1811"/>
      <c r="K371" s="1811"/>
      <c r="L371" s="1811"/>
      <c r="M371" s="1812"/>
      <c r="N371" s="1812"/>
      <c r="O371" s="1812"/>
      <c r="P371" s="1812"/>
      <c r="Q371" s="1812"/>
      <c r="R371" s="1812"/>
      <c r="S371" s="1147"/>
      <c r="T371" s="1148"/>
      <c r="U371" s="1739"/>
      <c r="V371" s="1065"/>
      <c r="W371" s="1065"/>
      <c r="X371" s="1065"/>
      <c r="Y371" s="1065"/>
      <c r="Z371" s="1065"/>
      <c r="AA371" s="1065"/>
      <c r="AB371" s="1065"/>
      <c r="AC371" s="1065"/>
      <c r="AD371" s="1065"/>
      <c r="AE371" s="1065"/>
      <c r="AF371" s="1065"/>
      <c r="AG371" s="1065"/>
      <c r="AH371" s="1065"/>
      <c r="AI371" s="1065"/>
      <c r="AJ371" s="1065"/>
      <c r="AK371" s="1065"/>
      <c r="AL371" s="1065"/>
      <c r="AM371" s="1065"/>
      <c r="AN371" s="1065"/>
      <c r="AO371" s="1065"/>
      <c r="AP371" s="1065"/>
      <c r="AQ371" s="1065"/>
      <c r="AR371" s="1065"/>
      <c r="AS371" s="1065"/>
      <c r="AT371" s="1065"/>
      <c r="AU371" s="1065"/>
      <c r="AV371" s="1065"/>
      <c r="AW371" s="1065"/>
      <c r="AX371" s="1065"/>
      <c r="AY371" s="1065"/>
      <c r="AZ371" s="1065"/>
      <c r="BA371" s="1065"/>
      <c r="BB371" s="1065"/>
      <c r="BC371" s="1065"/>
      <c r="BD371" s="1065"/>
      <c r="BE371" s="1065"/>
      <c r="BF371" s="1065"/>
      <c r="BG371" s="1065"/>
      <c r="BH371" s="1065"/>
      <c r="BI371" s="1065"/>
      <c r="BJ371" s="1065"/>
      <c r="BK371" s="1065"/>
      <c r="BL371" s="1065"/>
      <c r="BM371" s="1065"/>
      <c r="BN371" s="1065"/>
      <c r="BO371" s="1065"/>
      <c r="BP371" s="1065"/>
      <c r="BQ371" s="1065"/>
      <c r="BR371" s="1065"/>
      <c r="BS371" s="1065"/>
      <c r="BT371" s="1065"/>
      <c r="BU371" s="1065"/>
      <c r="BV371" s="1065"/>
      <c r="BW371" s="1065"/>
      <c r="BX371" s="1065"/>
      <c r="BY371" s="1065"/>
      <c r="BZ371" s="1065"/>
      <c r="CA371" s="1065"/>
      <c r="CB371" s="1065"/>
      <c r="CC371" s="1065"/>
      <c r="CD371" s="1065"/>
      <c r="CE371" s="1065"/>
      <c r="CF371" s="1065"/>
      <c r="CG371" s="1065"/>
      <c r="CH371" s="1065"/>
      <c r="CI371" s="1065"/>
      <c r="CJ371" s="1065"/>
      <c r="CK371" s="1065"/>
      <c r="CL371" s="1065"/>
      <c r="CM371" s="1065"/>
      <c r="CN371" s="1065"/>
      <c r="CO371" s="1065"/>
      <c r="CP371" s="1065"/>
      <c r="CQ371" s="1065"/>
      <c r="CR371" s="1065"/>
      <c r="CS371" s="1065"/>
      <c r="CT371" s="1065"/>
      <c r="CU371" s="1065"/>
      <c r="CV371" s="1065"/>
      <c r="CW371" s="1065"/>
      <c r="CX371" s="1065"/>
      <c r="CY371" s="1065"/>
      <c r="CZ371" s="1065"/>
      <c r="DA371" s="1065"/>
      <c r="DB371" s="1065"/>
    </row>
    <row r="372" spans="1:106" ht="15" customHeight="1" thickBot="1">
      <c r="A372" s="1065"/>
      <c r="B372" s="1065"/>
      <c r="C372" s="1144" t="s">
        <v>496</v>
      </c>
      <c r="D372" s="1692"/>
      <c r="E372" s="1692"/>
      <c r="F372" s="1692"/>
      <c r="G372" s="1692"/>
      <c r="H372" s="1791"/>
      <c r="I372" s="1791"/>
      <c r="J372" s="1811"/>
      <c r="K372" s="1811"/>
      <c r="L372" s="1811"/>
      <c r="M372" s="1812"/>
      <c r="N372" s="1812"/>
      <c r="O372" s="1812"/>
      <c r="P372" s="1812"/>
      <c r="Q372" s="1812"/>
      <c r="R372" s="1812"/>
      <c r="S372" s="1147"/>
      <c r="T372" s="1148"/>
      <c r="U372" s="1739"/>
      <c r="V372" s="1065"/>
      <c r="W372" s="1065"/>
      <c r="X372" s="1065"/>
      <c r="Y372" s="1065"/>
      <c r="Z372" s="1065"/>
      <c r="AA372" s="1065"/>
      <c r="AB372" s="1065"/>
      <c r="AC372" s="1065"/>
      <c r="AD372" s="1065"/>
      <c r="AE372" s="1065"/>
      <c r="AF372" s="1065"/>
      <c r="AG372" s="1065"/>
      <c r="AH372" s="1065"/>
      <c r="AI372" s="1065"/>
      <c r="AJ372" s="1065"/>
      <c r="AK372" s="1065"/>
      <c r="AL372" s="1065"/>
      <c r="AM372" s="1065"/>
      <c r="AN372" s="1065"/>
      <c r="AO372" s="1065"/>
      <c r="AP372" s="1065"/>
      <c r="AQ372" s="1065"/>
      <c r="AR372" s="1065"/>
      <c r="AS372" s="1065"/>
      <c r="AT372" s="1065"/>
      <c r="AU372" s="1065"/>
      <c r="AV372" s="1065"/>
      <c r="AW372" s="1065"/>
      <c r="AX372" s="1065"/>
      <c r="AY372" s="1065"/>
      <c r="AZ372" s="1065"/>
      <c r="BA372" s="1065"/>
      <c r="BB372" s="1065"/>
      <c r="BC372" s="1065"/>
      <c r="BD372" s="1065"/>
      <c r="BE372" s="1065"/>
      <c r="BF372" s="1065"/>
      <c r="BG372" s="1065"/>
      <c r="BH372" s="1065"/>
      <c r="BI372" s="1065"/>
      <c r="BJ372" s="1065"/>
      <c r="BK372" s="1065"/>
      <c r="BL372" s="1065"/>
      <c r="BM372" s="1065"/>
      <c r="BN372" s="1065"/>
      <c r="BO372" s="1065"/>
      <c r="BP372" s="1065"/>
      <c r="BQ372" s="1065"/>
      <c r="BR372" s="1065"/>
      <c r="BS372" s="1065"/>
      <c r="BT372" s="1065"/>
      <c r="BU372" s="1065"/>
      <c r="BV372" s="1065"/>
      <c r="BW372" s="1065"/>
      <c r="BX372" s="1065"/>
      <c r="BY372" s="1065"/>
      <c r="BZ372" s="1065"/>
      <c r="CA372" s="1065"/>
      <c r="CB372" s="1065"/>
      <c r="CC372" s="1065"/>
      <c r="CD372" s="1065"/>
      <c r="CE372" s="1065"/>
      <c r="CF372" s="1065"/>
      <c r="CG372" s="1065"/>
      <c r="CH372" s="1065"/>
      <c r="CI372" s="1065"/>
      <c r="CJ372" s="1065"/>
      <c r="CK372" s="1065"/>
      <c r="CL372" s="1065"/>
      <c r="CM372" s="1065"/>
      <c r="CN372" s="1065"/>
      <c r="CO372" s="1065"/>
      <c r="CP372" s="1065"/>
      <c r="CQ372" s="1065"/>
      <c r="CR372" s="1065"/>
      <c r="CS372" s="1065"/>
      <c r="CT372" s="1065"/>
      <c r="CU372" s="1065"/>
      <c r="CV372" s="1065"/>
      <c r="CW372" s="1065"/>
      <c r="CX372" s="1065"/>
      <c r="CY372" s="1065"/>
      <c r="CZ372" s="1065"/>
      <c r="DA372" s="1065"/>
      <c r="DB372" s="1065"/>
    </row>
    <row r="373" spans="1:106" ht="15" customHeight="1" thickBot="1">
      <c r="A373" s="1065"/>
      <c r="B373" s="1065"/>
      <c r="C373" s="1144" t="s">
        <v>663</v>
      </c>
      <c r="D373" s="1692"/>
      <c r="E373" s="1692"/>
      <c r="F373" s="1692"/>
      <c r="G373" s="1692"/>
      <c r="H373" s="1791"/>
      <c r="I373" s="1791"/>
      <c r="J373" s="1811"/>
      <c r="K373" s="1811"/>
      <c r="L373" s="1811"/>
      <c r="M373" s="1812"/>
      <c r="N373" s="1812"/>
      <c r="O373" s="1812"/>
      <c r="P373" s="1812"/>
      <c r="Q373" s="1812"/>
      <c r="R373" s="1812"/>
      <c r="S373" s="1147"/>
      <c r="T373" s="1148"/>
      <c r="U373" s="1739"/>
      <c r="V373" s="1065"/>
      <c r="W373" s="1065"/>
      <c r="X373" s="1065"/>
      <c r="Y373" s="1065"/>
      <c r="Z373" s="1065"/>
      <c r="AA373" s="1065"/>
      <c r="AB373" s="1065"/>
      <c r="AC373" s="1065"/>
      <c r="AD373" s="1065"/>
      <c r="AE373" s="1065"/>
      <c r="AF373" s="1065"/>
      <c r="AG373" s="1065"/>
      <c r="AH373" s="1065"/>
      <c r="AI373" s="1065"/>
      <c r="AJ373" s="1065"/>
      <c r="AK373" s="1065"/>
      <c r="AL373" s="1065"/>
      <c r="AM373" s="1065"/>
      <c r="AN373" s="1065"/>
      <c r="AO373" s="1065"/>
      <c r="AP373" s="1065"/>
      <c r="AQ373" s="1065"/>
      <c r="AR373" s="1065"/>
      <c r="AS373" s="1065"/>
      <c r="AT373" s="1065"/>
      <c r="AU373" s="1065"/>
      <c r="AV373" s="1065"/>
      <c r="AW373" s="1065"/>
      <c r="AX373" s="1065"/>
      <c r="AY373" s="1065"/>
      <c r="AZ373" s="1065"/>
      <c r="BA373" s="1065"/>
      <c r="BB373" s="1065"/>
      <c r="BC373" s="1065"/>
      <c r="BD373" s="1065"/>
      <c r="BE373" s="1065"/>
      <c r="BF373" s="1065"/>
      <c r="BG373" s="1065"/>
      <c r="BH373" s="1065"/>
      <c r="BI373" s="1065"/>
      <c r="BJ373" s="1065"/>
      <c r="BK373" s="1065"/>
      <c r="BL373" s="1065"/>
      <c r="BM373" s="1065"/>
      <c r="BN373" s="1065"/>
      <c r="BO373" s="1065"/>
      <c r="BP373" s="1065"/>
      <c r="BQ373" s="1065"/>
      <c r="BR373" s="1065"/>
      <c r="BS373" s="1065"/>
      <c r="BT373" s="1065"/>
      <c r="BU373" s="1065"/>
      <c r="BV373" s="1065"/>
      <c r="BW373" s="1065"/>
      <c r="BX373" s="1065"/>
      <c r="BY373" s="1065"/>
      <c r="BZ373" s="1065"/>
      <c r="CA373" s="1065"/>
      <c r="CB373" s="1065"/>
      <c r="CC373" s="1065"/>
      <c r="CD373" s="1065"/>
      <c r="CE373" s="1065"/>
      <c r="CF373" s="1065"/>
      <c r="CG373" s="1065"/>
      <c r="CH373" s="1065"/>
      <c r="CI373" s="1065"/>
      <c r="CJ373" s="1065"/>
      <c r="CK373" s="1065"/>
      <c r="CL373" s="1065"/>
      <c r="CM373" s="1065"/>
      <c r="CN373" s="1065"/>
      <c r="CO373" s="1065"/>
      <c r="CP373" s="1065"/>
      <c r="CQ373" s="1065"/>
      <c r="CR373" s="1065"/>
      <c r="CS373" s="1065"/>
      <c r="CT373" s="1065"/>
      <c r="CU373" s="1065"/>
      <c r="CV373" s="1065"/>
      <c r="CW373" s="1065"/>
      <c r="CX373" s="1065"/>
      <c r="CY373" s="1065"/>
      <c r="CZ373" s="1065"/>
      <c r="DA373" s="1065"/>
      <c r="DB373" s="1065"/>
    </row>
    <row r="374" spans="1:106" ht="15" customHeight="1" thickBot="1">
      <c r="A374" s="1065"/>
      <c r="B374" s="1065"/>
      <c r="C374" s="1144" t="s">
        <v>664</v>
      </c>
      <c r="D374" s="1692"/>
      <c r="E374" s="1692"/>
      <c r="F374" s="1692"/>
      <c r="G374" s="1692"/>
      <c r="H374" s="1791"/>
      <c r="I374" s="1791"/>
      <c r="J374" s="1811"/>
      <c r="K374" s="1811"/>
      <c r="L374" s="1811"/>
      <c r="M374" s="1812"/>
      <c r="N374" s="1812"/>
      <c r="O374" s="1812"/>
      <c r="P374" s="1812"/>
      <c r="Q374" s="1812"/>
      <c r="R374" s="1812"/>
      <c r="S374" s="1147"/>
      <c r="T374" s="1148"/>
      <c r="U374" s="1739"/>
      <c r="V374" s="1065"/>
      <c r="W374" s="1065"/>
      <c r="X374" s="1065"/>
      <c r="Y374" s="1065"/>
      <c r="Z374" s="1065"/>
      <c r="AA374" s="1065"/>
      <c r="AB374" s="1065"/>
      <c r="AC374" s="1065"/>
      <c r="AD374" s="1065"/>
      <c r="AE374" s="1065"/>
      <c r="AF374" s="1065"/>
      <c r="AG374" s="1065"/>
      <c r="AH374" s="1065"/>
      <c r="AI374" s="1065"/>
      <c r="AJ374" s="1065"/>
      <c r="AK374" s="1065"/>
      <c r="AL374" s="1065"/>
      <c r="AM374" s="1065"/>
      <c r="AN374" s="1065"/>
      <c r="AO374" s="1065"/>
      <c r="AP374" s="1065"/>
      <c r="AQ374" s="1065"/>
      <c r="AR374" s="1065"/>
      <c r="AS374" s="1065"/>
      <c r="AT374" s="1065"/>
      <c r="AU374" s="1065"/>
      <c r="AV374" s="1065"/>
      <c r="AW374" s="1065"/>
      <c r="AX374" s="1065"/>
      <c r="AY374" s="1065"/>
      <c r="AZ374" s="1065"/>
      <c r="BA374" s="1065"/>
      <c r="BB374" s="1065"/>
      <c r="BC374" s="1065"/>
      <c r="BD374" s="1065"/>
      <c r="BE374" s="1065"/>
      <c r="BF374" s="1065"/>
      <c r="BG374" s="1065"/>
      <c r="BH374" s="1065"/>
      <c r="BI374" s="1065"/>
      <c r="BJ374" s="1065"/>
      <c r="BK374" s="1065"/>
      <c r="BL374" s="1065"/>
      <c r="BM374" s="1065"/>
      <c r="BN374" s="1065"/>
      <c r="BO374" s="1065"/>
      <c r="BP374" s="1065"/>
      <c r="BQ374" s="1065"/>
      <c r="BR374" s="1065"/>
      <c r="BS374" s="1065"/>
      <c r="BT374" s="1065"/>
      <c r="BU374" s="1065"/>
      <c r="BV374" s="1065"/>
      <c r="BW374" s="1065"/>
      <c r="BX374" s="1065"/>
      <c r="BY374" s="1065"/>
      <c r="BZ374" s="1065"/>
      <c r="CA374" s="1065"/>
      <c r="CB374" s="1065"/>
      <c r="CC374" s="1065"/>
      <c r="CD374" s="1065"/>
      <c r="CE374" s="1065"/>
      <c r="CF374" s="1065"/>
      <c r="CG374" s="1065"/>
      <c r="CH374" s="1065"/>
      <c r="CI374" s="1065"/>
      <c r="CJ374" s="1065"/>
      <c r="CK374" s="1065"/>
      <c r="CL374" s="1065"/>
      <c r="CM374" s="1065"/>
      <c r="CN374" s="1065"/>
      <c r="CO374" s="1065"/>
      <c r="CP374" s="1065"/>
      <c r="CQ374" s="1065"/>
      <c r="CR374" s="1065"/>
      <c r="CS374" s="1065"/>
      <c r="CT374" s="1065"/>
      <c r="CU374" s="1065"/>
      <c r="CV374" s="1065"/>
      <c r="CW374" s="1065"/>
      <c r="CX374" s="1065"/>
      <c r="CY374" s="1065"/>
      <c r="CZ374" s="1065"/>
      <c r="DA374" s="1065"/>
      <c r="DB374" s="1065"/>
    </row>
    <row r="375" spans="1:106" ht="15" customHeight="1" thickBot="1">
      <c r="A375" s="1065"/>
      <c r="B375" s="1065"/>
      <c r="C375" s="1144" t="s">
        <v>665</v>
      </c>
      <c r="D375" s="1692"/>
      <c r="E375" s="1692"/>
      <c r="F375" s="1692"/>
      <c r="G375" s="1692"/>
      <c r="H375" s="1791"/>
      <c r="I375" s="1791"/>
      <c r="J375" s="1811"/>
      <c r="K375" s="1811"/>
      <c r="L375" s="1811"/>
      <c r="M375" s="1812"/>
      <c r="N375" s="1812"/>
      <c r="O375" s="1812"/>
      <c r="P375" s="1812"/>
      <c r="Q375" s="1812"/>
      <c r="R375" s="1812"/>
      <c r="S375" s="1147"/>
      <c r="T375" s="1148"/>
      <c r="U375" s="1739"/>
      <c r="V375" s="1065"/>
      <c r="W375" s="1065"/>
      <c r="X375" s="1065"/>
      <c r="Y375" s="1065"/>
      <c r="Z375" s="1065"/>
      <c r="AA375" s="1065"/>
      <c r="AB375" s="1065"/>
      <c r="AC375" s="1065"/>
      <c r="AD375" s="1065"/>
      <c r="AE375" s="1065"/>
      <c r="AF375" s="1065"/>
      <c r="AG375" s="1065"/>
      <c r="AH375" s="1065"/>
      <c r="AI375" s="1065"/>
      <c r="AJ375" s="1065"/>
      <c r="AK375" s="1065"/>
      <c r="AL375" s="1065"/>
      <c r="AM375" s="1065"/>
      <c r="AN375" s="1065"/>
      <c r="AO375" s="1065"/>
      <c r="AP375" s="1065"/>
      <c r="AQ375" s="1065"/>
      <c r="AR375" s="1065"/>
      <c r="AS375" s="1065"/>
      <c r="AT375" s="1065"/>
      <c r="AU375" s="1065"/>
      <c r="AV375" s="1065"/>
      <c r="AW375" s="1065"/>
      <c r="AX375" s="1065"/>
      <c r="AY375" s="1065"/>
      <c r="AZ375" s="1065"/>
      <c r="BA375" s="1065"/>
      <c r="BB375" s="1065"/>
      <c r="BC375" s="1065"/>
      <c r="BD375" s="1065"/>
      <c r="BE375" s="1065"/>
      <c r="BF375" s="1065"/>
      <c r="BG375" s="1065"/>
      <c r="BH375" s="1065"/>
      <c r="BI375" s="1065"/>
      <c r="BJ375" s="1065"/>
      <c r="BK375" s="1065"/>
      <c r="BL375" s="1065"/>
      <c r="BM375" s="1065"/>
      <c r="BN375" s="1065"/>
      <c r="BO375" s="1065"/>
      <c r="BP375" s="1065"/>
      <c r="BQ375" s="1065"/>
      <c r="BR375" s="1065"/>
      <c r="BS375" s="1065"/>
      <c r="BT375" s="1065"/>
      <c r="BU375" s="1065"/>
      <c r="BV375" s="1065"/>
      <c r="BW375" s="1065"/>
      <c r="BX375" s="1065"/>
      <c r="BY375" s="1065"/>
      <c r="BZ375" s="1065"/>
      <c r="CA375" s="1065"/>
      <c r="CB375" s="1065"/>
      <c r="CC375" s="1065"/>
      <c r="CD375" s="1065"/>
      <c r="CE375" s="1065"/>
      <c r="CF375" s="1065"/>
      <c r="CG375" s="1065"/>
      <c r="CH375" s="1065"/>
      <c r="CI375" s="1065"/>
      <c r="CJ375" s="1065"/>
      <c r="CK375" s="1065"/>
      <c r="CL375" s="1065"/>
      <c r="CM375" s="1065"/>
      <c r="CN375" s="1065"/>
      <c r="CO375" s="1065"/>
      <c r="CP375" s="1065"/>
      <c r="CQ375" s="1065"/>
      <c r="CR375" s="1065"/>
      <c r="CS375" s="1065"/>
      <c r="CT375" s="1065"/>
      <c r="CU375" s="1065"/>
      <c r="CV375" s="1065"/>
      <c r="CW375" s="1065"/>
      <c r="CX375" s="1065"/>
      <c r="CY375" s="1065"/>
      <c r="CZ375" s="1065"/>
      <c r="DA375" s="1065"/>
      <c r="DB375" s="1065"/>
    </row>
    <row r="376" spans="1:106" ht="15" customHeight="1" thickBot="1">
      <c r="A376" s="1065"/>
      <c r="B376" s="1065"/>
      <c r="C376" s="1144" t="s">
        <v>112</v>
      </c>
      <c r="D376" s="1692"/>
      <c r="E376" s="1692"/>
      <c r="F376" s="1692"/>
      <c r="G376" s="1692"/>
      <c r="H376" s="1791"/>
      <c r="I376" s="1791"/>
      <c r="J376" s="1811"/>
      <c r="K376" s="1811"/>
      <c r="L376" s="1811"/>
      <c r="M376" s="1812"/>
      <c r="N376" s="1812"/>
      <c r="O376" s="1812"/>
      <c r="P376" s="1812"/>
      <c r="Q376" s="1812"/>
      <c r="R376" s="1812"/>
      <c r="S376" s="1147"/>
      <c r="T376" s="1148"/>
      <c r="U376" s="1739"/>
      <c r="V376" s="1065"/>
      <c r="W376" s="1065"/>
      <c r="X376" s="1065"/>
      <c r="Y376" s="1065"/>
      <c r="Z376" s="1065"/>
      <c r="AA376" s="1065"/>
      <c r="AB376" s="1065"/>
      <c r="AC376" s="1065"/>
      <c r="AD376" s="1065"/>
      <c r="AE376" s="1065"/>
      <c r="AF376" s="1065"/>
      <c r="AG376" s="1065"/>
      <c r="AH376" s="1065"/>
      <c r="AI376" s="1065"/>
      <c r="AJ376" s="1065"/>
      <c r="AK376" s="1065"/>
      <c r="AL376" s="1065"/>
      <c r="AM376" s="1065"/>
      <c r="AN376" s="1065"/>
      <c r="AO376" s="1065"/>
      <c r="AP376" s="1065"/>
      <c r="AQ376" s="1065"/>
      <c r="AR376" s="1065"/>
      <c r="AS376" s="1065"/>
      <c r="AT376" s="1065"/>
      <c r="AU376" s="1065"/>
      <c r="AV376" s="1065"/>
      <c r="AW376" s="1065"/>
      <c r="AX376" s="1065"/>
      <c r="AY376" s="1065"/>
      <c r="AZ376" s="1065"/>
      <c r="BA376" s="1065"/>
      <c r="BB376" s="1065"/>
      <c r="BC376" s="1065"/>
      <c r="BD376" s="1065"/>
      <c r="BE376" s="1065"/>
      <c r="BF376" s="1065"/>
      <c r="BG376" s="1065"/>
      <c r="BH376" s="1065"/>
      <c r="BI376" s="1065"/>
      <c r="BJ376" s="1065"/>
      <c r="BK376" s="1065"/>
      <c r="BL376" s="1065"/>
      <c r="BM376" s="1065"/>
      <c r="BN376" s="1065"/>
      <c r="BO376" s="1065"/>
      <c r="BP376" s="1065"/>
      <c r="BQ376" s="1065"/>
      <c r="BR376" s="1065"/>
      <c r="BS376" s="1065"/>
      <c r="BT376" s="1065"/>
      <c r="BU376" s="1065"/>
      <c r="BV376" s="1065"/>
      <c r="BW376" s="1065"/>
      <c r="BX376" s="1065"/>
      <c r="BY376" s="1065"/>
      <c r="BZ376" s="1065"/>
      <c r="CA376" s="1065"/>
      <c r="CB376" s="1065"/>
      <c r="CC376" s="1065"/>
      <c r="CD376" s="1065"/>
      <c r="CE376" s="1065"/>
      <c r="CF376" s="1065"/>
      <c r="CG376" s="1065"/>
      <c r="CH376" s="1065"/>
      <c r="CI376" s="1065"/>
      <c r="CJ376" s="1065"/>
      <c r="CK376" s="1065"/>
      <c r="CL376" s="1065"/>
      <c r="CM376" s="1065"/>
      <c r="CN376" s="1065"/>
      <c r="CO376" s="1065"/>
      <c r="CP376" s="1065"/>
      <c r="CQ376" s="1065"/>
      <c r="CR376" s="1065"/>
      <c r="CS376" s="1065"/>
      <c r="CT376" s="1065"/>
      <c r="CU376" s="1065"/>
      <c r="CV376" s="1065"/>
      <c r="CW376" s="1065"/>
      <c r="CX376" s="1065"/>
      <c r="CY376" s="1065"/>
      <c r="CZ376" s="1065"/>
      <c r="DA376" s="1065"/>
      <c r="DB376" s="1065"/>
    </row>
    <row r="377" spans="1:106" ht="15" customHeight="1" thickBot="1">
      <c r="A377" s="1065"/>
      <c r="B377" s="1065"/>
      <c r="C377" s="1144" t="s">
        <v>666</v>
      </c>
      <c r="D377" s="1692"/>
      <c r="E377" s="1692"/>
      <c r="F377" s="1692"/>
      <c r="G377" s="1692"/>
      <c r="H377" s="1791"/>
      <c r="I377" s="1791"/>
      <c r="J377" s="1811"/>
      <c r="K377" s="1811"/>
      <c r="L377" s="1811"/>
      <c r="M377" s="1812"/>
      <c r="N377" s="1812"/>
      <c r="O377" s="1812"/>
      <c r="P377" s="1812"/>
      <c r="Q377" s="1812"/>
      <c r="R377" s="1812"/>
      <c r="S377" s="1147"/>
      <c r="T377" s="1148"/>
      <c r="U377" s="1739"/>
      <c r="V377" s="1065"/>
      <c r="W377" s="1065"/>
      <c r="X377" s="1065"/>
      <c r="Y377" s="1065"/>
      <c r="Z377" s="1065"/>
      <c r="AA377" s="1065"/>
      <c r="AB377" s="1065"/>
      <c r="AC377" s="1065"/>
      <c r="AD377" s="1065"/>
      <c r="AE377" s="1065"/>
      <c r="AF377" s="1065"/>
      <c r="AG377" s="1065"/>
      <c r="AH377" s="1065"/>
      <c r="AI377" s="1065"/>
      <c r="AJ377" s="1065"/>
      <c r="AK377" s="1065"/>
      <c r="AL377" s="1065"/>
      <c r="AM377" s="1065"/>
      <c r="AN377" s="1065"/>
      <c r="AO377" s="1065"/>
      <c r="AP377" s="1065"/>
      <c r="AQ377" s="1065"/>
      <c r="AR377" s="1065"/>
      <c r="AS377" s="1065"/>
      <c r="AT377" s="1065"/>
      <c r="AU377" s="1065"/>
      <c r="AV377" s="1065"/>
      <c r="AW377" s="1065"/>
      <c r="AX377" s="1065"/>
      <c r="AY377" s="1065"/>
      <c r="AZ377" s="1065"/>
      <c r="BA377" s="1065"/>
      <c r="BB377" s="1065"/>
      <c r="BC377" s="1065"/>
      <c r="BD377" s="1065"/>
      <c r="BE377" s="1065"/>
      <c r="BF377" s="1065"/>
      <c r="BG377" s="1065"/>
      <c r="BH377" s="1065"/>
      <c r="BI377" s="1065"/>
      <c r="BJ377" s="1065"/>
      <c r="BK377" s="1065"/>
      <c r="BL377" s="1065"/>
      <c r="BM377" s="1065"/>
      <c r="BN377" s="1065"/>
      <c r="BO377" s="1065"/>
      <c r="BP377" s="1065"/>
      <c r="BQ377" s="1065"/>
      <c r="BR377" s="1065"/>
      <c r="BS377" s="1065"/>
      <c r="BT377" s="1065"/>
      <c r="BU377" s="1065"/>
      <c r="BV377" s="1065"/>
      <c r="BW377" s="1065"/>
      <c r="BX377" s="1065"/>
      <c r="BY377" s="1065"/>
      <c r="BZ377" s="1065"/>
      <c r="CA377" s="1065"/>
      <c r="CB377" s="1065"/>
      <c r="CC377" s="1065"/>
      <c r="CD377" s="1065"/>
      <c r="CE377" s="1065"/>
      <c r="CF377" s="1065"/>
      <c r="CG377" s="1065"/>
      <c r="CH377" s="1065"/>
      <c r="CI377" s="1065"/>
      <c r="CJ377" s="1065"/>
      <c r="CK377" s="1065"/>
      <c r="CL377" s="1065"/>
      <c r="CM377" s="1065"/>
      <c r="CN377" s="1065"/>
      <c r="CO377" s="1065"/>
      <c r="CP377" s="1065"/>
      <c r="CQ377" s="1065"/>
      <c r="CR377" s="1065"/>
      <c r="CS377" s="1065"/>
      <c r="CT377" s="1065"/>
      <c r="CU377" s="1065"/>
      <c r="CV377" s="1065"/>
      <c r="CW377" s="1065"/>
      <c r="CX377" s="1065"/>
      <c r="CY377" s="1065"/>
      <c r="CZ377" s="1065"/>
      <c r="DA377" s="1065"/>
      <c r="DB377" s="1065"/>
    </row>
    <row r="378" spans="1:106" ht="15" customHeight="1" thickBot="1">
      <c r="A378" s="1065"/>
      <c r="B378" s="1065"/>
      <c r="C378" s="1144" t="s">
        <v>667</v>
      </c>
      <c r="D378" s="1692"/>
      <c r="E378" s="1692"/>
      <c r="F378" s="1692"/>
      <c r="G378" s="1692"/>
      <c r="H378" s="1791"/>
      <c r="I378" s="1791"/>
      <c r="J378" s="1811"/>
      <c r="K378" s="1811"/>
      <c r="L378" s="1811"/>
      <c r="M378" s="1812"/>
      <c r="N378" s="1812"/>
      <c r="O378" s="1812"/>
      <c r="P378" s="1812"/>
      <c r="Q378" s="1812"/>
      <c r="R378" s="1812"/>
      <c r="S378" s="1147"/>
      <c r="T378" s="1148"/>
      <c r="U378" s="1739"/>
      <c r="V378" s="1065"/>
      <c r="W378" s="1065"/>
      <c r="X378" s="1065"/>
      <c r="Y378" s="1065"/>
      <c r="Z378" s="1065"/>
      <c r="AA378" s="1065"/>
      <c r="AB378" s="1065"/>
      <c r="AC378" s="1065"/>
      <c r="AD378" s="1065"/>
      <c r="AE378" s="1065"/>
      <c r="AF378" s="1065"/>
      <c r="AG378" s="1065"/>
      <c r="AH378" s="1065"/>
      <c r="AI378" s="1065"/>
      <c r="AJ378" s="1065"/>
      <c r="AK378" s="1065"/>
      <c r="AL378" s="1065"/>
      <c r="AM378" s="1065"/>
      <c r="AN378" s="1065"/>
      <c r="AO378" s="1065"/>
      <c r="AP378" s="1065"/>
      <c r="AQ378" s="1065"/>
      <c r="AR378" s="1065"/>
      <c r="AS378" s="1065"/>
      <c r="AT378" s="1065"/>
      <c r="AU378" s="1065"/>
      <c r="AV378" s="1065"/>
      <c r="AW378" s="1065"/>
      <c r="AX378" s="1065"/>
      <c r="AY378" s="1065"/>
      <c r="AZ378" s="1065"/>
      <c r="BA378" s="1065"/>
      <c r="BB378" s="1065"/>
      <c r="BC378" s="1065"/>
      <c r="BD378" s="1065"/>
      <c r="BE378" s="1065"/>
      <c r="BF378" s="1065"/>
      <c r="BG378" s="1065"/>
      <c r="BH378" s="1065"/>
      <c r="BI378" s="1065"/>
      <c r="BJ378" s="1065"/>
      <c r="BK378" s="1065"/>
      <c r="BL378" s="1065"/>
      <c r="BM378" s="1065"/>
      <c r="BN378" s="1065"/>
      <c r="BO378" s="1065"/>
      <c r="BP378" s="1065"/>
      <c r="BQ378" s="1065"/>
      <c r="BR378" s="1065"/>
      <c r="BS378" s="1065"/>
      <c r="BT378" s="1065"/>
      <c r="BU378" s="1065"/>
      <c r="BV378" s="1065"/>
      <c r="BW378" s="1065"/>
      <c r="BX378" s="1065"/>
      <c r="BY378" s="1065"/>
      <c r="BZ378" s="1065"/>
      <c r="CA378" s="1065"/>
      <c r="CB378" s="1065"/>
      <c r="CC378" s="1065"/>
      <c r="CD378" s="1065"/>
      <c r="CE378" s="1065"/>
      <c r="CF378" s="1065"/>
      <c r="CG378" s="1065"/>
      <c r="CH378" s="1065"/>
      <c r="CI378" s="1065"/>
      <c r="CJ378" s="1065"/>
      <c r="CK378" s="1065"/>
      <c r="CL378" s="1065"/>
      <c r="CM378" s="1065"/>
      <c r="CN378" s="1065"/>
      <c r="CO378" s="1065"/>
      <c r="CP378" s="1065"/>
      <c r="CQ378" s="1065"/>
      <c r="CR378" s="1065"/>
      <c r="CS378" s="1065"/>
      <c r="CT378" s="1065"/>
      <c r="CU378" s="1065"/>
      <c r="CV378" s="1065"/>
      <c r="CW378" s="1065"/>
      <c r="CX378" s="1065"/>
      <c r="CY378" s="1065"/>
      <c r="CZ378" s="1065"/>
      <c r="DA378" s="1065"/>
      <c r="DB378" s="1065"/>
    </row>
    <row r="379" spans="1:106" ht="15" customHeight="1" thickBot="1">
      <c r="A379" s="1065"/>
      <c r="B379" s="1065"/>
      <c r="C379" s="1144" t="s">
        <v>108</v>
      </c>
      <c r="D379" s="1692"/>
      <c r="E379" s="1692"/>
      <c r="F379" s="1692"/>
      <c r="G379" s="1692"/>
      <c r="H379" s="1791"/>
      <c r="I379" s="1791"/>
      <c r="J379" s="1811"/>
      <c r="K379" s="1811"/>
      <c r="L379" s="1811"/>
      <c r="M379" s="1812"/>
      <c r="N379" s="1812"/>
      <c r="O379" s="1812"/>
      <c r="P379" s="1812"/>
      <c r="Q379" s="1812"/>
      <c r="R379" s="1812"/>
      <c r="S379" s="1147"/>
      <c r="T379" s="1148"/>
      <c r="U379" s="1739"/>
      <c r="V379" s="1065"/>
      <c r="W379" s="1065"/>
      <c r="X379" s="1065"/>
      <c r="Y379" s="1065"/>
      <c r="Z379" s="1065"/>
      <c r="AA379" s="1065"/>
      <c r="AB379" s="1065"/>
      <c r="AC379" s="1065"/>
      <c r="AD379" s="1065"/>
      <c r="AE379" s="1065"/>
      <c r="AF379" s="1065"/>
      <c r="AG379" s="1065"/>
      <c r="AH379" s="1065"/>
      <c r="AI379" s="1065"/>
      <c r="AJ379" s="1065"/>
      <c r="AK379" s="1065"/>
      <c r="AL379" s="1065"/>
      <c r="AM379" s="1065"/>
      <c r="AN379" s="1065"/>
      <c r="AO379" s="1065"/>
      <c r="AP379" s="1065"/>
      <c r="AQ379" s="1065"/>
      <c r="AR379" s="1065"/>
      <c r="AS379" s="1065"/>
      <c r="AT379" s="1065"/>
      <c r="AU379" s="1065"/>
      <c r="AV379" s="1065"/>
      <c r="AW379" s="1065"/>
      <c r="AX379" s="1065"/>
      <c r="AY379" s="1065"/>
      <c r="AZ379" s="1065"/>
      <c r="BA379" s="1065"/>
      <c r="BB379" s="1065"/>
      <c r="BC379" s="1065"/>
      <c r="BD379" s="1065"/>
      <c r="BE379" s="1065"/>
      <c r="BF379" s="1065"/>
      <c r="BG379" s="1065"/>
      <c r="BH379" s="1065"/>
      <c r="BI379" s="1065"/>
      <c r="BJ379" s="1065"/>
      <c r="BK379" s="1065"/>
      <c r="BL379" s="1065"/>
      <c r="BM379" s="1065"/>
      <c r="BN379" s="1065"/>
      <c r="BO379" s="1065"/>
      <c r="BP379" s="1065"/>
      <c r="BQ379" s="1065"/>
      <c r="BR379" s="1065"/>
      <c r="BS379" s="1065"/>
      <c r="BT379" s="1065"/>
      <c r="BU379" s="1065"/>
      <c r="BV379" s="1065"/>
      <c r="BW379" s="1065"/>
      <c r="BX379" s="1065"/>
      <c r="BY379" s="1065"/>
      <c r="BZ379" s="1065"/>
      <c r="CA379" s="1065"/>
      <c r="CB379" s="1065"/>
      <c r="CC379" s="1065"/>
      <c r="CD379" s="1065"/>
      <c r="CE379" s="1065"/>
      <c r="CF379" s="1065"/>
      <c r="CG379" s="1065"/>
      <c r="CH379" s="1065"/>
      <c r="CI379" s="1065"/>
      <c r="CJ379" s="1065"/>
      <c r="CK379" s="1065"/>
      <c r="CL379" s="1065"/>
      <c r="CM379" s="1065"/>
      <c r="CN379" s="1065"/>
      <c r="CO379" s="1065"/>
      <c r="CP379" s="1065"/>
      <c r="CQ379" s="1065"/>
      <c r="CR379" s="1065"/>
      <c r="CS379" s="1065"/>
      <c r="CT379" s="1065"/>
      <c r="CU379" s="1065"/>
      <c r="CV379" s="1065"/>
      <c r="CW379" s="1065"/>
      <c r="CX379" s="1065"/>
      <c r="CY379" s="1065"/>
      <c r="CZ379" s="1065"/>
      <c r="DA379" s="1065"/>
      <c r="DB379" s="1065"/>
    </row>
    <row r="380" spans="1:106" ht="15" customHeight="1" thickBot="1">
      <c r="A380" s="1065"/>
      <c r="B380" s="1065"/>
      <c r="C380" s="1144" t="s">
        <v>668</v>
      </c>
      <c r="D380" s="1692"/>
      <c r="E380" s="1692"/>
      <c r="F380" s="1692"/>
      <c r="G380" s="1692"/>
      <c r="H380" s="1791"/>
      <c r="I380" s="1791"/>
      <c r="J380" s="1811"/>
      <c r="K380" s="1811"/>
      <c r="L380" s="1811"/>
      <c r="M380" s="1812"/>
      <c r="N380" s="1812"/>
      <c r="O380" s="1812"/>
      <c r="P380" s="1812"/>
      <c r="Q380" s="1812"/>
      <c r="R380" s="1812"/>
      <c r="S380" s="1147"/>
      <c r="T380" s="1148"/>
      <c r="U380" s="1739"/>
      <c r="V380" s="1065"/>
      <c r="W380" s="1065"/>
      <c r="X380" s="1065"/>
      <c r="Y380" s="1065"/>
      <c r="Z380" s="1065"/>
      <c r="AA380" s="1065"/>
      <c r="AB380" s="1065"/>
      <c r="AC380" s="1065"/>
      <c r="AD380" s="1065"/>
      <c r="AE380" s="1065"/>
      <c r="AF380" s="1065"/>
      <c r="AG380" s="1065"/>
      <c r="AH380" s="1065"/>
      <c r="AI380" s="1065"/>
      <c r="AJ380" s="1065"/>
      <c r="AK380" s="1065"/>
      <c r="AL380" s="1065"/>
      <c r="AM380" s="1065"/>
      <c r="AN380" s="1065"/>
      <c r="AO380" s="1065"/>
      <c r="AP380" s="1065"/>
      <c r="AQ380" s="1065"/>
      <c r="AR380" s="1065"/>
      <c r="AS380" s="1065"/>
      <c r="AT380" s="1065"/>
      <c r="AU380" s="1065"/>
      <c r="AV380" s="1065"/>
      <c r="AW380" s="1065"/>
      <c r="AX380" s="1065"/>
      <c r="AY380" s="1065"/>
      <c r="AZ380" s="1065"/>
      <c r="BA380" s="1065"/>
      <c r="BB380" s="1065"/>
      <c r="BC380" s="1065"/>
      <c r="BD380" s="1065"/>
      <c r="BE380" s="1065"/>
      <c r="BF380" s="1065"/>
      <c r="BG380" s="1065"/>
      <c r="BH380" s="1065"/>
      <c r="BI380" s="1065"/>
      <c r="BJ380" s="1065"/>
      <c r="BK380" s="1065"/>
      <c r="BL380" s="1065"/>
      <c r="BM380" s="1065"/>
      <c r="BN380" s="1065"/>
      <c r="BO380" s="1065"/>
      <c r="BP380" s="1065"/>
      <c r="BQ380" s="1065"/>
      <c r="BR380" s="1065"/>
      <c r="BS380" s="1065"/>
      <c r="BT380" s="1065"/>
      <c r="BU380" s="1065"/>
      <c r="BV380" s="1065"/>
      <c r="BW380" s="1065"/>
      <c r="BX380" s="1065"/>
      <c r="BY380" s="1065"/>
      <c r="BZ380" s="1065"/>
      <c r="CA380" s="1065"/>
      <c r="CB380" s="1065"/>
      <c r="CC380" s="1065"/>
      <c r="CD380" s="1065"/>
      <c r="CE380" s="1065"/>
      <c r="CF380" s="1065"/>
      <c r="CG380" s="1065"/>
      <c r="CH380" s="1065"/>
      <c r="CI380" s="1065"/>
      <c r="CJ380" s="1065"/>
      <c r="CK380" s="1065"/>
      <c r="CL380" s="1065"/>
      <c r="CM380" s="1065"/>
      <c r="CN380" s="1065"/>
      <c r="CO380" s="1065"/>
      <c r="CP380" s="1065"/>
      <c r="CQ380" s="1065"/>
      <c r="CR380" s="1065"/>
      <c r="CS380" s="1065"/>
      <c r="CT380" s="1065"/>
      <c r="CU380" s="1065"/>
      <c r="CV380" s="1065"/>
      <c r="CW380" s="1065"/>
      <c r="CX380" s="1065"/>
      <c r="CY380" s="1065"/>
      <c r="CZ380" s="1065"/>
      <c r="DA380" s="1065"/>
      <c r="DB380" s="1065"/>
    </row>
    <row r="381" spans="1:106" ht="15" customHeight="1" thickBot="1">
      <c r="A381" s="1065"/>
      <c r="B381" s="1065"/>
      <c r="C381" s="1144" t="s">
        <v>109</v>
      </c>
      <c r="D381" s="1692"/>
      <c r="E381" s="1692"/>
      <c r="F381" s="1692"/>
      <c r="G381" s="1692"/>
      <c r="H381" s="1791"/>
      <c r="I381" s="1791"/>
      <c r="J381" s="1811"/>
      <c r="K381" s="1811"/>
      <c r="L381" s="1811"/>
      <c r="M381" s="1812"/>
      <c r="N381" s="1812"/>
      <c r="O381" s="1812"/>
      <c r="P381" s="1812"/>
      <c r="Q381" s="1812"/>
      <c r="R381" s="1812"/>
      <c r="S381" s="1147"/>
      <c r="T381" s="1148"/>
      <c r="U381" s="1739"/>
      <c r="V381" s="1065"/>
      <c r="W381" s="1065"/>
      <c r="X381" s="1065"/>
      <c r="Y381" s="1065"/>
      <c r="Z381" s="1065"/>
      <c r="AA381" s="1065"/>
      <c r="AB381" s="1065"/>
      <c r="AC381" s="1065"/>
      <c r="AD381" s="1065"/>
      <c r="AE381" s="1065"/>
      <c r="AF381" s="1065"/>
      <c r="AG381" s="1065"/>
      <c r="AH381" s="1065"/>
      <c r="AI381" s="1065"/>
      <c r="AJ381" s="1065"/>
      <c r="AK381" s="1065"/>
      <c r="AL381" s="1065"/>
      <c r="AM381" s="1065"/>
      <c r="AN381" s="1065"/>
      <c r="AO381" s="1065"/>
      <c r="AP381" s="1065"/>
      <c r="AQ381" s="1065"/>
      <c r="AR381" s="1065"/>
      <c r="AS381" s="1065"/>
      <c r="AT381" s="1065"/>
      <c r="AU381" s="1065"/>
      <c r="AV381" s="1065"/>
      <c r="AW381" s="1065"/>
      <c r="AX381" s="1065"/>
      <c r="AY381" s="1065"/>
      <c r="AZ381" s="1065"/>
      <c r="BA381" s="1065"/>
      <c r="BB381" s="1065"/>
      <c r="BC381" s="1065"/>
      <c r="BD381" s="1065"/>
      <c r="BE381" s="1065"/>
      <c r="BF381" s="1065"/>
      <c r="BG381" s="1065"/>
      <c r="BH381" s="1065"/>
      <c r="BI381" s="1065"/>
      <c r="BJ381" s="1065"/>
      <c r="BK381" s="1065"/>
      <c r="BL381" s="1065"/>
      <c r="BM381" s="1065"/>
      <c r="BN381" s="1065"/>
      <c r="BO381" s="1065"/>
      <c r="BP381" s="1065"/>
      <c r="BQ381" s="1065"/>
      <c r="BR381" s="1065"/>
      <c r="BS381" s="1065"/>
      <c r="BT381" s="1065"/>
      <c r="BU381" s="1065"/>
      <c r="BV381" s="1065"/>
      <c r="BW381" s="1065"/>
      <c r="BX381" s="1065"/>
      <c r="BY381" s="1065"/>
      <c r="BZ381" s="1065"/>
      <c r="CA381" s="1065"/>
      <c r="CB381" s="1065"/>
      <c r="CC381" s="1065"/>
      <c r="CD381" s="1065"/>
      <c r="CE381" s="1065"/>
      <c r="CF381" s="1065"/>
      <c r="CG381" s="1065"/>
      <c r="CH381" s="1065"/>
      <c r="CI381" s="1065"/>
      <c r="CJ381" s="1065"/>
      <c r="CK381" s="1065"/>
      <c r="CL381" s="1065"/>
      <c r="CM381" s="1065"/>
      <c r="CN381" s="1065"/>
      <c r="CO381" s="1065"/>
      <c r="CP381" s="1065"/>
      <c r="CQ381" s="1065"/>
      <c r="CR381" s="1065"/>
      <c r="CS381" s="1065"/>
      <c r="CT381" s="1065"/>
      <c r="CU381" s="1065"/>
      <c r="CV381" s="1065"/>
      <c r="CW381" s="1065"/>
      <c r="CX381" s="1065"/>
      <c r="CY381" s="1065"/>
      <c r="CZ381" s="1065"/>
      <c r="DA381" s="1065"/>
      <c r="DB381" s="1065"/>
    </row>
    <row r="382" spans="1:106" ht="15" customHeight="1" thickBot="1">
      <c r="A382" s="1065"/>
      <c r="B382" s="1065"/>
      <c r="C382" s="1144" t="s">
        <v>488</v>
      </c>
      <c r="D382" s="1692"/>
      <c r="E382" s="1692"/>
      <c r="F382" s="1692"/>
      <c r="G382" s="1692"/>
      <c r="H382" s="1791"/>
      <c r="I382" s="1791"/>
      <c r="J382" s="1811"/>
      <c r="K382" s="1811"/>
      <c r="L382" s="1811"/>
      <c r="M382" s="1812"/>
      <c r="N382" s="1812"/>
      <c r="O382" s="1812"/>
      <c r="P382" s="1812"/>
      <c r="Q382" s="1812"/>
      <c r="R382" s="1812"/>
      <c r="S382" s="1147"/>
      <c r="T382" s="1148"/>
      <c r="U382" s="1739"/>
      <c r="V382" s="1065"/>
      <c r="W382" s="1065"/>
      <c r="X382" s="1065"/>
      <c r="Y382" s="1065"/>
      <c r="Z382" s="1065"/>
      <c r="AA382" s="1065"/>
      <c r="AB382" s="1065"/>
      <c r="AC382" s="1065"/>
      <c r="AD382" s="1065"/>
      <c r="AE382" s="1065"/>
      <c r="AF382" s="1065"/>
      <c r="AG382" s="1065"/>
      <c r="AH382" s="1065"/>
      <c r="AI382" s="1065"/>
      <c r="AJ382" s="1065"/>
      <c r="AK382" s="1065"/>
      <c r="AL382" s="1065"/>
      <c r="AM382" s="1065"/>
      <c r="AN382" s="1065"/>
      <c r="AO382" s="1065"/>
      <c r="AP382" s="1065"/>
      <c r="AQ382" s="1065"/>
      <c r="AR382" s="1065"/>
      <c r="AS382" s="1065"/>
      <c r="AT382" s="1065"/>
      <c r="AU382" s="1065"/>
      <c r="AV382" s="1065"/>
      <c r="AW382" s="1065"/>
      <c r="AX382" s="1065"/>
      <c r="AY382" s="1065"/>
      <c r="AZ382" s="1065"/>
      <c r="BA382" s="1065"/>
      <c r="BB382" s="1065"/>
      <c r="BC382" s="1065"/>
      <c r="BD382" s="1065"/>
      <c r="BE382" s="1065"/>
      <c r="BF382" s="1065"/>
      <c r="BG382" s="1065"/>
      <c r="BH382" s="1065"/>
      <c r="BI382" s="1065"/>
      <c r="BJ382" s="1065"/>
      <c r="BK382" s="1065"/>
      <c r="BL382" s="1065"/>
      <c r="BM382" s="1065"/>
      <c r="BN382" s="1065"/>
      <c r="BO382" s="1065"/>
      <c r="BP382" s="1065"/>
      <c r="BQ382" s="1065"/>
      <c r="BR382" s="1065"/>
      <c r="BS382" s="1065"/>
      <c r="BT382" s="1065"/>
      <c r="BU382" s="1065"/>
      <c r="BV382" s="1065"/>
      <c r="BW382" s="1065"/>
      <c r="BX382" s="1065"/>
      <c r="BY382" s="1065"/>
      <c r="BZ382" s="1065"/>
      <c r="CA382" s="1065"/>
      <c r="CB382" s="1065"/>
      <c r="CC382" s="1065"/>
      <c r="CD382" s="1065"/>
      <c r="CE382" s="1065"/>
      <c r="CF382" s="1065"/>
      <c r="CG382" s="1065"/>
      <c r="CH382" s="1065"/>
      <c r="CI382" s="1065"/>
      <c r="CJ382" s="1065"/>
      <c r="CK382" s="1065"/>
      <c r="CL382" s="1065"/>
      <c r="CM382" s="1065"/>
      <c r="CN382" s="1065"/>
      <c r="CO382" s="1065"/>
      <c r="CP382" s="1065"/>
      <c r="CQ382" s="1065"/>
      <c r="CR382" s="1065"/>
      <c r="CS382" s="1065"/>
      <c r="CT382" s="1065"/>
      <c r="CU382" s="1065"/>
      <c r="CV382" s="1065"/>
      <c r="CW382" s="1065"/>
      <c r="CX382" s="1065"/>
      <c r="CY382" s="1065"/>
      <c r="CZ382" s="1065"/>
      <c r="DA382" s="1065"/>
      <c r="DB382" s="1065"/>
    </row>
    <row r="383" spans="1:106" ht="15" customHeight="1" thickBot="1">
      <c r="A383" s="1065"/>
      <c r="B383" s="1065"/>
      <c r="C383" s="1144" t="s">
        <v>669</v>
      </c>
      <c r="D383" s="1692"/>
      <c r="E383" s="1692"/>
      <c r="F383" s="1692"/>
      <c r="G383" s="1692"/>
      <c r="H383" s="1791"/>
      <c r="I383" s="1791"/>
      <c r="J383" s="1811"/>
      <c r="K383" s="1811"/>
      <c r="L383" s="1811"/>
      <c r="M383" s="1812"/>
      <c r="N383" s="1812"/>
      <c r="O383" s="1812"/>
      <c r="P383" s="1812"/>
      <c r="Q383" s="1812"/>
      <c r="R383" s="1812"/>
      <c r="S383" s="1147"/>
      <c r="T383" s="1148"/>
      <c r="U383" s="1739"/>
      <c r="V383" s="1065"/>
      <c r="W383" s="1065"/>
      <c r="X383" s="1065"/>
      <c r="Y383" s="1065"/>
      <c r="Z383" s="1065"/>
      <c r="AA383" s="1065"/>
      <c r="AB383" s="1065"/>
      <c r="AC383" s="1065"/>
      <c r="AD383" s="1065"/>
      <c r="AE383" s="1065"/>
      <c r="AF383" s="1065"/>
      <c r="AG383" s="1065"/>
      <c r="AH383" s="1065"/>
      <c r="AI383" s="1065"/>
      <c r="AJ383" s="1065"/>
      <c r="AK383" s="1065"/>
      <c r="AL383" s="1065"/>
      <c r="AM383" s="1065"/>
      <c r="AN383" s="1065"/>
      <c r="AO383" s="1065"/>
      <c r="AP383" s="1065"/>
      <c r="AQ383" s="1065"/>
      <c r="AR383" s="1065"/>
      <c r="AS383" s="1065"/>
      <c r="AT383" s="1065"/>
      <c r="AU383" s="1065"/>
      <c r="AV383" s="1065"/>
      <c r="AW383" s="1065"/>
      <c r="AX383" s="1065"/>
      <c r="AY383" s="1065"/>
      <c r="AZ383" s="1065"/>
      <c r="BA383" s="1065"/>
      <c r="BB383" s="1065"/>
      <c r="BC383" s="1065"/>
      <c r="BD383" s="1065"/>
      <c r="BE383" s="1065"/>
      <c r="BF383" s="1065"/>
      <c r="BG383" s="1065"/>
      <c r="BH383" s="1065"/>
      <c r="BI383" s="1065"/>
      <c r="BJ383" s="1065"/>
      <c r="BK383" s="1065"/>
      <c r="BL383" s="1065"/>
      <c r="BM383" s="1065"/>
      <c r="BN383" s="1065"/>
      <c r="BO383" s="1065"/>
      <c r="BP383" s="1065"/>
      <c r="BQ383" s="1065"/>
      <c r="BR383" s="1065"/>
      <c r="BS383" s="1065"/>
      <c r="BT383" s="1065"/>
      <c r="BU383" s="1065"/>
      <c r="BV383" s="1065"/>
      <c r="BW383" s="1065"/>
      <c r="BX383" s="1065"/>
      <c r="BY383" s="1065"/>
      <c r="BZ383" s="1065"/>
      <c r="CA383" s="1065"/>
      <c r="CB383" s="1065"/>
      <c r="CC383" s="1065"/>
      <c r="CD383" s="1065"/>
      <c r="CE383" s="1065"/>
      <c r="CF383" s="1065"/>
      <c r="CG383" s="1065"/>
      <c r="CH383" s="1065"/>
      <c r="CI383" s="1065"/>
      <c r="CJ383" s="1065"/>
      <c r="CK383" s="1065"/>
      <c r="CL383" s="1065"/>
      <c r="CM383" s="1065"/>
      <c r="CN383" s="1065"/>
      <c r="CO383" s="1065"/>
      <c r="CP383" s="1065"/>
      <c r="CQ383" s="1065"/>
      <c r="CR383" s="1065"/>
      <c r="CS383" s="1065"/>
      <c r="CT383" s="1065"/>
      <c r="CU383" s="1065"/>
      <c r="CV383" s="1065"/>
      <c r="CW383" s="1065"/>
      <c r="CX383" s="1065"/>
      <c r="CY383" s="1065"/>
      <c r="CZ383" s="1065"/>
      <c r="DA383" s="1065"/>
      <c r="DB383" s="1065"/>
    </row>
    <row r="384" spans="1:106" ht="15" customHeight="1" thickBot="1">
      <c r="A384" s="1065"/>
      <c r="B384" s="1065"/>
      <c r="C384" s="1149" t="s">
        <v>670</v>
      </c>
      <c r="D384" s="1692"/>
      <c r="E384" s="1692"/>
      <c r="F384" s="1692"/>
      <c r="G384" s="1692"/>
      <c r="H384" s="1791"/>
      <c r="I384" s="1791"/>
      <c r="J384" s="1811"/>
      <c r="K384" s="1811"/>
      <c r="L384" s="1811"/>
      <c r="M384" s="1812"/>
      <c r="N384" s="1812"/>
      <c r="O384" s="1812"/>
      <c r="P384" s="1812"/>
      <c r="Q384" s="1812"/>
      <c r="R384" s="1812"/>
      <c r="S384" s="1150"/>
      <c r="T384" s="1151"/>
      <c r="U384" s="1739"/>
      <c r="V384" s="1065"/>
      <c r="W384" s="1065"/>
      <c r="X384" s="1065"/>
      <c r="Y384" s="1065"/>
      <c r="Z384" s="1065"/>
      <c r="AA384" s="1065"/>
      <c r="AB384" s="1065"/>
      <c r="AC384" s="1065"/>
      <c r="AD384" s="1065"/>
      <c r="AE384" s="1065"/>
      <c r="AF384" s="1065"/>
      <c r="AG384" s="1065"/>
      <c r="AH384" s="1065"/>
      <c r="AI384" s="1065"/>
      <c r="AJ384" s="1065"/>
      <c r="AK384" s="1065"/>
      <c r="AL384" s="1065"/>
      <c r="AM384" s="1065"/>
      <c r="AN384" s="1065"/>
      <c r="AO384" s="1065"/>
      <c r="AP384" s="1065"/>
      <c r="AQ384" s="1065"/>
      <c r="AR384" s="1065"/>
      <c r="AS384" s="1065"/>
      <c r="AT384" s="1065"/>
      <c r="AU384" s="1065"/>
      <c r="AV384" s="1065"/>
      <c r="AW384" s="1065"/>
      <c r="AX384" s="1065"/>
      <c r="AY384" s="1065"/>
      <c r="AZ384" s="1065"/>
      <c r="BA384" s="1065"/>
      <c r="BB384" s="1065"/>
      <c r="BC384" s="1065"/>
      <c r="BD384" s="1065"/>
      <c r="BE384" s="1065"/>
      <c r="BF384" s="1065"/>
      <c r="BG384" s="1065"/>
      <c r="BH384" s="1065"/>
      <c r="BI384" s="1065"/>
      <c r="BJ384" s="1065"/>
      <c r="BK384" s="1065"/>
      <c r="BL384" s="1065"/>
      <c r="BM384" s="1065"/>
      <c r="BN384" s="1065"/>
      <c r="BO384" s="1065"/>
      <c r="BP384" s="1065"/>
      <c r="BQ384" s="1065"/>
      <c r="BR384" s="1065"/>
      <c r="BS384" s="1065"/>
      <c r="BT384" s="1065"/>
      <c r="BU384" s="1065"/>
      <c r="BV384" s="1065"/>
      <c r="BW384" s="1065"/>
      <c r="BX384" s="1065"/>
      <c r="BY384" s="1065"/>
      <c r="BZ384" s="1065"/>
      <c r="CA384" s="1065"/>
      <c r="CB384" s="1065"/>
      <c r="CC384" s="1065"/>
      <c r="CD384" s="1065"/>
      <c r="CE384" s="1065"/>
      <c r="CF384" s="1065"/>
      <c r="CG384" s="1065"/>
      <c r="CH384" s="1065"/>
      <c r="CI384" s="1065"/>
      <c r="CJ384" s="1065"/>
      <c r="CK384" s="1065"/>
      <c r="CL384" s="1065"/>
      <c r="CM384" s="1065"/>
      <c r="CN384" s="1065"/>
      <c r="CO384" s="1065"/>
      <c r="CP384" s="1065"/>
      <c r="CQ384" s="1065"/>
      <c r="CR384" s="1065"/>
      <c r="CS384" s="1065"/>
      <c r="CT384" s="1065"/>
      <c r="CU384" s="1065"/>
      <c r="CV384" s="1065"/>
      <c r="CW384" s="1065"/>
      <c r="CX384" s="1065"/>
      <c r="CY384" s="1065"/>
      <c r="CZ384" s="1065"/>
      <c r="DA384" s="1065"/>
      <c r="DB384" s="1065"/>
    </row>
    <row r="385" spans="1:106" ht="15" customHeight="1" thickBot="1">
      <c r="A385" s="1065"/>
      <c r="B385" s="1065"/>
      <c r="C385" s="1152" t="s">
        <v>304</v>
      </c>
      <c r="D385" s="1786" t="s">
        <v>700</v>
      </c>
      <c r="E385" s="1786"/>
      <c r="F385" s="1786"/>
      <c r="G385" s="1786"/>
      <c r="H385" s="1787" t="s">
        <v>671</v>
      </c>
      <c r="I385" s="1787"/>
      <c r="J385" s="1810" t="s">
        <v>819</v>
      </c>
      <c r="K385" s="1810"/>
      <c r="L385" s="1810"/>
      <c r="M385" s="1810" t="s">
        <v>818</v>
      </c>
      <c r="N385" s="1810"/>
      <c r="O385" s="1810"/>
      <c r="P385" s="1810"/>
      <c r="Q385" s="1810"/>
      <c r="R385" s="1810"/>
      <c r="S385" s="1153"/>
      <c r="T385" s="1154"/>
      <c r="U385" s="1805">
        <v>0</v>
      </c>
      <c r="V385" s="1065"/>
      <c r="W385" s="1065"/>
      <c r="X385" s="1065"/>
      <c r="Y385" s="1065"/>
      <c r="Z385" s="1065"/>
      <c r="AA385" s="1065"/>
      <c r="AB385" s="1065"/>
      <c r="AC385" s="1065"/>
      <c r="AD385" s="1065"/>
      <c r="AE385" s="1065"/>
      <c r="AF385" s="1065"/>
      <c r="AG385" s="1065"/>
      <c r="AH385" s="1065"/>
      <c r="AI385" s="1065"/>
      <c r="AJ385" s="1065"/>
      <c r="AK385" s="1065"/>
      <c r="AL385" s="1065"/>
      <c r="AM385" s="1065"/>
      <c r="AN385" s="1065"/>
      <c r="AO385" s="1065"/>
      <c r="AP385" s="1065"/>
      <c r="AQ385" s="1065"/>
      <c r="AR385" s="1065"/>
      <c r="AS385" s="1065"/>
      <c r="AT385" s="1065"/>
      <c r="AU385" s="1065"/>
      <c r="AV385" s="1065"/>
      <c r="AW385" s="1065"/>
      <c r="AX385" s="1065"/>
      <c r="AY385" s="1065"/>
      <c r="AZ385" s="1065"/>
      <c r="BA385" s="1065"/>
      <c r="BB385" s="1065"/>
      <c r="BC385" s="1065"/>
      <c r="BD385" s="1065"/>
      <c r="BE385" s="1065"/>
      <c r="BF385" s="1065"/>
      <c r="BG385" s="1065"/>
      <c r="BH385" s="1065"/>
      <c r="BI385" s="1065"/>
      <c r="BJ385" s="1065"/>
      <c r="BK385" s="1065"/>
      <c r="BL385" s="1065"/>
      <c r="BM385" s="1065"/>
      <c r="BN385" s="1065"/>
      <c r="BO385" s="1065"/>
      <c r="BP385" s="1065"/>
      <c r="BQ385" s="1065"/>
      <c r="BR385" s="1065"/>
      <c r="BS385" s="1065"/>
      <c r="BT385" s="1065"/>
      <c r="BU385" s="1065"/>
      <c r="BV385" s="1065"/>
      <c r="BW385" s="1065"/>
      <c r="BX385" s="1065"/>
      <c r="BY385" s="1065"/>
      <c r="BZ385" s="1065"/>
      <c r="CA385" s="1065"/>
      <c r="CB385" s="1065"/>
      <c r="CC385" s="1065"/>
      <c r="CD385" s="1065"/>
      <c r="CE385" s="1065"/>
      <c r="CF385" s="1065"/>
      <c r="CG385" s="1065"/>
      <c r="CH385" s="1065"/>
      <c r="CI385" s="1065"/>
      <c r="CJ385" s="1065"/>
      <c r="CK385" s="1065"/>
      <c r="CL385" s="1065"/>
      <c r="CM385" s="1065"/>
      <c r="CN385" s="1065"/>
      <c r="CO385" s="1065"/>
      <c r="CP385" s="1065"/>
      <c r="CQ385" s="1065"/>
      <c r="CR385" s="1065"/>
      <c r="CS385" s="1065"/>
      <c r="CT385" s="1065"/>
      <c r="CU385" s="1065"/>
      <c r="CV385" s="1065"/>
      <c r="CW385" s="1065"/>
      <c r="CX385" s="1065"/>
      <c r="CY385" s="1065"/>
      <c r="CZ385" s="1065"/>
      <c r="DA385" s="1065"/>
      <c r="DB385" s="1065"/>
    </row>
    <row r="386" spans="1:106" ht="15" customHeight="1" thickBot="1">
      <c r="A386" s="1065"/>
      <c r="B386" s="1065"/>
      <c r="C386" s="1144" t="s">
        <v>549</v>
      </c>
      <c r="D386" s="1786"/>
      <c r="E386" s="1786"/>
      <c r="F386" s="1786"/>
      <c r="G386" s="1786"/>
      <c r="H386" s="1787"/>
      <c r="I386" s="1787"/>
      <c r="J386" s="1810"/>
      <c r="K386" s="1810"/>
      <c r="L386" s="1810"/>
      <c r="M386" s="1810"/>
      <c r="N386" s="1810"/>
      <c r="O386" s="1810"/>
      <c r="P386" s="1810"/>
      <c r="Q386" s="1810"/>
      <c r="R386" s="1810"/>
      <c r="S386" s="1147"/>
      <c r="T386" s="1148"/>
      <c r="U386" s="1805"/>
      <c r="V386" s="1065"/>
      <c r="W386" s="1065"/>
      <c r="X386" s="1065"/>
      <c r="Y386" s="1065"/>
      <c r="Z386" s="1065"/>
      <c r="AA386" s="1065"/>
      <c r="AB386" s="1065"/>
      <c r="AC386" s="1065"/>
      <c r="AD386" s="1065"/>
      <c r="AE386" s="1065"/>
      <c r="AF386" s="1065"/>
      <c r="AG386" s="1065"/>
      <c r="AH386" s="1065"/>
      <c r="AI386" s="1065"/>
      <c r="AJ386" s="1065"/>
      <c r="AK386" s="1065"/>
      <c r="AL386" s="1065"/>
      <c r="AM386" s="1065"/>
      <c r="AN386" s="1065"/>
      <c r="AO386" s="1065"/>
      <c r="AP386" s="1065"/>
      <c r="AQ386" s="1065"/>
      <c r="AR386" s="1065"/>
      <c r="AS386" s="1065"/>
      <c r="AT386" s="1065"/>
      <c r="AU386" s="1065"/>
      <c r="AV386" s="1065"/>
      <c r="AW386" s="1065"/>
      <c r="AX386" s="1065"/>
      <c r="AY386" s="1065"/>
      <c r="AZ386" s="1065"/>
      <c r="BA386" s="1065"/>
      <c r="BB386" s="1065"/>
      <c r="BC386" s="1065"/>
      <c r="BD386" s="1065"/>
      <c r="BE386" s="1065"/>
      <c r="BF386" s="1065"/>
      <c r="BG386" s="1065"/>
      <c r="BH386" s="1065"/>
      <c r="BI386" s="1065"/>
      <c r="BJ386" s="1065"/>
      <c r="BK386" s="1065"/>
      <c r="BL386" s="1065"/>
      <c r="BM386" s="1065"/>
      <c r="BN386" s="1065"/>
      <c r="BO386" s="1065"/>
      <c r="BP386" s="1065"/>
      <c r="BQ386" s="1065"/>
      <c r="BR386" s="1065"/>
      <c r="BS386" s="1065"/>
      <c r="BT386" s="1065"/>
      <c r="BU386" s="1065"/>
      <c r="BV386" s="1065"/>
      <c r="BW386" s="1065"/>
      <c r="BX386" s="1065"/>
      <c r="BY386" s="1065"/>
      <c r="BZ386" s="1065"/>
      <c r="CA386" s="1065"/>
      <c r="CB386" s="1065"/>
      <c r="CC386" s="1065"/>
      <c r="CD386" s="1065"/>
      <c r="CE386" s="1065"/>
      <c r="CF386" s="1065"/>
      <c r="CG386" s="1065"/>
      <c r="CH386" s="1065"/>
      <c r="CI386" s="1065"/>
      <c r="CJ386" s="1065"/>
      <c r="CK386" s="1065"/>
      <c r="CL386" s="1065"/>
      <c r="CM386" s="1065"/>
      <c r="CN386" s="1065"/>
      <c r="CO386" s="1065"/>
      <c r="CP386" s="1065"/>
      <c r="CQ386" s="1065"/>
      <c r="CR386" s="1065"/>
      <c r="CS386" s="1065"/>
      <c r="CT386" s="1065"/>
      <c r="CU386" s="1065"/>
      <c r="CV386" s="1065"/>
      <c r="CW386" s="1065"/>
      <c r="CX386" s="1065"/>
      <c r="CY386" s="1065"/>
      <c r="CZ386" s="1065"/>
      <c r="DA386" s="1065"/>
      <c r="DB386" s="1065"/>
    </row>
    <row r="387" spans="1:106" ht="15" customHeight="1" thickBot="1">
      <c r="A387" s="1065"/>
      <c r="B387" s="1065"/>
      <c r="C387" s="1144" t="s">
        <v>110</v>
      </c>
      <c r="D387" s="1786"/>
      <c r="E387" s="1786"/>
      <c r="F387" s="1786"/>
      <c r="G387" s="1786"/>
      <c r="H387" s="1787"/>
      <c r="I387" s="1787"/>
      <c r="J387" s="1810"/>
      <c r="K387" s="1810"/>
      <c r="L387" s="1810"/>
      <c r="M387" s="1810"/>
      <c r="N387" s="1810"/>
      <c r="O387" s="1810"/>
      <c r="P387" s="1810"/>
      <c r="Q387" s="1810"/>
      <c r="R387" s="1810"/>
      <c r="S387" s="1147"/>
      <c r="T387" s="1148"/>
      <c r="U387" s="1805"/>
      <c r="V387" s="1065"/>
      <c r="W387" s="1065"/>
      <c r="X387" s="1065"/>
      <c r="Y387" s="1065"/>
      <c r="Z387" s="1065"/>
      <c r="AA387" s="1065"/>
      <c r="AB387" s="1065"/>
      <c r="AC387" s="1065"/>
      <c r="AD387" s="1065"/>
      <c r="AE387" s="1065"/>
      <c r="AF387" s="1065"/>
      <c r="AG387" s="1065"/>
      <c r="AH387" s="1065"/>
      <c r="AI387" s="1065"/>
      <c r="AJ387" s="1065"/>
      <c r="AK387" s="1065"/>
      <c r="AL387" s="1065"/>
      <c r="AM387" s="1065"/>
      <c r="AN387" s="1065"/>
      <c r="AO387" s="1065"/>
      <c r="AP387" s="1065"/>
      <c r="AQ387" s="1065"/>
      <c r="AR387" s="1065"/>
      <c r="AS387" s="1065"/>
      <c r="AT387" s="1065"/>
      <c r="AU387" s="1065"/>
      <c r="AV387" s="1065"/>
      <c r="AW387" s="1065"/>
      <c r="AX387" s="1065"/>
      <c r="AY387" s="1065"/>
      <c r="AZ387" s="1065"/>
      <c r="BA387" s="1065"/>
      <c r="BB387" s="1065"/>
      <c r="BC387" s="1065"/>
      <c r="BD387" s="1065"/>
      <c r="BE387" s="1065"/>
      <c r="BF387" s="1065"/>
      <c r="BG387" s="1065"/>
      <c r="BH387" s="1065"/>
      <c r="BI387" s="1065"/>
      <c r="BJ387" s="1065"/>
      <c r="BK387" s="1065"/>
      <c r="BL387" s="1065"/>
      <c r="BM387" s="1065"/>
      <c r="BN387" s="1065"/>
      <c r="BO387" s="1065"/>
      <c r="BP387" s="1065"/>
      <c r="BQ387" s="1065"/>
      <c r="BR387" s="1065"/>
      <c r="BS387" s="1065"/>
      <c r="BT387" s="1065"/>
      <c r="BU387" s="1065"/>
      <c r="BV387" s="1065"/>
      <c r="BW387" s="1065"/>
      <c r="BX387" s="1065"/>
      <c r="BY387" s="1065"/>
      <c r="BZ387" s="1065"/>
      <c r="CA387" s="1065"/>
      <c r="CB387" s="1065"/>
      <c r="CC387" s="1065"/>
      <c r="CD387" s="1065"/>
      <c r="CE387" s="1065"/>
      <c r="CF387" s="1065"/>
      <c r="CG387" s="1065"/>
      <c r="CH387" s="1065"/>
      <c r="CI387" s="1065"/>
      <c r="CJ387" s="1065"/>
      <c r="CK387" s="1065"/>
      <c r="CL387" s="1065"/>
      <c r="CM387" s="1065"/>
      <c r="CN387" s="1065"/>
      <c r="CO387" s="1065"/>
      <c r="CP387" s="1065"/>
      <c r="CQ387" s="1065"/>
      <c r="CR387" s="1065"/>
      <c r="CS387" s="1065"/>
      <c r="CT387" s="1065"/>
      <c r="CU387" s="1065"/>
      <c r="CV387" s="1065"/>
      <c r="CW387" s="1065"/>
      <c r="CX387" s="1065"/>
      <c r="CY387" s="1065"/>
      <c r="CZ387" s="1065"/>
      <c r="DA387" s="1065"/>
      <c r="DB387" s="1065"/>
    </row>
    <row r="388" spans="1:106" ht="15" customHeight="1" thickBot="1">
      <c r="A388" s="1065"/>
      <c r="B388" s="1065"/>
      <c r="C388" s="1144" t="s">
        <v>674</v>
      </c>
      <c r="D388" s="1786"/>
      <c r="E388" s="1786"/>
      <c r="F388" s="1786"/>
      <c r="G388" s="1786"/>
      <c r="H388" s="1787"/>
      <c r="I388" s="1787"/>
      <c r="J388" s="1810"/>
      <c r="K388" s="1810"/>
      <c r="L388" s="1810"/>
      <c r="M388" s="1810"/>
      <c r="N388" s="1810"/>
      <c r="O388" s="1810"/>
      <c r="P388" s="1810"/>
      <c r="Q388" s="1810"/>
      <c r="R388" s="1810"/>
      <c r="S388" s="1147"/>
      <c r="T388" s="1148"/>
      <c r="U388" s="1805"/>
      <c r="V388" s="1065"/>
      <c r="W388" s="1065"/>
      <c r="X388" s="1065"/>
      <c r="Y388" s="1065"/>
      <c r="Z388" s="1065"/>
      <c r="AA388" s="1065"/>
      <c r="AB388" s="1065"/>
      <c r="AC388" s="1065"/>
      <c r="AD388" s="1065"/>
      <c r="AE388" s="1065"/>
      <c r="AF388" s="1065"/>
      <c r="AG388" s="1065"/>
      <c r="AH388" s="1065"/>
      <c r="AI388" s="1065"/>
      <c r="AJ388" s="1065"/>
      <c r="AK388" s="1065"/>
      <c r="AL388" s="1065"/>
      <c r="AM388" s="1065"/>
      <c r="AN388" s="1065"/>
      <c r="AO388" s="1065"/>
      <c r="AP388" s="1065"/>
      <c r="AQ388" s="1065"/>
      <c r="AR388" s="1065"/>
      <c r="AS388" s="1065"/>
      <c r="AT388" s="1065"/>
      <c r="AU388" s="1065"/>
      <c r="AV388" s="1065"/>
      <c r="AW388" s="1065"/>
      <c r="AX388" s="1065"/>
      <c r="AY388" s="1065"/>
      <c r="AZ388" s="1065"/>
      <c r="BA388" s="1065"/>
      <c r="BB388" s="1065"/>
      <c r="BC388" s="1065"/>
      <c r="BD388" s="1065"/>
      <c r="BE388" s="1065"/>
      <c r="BF388" s="1065"/>
      <c r="BG388" s="1065"/>
      <c r="BH388" s="1065"/>
      <c r="BI388" s="1065"/>
      <c r="BJ388" s="1065"/>
      <c r="BK388" s="1065"/>
      <c r="BL388" s="1065"/>
      <c r="BM388" s="1065"/>
      <c r="BN388" s="1065"/>
      <c r="BO388" s="1065"/>
      <c r="BP388" s="1065"/>
      <c r="BQ388" s="1065"/>
      <c r="BR388" s="1065"/>
      <c r="BS388" s="1065"/>
      <c r="BT388" s="1065"/>
      <c r="BU388" s="1065"/>
      <c r="BV388" s="1065"/>
      <c r="BW388" s="1065"/>
      <c r="BX388" s="1065"/>
      <c r="BY388" s="1065"/>
      <c r="BZ388" s="1065"/>
      <c r="CA388" s="1065"/>
      <c r="CB388" s="1065"/>
      <c r="CC388" s="1065"/>
      <c r="CD388" s="1065"/>
      <c r="CE388" s="1065"/>
      <c r="CF388" s="1065"/>
      <c r="CG388" s="1065"/>
      <c r="CH388" s="1065"/>
      <c r="CI388" s="1065"/>
      <c r="CJ388" s="1065"/>
      <c r="CK388" s="1065"/>
      <c r="CL388" s="1065"/>
      <c r="CM388" s="1065"/>
      <c r="CN388" s="1065"/>
      <c r="CO388" s="1065"/>
      <c r="CP388" s="1065"/>
      <c r="CQ388" s="1065"/>
      <c r="CR388" s="1065"/>
      <c r="CS388" s="1065"/>
      <c r="CT388" s="1065"/>
      <c r="CU388" s="1065"/>
      <c r="CV388" s="1065"/>
      <c r="CW388" s="1065"/>
      <c r="CX388" s="1065"/>
      <c r="CY388" s="1065"/>
      <c r="CZ388" s="1065"/>
      <c r="DA388" s="1065"/>
      <c r="DB388" s="1065"/>
    </row>
    <row r="389" spans="1:106" ht="15" customHeight="1" thickBot="1">
      <c r="A389" s="1065"/>
      <c r="B389" s="1065"/>
      <c r="C389" s="1144" t="s">
        <v>675</v>
      </c>
      <c r="D389" s="1786"/>
      <c r="E389" s="1786"/>
      <c r="F389" s="1786"/>
      <c r="G389" s="1786"/>
      <c r="H389" s="1787"/>
      <c r="I389" s="1787"/>
      <c r="J389" s="1810"/>
      <c r="K389" s="1810"/>
      <c r="L389" s="1810"/>
      <c r="M389" s="1810"/>
      <c r="N389" s="1810"/>
      <c r="O389" s="1810"/>
      <c r="P389" s="1810"/>
      <c r="Q389" s="1810"/>
      <c r="R389" s="1810"/>
      <c r="S389" s="1147"/>
      <c r="T389" s="1148"/>
      <c r="U389" s="1805"/>
      <c r="V389" s="1065"/>
      <c r="W389" s="1065"/>
      <c r="X389" s="1065"/>
      <c r="Y389" s="1065"/>
      <c r="Z389" s="1065"/>
      <c r="AA389" s="1065"/>
      <c r="AB389" s="1065"/>
      <c r="AC389" s="1065"/>
      <c r="AD389" s="1065"/>
      <c r="AE389" s="1065"/>
      <c r="AF389" s="1065"/>
      <c r="AG389" s="1065"/>
      <c r="AH389" s="1065"/>
      <c r="AI389" s="1065"/>
      <c r="AJ389" s="1065"/>
      <c r="AK389" s="1065"/>
      <c r="AL389" s="1065"/>
      <c r="AM389" s="1065"/>
      <c r="AN389" s="1065"/>
      <c r="AO389" s="1065"/>
      <c r="AP389" s="1065"/>
      <c r="AQ389" s="1065"/>
      <c r="AR389" s="1065"/>
      <c r="AS389" s="1065"/>
      <c r="AT389" s="1065"/>
      <c r="AU389" s="1065"/>
      <c r="AV389" s="1065"/>
      <c r="AW389" s="1065"/>
      <c r="AX389" s="1065"/>
      <c r="AY389" s="1065"/>
      <c r="AZ389" s="1065"/>
      <c r="BA389" s="1065"/>
      <c r="BB389" s="1065"/>
      <c r="BC389" s="1065"/>
      <c r="BD389" s="1065"/>
      <c r="BE389" s="1065"/>
      <c r="BF389" s="1065"/>
      <c r="BG389" s="1065"/>
      <c r="BH389" s="1065"/>
      <c r="BI389" s="1065"/>
      <c r="BJ389" s="1065"/>
      <c r="BK389" s="1065"/>
      <c r="BL389" s="1065"/>
      <c r="BM389" s="1065"/>
      <c r="BN389" s="1065"/>
      <c r="BO389" s="1065"/>
      <c r="BP389" s="1065"/>
      <c r="BQ389" s="1065"/>
      <c r="BR389" s="1065"/>
      <c r="BS389" s="1065"/>
      <c r="BT389" s="1065"/>
      <c r="BU389" s="1065"/>
      <c r="BV389" s="1065"/>
      <c r="BW389" s="1065"/>
      <c r="BX389" s="1065"/>
      <c r="BY389" s="1065"/>
      <c r="BZ389" s="1065"/>
      <c r="CA389" s="1065"/>
      <c r="CB389" s="1065"/>
      <c r="CC389" s="1065"/>
      <c r="CD389" s="1065"/>
      <c r="CE389" s="1065"/>
      <c r="CF389" s="1065"/>
      <c r="CG389" s="1065"/>
      <c r="CH389" s="1065"/>
      <c r="CI389" s="1065"/>
      <c r="CJ389" s="1065"/>
      <c r="CK389" s="1065"/>
      <c r="CL389" s="1065"/>
      <c r="CM389" s="1065"/>
      <c r="CN389" s="1065"/>
      <c r="CO389" s="1065"/>
      <c r="CP389" s="1065"/>
      <c r="CQ389" s="1065"/>
      <c r="CR389" s="1065"/>
      <c r="CS389" s="1065"/>
      <c r="CT389" s="1065"/>
      <c r="CU389" s="1065"/>
      <c r="CV389" s="1065"/>
      <c r="CW389" s="1065"/>
      <c r="CX389" s="1065"/>
      <c r="CY389" s="1065"/>
      <c r="CZ389" s="1065"/>
      <c r="DA389" s="1065"/>
      <c r="DB389" s="1065"/>
    </row>
    <row r="390" spans="1:106" ht="15" customHeight="1" thickBot="1">
      <c r="A390" s="1065"/>
      <c r="B390" s="1065"/>
      <c r="C390" s="1144" t="s">
        <v>679</v>
      </c>
      <c r="D390" s="1786"/>
      <c r="E390" s="1786"/>
      <c r="F390" s="1786"/>
      <c r="G390" s="1786"/>
      <c r="H390" s="1787"/>
      <c r="I390" s="1787"/>
      <c r="J390" s="1810"/>
      <c r="K390" s="1810"/>
      <c r="L390" s="1810"/>
      <c r="M390" s="1810"/>
      <c r="N390" s="1810"/>
      <c r="O390" s="1810"/>
      <c r="P390" s="1810"/>
      <c r="Q390" s="1810"/>
      <c r="R390" s="1810"/>
      <c r="S390" s="1147"/>
      <c r="T390" s="1148"/>
      <c r="U390" s="1805"/>
      <c r="V390" s="1065"/>
      <c r="W390" s="1065"/>
      <c r="X390" s="1065"/>
      <c r="Y390" s="1065"/>
      <c r="Z390" s="1065"/>
      <c r="AA390" s="1065"/>
      <c r="AB390" s="1065"/>
      <c r="AC390" s="1065"/>
      <c r="AD390" s="1065"/>
      <c r="AE390" s="1065"/>
      <c r="AF390" s="1065"/>
      <c r="AG390" s="1065"/>
      <c r="AH390" s="1065"/>
      <c r="AI390" s="1065"/>
      <c r="AJ390" s="1065"/>
      <c r="AK390" s="1065"/>
      <c r="AL390" s="1065"/>
      <c r="AM390" s="1065"/>
      <c r="AN390" s="1065"/>
      <c r="AO390" s="1065"/>
      <c r="AP390" s="1065"/>
      <c r="AQ390" s="1065"/>
      <c r="AR390" s="1065"/>
      <c r="AS390" s="1065"/>
      <c r="AT390" s="1065"/>
      <c r="AU390" s="1065"/>
      <c r="AV390" s="1065"/>
      <c r="AW390" s="1065"/>
      <c r="AX390" s="1065"/>
      <c r="AY390" s="1065"/>
      <c r="AZ390" s="1065"/>
      <c r="BA390" s="1065"/>
      <c r="BB390" s="1065"/>
      <c r="BC390" s="1065"/>
      <c r="BD390" s="1065"/>
      <c r="BE390" s="1065"/>
      <c r="BF390" s="1065"/>
      <c r="BG390" s="1065"/>
      <c r="BH390" s="1065"/>
      <c r="BI390" s="1065"/>
      <c r="BJ390" s="1065"/>
      <c r="BK390" s="1065"/>
      <c r="BL390" s="1065"/>
      <c r="BM390" s="1065"/>
      <c r="BN390" s="1065"/>
      <c r="BO390" s="1065"/>
      <c r="BP390" s="1065"/>
      <c r="BQ390" s="1065"/>
      <c r="BR390" s="1065"/>
      <c r="BS390" s="1065"/>
      <c r="BT390" s="1065"/>
      <c r="BU390" s="1065"/>
      <c r="BV390" s="1065"/>
      <c r="BW390" s="1065"/>
      <c r="BX390" s="1065"/>
      <c r="BY390" s="1065"/>
      <c r="BZ390" s="1065"/>
      <c r="CA390" s="1065"/>
      <c r="CB390" s="1065"/>
      <c r="CC390" s="1065"/>
      <c r="CD390" s="1065"/>
      <c r="CE390" s="1065"/>
      <c r="CF390" s="1065"/>
      <c r="CG390" s="1065"/>
      <c r="CH390" s="1065"/>
      <c r="CI390" s="1065"/>
      <c r="CJ390" s="1065"/>
      <c r="CK390" s="1065"/>
      <c r="CL390" s="1065"/>
      <c r="CM390" s="1065"/>
      <c r="CN390" s="1065"/>
      <c r="CO390" s="1065"/>
      <c r="CP390" s="1065"/>
      <c r="CQ390" s="1065"/>
      <c r="CR390" s="1065"/>
      <c r="CS390" s="1065"/>
      <c r="CT390" s="1065"/>
      <c r="CU390" s="1065"/>
      <c r="CV390" s="1065"/>
      <c r="CW390" s="1065"/>
      <c r="CX390" s="1065"/>
      <c r="CY390" s="1065"/>
      <c r="CZ390" s="1065"/>
      <c r="DA390" s="1065"/>
      <c r="DB390" s="1065"/>
    </row>
    <row r="391" spans="1:106" ht="15" customHeight="1" thickBot="1">
      <c r="A391" s="1065"/>
      <c r="B391" s="1065"/>
      <c r="C391" s="1144" t="s">
        <v>111</v>
      </c>
      <c r="D391" s="1786"/>
      <c r="E391" s="1786"/>
      <c r="F391" s="1786"/>
      <c r="G391" s="1786"/>
      <c r="H391" s="1787"/>
      <c r="I391" s="1787"/>
      <c r="J391" s="1810"/>
      <c r="K391" s="1810"/>
      <c r="L391" s="1810"/>
      <c r="M391" s="1810"/>
      <c r="N391" s="1810"/>
      <c r="O391" s="1810"/>
      <c r="P391" s="1810"/>
      <c r="Q391" s="1810"/>
      <c r="R391" s="1810"/>
      <c r="S391" s="1147"/>
      <c r="T391" s="1148"/>
      <c r="U391" s="1805"/>
      <c r="V391" s="1065"/>
      <c r="W391" s="1065"/>
      <c r="X391" s="1065"/>
      <c r="Y391" s="1065"/>
      <c r="Z391" s="1065"/>
      <c r="AA391" s="1065"/>
      <c r="AB391" s="1065"/>
      <c r="AC391" s="1065"/>
      <c r="AD391" s="1065"/>
      <c r="AE391" s="1065"/>
      <c r="AF391" s="1065"/>
      <c r="AG391" s="1065"/>
      <c r="AH391" s="1065"/>
      <c r="AI391" s="1065"/>
      <c r="AJ391" s="1065"/>
      <c r="AK391" s="1065"/>
      <c r="AL391" s="1065"/>
      <c r="AM391" s="1065"/>
      <c r="AN391" s="1065"/>
      <c r="AO391" s="1065"/>
      <c r="AP391" s="1065"/>
      <c r="AQ391" s="1065"/>
      <c r="AR391" s="1065"/>
      <c r="AS391" s="1065"/>
      <c r="AT391" s="1065"/>
      <c r="AU391" s="1065"/>
      <c r="AV391" s="1065"/>
      <c r="AW391" s="1065"/>
      <c r="AX391" s="1065"/>
      <c r="AY391" s="1065"/>
      <c r="AZ391" s="1065"/>
      <c r="BA391" s="1065"/>
      <c r="BB391" s="1065"/>
      <c r="BC391" s="1065"/>
      <c r="BD391" s="1065"/>
      <c r="BE391" s="1065"/>
      <c r="BF391" s="1065"/>
      <c r="BG391" s="1065"/>
      <c r="BH391" s="1065"/>
      <c r="BI391" s="1065"/>
      <c r="BJ391" s="1065"/>
      <c r="BK391" s="1065"/>
      <c r="BL391" s="1065"/>
      <c r="BM391" s="1065"/>
      <c r="BN391" s="1065"/>
      <c r="BO391" s="1065"/>
      <c r="BP391" s="1065"/>
      <c r="BQ391" s="1065"/>
      <c r="BR391" s="1065"/>
      <c r="BS391" s="1065"/>
      <c r="BT391" s="1065"/>
      <c r="BU391" s="1065"/>
      <c r="BV391" s="1065"/>
      <c r="BW391" s="1065"/>
      <c r="BX391" s="1065"/>
      <c r="BY391" s="1065"/>
      <c r="BZ391" s="1065"/>
      <c r="CA391" s="1065"/>
      <c r="CB391" s="1065"/>
      <c r="CC391" s="1065"/>
      <c r="CD391" s="1065"/>
      <c r="CE391" s="1065"/>
      <c r="CF391" s="1065"/>
      <c r="CG391" s="1065"/>
      <c r="CH391" s="1065"/>
      <c r="CI391" s="1065"/>
      <c r="CJ391" s="1065"/>
      <c r="CK391" s="1065"/>
      <c r="CL391" s="1065"/>
      <c r="CM391" s="1065"/>
      <c r="CN391" s="1065"/>
      <c r="CO391" s="1065"/>
      <c r="CP391" s="1065"/>
      <c r="CQ391" s="1065"/>
      <c r="CR391" s="1065"/>
      <c r="CS391" s="1065"/>
      <c r="CT391" s="1065"/>
      <c r="CU391" s="1065"/>
      <c r="CV391" s="1065"/>
      <c r="CW391" s="1065"/>
      <c r="CX391" s="1065"/>
      <c r="CY391" s="1065"/>
      <c r="CZ391" s="1065"/>
      <c r="DA391" s="1065"/>
      <c r="DB391" s="1065"/>
    </row>
    <row r="392" spans="1:106" ht="15" customHeight="1" thickBot="1">
      <c r="A392" s="1065"/>
      <c r="B392" s="1065"/>
      <c r="C392" s="1144" t="s">
        <v>676</v>
      </c>
      <c r="D392" s="1786"/>
      <c r="E392" s="1786"/>
      <c r="F392" s="1786"/>
      <c r="G392" s="1786"/>
      <c r="H392" s="1787"/>
      <c r="I392" s="1787"/>
      <c r="J392" s="1810"/>
      <c r="K392" s="1810"/>
      <c r="L392" s="1810"/>
      <c r="M392" s="1810"/>
      <c r="N392" s="1810"/>
      <c r="O392" s="1810"/>
      <c r="P392" s="1810"/>
      <c r="Q392" s="1810"/>
      <c r="R392" s="1810"/>
      <c r="S392" s="1147"/>
      <c r="T392" s="1148"/>
      <c r="U392" s="1805"/>
      <c r="V392" s="1065"/>
      <c r="W392" s="1065"/>
      <c r="X392" s="1065"/>
      <c r="Y392" s="1065"/>
      <c r="Z392" s="1065"/>
      <c r="AA392" s="1065"/>
      <c r="AB392" s="1065"/>
      <c r="AC392" s="1065"/>
      <c r="AD392" s="1065"/>
      <c r="AE392" s="1065"/>
      <c r="AF392" s="1065"/>
      <c r="AG392" s="1065"/>
      <c r="AH392" s="1065"/>
      <c r="AI392" s="1065"/>
      <c r="AJ392" s="1065"/>
      <c r="AK392" s="1065"/>
      <c r="AL392" s="1065"/>
      <c r="AM392" s="1065"/>
      <c r="AN392" s="1065"/>
      <c r="AO392" s="1065"/>
      <c r="AP392" s="1065"/>
      <c r="AQ392" s="1065"/>
      <c r="AR392" s="1065"/>
      <c r="AS392" s="1065"/>
      <c r="AT392" s="1065"/>
      <c r="AU392" s="1065"/>
      <c r="AV392" s="1065"/>
      <c r="AW392" s="1065"/>
      <c r="AX392" s="1065"/>
      <c r="AY392" s="1065"/>
      <c r="AZ392" s="1065"/>
      <c r="BA392" s="1065"/>
      <c r="BB392" s="1065"/>
      <c r="BC392" s="1065"/>
      <c r="BD392" s="1065"/>
      <c r="BE392" s="1065"/>
      <c r="BF392" s="1065"/>
      <c r="BG392" s="1065"/>
      <c r="BH392" s="1065"/>
      <c r="BI392" s="1065"/>
      <c r="BJ392" s="1065"/>
      <c r="BK392" s="1065"/>
      <c r="BL392" s="1065"/>
      <c r="BM392" s="1065"/>
      <c r="BN392" s="1065"/>
      <c r="BO392" s="1065"/>
      <c r="BP392" s="1065"/>
      <c r="BQ392" s="1065"/>
      <c r="BR392" s="1065"/>
      <c r="BS392" s="1065"/>
      <c r="BT392" s="1065"/>
      <c r="BU392" s="1065"/>
      <c r="BV392" s="1065"/>
      <c r="BW392" s="1065"/>
      <c r="BX392" s="1065"/>
      <c r="BY392" s="1065"/>
      <c r="BZ392" s="1065"/>
      <c r="CA392" s="1065"/>
      <c r="CB392" s="1065"/>
      <c r="CC392" s="1065"/>
      <c r="CD392" s="1065"/>
      <c r="CE392" s="1065"/>
      <c r="CF392" s="1065"/>
      <c r="CG392" s="1065"/>
      <c r="CH392" s="1065"/>
      <c r="CI392" s="1065"/>
      <c r="CJ392" s="1065"/>
      <c r="CK392" s="1065"/>
      <c r="CL392" s="1065"/>
      <c r="CM392" s="1065"/>
      <c r="CN392" s="1065"/>
      <c r="CO392" s="1065"/>
      <c r="CP392" s="1065"/>
      <c r="CQ392" s="1065"/>
      <c r="CR392" s="1065"/>
      <c r="CS392" s="1065"/>
      <c r="CT392" s="1065"/>
      <c r="CU392" s="1065"/>
      <c r="CV392" s="1065"/>
      <c r="CW392" s="1065"/>
      <c r="CX392" s="1065"/>
      <c r="CY392" s="1065"/>
      <c r="CZ392" s="1065"/>
      <c r="DA392" s="1065"/>
      <c r="DB392" s="1065"/>
    </row>
    <row r="393" spans="1:106" ht="15" customHeight="1" thickBot="1">
      <c r="A393" s="1065"/>
      <c r="B393" s="1065"/>
      <c r="C393" s="1144" t="s">
        <v>316</v>
      </c>
      <c r="D393" s="1786"/>
      <c r="E393" s="1786"/>
      <c r="F393" s="1786"/>
      <c r="G393" s="1786"/>
      <c r="H393" s="1787"/>
      <c r="I393" s="1787"/>
      <c r="J393" s="1810"/>
      <c r="K393" s="1810"/>
      <c r="L393" s="1810"/>
      <c r="M393" s="1810"/>
      <c r="N393" s="1810"/>
      <c r="O393" s="1810"/>
      <c r="P393" s="1810"/>
      <c r="Q393" s="1810"/>
      <c r="R393" s="1810"/>
      <c r="S393" s="1145"/>
      <c r="T393" s="1146"/>
      <c r="U393" s="1805"/>
      <c r="V393" s="1065"/>
      <c r="W393" s="1065"/>
      <c r="X393" s="1065"/>
      <c r="Y393" s="1065"/>
      <c r="Z393" s="1065"/>
      <c r="AA393" s="1065"/>
      <c r="AB393" s="1065"/>
      <c r="AC393" s="1065"/>
      <c r="AD393" s="1065"/>
      <c r="AE393" s="1065"/>
      <c r="AF393" s="1065"/>
      <c r="AG393" s="1065"/>
      <c r="AH393" s="1065"/>
      <c r="AI393" s="1065"/>
      <c r="AJ393" s="1065"/>
      <c r="AK393" s="1065"/>
      <c r="AL393" s="1065"/>
      <c r="AM393" s="1065"/>
      <c r="AN393" s="1065"/>
      <c r="AO393" s="1065"/>
      <c r="AP393" s="1065"/>
      <c r="AQ393" s="1065"/>
      <c r="AR393" s="1065"/>
      <c r="AS393" s="1065"/>
      <c r="AT393" s="1065"/>
      <c r="AU393" s="1065"/>
      <c r="AV393" s="1065"/>
      <c r="AW393" s="1065"/>
      <c r="AX393" s="1065"/>
      <c r="AY393" s="1065"/>
      <c r="AZ393" s="1065"/>
      <c r="BA393" s="1065"/>
      <c r="BB393" s="1065"/>
      <c r="BC393" s="1065"/>
      <c r="BD393" s="1065"/>
      <c r="BE393" s="1065"/>
      <c r="BF393" s="1065"/>
      <c r="BG393" s="1065"/>
      <c r="BH393" s="1065"/>
      <c r="BI393" s="1065"/>
      <c r="BJ393" s="1065"/>
      <c r="BK393" s="1065"/>
      <c r="BL393" s="1065"/>
      <c r="BM393" s="1065"/>
      <c r="BN393" s="1065"/>
      <c r="BO393" s="1065"/>
      <c r="BP393" s="1065"/>
      <c r="BQ393" s="1065"/>
      <c r="BR393" s="1065"/>
      <c r="BS393" s="1065"/>
      <c r="BT393" s="1065"/>
      <c r="BU393" s="1065"/>
      <c r="BV393" s="1065"/>
      <c r="BW393" s="1065"/>
      <c r="BX393" s="1065"/>
      <c r="BY393" s="1065"/>
      <c r="BZ393" s="1065"/>
      <c r="CA393" s="1065"/>
      <c r="CB393" s="1065"/>
      <c r="CC393" s="1065"/>
      <c r="CD393" s="1065"/>
      <c r="CE393" s="1065"/>
      <c r="CF393" s="1065"/>
      <c r="CG393" s="1065"/>
      <c r="CH393" s="1065"/>
      <c r="CI393" s="1065"/>
      <c r="CJ393" s="1065"/>
      <c r="CK393" s="1065"/>
      <c r="CL393" s="1065"/>
      <c r="CM393" s="1065"/>
      <c r="CN393" s="1065"/>
      <c r="CO393" s="1065"/>
      <c r="CP393" s="1065"/>
      <c r="CQ393" s="1065"/>
      <c r="CR393" s="1065"/>
      <c r="CS393" s="1065"/>
      <c r="CT393" s="1065"/>
      <c r="CU393" s="1065"/>
      <c r="CV393" s="1065"/>
      <c r="CW393" s="1065"/>
      <c r="CX393" s="1065"/>
      <c r="CY393" s="1065"/>
      <c r="CZ393" s="1065"/>
      <c r="DA393" s="1065"/>
      <c r="DB393" s="1065"/>
    </row>
    <row r="394" spans="1:106" ht="15" customHeight="1" thickBot="1">
      <c r="A394" s="1065"/>
      <c r="B394" s="1065"/>
      <c r="C394" s="1155" t="s">
        <v>677</v>
      </c>
      <c r="D394" s="1786"/>
      <c r="E394" s="1786"/>
      <c r="F394" s="1786"/>
      <c r="G394" s="1786"/>
      <c r="H394" s="1787"/>
      <c r="I394" s="1787"/>
      <c r="J394" s="1810"/>
      <c r="K394" s="1810"/>
      <c r="L394" s="1810"/>
      <c r="M394" s="1810"/>
      <c r="N394" s="1810"/>
      <c r="O394" s="1810"/>
      <c r="P394" s="1810"/>
      <c r="Q394" s="1810"/>
      <c r="R394" s="1810"/>
      <c r="S394" s="1156"/>
      <c r="T394" s="1157"/>
      <c r="U394" s="1805"/>
      <c r="V394" s="1065"/>
      <c r="W394" s="1065"/>
      <c r="X394" s="1065"/>
      <c r="Y394" s="1065"/>
      <c r="Z394" s="1065"/>
      <c r="AA394" s="1065"/>
      <c r="AB394" s="1065"/>
      <c r="AC394" s="1065"/>
      <c r="AD394" s="1065"/>
      <c r="AE394" s="1065"/>
      <c r="AF394" s="1065"/>
      <c r="AG394" s="1065"/>
      <c r="AH394" s="1065"/>
      <c r="AI394" s="1065"/>
      <c r="AJ394" s="1065"/>
      <c r="AK394" s="1065"/>
      <c r="AL394" s="1065"/>
      <c r="AM394" s="1065"/>
      <c r="AN394" s="1065"/>
      <c r="AO394" s="1065"/>
      <c r="AP394" s="1065"/>
      <c r="AQ394" s="1065"/>
      <c r="AR394" s="1065"/>
      <c r="AS394" s="1065"/>
      <c r="AT394" s="1065"/>
      <c r="AU394" s="1065"/>
      <c r="AV394" s="1065"/>
      <c r="AW394" s="1065"/>
      <c r="AX394" s="1065"/>
      <c r="AY394" s="1065"/>
      <c r="AZ394" s="1065"/>
      <c r="BA394" s="1065"/>
      <c r="BB394" s="1065"/>
      <c r="BC394" s="1065"/>
      <c r="BD394" s="1065"/>
      <c r="BE394" s="1065"/>
      <c r="BF394" s="1065"/>
      <c r="BG394" s="1065"/>
      <c r="BH394" s="1065"/>
      <c r="BI394" s="1065"/>
      <c r="BJ394" s="1065"/>
      <c r="BK394" s="1065"/>
      <c r="BL394" s="1065"/>
      <c r="BM394" s="1065"/>
      <c r="BN394" s="1065"/>
      <c r="BO394" s="1065"/>
      <c r="BP394" s="1065"/>
      <c r="BQ394" s="1065"/>
      <c r="BR394" s="1065"/>
      <c r="BS394" s="1065"/>
      <c r="BT394" s="1065"/>
      <c r="BU394" s="1065"/>
      <c r="BV394" s="1065"/>
      <c r="BW394" s="1065"/>
      <c r="BX394" s="1065"/>
      <c r="BY394" s="1065"/>
      <c r="BZ394" s="1065"/>
      <c r="CA394" s="1065"/>
      <c r="CB394" s="1065"/>
      <c r="CC394" s="1065"/>
      <c r="CD394" s="1065"/>
      <c r="CE394" s="1065"/>
      <c r="CF394" s="1065"/>
      <c r="CG394" s="1065"/>
      <c r="CH394" s="1065"/>
      <c r="CI394" s="1065"/>
      <c r="CJ394" s="1065"/>
      <c r="CK394" s="1065"/>
      <c r="CL394" s="1065"/>
      <c r="CM394" s="1065"/>
      <c r="CN394" s="1065"/>
      <c r="CO394" s="1065"/>
      <c r="CP394" s="1065"/>
      <c r="CQ394" s="1065"/>
      <c r="CR394" s="1065"/>
      <c r="CS394" s="1065"/>
      <c r="CT394" s="1065"/>
      <c r="CU394" s="1065"/>
      <c r="CV394" s="1065"/>
      <c r="CW394" s="1065"/>
      <c r="CX394" s="1065"/>
      <c r="CY394" s="1065"/>
      <c r="CZ394" s="1065"/>
      <c r="DA394" s="1065"/>
      <c r="DB394" s="1065"/>
    </row>
    <row r="395" spans="1:106" ht="15" customHeight="1" thickBot="1">
      <c r="A395" s="1065"/>
      <c r="B395" s="1065"/>
      <c r="C395" s="1740" t="s">
        <v>820</v>
      </c>
      <c r="D395" s="1740"/>
      <c r="E395" s="1740"/>
      <c r="F395" s="1740"/>
      <c r="G395" s="1740"/>
      <c r="H395" s="1740"/>
      <c r="I395" s="1740"/>
      <c r="J395" s="1740"/>
      <c r="K395" s="1740"/>
      <c r="L395" s="1740"/>
      <c r="M395" s="1740"/>
      <c r="N395" s="1740"/>
      <c r="O395" s="1740"/>
      <c r="P395" s="1740"/>
      <c r="Q395" s="1740"/>
      <c r="R395" s="1740"/>
      <c r="S395" s="1740"/>
      <c r="T395" s="1740"/>
      <c r="U395" s="1740"/>
      <c r="V395" s="1065"/>
      <c r="W395" s="1065"/>
      <c r="X395" s="1065"/>
      <c r="Y395" s="1065"/>
      <c r="Z395" s="1065"/>
      <c r="AA395" s="1065"/>
      <c r="AB395" s="1065"/>
      <c r="AC395" s="1065"/>
      <c r="AD395" s="1065"/>
      <c r="AE395" s="1065"/>
      <c r="AF395" s="1065"/>
      <c r="AG395" s="1065"/>
      <c r="AH395" s="1065"/>
      <c r="AI395" s="1065"/>
      <c r="AJ395" s="1065"/>
      <c r="AK395" s="1065"/>
      <c r="AL395" s="1065"/>
      <c r="AM395" s="1065"/>
      <c r="AN395" s="1065"/>
      <c r="AO395" s="1065"/>
      <c r="AP395" s="1065"/>
      <c r="AQ395" s="1065"/>
      <c r="AR395" s="1065"/>
      <c r="AS395" s="1065"/>
      <c r="AT395" s="1065"/>
      <c r="AU395" s="1065"/>
      <c r="AV395" s="1065"/>
      <c r="AW395" s="1065"/>
      <c r="AX395" s="1065"/>
      <c r="AY395" s="1065"/>
      <c r="AZ395" s="1065"/>
      <c r="BA395" s="1065"/>
      <c r="BB395" s="1065"/>
      <c r="BC395" s="1065"/>
      <c r="BD395" s="1065"/>
      <c r="BE395" s="1065"/>
      <c r="BF395" s="1065"/>
      <c r="BG395" s="1065"/>
      <c r="BH395" s="1065"/>
      <c r="BI395" s="1065"/>
      <c r="BJ395" s="1065"/>
      <c r="BK395" s="1065"/>
      <c r="BL395" s="1065"/>
      <c r="BM395" s="1065"/>
      <c r="BN395" s="1065"/>
      <c r="BO395" s="1065"/>
      <c r="BP395" s="1065"/>
      <c r="BQ395" s="1065"/>
      <c r="BR395" s="1065"/>
      <c r="BS395" s="1065"/>
      <c r="BT395" s="1065"/>
      <c r="BU395" s="1065"/>
      <c r="BV395" s="1065"/>
      <c r="BW395" s="1065"/>
      <c r="BX395" s="1065"/>
      <c r="BY395" s="1065"/>
      <c r="BZ395" s="1065"/>
      <c r="CA395" s="1065"/>
      <c r="CB395" s="1065"/>
      <c r="CC395" s="1065"/>
      <c r="CD395" s="1065"/>
      <c r="CE395" s="1065"/>
      <c r="CF395" s="1065"/>
      <c r="CG395" s="1065"/>
      <c r="CH395" s="1065"/>
      <c r="CI395" s="1065"/>
      <c r="CJ395" s="1065"/>
      <c r="CK395" s="1065"/>
      <c r="CL395" s="1065"/>
      <c r="CM395" s="1065"/>
      <c r="CN395" s="1065"/>
      <c r="CO395" s="1065"/>
      <c r="CP395" s="1065"/>
      <c r="CQ395" s="1065"/>
      <c r="CR395" s="1065"/>
      <c r="CS395" s="1065"/>
      <c r="CT395" s="1065"/>
      <c r="CU395" s="1065"/>
      <c r="CV395" s="1065"/>
      <c r="CW395" s="1065"/>
      <c r="CX395" s="1065"/>
      <c r="CY395" s="1065"/>
      <c r="CZ395" s="1065"/>
      <c r="DA395" s="1065"/>
      <c r="DB395" s="1065"/>
    </row>
    <row r="396" spans="1:106" ht="15" customHeight="1" thickBot="1">
      <c r="A396" s="1065"/>
      <c r="B396" s="1065"/>
      <c r="C396" s="1741" t="s">
        <v>648</v>
      </c>
      <c r="D396" s="1742" t="s">
        <v>649</v>
      </c>
      <c r="E396" s="1742"/>
      <c r="F396" s="1742"/>
      <c r="G396" s="1742"/>
      <c r="H396" s="1759" t="s">
        <v>650</v>
      </c>
      <c r="I396" s="1759"/>
      <c r="J396" s="1743" t="s">
        <v>651</v>
      </c>
      <c r="K396" s="1743"/>
      <c r="L396" s="1743"/>
      <c r="M396" s="1743" t="s">
        <v>652</v>
      </c>
      <c r="N396" s="1743"/>
      <c r="O396" s="1743"/>
      <c r="P396" s="1743"/>
      <c r="Q396" s="1743"/>
      <c r="R396" s="1743"/>
      <c r="S396" s="1743" t="s">
        <v>6</v>
      </c>
      <c r="T396" s="1744" t="s">
        <v>653</v>
      </c>
      <c r="U396" s="1745" t="s">
        <v>654</v>
      </c>
      <c r="V396" s="1065"/>
      <c r="W396" s="1065"/>
      <c r="X396" s="1065"/>
      <c r="Y396" s="1065"/>
      <c r="Z396" s="1065"/>
      <c r="AA396" s="1065"/>
      <c r="AB396" s="1065"/>
      <c r="AC396" s="1065"/>
      <c r="AD396" s="1065"/>
      <c r="AE396" s="1065"/>
      <c r="AF396" s="1065"/>
      <c r="AG396" s="1065"/>
      <c r="AH396" s="1065"/>
      <c r="AI396" s="1065"/>
      <c r="AJ396" s="1065"/>
      <c r="AK396" s="1065"/>
      <c r="AL396" s="1065"/>
      <c r="AM396" s="1065"/>
      <c r="AN396" s="1065"/>
      <c r="AO396" s="1065"/>
      <c r="AP396" s="1065"/>
      <c r="AQ396" s="1065"/>
      <c r="AR396" s="1065"/>
      <c r="AS396" s="1065"/>
      <c r="AT396" s="1065"/>
      <c r="AU396" s="1065"/>
      <c r="AV396" s="1065"/>
      <c r="AW396" s="1065"/>
      <c r="AX396" s="1065"/>
      <c r="AY396" s="1065"/>
      <c r="AZ396" s="1065"/>
      <c r="BA396" s="1065"/>
      <c r="BB396" s="1065"/>
      <c r="BC396" s="1065"/>
      <c r="BD396" s="1065"/>
      <c r="BE396" s="1065"/>
      <c r="BF396" s="1065"/>
      <c r="BG396" s="1065"/>
      <c r="BH396" s="1065"/>
      <c r="BI396" s="1065"/>
      <c r="BJ396" s="1065"/>
      <c r="BK396" s="1065"/>
      <c r="BL396" s="1065"/>
      <c r="BM396" s="1065"/>
      <c r="BN396" s="1065"/>
      <c r="BO396" s="1065"/>
      <c r="BP396" s="1065"/>
      <c r="BQ396" s="1065"/>
      <c r="BR396" s="1065"/>
      <c r="BS396" s="1065"/>
      <c r="BT396" s="1065"/>
      <c r="BU396" s="1065"/>
      <c r="BV396" s="1065"/>
      <c r="BW396" s="1065"/>
      <c r="BX396" s="1065"/>
      <c r="BY396" s="1065"/>
      <c r="BZ396" s="1065"/>
      <c r="CA396" s="1065"/>
      <c r="CB396" s="1065"/>
      <c r="CC396" s="1065"/>
      <c r="CD396" s="1065"/>
      <c r="CE396" s="1065"/>
      <c r="CF396" s="1065"/>
      <c r="CG396" s="1065"/>
      <c r="CH396" s="1065"/>
      <c r="CI396" s="1065"/>
      <c r="CJ396" s="1065"/>
      <c r="CK396" s="1065"/>
      <c r="CL396" s="1065"/>
      <c r="CM396" s="1065"/>
      <c r="CN396" s="1065"/>
      <c r="CO396" s="1065"/>
      <c r="CP396" s="1065"/>
      <c r="CQ396" s="1065"/>
      <c r="CR396" s="1065"/>
      <c r="CS396" s="1065"/>
      <c r="CT396" s="1065"/>
      <c r="CU396" s="1065"/>
      <c r="CV396" s="1065"/>
      <c r="CW396" s="1065"/>
      <c r="CX396" s="1065"/>
      <c r="CY396" s="1065"/>
      <c r="CZ396" s="1065"/>
      <c r="DA396" s="1065"/>
      <c r="DB396" s="1065"/>
    </row>
    <row r="397" spans="1:106" ht="15" customHeight="1">
      <c r="A397" s="1065"/>
      <c r="B397" s="1065"/>
      <c r="C397" s="1741"/>
      <c r="D397" s="1742"/>
      <c r="E397" s="1742"/>
      <c r="F397" s="1742"/>
      <c r="G397" s="1742"/>
      <c r="H397" s="1759"/>
      <c r="I397" s="1759"/>
      <c r="J397" s="1743"/>
      <c r="K397" s="1743"/>
      <c r="L397" s="1743"/>
      <c r="M397" s="1743"/>
      <c r="N397" s="1743"/>
      <c r="O397" s="1743"/>
      <c r="P397" s="1743"/>
      <c r="Q397" s="1743"/>
      <c r="R397" s="1743"/>
      <c r="S397" s="1743"/>
      <c r="T397" s="1744"/>
      <c r="U397" s="1745"/>
      <c r="V397" s="1065"/>
      <c r="W397" s="1065"/>
      <c r="X397" s="1065"/>
      <c r="Y397" s="1065"/>
      <c r="Z397" s="1065"/>
      <c r="AA397" s="1065"/>
      <c r="AB397" s="1065"/>
      <c r="AC397" s="1065"/>
      <c r="AD397" s="1065"/>
      <c r="AE397" s="1065"/>
      <c r="AF397" s="1065"/>
      <c r="AG397" s="1065"/>
      <c r="AH397" s="1065"/>
      <c r="AI397" s="1065"/>
      <c r="AJ397" s="1065"/>
      <c r="AK397" s="1065"/>
      <c r="AL397" s="1065"/>
      <c r="AM397" s="1065"/>
      <c r="AN397" s="1065"/>
      <c r="AO397" s="1065"/>
      <c r="AP397" s="1065"/>
      <c r="AQ397" s="1065"/>
      <c r="AR397" s="1065"/>
      <c r="AS397" s="1065"/>
      <c r="AT397" s="1065"/>
      <c r="AU397" s="1065"/>
      <c r="AV397" s="1065"/>
      <c r="AW397" s="1065"/>
      <c r="AX397" s="1065"/>
      <c r="AY397" s="1065"/>
      <c r="AZ397" s="1065"/>
      <c r="BA397" s="1065"/>
      <c r="BB397" s="1065"/>
      <c r="BC397" s="1065"/>
      <c r="BD397" s="1065"/>
      <c r="BE397" s="1065"/>
      <c r="BF397" s="1065"/>
      <c r="BG397" s="1065"/>
      <c r="BH397" s="1065"/>
      <c r="BI397" s="1065"/>
      <c r="BJ397" s="1065"/>
      <c r="BK397" s="1065"/>
      <c r="BL397" s="1065"/>
      <c r="BM397" s="1065"/>
      <c r="BN397" s="1065"/>
      <c r="BO397" s="1065"/>
      <c r="BP397" s="1065"/>
      <c r="BQ397" s="1065"/>
      <c r="BR397" s="1065"/>
      <c r="BS397" s="1065"/>
      <c r="BT397" s="1065"/>
      <c r="BU397" s="1065"/>
      <c r="BV397" s="1065"/>
      <c r="BW397" s="1065"/>
      <c r="BX397" s="1065"/>
      <c r="BY397" s="1065"/>
      <c r="BZ397" s="1065"/>
      <c r="CA397" s="1065"/>
      <c r="CB397" s="1065"/>
      <c r="CC397" s="1065"/>
      <c r="CD397" s="1065"/>
      <c r="CE397" s="1065"/>
      <c r="CF397" s="1065"/>
      <c r="CG397" s="1065"/>
      <c r="CH397" s="1065"/>
      <c r="CI397" s="1065"/>
      <c r="CJ397" s="1065"/>
      <c r="CK397" s="1065"/>
      <c r="CL397" s="1065"/>
      <c r="CM397" s="1065"/>
      <c r="CN397" s="1065"/>
      <c r="CO397" s="1065"/>
      <c r="CP397" s="1065"/>
      <c r="CQ397" s="1065"/>
      <c r="CR397" s="1065"/>
      <c r="CS397" s="1065"/>
      <c r="CT397" s="1065"/>
      <c r="CU397" s="1065"/>
      <c r="CV397" s="1065"/>
      <c r="CW397" s="1065"/>
      <c r="CX397" s="1065"/>
      <c r="CY397" s="1065"/>
      <c r="CZ397" s="1065"/>
      <c r="DA397" s="1065"/>
      <c r="DB397" s="1065"/>
    </row>
    <row r="398" spans="1:106" ht="15" customHeight="1" thickBot="1">
      <c r="A398" s="1065"/>
      <c r="B398" s="1065"/>
      <c r="C398" s="1079"/>
      <c r="D398" s="1802"/>
      <c r="E398" s="1802"/>
      <c r="F398" s="1802"/>
      <c r="G398" s="1802"/>
      <c r="H398" s="1748"/>
      <c r="I398" s="1748"/>
      <c r="J398" s="1748"/>
      <c r="K398" s="1748"/>
      <c r="L398" s="1748"/>
      <c r="M398" s="1731"/>
      <c r="N398" s="1731"/>
      <c r="O398" s="1731"/>
      <c r="P398" s="1731"/>
      <c r="Q398" s="1731"/>
      <c r="R398" s="1731"/>
      <c r="S398" s="1080"/>
      <c r="T398" s="1738">
        <f>SUM(S398:S400)</f>
        <v>0</v>
      </c>
      <c r="U398" s="1809">
        <v>0</v>
      </c>
      <c r="V398" s="1065"/>
      <c r="W398" s="1065"/>
      <c r="X398" s="1065"/>
      <c r="Y398" s="1065"/>
      <c r="Z398" s="1065"/>
      <c r="AA398" s="1065"/>
      <c r="AB398" s="1065"/>
      <c r="AC398" s="1065"/>
      <c r="AD398" s="1065"/>
      <c r="AE398" s="1065"/>
      <c r="AF398" s="1065"/>
      <c r="AG398" s="1065"/>
      <c r="AH398" s="1065"/>
      <c r="AI398" s="1065"/>
      <c r="AJ398" s="1065"/>
      <c r="AK398" s="1065"/>
      <c r="AL398" s="1065"/>
      <c r="AM398" s="1065"/>
      <c r="AN398" s="1065"/>
      <c r="AO398" s="1065"/>
      <c r="AP398" s="1065"/>
      <c r="AQ398" s="1065"/>
      <c r="AR398" s="1065"/>
      <c r="AS398" s="1065"/>
      <c r="AT398" s="1065"/>
      <c r="AU398" s="1065"/>
      <c r="AV398" s="1065"/>
      <c r="AW398" s="1065"/>
      <c r="AX398" s="1065"/>
      <c r="AY398" s="1065"/>
      <c r="AZ398" s="1065"/>
      <c r="BA398" s="1065"/>
      <c r="BB398" s="1065"/>
      <c r="BC398" s="1065"/>
      <c r="BD398" s="1065"/>
      <c r="BE398" s="1065"/>
      <c r="BF398" s="1065"/>
      <c r="BG398" s="1065"/>
      <c r="BH398" s="1065"/>
      <c r="BI398" s="1065"/>
      <c r="BJ398" s="1065"/>
      <c r="BK398" s="1065"/>
      <c r="BL398" s="1065"/>
      <c r="BM398" s="1065"/>
      <c r="BN398" s="1065"/>
      <c r="BO398" s="1065"/>
      <c r="BP398" s="1065"/>
      <c r="BQ398" s="1065"/>
      <c r="BR398" s="1065"/>
      <c r="BS398" s="1065"/>
      <c r="BT398" s="1065"/>
      <c r="BU398" s="1065"/>
      <c r="BV398" s="1065"/>
      <c r="BW398" s="1065"/>
      <c r="BX398" s="1065"/>
      <c r="BY398" s="1065"/>
      <c r="BZ398" s="1065"/>
      <c r="CA398" s="1065"/>
      <c r="CB398" s="1065"/>
      <c r="CC398" s="1065"/>
      <c r="CD398" s="1065"/>
      <c r="CE398" s="1065"/>
      <c r="CF398" s="1065"/>
      <c r="CG398" s="1065"/>
      <c r="CH398" s="1065"/>
      <c r="CI398" s="1065"/>
      <c r="CJ398" s="1065"/>
      <c r="CK398" s="1065"/>
      <c r="CL398" s="1065"/>
      <c r="CM398" s="1065"/>
      <c r="CN398" s="1065"/>
      <c r="CO398" s="1065"/>
      <c r="CP398" s="1065"/>
      <c r="CQ398" s="1065"/>
      <c r="CR398" s="1065"/>
      <c r="CS398" s="1065"/>
      <c r="CT398" s="1065"/>
      <c r="CU398" s="1065"/>
      <c r="CV398" s="1065"/>
      <c r="CW398" s="1065"/>
      <c r="CX398" s="1065"/>
      <c r="CY398" s="1065"/>
      <c r="CZ398" s="1065"/>
      <c r="DA398" s="1065"/>
      <c r="DB398" s="1065"/>
    </row>
    <row r="399" spans="1:106" ht="15" customHeight="1" thickBot="1">
      <c r="A399" s="1065"/>
      <c r="B399" s="1065"/>
      <c r="C399" s="1081"/>
      <c r="D399" s="1746"/>
      <c r="E399" s="1746"/>
      <c r="F399" s="1746"/>
      <c r="G399" s="1746"/>
      <c r="H399" s="1747"/>
      <c r="I399" s="1747"/>
      <c r="J399" s="1747"/>
      <c r="K399" s="1747"/>
      <c r="L399" s="1747"/>
      <c r="M399" s="1678"/>
      <c r="N399" s="1678"/>
      <c r="O399" s="1678"/>
      <c r="P399" s="1678"/>
      <c r="Q399" s="1678"/>
      <c r="R399" s="1678"/>
      <c r="S399" s="1082"/>
      <c r="T399" s="1738"/>
      <c r="U399" s="1809"/>
      <c r="V399" s="1065"/>
      <c r="W399" s="1065"/>
      <c r="X399" s="1065"/>
      <c r="Y399" s="1065"/>
      <c r="Z399" s="1065"/>
      <c r="AA399" s="1065"/>
      <c r="AB399" s="1065"/>
      <c r="AC399" s="1065"/>
      <c r="AD399" s="1065"/>
      <c r="AE399" s="1065"/>
      <c r="AF399" s="1065"/>
      <c r="AG399" s="1065"/>
      <c r="AH399" s="1065"/>
      <c r="AI399" s="1065"/>
      <c r="AJ399" s="1065"/>
      <c r="AK399" s="1065"/>
      <c r="AL399" s="1065"/>
      <c r="AM399" s="1065"/>
      <c r="AN399" s="1065"/>
      <c r="AO399" s="1065"/>
      <c r="AP399" s="1065"/>
      <c r="AQ399" s="1065"/>
      <c r="AR399" s="1065"/>
      <c r="AS399" s="1065"/>
      <c r="AT399" s="1065"/>
      <c r="AU399" s="1065"/>
      <c r="AV399" s="1065"/>
      <c r="AW399" s="1065"/>
      <c r="AX399" s="1065"/>
      <c r="AY399" s="1065"/>
      <c r="AZ399" s="1065"/>
      <c r="BA399" s="1065"/>
      <c r="BB399" s="1065"/>
      <c r="BC399" s="1065"/>
      <c r="BD399" s="1065"/>
      <c r="BE399" s="1065"/>
      <c r="BF399" s="1065"/>
      <c r="BG399" s="1065"/>
      <c r="BH399" s="1065"/>
      <c r="BI399" s="1065"/>
      <c r="BJ399" s="1065"/>
      <c r="BK399" s="1065"/>
      <c r="BL399" s="1065"/>
      <c r="BM399" s="1065"/>
      <c r="BN399" s="1065"/>
      <c r="BO399" s="1065"/>
      <c r="BP399" s="1065"/>
      <c r="BQ399" s="1065"/>
      <c r="BR399" s="1065"/>
      <c r="BS399" s="1065"/>
      <c r="BT399" s="1065"/>
      <c r="BU399" s="1065"/>
      <c r="BV399" s="1065"/>
      <c r="BW399" s="1065"/>
      <c r="BX399" s="1065"/>
      <c r="BY399" s="1065"/>
      <c r="BZ399" s="1065"/>
      <c r="CA399" s="1065"/>
      <c r="CB399" s="1065"/>
      <c r="CC399" s="1065"/>
      <c r="CD399" s="1065"/>
      <c r="CE399" s="1065"/>
      <c r="CF399" s="1065"/>
      <c r="CG399" s="1065"/>
      <c r="CH399" s="1065"/>
      <c r="CI399" s="1065"/>
      <c r="CJ399" s="1065"/>
      <c r="CK399" s="1065"/>
      <c r="CL399" s="1065"/>
      <c r="CM399" s="1065"/>
      <c r="CN399" s="1065"/>
      <c r="CO399" s="1065"/>
      <c r="CP399" s="1065"/>
      <c r="CQ399" s="1065"/>
      <c r="CR399" s="1065"/>
      <c r="CS399" s="1065"/>
      <c r="CT399" s="1065"/>
      <c r="CU399" s="1065"/>
      <c r="CV399" s="1065"/>
      <c r="CW399" s="1065"/>
      <c r="CX399" s="1065"/>
      <c r="CY399" s="1065"/>
      <c r="CZ399" s="1065"/>
      <c r="DA399" s="1065"/>
      <c r="DB399" s="1065"/>
    </row>
    <row r="400" spans="1:106" ht="15" customHeight="1" thickBot="1">
      <c r="A400" s="1065"/>
      <c r="B400" s="1065"/>
      <c r="C400" s="1083"/>
      <c r="D400" s="1703"/>
      <c r="E400" s="1703"/>
      <c r="F400" s="1703"/>
      <c r="G400" s="1703"/>
      <c r="H400" s="1704"/>
      <c r="I400" s="1704"/>
      <c r="J400" s="1704"/>
      <c r="K400" s="1704"/>
      <c r="L400" s="1704"/>
      <c r="M400" s="1706"/>
      <c r="N400" s="1706"/>
      <c r="O400" s="1706"/>
      <c r="P400" s="1706"/>
      <c r="Q400" s="1706"/>
      <c r="R400" s="1706"/>
      <c r="S400" s="1084"/>
      <c r="T400" s="1738"/>
      <c r="U400" s="1809"/>
      <c r="V400" s="1065"/>
      <c r="W400" s="1065"/>
      <c r="X400" s="1065"/>
      <c r="Y400" s="1065"/>
      <c r="Z400" s="1065"/>
      <c r="AA400" s="1065"/>
      <c r="AB400" s="1065"/>
      <c r="AC400" s="1065"/>
      <c r="AD400" s="1065"/>
      <c r="AE400" s="1065"/>
      <c r="AF400" s="1065"/>
      <c r="AG400" s="1065"/>
      <c r="AH400" s="1065"/>
      <c r="AI400" s="1065"/>
      <c r="AJ400" s="1065"/>
      <c r="AK400" s="1065"/>
      <c r="AL400" s="1065"/>
      <c r="AM400" s="1065"/>
      <c r="AN400" s="1065"/>
      <c r="AO400" s="1065"/>
      <c r="AP400" s="1065"/>
      <c r="AQ400" s="1065"/>
      <c r="AR400" s="1065"/>
      <c r="AS400" s="1065"/>
      <c r="AT400" s="1065"/>
      <c r="AU400" s="1065"/>
      <c r="AV400" s="1065"/>
      <c r="AW400" s="1065"/>
      <c r="AX400" s="1065"/>
      <c r="AY400" s="1065"/>
      <c r="AZ400" s="1065"/>
      <c r="BA400" s="1065"/>
      <c r="BB400" s="1065"/>
      <c r="BC400" s="1065"/>
      <c r="BD400" s="1065"/>
      <c r="BE400" s="1065"/>
      <c r="BF400" s="1065"/>
      <c r="BG400" s="1065"/>
      <c r="BH400" s="1065"/>
      <c r="BI400" s="1065"/>
      <c r="BJ400" s="1065"/>
      <c r="BK400" s="1065"/>
      <c r="BL400" s="1065"/>
      <c r="BM400" s="1065"/>
      <c r="BN400" s="1065"/>
      <c r="BO400" s="1065"/>
      <c r="BP400" s="1065"/>
      <c r="BQ400" s="1065"/>
      <c r="BR400" s="1065"/>
      <c r="BS400" s="1065"/>
      <c r="BT400" s="1065"/>
      <c r="BU400" s="1065"/>
      <c r="BV400" s="1065"/>
      <c r="BW400" s="1065"/>
      <c r="BX400" s="1065"/>
      <c r="BY400" s="1065"/>
      <c r="BZ400" s="1065"/>
      <c r="CA400" s="1065"/>
      <c r="CB400" s="1065"/>
      <c r="CC400" s="1065"/>
      <c r="CD400" s="1065"/>
      <c r="CE400" s="1065"/>
      <c r="CF400" s="1065"/>
      <c r="CG400" s="1065"/>
      <c r="CH400" s="1065"/>
      <c r="CI400" s="1065"/>
      <c r="CJ400" s="1065"/>
      <c r="CK400" s="1065"/>
      <c r="CL400" s="1065"/>
      <c r="CM400" s="1065"/>
      <c r="CN400" s="1065"/>
      <c r="CO400" s="1065"/>
      <c r="CP400" s="1065"/>
      <c r="CQ400" s="1065"/>
      <c r="CR400" s="1065"/>
      <c r="CS400" s="1065"/>
      <c r="CT400" s="1065"/>
      <c r="CU400" s="1065"/>
      <c r="CV400" s="1065"/>
      <c r="CW400" s="1065"/>
      <c r="CX400" s="1065"/>
      <c r="CY400" s="1065"/>
      <c r="CZ400" s="1065"/>
      <c r="DA400" s="1065"/>
      <c r="DB400" s="1065"/>
    </row>
    <row r="401" spans="1:106" ht="15" customHeight="1" thickBot="1">
      <c r="A401" s="1065"/>
      <c r="B401" s="1065"/>
      <c r="C401" s="1799" t="s">
        <v>821</v>
      </c>
      <c r="D401" s="1799"/>
      <c r="E401" s="1799"/>
      <c r="F401" s="1799"/>
      <c r="G401" s="1799"/>
      <c r="H401" s="1799"/>
      <c r="I401" s="1799"/>
      <c r="J401" s="1799"/>
      <c r="K401" s="1799"/>
      <c r="L401" s="1799"/>
      <c r="M401" s="1799"/>
      <c r="N401" s="1799"/>
      <c r="O401" s="1799"/>
      <c r="P401" s="1799"/>
      <c r="Q401" s="1799"/>
      <c r="R401" s="1799"/>
      <c r="S401" s="1799"/>
      <c r="T401" s="1799"/>
      <c r="U401" s="1799"/>
      <c r="V401" s="1065"/>
      <c r="W401" s="1065"/>
      <c r="X401" s="1065"/>
      <c r="Y401" s="1065"/>
      <c r="Z401" s="1065"/>
      <c r="AA401" s="1065"/>
      <c r="AB401" s="1065"/>
      <c r="AC401" s="1065"/>
      <c r="AD401" s="1065"/>
      <c r="AE401" s="1065"/>
      <c r="AF401" s="1065"/>
      <c r="AG401" s="1065"/>
      <c r="AH401" s="1065"/>
      <c r="AI401" s="1065"/>
      <c r="AJ401" s="1065"/>
      <c r="AK401" s="1065"/>
      <c r="AL401" s="1065"/>
      <c r="AM401" s="1065"/>
      <c r="AN401" s="1065"/>
      <c r="AO401" s="1065"/>
      <c r="AP401" s="1065"/>
      <c r="AQ401" s="1065"/>
      <c r="AR401" s="1065"/>
      <c r="AS401" s="1065"/>
      <c r="AT401" s="1065"/>
      <c r="AU401" s="1065"/>
      <c r="AV401" s="1065"/>
      <c r="AW401" s="1065"/>
      <c r="AX401" s="1065"/>
      <c r="AY401" s="1065"/>
      <c r="AZ401" s="1065"/>
      <c r="BA401" s="1065"/>
      <c r="BB401" s="1065"/>
      <c r="BC401" s="1065"/>
      <c r="BD401" s="1065"/>
      <c r="BE401" s="1065"/>
      <c r="BF401" s="1065"/>
      <c r="BG401" s="1065"/>
      <c r="BH401" s="1065"/>
      <c r="BI401" s="1065"/>
      <c r="BJ401" s="1065"/>
      <c r="BK401" s="1065"/>
      <c r="BL401" s="1065"/>
      <c r="BM401" s="1065"/>
      <c r="BN401" s="1065"/>
      <c r="BO401" s="1065"/>
      <c r="BP401" s="1065"/>
      <c r="BQ401" s="1065"/>
      <c r="BR401" s="1065"/>
      <c r="BS401" s="1065"/>
      <c r="BT401" s="1065"/>
      <c r="BU401" s="1065"/>
      <c r="BV401" s="1065"/>
      <c r="BW401" s="1065"/>
      <c r="BX401" s="1065"/>
      <c r="BY401" s="1065"/>
      <c r="BZ401" s="1065"/>
      <c r="CA401" s="1065"/>
      <c r="CB401" s="1065"/>
      <c r="CC401" s="1065"/>
      <c r="CD401" s="1065"/>
      <c r="CE401" s="1065"/>
      <c r="CF401" s="1065"/>
      <c r="CG401" s="1065"/>
      <c r="CH401" s="1065"/>
      <c r="CI401" s="1065"/>
      <c r="CJ401" s="1065"/>
      <c r="CK401" s="1065"/>
      <c r="CL401" s="1065"/>
      <c r="CM401" s="1065"/>
      <c r="CN401" s="1065"/>
      <c r="CO401" s="1065"/>
      <c r="CP401" s="1065"/>
      <c r="CQ401" s="1065"/>
      <c r="CR401" s="1065"/>
      <c r="CS401" s="1065"/>
      <c r="CT401" s="1065"/>
      <c r="CU401" s="1065"/>
      <c r="CV401" s="1065"/>
      <c r="CW401" s="1065"/>
      <c r="CX401" s="1065"/>
      <c r="CY401" s="1065"/>
      <c r="CZ401" s="1065"/>
      <c r="DA401" s="1065"/>
      <c r="DB401" s="1065"/>
    </row>
    <row r="402" spans="1:106" ht="15" customHeight="1" thickBot="1">
      <c r="A402" s="1065"/>
      <c r="B402" s="1065"/>
      <c r="C402" s="1741" t="s">
        <v>648</v>
      </c>
      <c r="D402" s="1742" t="s">
        <v>649</v>
      </c>
      <c r="E402" s="1742"/>
      <c r="F402" s="1742"/>
      <c r="G402" s="1742"/>
      <c r="H402" s="1759" t="s">
        <v>650</v>
      </c>
      <c r="I402" s="1759"/>
      <c r="J402" s="1743" t="s">
        <v>651</v>
      </c>
      <c r="K402" s="1743"/>
      <c r="L402" s="1743"/>
      <c r="M402" s="1743" t="s">
        <v>652</v>
      </c>
      <c r="N402" s="1743"/>
      <c r="O402" s="1743"/>
      <c r="P402" s="1743"/>
      <c r="Q402" s="1743"/>
      <c r="R402" s="1743"/>
      <c r="S402" s="1743" t="s">
        <v>6</v>
      </c>
      <c r="T402" s="1744" t="s">
        <v>653</v>
      </c>
      <c r="U402" s="1745" t="s">
        <v>654</v>
      </c>
      <c r="V402" s="1065"/>
      <c r="W402" s="1065"/>
      <c r="X402" s="1065"/>
      <c r="Y402" s="1065"/>
      <c r="Z402" s="1065"/>
      <c r="AA402" s="1065"/>
      <c r="AB402" s="1065"/>
      <c r="AC402" s="1065"/>
      <c r="AD402" s="1065"/>
      <c r="AE402" s="1065"/>
      <c r="AF402" s="1065"/>
      <c r="AG402" s="1065"/>
      <c r="AH402" s="1065"/>
      <c r="AI402" s="1065"/>
      <c r="AJ402" s="1065"/>
      <c r="AK402" s="1065"/>
      <c r="AL402" s="1065"/>
      <c r="AM402" s="1065"/>
      <c r="AN402" s="1065"/>
      <c r="AO402" s="1065"/>
      <c r="AP402" s="1065"/>
      <c r="AQ402" s="1065"/>
      <c r="AR402" s="1065"/>
      <c r="AS402" s="1065"/>
      <c r="AT402" s="1065"/>
      <c r="AU402" s="1065"/>
      <c r="AV402" s="1065"/>
      <c r="AW402" s="1065"/>
      <c r="AX402" s="1065"/>
      <c r="AY402" s="1065"/>
      <c r="AZ402" s="1065"/>
      <c r="BA402" s="1065"/>
      <c r="BB402" s="1065"/>
      <c r="BC402" s="1065"/>
      <c r="BD402" s="1065"/>
      <c r="BE402" s="1065"/>
      <c r="BF402" s="1065"/>
      <c r="BG402" s="1065"/>
      <c r="BH402" s="1065"/>
      <c r="BI402" s="1065"/>
      <c r="BJ402" s="1065"/>
      <c r="BK402" s="1065"/>
      <c r="BL402" s="1065"/>
      <c r="BM402" s="1065"/>
      <c r="BN402" s="1065"/>
      <c r="BO402" s="1065"/>
      <c r="BP402" s="1065"/>
      <c r="BQ402" s="1065"/>
      <c r="BR402" s="1065"/>
      <c r="BS402" s="1065"/>
      <c r="BT402" s="1065"/>
      <c r="BU402" s="1065"/>
      <c r="BV402" s="1065"/>
      <c r="BW402" s="1065"/>
      <c r="BX402" s="1065"/>
      <c r="BY402" s="1065"/>
      <c r="BZ402" s="1065"/>
      <c r="CA402" s="1065"/>
      <c r="CB402" s="1065"/>
      <c r="CC402" s="1065"/>
      <c r="CD402" s="1065"/>
      <c r="CE402" s="1065"/>
      <c r="CF402" s="1065"/>
      <c r="CG402" s="1065"/>
      <c r="CH402" s="1065"/>
      <c r="CI402" s="1065"/>
      <c r="CJ402" s="1065"/>
      <c r="CK402" s="1065"/>
      <c r="CL402" s="1065"/>
      <c r="CM402" s="1065"/>
      <c r="CN402" s="1065"/>
      <c r="CO402" s="1065"/>
      <c r="CP402" s="1065"/>
      <c r="CQ402" s="1065"/>
      <c r="CR402" s="1065"/>
      <c r="CS402" s="1065"/>
      <c r="CT402" s="1065"/>
      <c r="CU402" s="1065"/>
      <c r="CV402" s="1065"/>
      <c r="CW402" s="1065"/>
      <c r="CX402" s="1065"/>
      <c r="CY402" s="1065"/>
      <c r="CZ402" s="1065"/>
      <c r="DA402" s="1065"/>
      <c r="DB402" s="1065"/>
    </row>
    <row r="403" spans="1:106" ht="15" customHeight="1">
      <c r="A403" s="1065"/>
      <c r="B403" s="1065"/>
      <c r="C403" s="1741"/>
      <c r="D403" s="1742"/>
      <c r="E403" s="1742"/>
      <c r="F403" s="1742"/>
      <c r="G403" s="1742"/>
      <c r="H403" s="1759"/>
      <c r="I403" s="1759"/>
      <c r="J403" s="1743"/>
      <c r="K403" s="1743"/>
      <c r="L403" s="1743"/>
      <c r="M403" s="1743"/>
      <c r="N403" s="1743"/>
      <c r="O403" s="1743"/>
      <c r="P403" s="1743"/>
      <c r="Q403" s="1743"/>
      <c r="R403" s="1743"/>
      <c r="S403" s="1743"/>
      <c r="T403" s="1744"/>
      <c r="U403" s="1745"/>
      <c r="V403" s="1065"/>
      <c r="W403" s="1065"/>
      <c r="X403" s="1065"/>
      <c r="Y403" s="1065"/>
      <c r="Z403" s="1065"/>
      <c r="AA403" s="1065"/>
      <c r="AB403" s="1065"/>
      <c r="AC403" s="1065"/>
      <c r="AD403" s="1065"/>
      <c r="AE403" s="1065"/>
      <c r="AF403" s="1065"/>
      <c r="AG403" s="1065"/>
      <c r="AH403" s="1065"/>
      <c r="AI403" s="1065"/>
      <c r="AJ403" s="1065"/>
      <c r="AK403" s="1065"/>
      <c r="AL403" s="1065"/>
      <c r="AM403" s="1065"/>
      <c r="AN403" s="1065"/>
      <c r="AO403" s="1065"/>
      <c r="AP403" s="1065"/>
      <c r="AQ403" s="1065"/>
      <c r="AR403" s="1065"/>
      <c r="AS403" s="1065"/>
      <c r="AT403" s="1065"/>
      <c r="AU403" s="1065"/>
      <c r="AV403" s="1065"/>
      <c r="AW403" s="1065"/>
      <c r="AX403" s="1065"/>
      <c r="AY403" s="1065"/>
      <c r="AZ403" s="1065"/>
      <c r="BA403" s="1065"/>
      <c r="BB403" s="1065"/>
      <c r="BC403" s="1065"/>
      <c r="BD403" s="1065"/>
      <c r="BE403" s="1065"/>
      <c r="BF403" s="1065"/>
      <c r="BG403" s="1065"/>
      <c r="BH403" s="1065"/>
      <c r="BI403" s="1065"/>
      <c r="BJ403" s="1065"/>
      <c r="BK403" s="1065"/>
      <c r="BL403" s="1065"/>
      <c r="BM403" s="1065"/>
      <c r="BN403" s="1065"/>
      <c r="BO403" s="1065"/>
      <c r="BP403" s="1065"/>
      <c r="BQ403" s="1065"/>
      <c r="BR403" s="1065"/>
      <c r="BS403" s="1065"/>
      <c r="BT403" s="1065"/>
      <c r="BU403" s="1065"/>
      <c r="BV403" s="1065"/>
      <c r="BW403" s="1065"/>
      <c r="BX403" s="1065"/>
      <c r="BY403" s="1065"/>
      <c r="BZ403" s="1065"/>
      <c r="CA403" s="1065"/>
      <c r="CB403" s="1065"/>
      <c r="CC403" s="1065"/>
      <c r="CD403" s="1065"/>
      <c r="CE403" s="1065"/>
      <c r="CF403" s="1065"/>
      <c r="CG403" s="1065"/>
      <c r="CH403" s="1065"/>
      <c r="CI403" s="1065"/>
      <c r="CJ403" s="1065"/>
      <c r="CK403" s="1065"/>
      <c r="CL403" s="1065"/>
      <c r="CM403" s="1065"/>
      <c r="CN403" s="1065"/>
      <c r="CO403" s="1065"/>
      <c r="CP403" s="1065"/>
      <c r="CQ403" s="1065"/>
      <c r="CR403" s="1065"/>
      <c r="CS403" s="1065"/>
      <c r="CT403" s="1065"/>
      <c r="CU403" s="1065"/>
      <c r="CV403" s="1065"/>
      <c r="CW403" s="1065"/>
      <c r="CX403" s="1065"/>
      <c r="CY403" s="1065"/>
      <c r="CZ403" s="1065"/>
      <c r="DA403" s="1065"/>
      <c r="DB403" s="1065"/>
    </row>
    <row r="404" spans="1:106" ht="15" customHeight="1" thickBot="1">
      <c r="A404" s="1065"/>
      <c r="B404" s="1065"/>
      <c r="C404" s="1158" t="s">
        <v>304</v>
      </c>
      <c r="D404" s="1692" t="s">
        <v>822</v>
      </c>
      <c r="E404" s="1692"/>
      <c r="F404" s="1692"/>
      <c r="G404" s="1692"/>
      <c r="H404" s="1791" t="s">
        <v>671</v>
      </c>
      <c r="I404" s="1791"/>
      <c r="J404" s="1791" t="s">
        <v>823</v>
      </c>
      <c r="K404" s="1791"/>
      <c r="L404" s="1791"/>
      <c r="M404" s="1791" t="s">
        <v>824</v>
      </c>
      <c r="N404" s="1791"/>
      <c r="O404" s="1791"/>
      <c r="P404" s="1791"/>
      <c r="Q404" s="1791"/>
      <c r="R404" s="1791"/>
      <c r="S404" s="1067"/>
      <c r="T404" s="1068"/>
      <c r="U404" s="1739">
        <v>0</v>
      </c>
      <c r="V404" s="1065"/>
      <c r="W404" s="1065"/>
      <c r="X404" s="1065"/>
      <c r="Y404" s="1065"/>
      <c r="Z404" s="1065"/>
      <c r="AA404" s="1065"/>
      <c r="AB404" s="1065"/>
      <c r="AC404" s="1065"/>
      <c r="AD404" s="1065"/>
      <c r="AE404" s="1065"/>
      <c r="AF404" s="1065"/>
      <c r="AG404" s="1065"/>
      <c r="AH404" s="1065"/>
      <c r="AI404" s="1065"/>
      <c r="AJ404" s="1065"/>
      <c r="AK404" s="1065"/>
      <c r="AL404" s="1065"/>
      <c r="AM404" s="1065"/>
      <c r="AN404" s="1065"/>
      <c r="AO404" s="1065"/>
      <c r="AP404" s="1065"/>
      <c r="AQ404" s="1065"/>
      <c r="AR404" s="1065"/>
      <c r="AS404" s="1065"/>
      <c r="AT404" s="1065"/>
      <c r="AU404" s="1065"/>
      <c r="AV404" s="1065"/>
      <c r="AW404" s="1065"/>
      <c r="AX404" s="1065"/>
      <c r="AY404" s="1065"/>
      <c r="AZ404" s="1065"/>
      <c r="BA404" s="1065"/>
      <c r="BB404" s="1065"/>
      <c r="BC404" s="1065"/>
      <c r="BD404" s="1065"/>
      <c r="BE404" s="1065"/>
      <c r="BF404" s="1065"/>
      <c r="BG404" s="1065"/>
      <c r="BH404" s="1065"/>
      <c r="BI404" s="1065"/>
      <c r="BJ404" s="1065"/>
      <c r="BK404" s="1065"/>
      <c r="BL404" s="1065"/>
      <c r="BM404" s="1065"/>
      <c r="BN404" s="1065"/>
      <c r="BO404" s="1065"/>
      <c r="BP404" s="1065"/>
      <c r="BQ404" s="1065"/>
      <c r="BR404" s="1065"/>
      <c r="BS404" s="1065"/>
      <c r="BT404" s="1065"/>
      <c r="BU404" s="1065"/>
      <c r="BV404" s="1065"/>
      <c r="BW404" s="1065"/>
      <c r="BX404" s="1065"/>
      <c r="BY404" s="1065"/>
      <c r="BZ404" s="1065"/>
      <c r="CA404" s="1065"/>
      <c r="CB404" s="1065"/>
      <c r="CC404" s="1065"/>
      <c r="CD404" s="1065"/>
      <c r="CE404" s="1065"/>
      <c r="CF404" s="1065"/>
      <c r="CG404" s="1065"/>
      <c r="CH404" s="1065"/>
      <c r="CI404" s="1065"/>
      <c r="CJ404" s="1065"/>
      <c r="CK404" s="1065"/>
      <c r="CL404" s="1065"/>
      <c r="CM404" s="1065"/>
      <c r="CN404" s="1065"/>
      <c r="CO404" s="1065"/>
      <c r="CP404" s="1065"/>
      <c r="CQ404" s="1065"/>
      <c r="CR404" s="1065"/>
      <c r="CS404" s="1065"/>
      <c r="CT404" s="1065"/>
      <c r="CU404" s="1065"/>
      <c r="CV404" s="1065"/>
      <c r="CW404" s="1065"/>
      <c r="CX404" s="1065"/>
      <c r="CY404" s="1065"/>
      <c r="CZ404" s="1065"/>
      <c r="DA404" s="1065"/>
      <c r="DB404" s="1065"/>
    </row>
    <row r="405" spans="1:106" ht="15" customHeight="1" thickBot="1">
      <c r="A405" s="1065"/>
      <c r="B405" s="1065"/>
      <c r="C405" s="1158" t="s">
        <v>110</v>
      </c>
      <c r="D405" s="1692"/>
      <c r="E405" s="1692"/>
      <c r="F405" s="1692"/>
      <c r="G405" s="1692"/>
      <c r="H405" s="1791"/>
      <c r="I405" s="1791"/>
      <c r="J405" s="1791"/>
      <c r="K405" s="1791"/>
      <c r="L405" s="1791"/>
      <c r="M405" s="1791"/>
      <c r="N405" s="1791"/>
      <c r="O405" s="1791"/>
      <c r="P405" s="1791"/>
      <c r="Q405" s="1791"/>
      <c r="R405" s="1791"/>
      <c r="S405" s="1067"/>
      <c r="T405" s="1068"/>
      <c r="U405" s="1739"/>
      <c r="V405" s="1065"/>
      <c r="W405" s="1065"/>
      <c r="X405" s="1065"/>
      <c r="Y405" s="1065"/>
      <c r="Z405" s="1065"/>
      <c r="AA405" s="1065"/>
      <c r="AB405" s="1065"/>
      <c r="AC405" s="1065"/>
      <c r="AD405" s="1065"/>
      <c r="AE405" s="1065"/>
      <c r="AF405" s="1065"/>
      <c r="AG405" s="1065"/>
      <c r="AH405" s="1065"/>
      <c r="AI405" s="1065"/>
      <c r="AJ405" s="1065"/>
      <c r="AK405" s="1065"/>
      <c r="AL405" s="1065"/>
      <c r="AM405" s="1065"/>
      <c r="AN405" s="1065"/>
      <c r="AO405" s="1065"/>
      <c r="AP405" s="1065"/>
      <c r="AQ405" s="1065"/>
      <c r="AR405" s="1065"/>
      <c r="AS405" s="1065"/>
      <c r="AT405" s="1065"/>
      <c r="AU405" s="1065"/>
      <c r="AV405" s="1065"/>
      <c r="AW405" s="1065"/>
      <c r="AX405" s="1065"/>
      <c r="AY405" s="1065"/>
      <c r="AZ405" s="1065"/>
      <c r="BA405" s="1065"/>
      <c r="BB405" s="1065"/>
      <c r="BC405" s="1065"/>
      <c r="BD405" s="1065"/>
      <c r="BE405" s="1065"/>
      <c r="BF405" s="1065"/>
      <c r="BG405" s="1065"/>
      <c r="BH405" s="1065"/>
      <c r="BI405" s="1065"/>
      <c r="BJ405" s="1065"/>
      <c r="BK405" s="1065"/>
      <c r="BL405" s="1065"/>
      <c r="BM405" s="1065"/>
      <c r="BN405" s="1065"/>
      <c r="BO405" s="1065"/>
      <c r="BP405" s="1065"/>
      <c r="BQ405" s="1065"/>
      <c r="BR405" s="1065"/>
      <c r="BS405" s="1065"/>
      <c r="BT405" s="1065"/>
      <c r="BU405" s="1065"/>
      <c r="BV405" s="1065"/>
      <c r="BW405" s="1065"/>
      <c r="BX405" s="1065"/>
      <c r="BY405" s="1065"/>
      <c r="BZ405" s="1065"/>
      <c r="CA405" s="1065"/>
      <c r="CB405" s="1065"/>
      <c r="CC405" s="1065"/>
      <c r="CD405" s="1065"/>
      <c r="CE405" s="1065"/>
      <c r="CF405" s="1065"/>
      <c r="CG405" s="1065"/>
      <c r="CH405" s="1065"/>
      <c r="CI405" s="1065"/>
      <c r="CJ405" s="1065"/>
      <c r="CK405" s="1065"/>
      <c r="CL405" s="1065"/>
      <c r="CM405" s="1065"/>
      <c r="CN405" s="1065"/>
      <c r="CO405" s="1065"/>
      <c r="CP405" s="1065"/>
      <c r="CQ405" s="1065"/>
      <c r="CR405" s="1065"/>
      <c r="CS405" s="1065"/>
      <c r="CT405" s="1065"/>
      <c r="CU405" s="1065"/>
      <c r="CV405" s="1065"/>
      <c r="CW405" s="1065"/>
      <c r="CX405" s="1065"/>
      <c r="CY405" s="1065"/>
      <c r="CZ405" s="1065"/>
      <c r="DA405" s="1065"/>
      <c r="DB405" s="1065"/>
    </row>
    <row r="406" spans="1:106" ht="15" customHeight="1" thickBot="1">
      <c r="A406" s="1065"/>
      <c r="B406" s="1065"/>
      <c r="C406" s="1158" t="s">
        <v>676</v>
      </c>
      <c r="D406" s="1692"/>
      <c r="E406" s="1692"/>
      <c r="F406" s="1692"/>
      <c r="G406" s="1692"/>
      <c r="H406" s="1791"/>
      <c r="I406" s="1791"/>
      <c r="J406" s="1791"/>
      <c r="K406" s="1791"/>
      <c r="L406" s="1791"/>
      <c r="M406" s="1791"/>
      <c r="N406" s="1791"/>
      <c r="O406" s="1791"/>
      <c r="P406" s="1791"/>
      <c r="Q406" s="1791"/>
      <c r="R406" s="1791"/>
      <c r="S406" s="1067"/>
      <c r="T406" s="1068"/>
      <c r="U406" s="1739"/>
      <c r="V406" s="1065"/>
      <c r="W406" s="1065"/>
      <c r="X406" s="1065"/>
      <c r="Y406" s="1065"/>
      <c r="Z406" s="1065"/>
      <c r="AA406" s="1065"/>
      <c r="AB406" s="1065"/>
      <c r="AC406" s="1065"/>
      <c r="AD406" s="1065"/>
      <c r="AE406" s="1065"/>
      <c r="AF406" s="1065"/>
      <c r="AG406" s="1065"/>
      <c r="AH406" s="1065"/>
      <c r="AI406" s="1065"/>
      <c r="AJ406" s="1065"/>
      <c r="AK406" s="1065"/>
      <c r="AL406" s="1065"/>
      <c r="AM406" s="1065"/>
      <c r="AN406" s="1065"/>
      <c r="AO406" s="1065"/>
      <c r="AP406" s="1065"/>
      <c r="AQ406" s="1065"/>
      <c r="AR406" s="1065"/>
      <c r="AS406" s="1065"/>
      <c r="AT406" s="1065"/>
      <c r="AU406" s="1065"/>
      <c r="AV406" s="1065"/>
      <c r="AW406" s="1065"/>
      <c r="AX406" s="1065"/>
      <c r="AY406" s="1065"/>
      <c r="AZ406" s="1065"/>
      <c r="BA406" s="1065"/>
      <c r="BB406" s="1065"/>
      <c r="BC406" s="1065"/>
      <c r="BD406" s="1065"/>
      <c r="BE406" s="1065"/>
      <c r="BF406" s="1065"/>
      <c r="BG406" s="1065"/>
      <c r="BH406" s="1065"/>
      <c r="BI406" s="1065"/>
      <c r="BJ406" s="1065"/>
      <c r="BK406" s="1065"/>
      <c r="BL406" s="1065"/>
      <c r="BM406" s="1065"/>
      <c r="BN406" s="1065"/>
      <c r="BO406" s="1065"/>
      <c r="BP406" s="1065"/>
      <c r="BQ406" s="1065"/>
      <c r="BR406" s="1065"/>
      <c r="BS406" s="1065"/>
      <c r="BT406" s="1065"/>
      <c r="BU406" s="1065"/>
      <c r="BV406" s="1065"/>
      <c r="BW406" s="1065"/>
      <c r="BX406" s="1065"/>
      <c r="BY406" s="1065"/>
      <c r="BZ406" s="1065"/>
      <c r="CA406" s="1065"/>
      <c r="CB406" s="1065"/>
      <c r="CC406" s="1065"/>
      <c r="CD406" s="1065"/>
      <c r="CE406" s="1065"/>
      <c r="CF406" s="1065"/>
      <c r="CG406" s="1065"/>
      <c r="CH406" s="1065"/>
      <c r="CI406" s="1065"/>
      <c r="CJ406" s="1065"/>
      <c r="CK406" s="1065"/>
      <c r="CL406" s="1065"/>
      <c r="CM406" s="1065"/>
      <c r="CN406" s="1065"/>
      <c r="CO406" s="1065"/>
      <c r="CP406" s="1065"/>
      <c r="CQ406" s="1065"/>
      <c r="CR406" s="1065"/>
      <c r="CS406" s="1065"/>
      <c r="CT406" s="1065"/>
      <c r="CU406" s="1065"/>
      <c r="CV406" s="1065"/>
      <c r="CW406" s="1065"/>
      <c r="CX406" s="1065"/>
      <c r="CY406" s="1065"/>
      <c r="CZ406" s="1065"/>
      <c r="DA406" s="1065"/>
      <c r="DB406" s="1065"/>
    </row>
    <row r="407" spans="1:106" ht="15" customHeight="1" thickBot="1">
      <c r="A407" s="1065"/>
      <c r="B407" s="1065"/>
      <c r="C407" s="1158" t="s">
        <v>529</v>
      </c>
      <c r="D407" s="1692"/>
      <c r="E407" s="1692"/>
      <c r="F407" s="1692"/>
      <c r="G407" s="1692"/>
      <c r="H407" s="1791"/>
      <c r="I407" s="1791"/>
      <c r="J407" s="1791"/>
      <c r="K407" s="1791"/>
      <c r="L407" s="1791"/>
      <c r="M407" s="1791"/>
      <c r="N407" s="1791"/>
      <c r="O407" s="1791"/>
      <c r="P407" s="1791"/>
      <c r="Q407" s="1791"/>
      <c r="R407" s="1791"/>
      <c r="S407" s="1067"/>
      <c r="T407" s="1159"/>
      <c r="U407" s="1739"/>
      <c r="V407" s="1065"/>
      <c r="W407" s="1065"/>
      <c r="X407" s="1065"/>
      <c r="Y407" s="1065"/>
      <c r="Z407" s="1065"/>
      <c r="AA407" s="1065"/>
      <c r="AB407" s="1065"/>
      <c r="AC407" s="1065"/>
      <c r="AD407" s="1065"/>
      <c r="AE407" s="1065"/>
      <c r="AF407" s="1065"/>
      <c r="AG407" s="1065"/>
      <c r="AH407" s="1065"/>
      <c r="AI407" s="1065"/>
      <c r="AJ407" s="1065"/>
      <c r="AK407" s="1065"/>
      <c r="AL407" s="1065"/>
      <c r="AM407" s="1065"/>
      <c r="AN407" s="1065"/>
      <c r="AO407" s="1065"/>
      <c r="AP407" s="1065"/>
      <c r="AQ407" s="1065"/>
      <c r="AR407" s="1065"/>
      <c r="AS407" s="1065"/>
      <c r="AT407" s="1065"/>
      <c r="AU407" s="1065"/>
      <c r="AV407" s="1065"/>
      <c r="AW407" s="1065"/>
      <c r="AX407" s="1065"/>
      <c r="AY407" s="1065"/>
      <c r="AZ407" s="1065"/>
      <c r="BA407" s="1065"/>
      <c r="BB407" s="1065"/>
      <c r="BC407" s="1065"/>
      <c r="BD407" s="1065"/>
      <c r="BE407" s="1065"/>
      <c r="BF407" s="1065"/>
      <c r="BG407" s="1065"/>
      <c r="BH407" s="1065"/>
      <c r="BI407" s="1065"/>
      <c r="BJ407" s="1065"/>
      <c r="BK407" s="1065"/>
      <c r="BL407" s="1065"/>
      <c r="BM407" s="1065"/>
      <c r="BN407" s="1065"/>
      <c r="BO407" s="1065"/>
      <c r="BP407" s="1065"/>
      <c r="BQ407" s="1065"/>
      <c r="BR407" s="1065"/>
      <c r="BS407" s="1065"/>
      <c r="BT407" s="1065"/>
      <c r="BU407" s="1065"/>
      <c r="BV407" s="1065"/>
      <c r="BW407" s="1065"/>
      <c r="BX407" s="1065"/>
      <c r="BY407" s="1065"/>
      <c r="BZ407" s="1065"/>
      <c r="CA407" s="1065"/>
      <c r="CB407" s="1065"/>
      <c r="CC407" s="1065"/>
      <c r="CD407" s="1065"/>
      <c r="CE407" s="1065"/>
      <c r="CF407" s="1065"/>
      <c r="CG407" s="1065"/>
      <c r="CH407" s="1065"/>
      <c r="CI407" s="1065"/>
      <c r="CJ407" s="1065"/>
      <c r="CK407" s="1065"/>
      <c r="CL407" s="1065"/>
      <c r="CM407" s="1065"/>
      <c r="CN407" s="1065"/>
      <c r="CO407" s="1065"/>
      <c r="CP407" s="1065"/>
      <c r="CQ407" s="1065"/>
      <c r="CR407" s="1065"/>
      <c r="CS407" s="1065"/>
      <c r="CT407" s="1065"/>
      <c r="CU407" s="1065"/>
      <c r="CV407" s="1065"/>
      <c r="CW407" s="1065"/>
      <c r="CX407" s="1065"/>
      <c r="CY407" s="1065"/>
      <c r="CZ407" s="1065"/>
      <c r="DA407" s="1065"/>
      <c r="DB407" s="1065"/>
    </row>
    <row r="408" spans="1:106" ht="15" customHeight="1" thickBot="1">
      <c r="A408" s="1065"/>
      <c r="B408" s="1065"/>
      <c r="C408" s="1158" t="s">
        <v>549</v>
      </c>
      <c r="D408" s="1692"/>
      <c r="E408" s="1692"/>
      <c r="F408" s="1692"/>
      <c r="G408" s="1692"/>
      <c r="H408" s="1791"/>
      <c r="I408" s="1791"/>
      <c r="J408" s="1791"/>
      <c r="K408" s="1791"/>
      <c r="L408" s="1791"/>
      <c r="M408" s="1791"/>
      <c r="N408" s="1791"/>
      <c r="O408" s="1791"/>
      <c r="P408" s="1791"/>
      <c r="Q408" s="1791"/>
      <c r="R408" s="1791"/>
      <c r="S408" s="1067"/>
      <c r="T408" s="1068"/>
      <c r="U408" s="1739"/>
      <c r="V408" s="1065"/>
      <c r="W408" s="1065"/>
      <c r="X408" s="1065"/>
      <c r="Y408" s="1065"/>
      <c r="Z408" s="1065"/>
      <c r="AA408" s="1065"/>
      <c r="AB408" s="1065"/>
      <c r="AC408" s="1065"/>
      <c r="AD408" s="1065"/>
      <c r="AE408" s="1065"/>
      <c r="AF408" s="1065"/>
      <c r="AG408" s="1065"/>
      <c r="AH408" s="1065"/>
      <c r="AI408" s="1065"/>
      <c r="AJ408" s="1065"/>
      <c r="AK408" s="1065"/>
      <c r="AL408" s="1065"/>
      <c r="AM408" s="1065"/>
      <c r="AN408" s="1065"/>
      <c r="AO408" s="1065"/>
      <c r="AP408" s="1065"/>
      <c r="AQ408" s="1065"/>
      <c r="AR408" s="1065"/>
      <c r="AS408" s="1065"/>
      <c r="AT408" s="1065"/>
      <c r="AU408" s="1065"/>
      <c r="AV408" s="1065"/>
      <c r="AW408" s="1065"/>
      <c r="AX408" s="1065"/>
      <c r="AY408" s="1065"/>
      <c r="AZ408" s="1065"/>
      <c r="BA408" s="1065"/>
      <c r="BB408" s="1065"/>
      <c r="BC408" s="1065"/>
      <c r="BD408" s="1065"/>
      <c r="BE408" s="1065"/>
      <c r="BF408" s="1065"/>
      <c r="BG408" s="1065"/>
      <c r="BH408" s="1065"/>
      <c r="BI408" s="1065"/>
      <c r="BJ408" s="1065"/>
      <c r="BK408" s="1065"/>
      <c r="BL408" s="1065"/>
      <c r="BM408" s="1065"/>
      <c r="BN408" s="1065"/>
      <c r="BO408" s="1065"/>
      <c r="BP408" s="1065"/>
      <c r="BQ408" s="1065"/>
      <c r="BR408" s="1065"/>
      <c r="BS408" s="1065"/>
      <c r="BT408" s="1065"/>
      <c r="BU408" s="1065"/>
      <c r="BV408" s="1065"/>
      <c r="BW408" s="1065"/>
      <c r="BX408" s="1065"/>
      <c r="BY408" s="1065"/>
      <c r="BZ408" s="1065"/>
      <c r="CA408" s="1065"/>
      <c r="CB408" s="1065"/>
      <c r="CC408" s="1065"/>
      <c r="CD408" s="1065"/>
      <c r="CE408" s="1065"/>
      <c r="CF408" s="1065"/>
      <c r="CG408" s="1065"/>
      <c r="CH408" s="1065"/>
      <c r="CI408" s="1065"/>
      <c r="CJ408" s="1065"/>
      <c r="CK408" s="1065"/>
      <c r="CL408" s="1065"/>
      <c r="CM408" s="1065"/>
      <c r="CN408" s="1065"/>
      <c r="CO408" s="1065"/>
      <c r="CP408" s="1065"/>
      <c r="CQ408" s="1065"/>
      <c r="CR408" s="1065"/>
      <c r="CS408" s="1065"/>
      <c r="CT408" s="1065"/>
      <c r="CU408" s="1065"/>
      <c r="CV408" s="1065"/>
      <c r="CW408" s="1065"/>
      <c r="CX408" s="1065"/>
      <c r="CY408" s="1065"/>
      <c r="CZ408" s="1065"/>
      <c r="DA408" s="1065"/>
      <c r="DB408" s="1065"/>
    </row>
    <row r="409" spans="1:106" ht="15" customHeight="1" thickBot="1">
      <c r="A409" s="1065"/>
      <c r="B409" s="1065"/>
      <c r="C409" s="1158" t="s">
        <v>111</v>
      </c>
      <c r="D409" s="1692"/>
      <c r="E409" s="1692"/>
      <c r="F409" s="1692"/>
      <c r="G409" s="1692"/>
      <c r="H409" s="1791"/>
      <c r="I409" s="1791"/>
      <c r="J409" s="1791"/>
      <c r="K409" s="1791"/>
      <c r="L409" s="1791"/>
      <c r="M409" s="1791"/>
      <c r="N409" s="1791"/>
      <c r="O409" s="1791"/>
      <c r="P409" s="1791"/>
      <c r="Q409" s="1791"/>
      <c r="R409" s="1791"/>
      <c r="S409" s="1067"/>
      <c r="T409" s="1068"/>
      <c r="U409" s="1739"/>
      <c r="V409" s="1065"/>
      <c r="W409" s="1065"/>
      <c r="X409" s="1065"/>
      <c r="Y409" s="1065"/>
      <c r="Z409" s="1065"/>
      <c r="AA409" s="1065"/>
      <c r="AB409" s="1065"/>
      <c r="AC409" s="1065"/>
      <c r="AD409" s="1065"/>
      <c r="AE409" s="1065"/>
      <c r="AF409" s="1065"/>
      <c r="AG409" s="1065"/>
      <c r="AH409" s="1065"/>
      <c r="AI409" s="1065"/>
      <c r="AJ409" s="1065"/>
      <c r="AK409" s="1065"/>
      <c r="AL409" s="1065"/>
      <c r="AM409" s="1065"/>
      <c r="AN409" s="1065"/>
      <c r="AO409" s="1065"/>
      <c r="AP409" s="1065"/>
      <c r="AQ409" s="1065"/>
      <c r="AR409" s="1065"/>
      <c r="AS409" s="1065"/>
      <c r="AT409" s="1065"/>
      <c r="AU409" s="1065"/>
      <c r="AV409" s="1065"/>
      <c r="AW409" s="1065"/>
      <c r="AX409" s="1065"/>
      <c r="AY409" s="1065"/>
      <c r="AZ409" s="1065"/>
      <c r="BA409" s="1065"/>
      <c r="BB409" s="1065"/>
      <c r="BC409" s="1065"/>
      <c r="BD409" s="1065"/>
      <c r="BE409" s="1065"/>
      <c r="BF409" s="1065"/>
      <c r="BG409" s="1065"/>
      <c r="BH409" s="1065"/>
      <c r="BI409" s="1065"/>
      <c r="BJ409" s="1065"/>
      <c r="BK409" s="1065"/>
      <c r="BL409" s="1065"/>
      <c r="BM409" s="1065"/>
      <c r="BN409" s="1065"/>
      <c r="BO409" s="1065"/>
      <c r="BP409" s="1065"/>
      <c r="BQ409" s="1065"/>
      <c r="BR409" s="1065"/>
      <c r="BS409" s="1065"/>
      <c r="BT409" s="1065"/>
      <c r="BU409" s="1065"/>
      <c r="BV409" s="1065"/>
      <c r="BW409" s="1065"/>
      <c r="BX409" s="1065"/>
      <c r="BY409" s="1065"/>
      <c r="BZ409" s="1065"/>
      <c r="CA409" s="1065"/>
      <c r="CB409" s="1065"/>
      <c r="CC409" s="1065"/>
      <c r="CD409" s="1065"/>
      <c r="CE409" s="1065"/>
      <c r="CF409" s="1065"/>
      <c r="CG409" s="1065"/>
      <c r="CH409" s="1065"/>
      <c r="CI409" s="1065"/>
      <c r="CJ409" s="1065"/>
      <c r="CK409" s="1065"/>
      <c r="CL409" s="1065"/>
      <c r="CM409" s="1065"/>
      <c r="CN409" s="1065"/>
      <c r="CO409" s="1065"/>
      <c r="CP409" s="1065"/>
      <c r="CQ409" s="1065"/>
      <c r="CR409" s="1065"/>
      <c r="CS409" s="1065"/>
      <c r="CT409" s="1065"/>
      <c r="CU409" s="1065"/>
      <c r="CV409" s="1065"/>
      <c r="CW409" s="1065"/>
      <c r="CX409" s="1065"/>
      <c r="CY409" s="1065"/>
      <c r="CZ409" s="1065"/>
      <c r="DA409" s="1065"/>
      <c r="DB409" s="1065"/>
    </row>
    <row r="410" spans="1:106" ht="15" customHeight="1" thickBot="1">
      <c r="A410" s="1065"/>
      <c r="B410" s="1065"/>
      <c r="C410" s="1158" t="s">
        <v>677</v>
      </c>
      <c r="D410" s="1692"/>
      <c r="E410" s="1692"/>
      <c r="F410" s="1692"/>
      <c r="G410" s="1692"/>
      <c r="H410" s="1791"/>
      <c r="I410" s="1791"/>
      <c r="J410" s="1791"/>
      <c r="K410" s="1791"/>
      <c r="L410" s="1791"/>
      <c r="M410" s="1791"/>
      <c r="N410" s="1791"/>
      <c r="O410" s="1791"/>
      <c r="P410" s="1791"/>
      <c r="Q410" s="1791"/>
      <c r="R410" s="1791"/>
      <c r="S410" s="1067"/>
      <c r="T410" s="1068"/>
      <c r="U410" s="1739"/>
      <c r="V410" s="1065"/>
      <c r="W410" s="1065"/>
      <c r="X410" s="1065"/>
      <c r="Y410" s="1065"/>
      <c r="Z410" s="1065"/>
      <c r="AA410" s="1065"/>
      <c r="AB410" s="1065"/>
      <c r="AC410" s="1065"/>
      <c r="AD410" s="1065"/>
      <c r="AE410" s="1065"/>
      <c r="AF410" s="1065"/>
      <c r="AG410" s="1065"/>
      <c r="AH410" s="1065"/>
      <c r="AI410" s="1065"/>
      <c r="AJ410" s="1065"/>
      <c r="AK410" s="1065"/>
      <c r="AL410" s="1065"/>
      <c r="AM410" s="1065"/>
      <c r="AN410" s="1065"/>
      <c r="AO410" s="1065"/>
      <c r="AP410" s="1065"/>
      <c r="AQ410" s="1065"/>
      <c r="AR410" s="1065"/>
      <c r="AS410" s="1065"/>
      <c r="AT410" s="1065"/>
      <c r="AU410" s="1065"/>
      <c r="AV410" s="1065"/>
      <c r="AW410" s="1065"/>
      <c r="AX410" s="1065"/>
      <c r="AY410" s="1065"/>
      <c r="AZ410" s="1065"/>
      <c r="BA410" s="1065"/>
      <c r="BB410" s="1065"/>
      <c r="BC410" s="1065"/>
      <c r="BD410" s="1065"/>
      <c r="BE410" s="1065"/>
      <c r="BF410" s="1065"/>
      <c r="BG410" s="1065"/>
      <c r="BH410" s="1065"/>
      <c r="BI410" s="1065"/>
      <c r="BJ410" s="1065"/>
      <c r="BK410" s="1065"/>
      <c r="BL410" s="1065"/>
      <c r="BM410" s="1065"/>
      <c r="BN410" s="1065"/>
      <c r="BO410" s="1065"/>
      <c r="BP410" s="1065"/>
      <c r="BQ410" s="1065"/>
      <c r="BR410" s="1065"/>
      <c r="BS410" s="1065"/>
      <c r="BT410" s="1065"/>
      <c r="BU410" s="1065"/>
      <c r="BV410" s="1065"/>
      <c r="BW410" s="1065"/>
      <c r="BX410" s="1065"/>
      <c r="BY410" s="1065"/>
      <c r="BZ410" s="1065"/>
      <c r="CA410" s="1065"/>
      <c r="CB410" s="1065"/>
      <c r="CC410" s="1065"/>
      <c r="CD410" s="1065"/>
      <c r="CE410" s="1065"/>
      <c r="CF410" s="1065"/>
      <c r="CG410" s="1065"/>
      <c r="CH410" s="1065"/>
      <c r="CI410" s="1065"/>
      <c r="CJ410" s="1065"/>
      <c r="CK410" s="1065"/>
      <c r="CL410" s="1065"/>
      <c r="CM410" s="1065"/>
      <c r="CN410" s="1065"/>
      <c r="CO410" s="1065"/>
      <c r="CP410" s="1065"/>
      <c r="CQ410" s="1065"/>
      <c r="CR410" s="1065"/>
      <c r="CS410" s="1065"/>
      <c r="CT410" s="1065"/>
      <c r="CU410" s="1065"/>
      <c r="CV410" s="1065"/>
      <c r="CW410" s="1065"/>
      <c r="CX410" s="1065"/>
      <c r="CY410" s="1065"/>
      <c r="CZ410" s="1065"/>
      <c r="DA410" s="1065"/>
      <c r="DB410" s="1065"/>
    </row>
    <row r="411" spans="1:106" ht="15" customHeight="1" thickBot="1">
      <c r="A411" s="1065"/>
      <c r="B411" s="1065"/>
      <c r="C411" s="1160" t="s">
        <v>680</v>
      </c>
      <c r="D411" s="1692"/>
      <c r="E411" s="1692"/>
      <c r="F411" s="1692"/>
      <c r="G411" s="1692"/>
      <c r="H411" s="1791"/>
      <c r="I411" s="1791"/>
      <c r="J411" s="1791"/>
      <c r="K411" s="1791"/>
      <c r="L411" s="1791"/>
      <c r="M411" s="1791"/>
      <c r="N411" s="1791"/>
      <c r="O411" s="1791"/>
      <c r="P411" s="1791"/>
      <c r="Q411" s="1791"/>
      <c r="R411" s="1791"/>
      <c r="S411" s="1108"/>
      <c r="T411" s="1070"/>
      <c r="U411" s="1739"/>
      <c r="V411" s="1065"/>
      <c r="W411" s="1065"/>
      <c r="X411" s="1065"/>
      <c r="Y411" s="1065"/>
      <c r="Z411" s="1065"/>
      <c r="AA411" s="1065"/>
      <c r="AB411" s="1065"/>
      <c r="AC411" s="1065"/>
      <c r="AD411" s="1065"/>
      <c r="AE411" s="1065"/>
      <c r="AF411" s="1065"/>
      <c r="AG411" s="1065"/>
      <c r="AH411" s="1065"/>
      <c r="AI411" s="1065"/>
      <c r="AJ411" s="1065"/>
      <c r="AK411" s="1065"/>
      <c r="AL411" s="1065"/>
      <c r="AM411" s="1065"/>
      <c r="AN411" s="1065"/>
      <c r="AO411" s="1065"/>
      <c r="AP411" s="1065"/>
      <c r="AQ411" s="1065"/>
      <c r="AR411" s="1065"/>
      <c r="AS411" s="1065"/>
      <c r="AT411" s="1065"/>
      <c r="AU411" s="1065"/>
      <c r="AV411" s="1065"/>
      <c r="AW411" s="1065"/>
      <c r="AX411" s="1065"/>
      <c r="AY411" s="1065"/>
      <c r="AZ411" s="1065"/>
      <c r="BA411" s="1065"/>
      <c r="BB411" s="1065"/>
      <c r="BC411" s="1065"/>
      <c r="BD411" s="1065"/>
      <c r="BE411" s="1065"/>
      <c r="BF411" s="1065"/>
      <c r="BG411" s="1065"/>
      <c r="BH411" s="1065"/>
      <c r="BI411" s="1065"/>
      <c r="BJ411" s="1065"/>
      <c r="BK411" s="1065"/>
      <c r="BL411" s="1065"/>
      <c r="BM411" s="1065"/>
      <c r="BN411" s="1065"/>
      <c r="BO411" s="1065"/>
      <c r="BP411" s="1065"/>
      <c r="BQ411" s="1065"/>
      <c r="BR411" s="1065"/>
      <c r="BS411" s="1065"/>
      <c r="BT411" s="1065"/>
      <c r="BU411" s="1065"/>
      <c r="BV411" s="1065"/>
      <c r="BW411" s="1065"/>
      <c r="BX411" s="1065"/>
      <c r="BY411" s="1065"/>
      <c r="BZ411" s="1065"/>
      <c r="CA411" s="1065"/>
      <c r="CB411" s="1065"/>
      <c r="CC411" s="1065"/>
      <c r="CD411" s="1065"/>
      <c r="CE411" s="1065"/>
      <c r="CF411" s="1065"/>
      <c r="CG411" s="1065"/>
      <c r="CH411" s="1065"/>
      <c r="CI411" s="1065"/>
      <c r="CJ411" s="1065"/>
      <c r="CK411" s="1065"/>
      <c r="CL411" s="1065"/>
      <c r="CM411" s="1065"/>
      <c r="CN411" s="1065"/>
      <c r="CO411" s="1065"/>
      <c r="CP411" s="1065"/>
      <c r="CQ411" s="1065"/>
      <c r="CR411" s="1065"/>
      <c r="CS411" s="1065"/>
      <c r="CT411" s="1065"/>
      <c r="CU411" s="1065"/>
      <c r="CV411" s="1065"/>
      <c r="CW411" s="1065"/>
      <c r="CX411" s="1065"/>
      <c r="CY411" s="1065"/>
      <c r="CZ411" s="1065"/>
      <c r="DA411" s="1065"/>
      <c r="DB411" s="1065"/>
    </row>
    <row r="412" spans="1:106" ht="15" customHeight="1" thickBot="1">
      <c r="A412" s="1065"/>
      <c r="B412" s="1065"/>
      <c r="C412" s="1161" t="s">
        <v>112</v>
      </c>
      <c r="D412" s="1786" t="s">
        <v>822</v>
      </c>
      <c r="E412" s="1786"/>
      <c r="F412" s="1786"/>
      <c r="G412" s="1786"/>
      <c r="H412" s="1787" t="s">
        <v>657</v>
      </c>
      <c r="I412" s="1787"/>
      <c r="J412" s="1787" t="s">
        <v>825</v>
      </c>
      <c r="K412" s="1787"/>
      <c r="L412" s="1787"/>
      <c r="M412" s="1787" t="s">
        <v>824</v>
      </c>
      <c r="N412" s="1787"/>
      <c r="O412" s="1787"/>
      <c r="P412" s="1787"/>
      <c r="Q412" s="1787"/>
      <c r="R412" s="1787"/>
      <c r="S412" s="1072"/>
      <c r="T412" s="1162"/>
      <c r="U412" s="1805">
        <v>0</v>
      </c>
      <c r="V412" s="1065"/>
      <c r="W412" s="1065"/>
      <c r="X412" s="1065"/>
      <c r="Y412" s="1065"/>
      <c r="Z412" s="1065"/>
      <c r="AA412" s="1065"/>
      <c r="AB412" s="1065"/>
      <c r="AC412" s="1065"/>
      <c r="AD412" s="1065"/>
      <c r="AE412" s="1065"/>
      <c r="AF412" s="1065"/>
      <c r="AG412" s="1065"/>
      <c r="AH412" s="1065"/>
      <c r="AI412" s="1065"/>
      <c r="AJ412" s="1065"/>
      <c r="AK412" s="1065"/>
      <c r="AL412" s="1065"/>
      <c r="AM412" s="1065"/>
      <c r="AN412" s="1065"/>
      <c r="AO412" s="1065"/>
      <c r="AP412" s="1065"/>
      <c r="AQ412" s="1065"/>
      <c r="AR412" s="1065"/>
      <c r="AS412" s="1065"/>
      <c r="AT412" s="1065"/>
      <c r="AU412" s="1065"/>
      <c r="AV412" s="1065"/>
      <c r="AW412" s="1065"/>
      <c r="AX412" s="1065"/>
      <c r="AY412" s="1065"/>
      <c r="AZ412" s="1065"/>
      <c r="BA412" s="1065"/>
      <c r="BB412" s="1065"/>
      <c r="BC412" s="1065"/>
      <c r="BD412" s="1065"/>
      <c r="BE412" s="1065"/>
      <c r="BF412" s="1065"/>
      <c r="BG412" s="1065"/>
      <c r="BH412" s="1065"/>
      <c r="BI412" s="1065"/>
      <c r="BJ412" s="1065"/>
      <c r="BK412" s="1065"/>
      <c r="BL412" s="1065"/>
      <c r="BM412" s="1065"/>
      <c r="BN412" s="1065"/>
      <c r="BO412" s="1065"/>
      <c r="BP412" s="1065"/>
      <c r="BQ412" s="1065"/>
      <c r="BR412" s="1065"/>
      <c r="BS412" s="1065"/>
      <c r="BT412" s="1065"/>
      <c r="BU412" s="1065"/>
      <c r="BV412" s="1065"/>
      <c r="BW412" s="1065"/>
      <c r="BX412" s="1065"/>
      <c r="BY412" s="1065"/>
      <c r="BZ412" s="1065"/>
      <c r="CA412" s="1065"/>
      <c r="CB412" s="1065"/>
      <c r="CC412" s="1065"/>
      <c r="CD412" s="1065"/>
      <c r="CE412" s="1065"/>
      <c r="CF412" s="1065"/>
      <c r="CG412" s="1065"/>
      <c r="CH412" s="1065"/>
      <c r="CI412" s="1065"/>
      <c r="CJ412" s="1065"/>
      <c r="CK412" s="1065"/>
      <c r="CL412" s="1065"/>
      <c r="CM412" s="1065"/>
      <c r="CN412" s="1065"/>
      <c r="CO412" s="1065"/>
      <c r="CP412" s="1065"/>
      <c r="CQ412" s="1065"/>
      <c r="CR412" s="1065"/>
      <c r="CS412" s="1065"/>
      <c r="CT412" s="1065"/>
      <c r="CU412" s="1065"/>
      <c r="CV412" s="1065"/>
      <c r="CW412" s="1065"/>
      <c r="CX412" s="1065"/>
      <c r="CY412" s="1065"/>
      <c r="CZ412" s="1065"/>
      <c r="DA412" s="1065"/>
      <c r="DB412" s="1065"/>
    </row>
    <row r="413" spans="1:106" ht="15" customHeight="1" thickBot="1">
      <c r="A413" s="1065"/>
      <c r="B413" s="1065"/>
      <c r="C413" s="1158" t="s">
        <v>667</v>
      </c>
      <c r="D413" s="1786"/>
      <c r="E413" s="1786"/>
      <c r="F413" s="1786"/>
      <c r="G413" s="1786"/>
      <c r="H413" s="1787"/>
      <c r="I413" s="1787"/>
      <c r="J413" s="1787"/>
      <c r="K413" s="1787"/>
      <c r="L413" s="1787"/>
      <c r="M413" s="1787"/>
      <c r="N413" s="1787"/>
      <c r="O413" s="1787"/>
      <c r="P413" s="1787"/>
      <c r="Q413" s="1787"/>
      <c r="R413" s="1787"/>
      <c r="S413" s="1067"/>
      <c r="T413" s="1163"/>
      <c r="U413" s="1805"/>
      <c r="V413" s="1065"/>
      <c r="W413" s="1065"/>
      <c r="X413" s="1065"/>
      <c r="Y413" s="1065"/>
      <c r="Z413" s="1065"/>
      <c r="AA413" s="1065"/>
      <c r="AB413" s="1065"/>
      <c r="AC413" s="1065"/>
      <c r="AD413" s="1065"/>
      <c r="AE413" s="1065"/>
      <c r="AF413" s="1065"/>
      <c r="AG413" s="1065"/>
      <c r="AH413" s="1065"/>
      <c r="AI413" s="1065"/>
      <c r="AJ413" s="1065"/>
      <c r="AK413" s="1065"/>
      <c r="AL413" s="1065"/>
      <c r="AM413" s="1065"/>
      <c r="AN413" s="1065"/>
      <c r="AO413" s="1065"/>
      <c r="AP413" s="1065"/>
      <c r="AQ413" s="1065"/>
      <c r="AR413" s="1065"/>
      <c r="AS413" s="1065"/>
      <c r="AT413" s="1065"/>
      <c r="AU413" s="1065"/>
      <c r="AV413" s="1065"/>
      <c r="AW413" s="1065"/>
      <c r="AX413" s="1065"/>
      <c r="AY413" s="1065"/>
      <c r="AZ413" s="1065"/>
      <c r="BA413" s="1065"/>
      <c r="BB413" s="1065"/>
      <c r="BC413" s="1065"/>
      <c r="BD413" s="1065"/>
      <c r="BE413" s="1065"/>
      <c r="BF413" s="1065"/>
      <c r="BG413" s="1065"/>
      <c r="BH413" s="1065"/>
      <c r="BI413" s="1065"/>
      <c r="BJ413" s="1065"/>
      <c r="BK413" s="1065"/>
      <c r="BL413" s="1065"/>
      <c r="BM413" s="1065"/>
      <c r="BN413" s="1065"/>
      <c r="BO413" s="1065"/>
      <c r="BP413" s="1065"/>
      <c r="BQ413" s="1065"/>
      <c r="BR413" s="1065"/>
      <c r="BS413" s="1065"/>
      <c r="BT413" s="1065"/>
      <c r="BU413" s="1065"/>
      <c r="BV413" s="1065"/>
      <c r="BW413" s="1065"/>
      <c r="BX413" s="1065"/>
      <c r="BY413" s="1065"/>
      <c r="BZ413" s="1065"/>
      <c r="CA413" s="1065"/>
      <c r="CB413" s="1065"/>
      <c r="CC413" s="1065"/>
      <c r="CD413" s="1065"/>
      <c r="CE413" s="1065"/>
      <c r="CF413" s="1065"/>
      <c r="CG413" s="1065"/>
      <c r="CH413" s="1065"/>
      <c r="CI413" s="1065"/>
      <c r="CJ413" s="1065"/>
      <c r="CK413" s="1065"/>
      <c r="CL413" s="1065"/>
      <c r="CM413" s="1065"/>
      <c r="CN413" s="1065"/>
      <c r="CO413" s="1065"/>
      <c r="CP413" s="1065"/>
      <c r="CQ413" s="1065"/>
      <c r="CR413" s="1065"/>
      <c r="CS413" s="1065"/>
      <c r="CT413" s="1065"/>
      <c r="CU413" s="1065"/>
      <c r="CV413" s="1065"/>
      <c r="CW413" s="1065"/>
      <c r="CX413" s="1065"/>
      <c r="CY413" s="1065"/>
      <c r="CZ413" s="1065"/>
      <c r="DA413" s="1065"/>
      <c r="DB413" s="1065"/>
    </row>
    <row r="414" spans="1:106" ht="15" customHeight="1" thickBot="1">
      <c r="A414" s="1065"/>
      <c r="B414" s="1065"/>
      <c r="C414" s="1158" t="s">
        <v>665</v>
      </c>
      <c r="D414" s="1786"/>
      <c r="E414" s="1786"/>
      <c r="F414" s="1786"/>
      <c r="G414" s="1786"/>
      <c r="H414" s="1787"/>
      <c r="I414" s="1787"/>
      <c r="J414" s="1787"/>
      <c r="K414" s="1787"/>
      <c r="L414" s="1787"/>
      <c r="M414" s="1787"/>
      <c r="N414" s="1787"/>
      <c r="O414" s="1787"/>
      <c r="P414" s="1787"/>
      <c r="Q414" s="1787"/>
      <c r="R414" s="1787"/>
      <c r="S414" s="1067"/>
      <c r="T414" s="1163"/>
      <c r="U414" s="1805"/>
      <c r="V414" s="1065"/>
      <c r="W414" s="1065"/>
      <c r="X414" s="1065"/>
      <c r="Y414" s="1065"/>
      <c r="Z414" s="1065"/>
      <c r="AA414" s="1065"/>
      <c r="AB414" s="1065"/>
      <c r="AC414" s="1065"/>
      <c r="AD414" s="1065"/>
      <c r="AE414" s="1065"/>
      <c r="AF414" s="1065"/>
      <c r="AG414" s="1065"/>
      <c r="AH414" s="1065"/>
      <c r="AI414" s="1065"/>
      <c r="AJ414" s="1065"/>
      <c r="AK414" s="1065"/>
      <c r="AL414" s="1065"/>
      <c r="AM414" s="1065"/>
      <c r="AN414" s="1065"/>
      <c r="AO414" s="1065"/>
      <c r="AP414" s="1065"/>
      <c r="AQ414" s="1065"/>
      <c r="AR414" s="1065"/>
      <c r="AS414" s="1065"/>
      <c r="AT414" s="1065"/>
      <c r="AU414" s="1065"/>
      <c r="AV414" s="1065"/>
      <c r="AW414" s="1065"/>
      <c r="AX414" s="1065"/>
      <c r="AY414" s="1065"/>
      <c r="AZ414" s="1065"/>
      <c r="BA414" s="1065"/>
      <c r="BB414" s="1065"/>
      <c r="BC414" s="1065"/>
      <c r="BD414" s="1065"/>
      <c r="BE414" s="1065"/>
      <c r="BF414" s="1065"/>
      <c r="BG414" s="1065"/>
      <c r="BH414" s="1065"/>
      <c r="BI414" s="1065"/>
      <c r="BJ414" s="1065"/>
      <c r="BK414" s="1065"/>
      <c r="BL414" s="1065"/>
      <c r="BM414" s="1065"/>
      <c r="BN414" s="1065"/>
      <c r="BO414" s="1065"/>
      <c r="BP414" s="1065"/>
      <c r="BQ414" s="1065"/>
      <c r="BR414" s="1065"/>
      <c r="BS414" s="1065"/>
      <c r="BT414" s="1065"/>
      <c r="BU414" s="1065"/>
      <c r="BV414" s="1065"/>
      <c r="BW414" s="1065"/>
      <c r="BX414" s="1065"/>
      <c r="BY414" s="1065"/>
      <c r="BZ414" s="1065"/>
      <c r="CA414" s="1065"/>
      <c r="CB414" s="1065"/>
      <c r="CC414" s="1065"/>
      <c r="CD414" s="1065"/>
      <c r="CE414" s="1065"/>
      <c r="CF414" s="1065"/>
      <c r="CG414" s="1065"/>
      <c r="CH414" s="1065"/>
      <c r="CI414" s="1065"/>
      <c r="CJ414" s="1065"/>
      <c r="CK414" s="1065"/>
      <c r="CL414" s="1065"/>
      <c r="CM414" s="1065"/>
      <c r="CN414" s="1065"/>
      <c r="CO414" s="1065"/>
      <c r="CP414" s="1065"/>
      <c r="CQ414" s="1065"/>
      <c r="CR414" s="1065"/>
      <c r="CS414" s="1065"/>
      <c r="CT414" s="1065"/>
      <c r="CU414" s="1065"/>
      <c r="CV414" s="1065"/>
      <c r="CW414" s="1065"/>
      <c r="CX414" s="1065"/>
      <c r="CY414" s="1065"/>
      <c r="CZ414" s="1065"/>
      <c r="DA414" s="1065"/>
      <c r="DB414" s="1065"/>
    </row>
    <row r="415" spans="1:106" ht="15" customHeight="1" thickBot="1">
      <c r="A415" s="1065"/>
      <c r="B415" s="1065"/>
      <c r="C415" s="1158" t="s">
        <v>108</v>
      </c>
      <c r="D415" s="1786"/>
      <c r="E415" s="1786"/>
      <c r="F415" s="1786"/>
      <c r="G415" s="1786"/>
      <c r="H415" s="1787"/>
      <c r="I415" s="1787"/>
      <c r="J415" s="1787"/>
      <c r="K415" s="1787"/>
      <c r="L415" s="1787"/>
      <c r="M415" s="1787"/>
      <c r="N415" s="1787"/>
      <c r="O415" s="1787"/>
      <c r="P415" s="1787"/>
      <c r="Q415" s="1787"/>
      <c r="R415" s="1787"/>
      <c r="S415" s="1067"/>
      <c r="T415" s="1163"/>
      <c r="U415" s="1805"/>
      <c r="V415" s="1065"/>
      <c r="W415" s="1065"/>
      <c r="X415" s="1065"/>
      <c r="Y415" s="1065"/>
      <c r="Z415" s="1065"/>
      <c r="AA415" s="1065"/>
      <c r="AB415" s="1065"/>
      <c r="AC415" s="1065"/>
      <c r="AD415" s="1065"/>
      <c r="AE415" s="1065"/>
      <c r="AF415" s="1065"/>
      <c r="AG415" s="1065"/>
      <c r="AH415" s="1065"/>
      <c r="AI415" s="1065"/>
      <c r="AJ415" s="1065"/>
      <c r="AK415" s="1065"/>
      <c r="AL415" s="1065"/>
      <c r="AM415" s="1065"/>
      <c r="AN415" s="1065"/>
      <c r="AO415" s="1065"/>
      <c r="AP415" s="1065"/>
      <c r="AQ415" s="1065"/>
      <c r="AR415" s="1065"/>
      <c r="AS415" s="1065"/>
      <c r="AT415" s="1065"/>
      <c r="AU415" s="1065"/>
      <c r="AV415" s="1065"/>
      <c r="AW415" s="1065"/>
      <c r="AX415" s="1065"/>
      <c r="AY415" s="1065"/>
      <c r="AZ415" s="1065"/>
      <c r="BA415" s="1065"/>
      <c r="BB415" s="1065"/>
      <c r="BC415" s="1065"/>
      <c r="BD415" s="1065"/>
      <c r="BE415" s="1065"/>
      <c r="BF415" s="1065"/>
      <c r="BG415" s="1065"/>
      <c r="BH415" s="1065"/>
      <c r="BI415" s="1065"/>
      <c r="BJ415" s="1065"/>
      <c r="BK415" s="1065"/>
      <c r="BL415" s="1065"/>
      <c r="BM415" s="1065"/>
      <c r="BN415" s="1065"/>
      <c r="BO415" s="1065"/>
      <c r="BP415" s="1065"/>
      <c r="BQ415" s="1065"/>
      <c r="BR415" s="1065"/>
      <c r="BS415" s="1065"/>
      <c r="BT415" s="1065"/>
      <c r="BU415" s="1065"/>
      <c r="BV415" s="1065"/>
      <c r="BW415" s="1065"/>
      <c r="BX415" s="1065"/>
      <c r="BY415" s="1065"/>
      <c r="BZ415" s="1065"/>
      <c r="CA415" s="1065"/>
      <c r="CB415" s="1065"/>
      <c r="CC415" s="1065"/>
      <c r="CD415" s="1065"/>
      <c r="CE415" s="1065"/>
      <c r="CF415" s="1065"/>
      <c r="CG415" s="1065"/>
      <c r="CH415" s="1065"/>
      <c r="CI415" s="1065"/>
      <c r="CJ415" s="1065"/>
      <c r="CK415" s="1065"/>
      <c r="CL415" s="1065"/>
      <c r="CM415" s="1065"/>
      <c r="CN415" s="1065"/>
      <c r="CO415" s="1065"/>
      <c r="CP415" s="1065"/>
      <c r="CQ415" s="1065"/>
      <c r="CR415" s="1065"/>
      <c r="CS415" s="1065"/>
      <c r="CT415" s="1065"/>
      <c r="CU415" s="1065"/>
      <c r="CV415" s="1065"/>
      <c r="CW415" s="1065"/>
      <c r="CX415" s="1065"/>
      <c r="CY415" s="1065"/>
      <c r="CZ415" s="1065"/>
      <c r="DA415" s="1065"/>
      <c r="DB415" s="1065"/>
    </row>
    <row r="416" spans="1:106" ht="15" customHeight="1" thickBot="1">
      <c r="A416" s="1065"/>
      <c r="B416" s="1065"/>
      <c r="C416" s="1158" t="s">
        <v>109</v>
      </c>
      <c r="D416" s="1786"/>
      <c r="E416" s="1786"/>
      <c r="F416" s="1786"/>
      <c r="G416" s="1786"/>
      <c r="H416" s="1787"/>
      <c r="I416" s="1787"/>
      <c r="J416" s="1787"/>
      <c r="K416" s="1787"/>
      <c r="L416" s="1787"/>
      <c r="M416" s="1787"/>
      <c r="N416" s="1787"/>
      <c r="O416" s="1787"/>
      <c r="P416" s="1787"/>
      <c r="Q416" s="1787"/>
      <c r="R416" s="1787"/>
      <c r="S416" s="1067"/>
      <c r="T416" s="1163"/>
      <c r="U416" s="1805"/>
      <c r="V416" s="1065"/>
      <c r="W416" s="1065"/>
      <c r="X416" s="1065"/>
      <c r="Y416" s="1065"/>
      <c r="Z416" s="1065"/>
      <c r="AA416" s="1065"/>
      <c r="AB416" s="1065"/>
      <c r="AC416" s="1065"/>
      <c r="AD416" s="1065"/>
      <c r="AE416" s="1065"/>
      <c r="AF416" s="1065"/>
      <c r="AG416" s="1065"/>
      <c r="AH416" s="1065"/>
      <c r="AI416" s="1065"/>
      <c r="AJ416" s="1065"/>
      <c r="AK416" s="1065"/>
      <c r="AL416" s="1065"/>
      <c r="AM416" s="1065"/>
      <c r="AN416" s="1065"/>
      <c r="AO416" s="1065"/>
      <c r="AP416" s="1065"/>
      <c r="AQ416" s="1065"/>
      <c r="AR416" s="1065"/>
      <c r="AS416" s="1065"/>
      <c r="AT416" s="1065"/>
      <c r="AU416" s="1065"/>
      <c r="AV416" s="1065"/>
      <c r="AW416" s="1065"/>
      <c r="AX416" s="1065"/>
      <c r="AY416" s="1065"/>
      <c r="AZ416" s="1065"/>
      <c r="BA416" s="1065"/>
      <c r="BB416" s="1065"/>
      <c r="BC416" s="1065"/>
      <c r="BD416" s="1065"/>
      <c r="BE416" s="1065"/>
      <c r="BF416" s="1065"/>
      <c r="BG416" s="1065"/>
      <c r="BH416" s="1065"/>
      <c r="BI416" s="1065"/>
      <c r="BJ416" s="1065"/>
      <c r="BK416" s="1065"/>
      <c r="BL416" s="1065"/>
      <c r="BM416" s="1065"/>
      <c r="BN416" s="1065"/>
      <c r="BO416" s="1065"/>
      <c r="BP416" s="1065"/>
      <c r="BQ416" s="1065"/>
      <c r="BR416" s="1065"/>
      <c r="BS416" s="1065"/>
      <c r="BT416" s="1065"/>
      <c r="BU416" s="1065"/>
      <c r="BV416" s="1065"/>
      <c r="BW416" s="1065"/>
      <c r="BX416" s="1065"/>
      <c r="BY416" s="1065"/>
      <c r="BZ416" s="1065"/>
      <c r="CA416" s="1065"/>
      <c r="CB416" s="1065"/>
      <c r="CC416" s="1065"/>
      <c r="CD416" s="1065"/>
      <c r="CE416" s="1065"/>
      <c r="CF416" s="1065"/>
      <c r="CG416" s="1065"/>
      <c r="CH416" s="1065"/>
      <c r="CI416" s="1065"/>
      <c r="CJ416" s="1065"/>
      <c r="CK416" s="1065"/>
      <c r="CL416" s="1065"/>
      <c r="CM416" s="1065"/>
      <c r="CN416" s="1065"/>
      <c r="CO416" s="1065"/>
      <c r="CP416" s="1065"/>
      <c r="CQ416" s="1065"/>
      <c r="CR416" s="1065"/>
      <c r="CS416" s="1065"/>
      <c r="CT416" s="1065"/>
      <c r="CU416" s="1065"/>
      <c r="CV416" s="1065"/>
      <c r="CW416" s="1065"/>
      <c r="CX416" s="1065"/>
      <c r="CY416" s="1065"/>
      <c r="CZ416" s="1065"/>
      <c r="DA416" s="1065"/>
      <c r="DB416" s="1065"/>
    </row>
    <row r="417" spans="1:106" ht="15" customHeight="1" thickBot="1">
      <c r="A417" s="1065"/>
      <c r="B417" s="1065"/>
      <c r="C417" s="1158" t="s">
        <v>669</v>
      </c>
      <c r="D417" s="1786"/>
      <c r="E417" s="1786"/>
      <c r="F417" s="1786"/>
      <c r="G417" s="1786"/>
      <c r="H417" s="1787"/>
      <c r="I417" s="1787"/>
      <c r="J417" s="1787"/>
      <c r="K417" s="1787"/>
      <c r="L417" s="1787"/>
      <c r="M417" s="1787"/>
      <c r="N417" s="1787"/>
      <c r="O417" s="1787"/>
      <c r="P417" s="1787"/>
      <c r="Q417" s="1787"/>
      <c r="R417" s="1787"/>
      <c r="S417" s="1067"/>
      <c r="T417" s="1163"/>
      <c r="U417" s="1805"/>
      <c r="V417" s="1065"/>
      <c r="W417" s="1065"/>
      <c r="X417" s="1065"/>
      <c r="Y417" s="1065"/>
      <c r="Z417" s="1065"/>
      <c r="AA417" s="1065"/>
      <c r="AB417" s="1065"/>
      <c r="AC417" s="1065"/>
      <c r="AD417" s="1065"/>
      <c r="AE417" s="1065"/>
      <c r="AF417" s="1065"/>
      <c r="AG417" s="1065"/>
      <c r="AH417" s="1065"/>
      <c r="AI417" s="1065"/>
      <c r="AJ417" s="1065"/>
      <c r="AK417" s="1065"/>
      <c r="AL417" s="1065"/>
      <c r="AM417" s="1065"/>
      <c r="AN417" s="1065"/>
      <c r="AO417" s="1065"/>
      <c r="AP417" s="1065"/>
      <c r="AQ417" s="1065"/>
      <c r="AR417" s="1065"/>
      <c r="AS417" s="1065"/>
      <c r="AT417" s="1065"/>
      <c r="AU417" s="1065"/>
      <c r="AV417" s="1065"/>
      <c r="AW417" s="1065"/>
      <c r="AX417" s="1065"/>
      <c r="AY417" s="1065"/>
      <c r="AZ417" s="1065"/>
      <c r="BA417" s="1065"/>
      <c r="BB417" s="1065"/>
      <c r="BC417" s="1065"/>
      <c r="BD417" s="1065"/>
      <c r="BE417" s="1065"/>
      <c r="BF417" s="1065"/>
      <c r="BG417" s="1065"/>
      <c r="BH417" s="1065"/>
      <c r="BI417" s="1065"/>
      <c r="BJ417" s="1065"/>
      <c r="BK417" s="1065"/>
      <c r="BL417" s="1065"/>
      <c r="BM417" s="1065"/>
      <c r="BN417" s="1065"/>
      <c r="BO417" s="1065"/>
      <c r="BP417" s="1065"/>
      <c r="BQ417" s="1065"/>
      <c r="BR417" s="1065"/>
      <c r="BS417" s="1065"/>
      <c r="BT417" s="1065"/>
      <c r="BU417" s="1065"/>
      <c r="BV417" s="1065"/>
      <c r="BW417" s="1065"/>
      <c r="BX417" s="1065"/>
      <c r="BY417" s="1065"/>
      <c r="BZ417" s="1065"/>
      <c r="CA417" s="1065"/>
      <c r="CB417" s="1065"/>
      <c r="CC417" s="1065"/>
      <c r="CD417" s="1065"/>
      <c r="CE417" s="1065"/>
      <c r="CF417" s="1065"/>
      <c r="CG417" s="1065"/>
      <c r="CH417" s="1065"/>
      <c r="CI417" s="1065"/>
      <c r="CJ417" s="1065"/>
      <c r="CK417" s="1065"/>
      <c r="CL417" s="1065"/>
      <c r="CM417" s="1065"/>
      <c r="CN417" s="1065"/>
      <c r="CO417" s="1065"/>
      <c r="CP417" s="1065"/>
      <c r="CQ417" s="1065"/>
      <c r="CR417" s="1065"/>
      <c r="CS417" s="1065"/>
      <c r="CT417" s="1065"/>
      <c r="CU417" s="1065"/>
      <c r="CV417" s="1065"/>
      <c r="CW417" s="1065"/>
      <c r="CX417" s="1065"/>
      <c r="CY417" s="1065"/>
      <c r="CZ417" s="1065"/>
      <c r="DA417" s="1065"/>
      <c r="DB417" s="1065"/>
    </row>
    <row r="418" spans="1:106" ht="15" customHeight="1" thickBot="1">
      <c r="A418" s="1065"/>
      <c r="B418" s="1065"/>
      <c r="C418" s="1158" t="s">
        <v>661</v>
      </c>
      <c r="D418" s="1786"/>
      <c r="E418" s="1786"/>
      <c r="F418" s="1786"/>
      <c r="G418" s="1786"/>
      <c r="H418" s="1787"/>
      <c r="I418" s="1787"/>
      <c r="J418" s="1787"/>
      <c r="K418" s="1787"/>
      <c r="L418" s="1787"/>
      <c r="M418" s="1787"/>
      <c r="N418" s="1787"/>
      <c r="O418" s="1787"/>
      <c r="P418" s="1787"/>
      <c r="Q418" s="1787"/>
      <c r="R418" s="1787"/>
      <c r="S418" s="1067"/>
      <c r="T418" s="1163"/>
      <c r="U418" s="1805"/>
      <c r="V418" s="1065"/>
      <c r="W418" s="1065"/>
      <c r="X418" s="1065"/>
      <c r="Y418" s="1065"/>
      <c r="Z418" s="1065"/>
      <c r="AA418" s="1065"/>
      <c r="AB418" s="1065"/>
      <c r="AC418" s="1065"/>
      <c r="AD418" s="1065"/>
      <c r="AE418" s="1065"/>
      <c r="AF418" s="1065"/>
      <c r="AG418" s="1065"/>
      <c r="AH418" s="1065"/>
      <c r="AI418" s="1065"/>
      <c r="AJ418" s="1065"/>
      <c r="AK418" s="1065"/>
      <c r="AL418" s="1065"/>
      <c r="AM418" s="1065"/>
      <c r="AN418" s="1065"/>
      <c r="AO418" s="1065"/>
      <c r="AP418" s="1065"/>
      <c r="AQ418" s="1065"/>
      <c r="AR418" s="1065"/>
      <c r="AS418" s="1065"/>
      <c r="AT418" s="1065"/>
      <c r="AU418" s="1065"/>
      <c r="AV418" s="1065"/>
      <c r="AW418" s="1065"/>
      <c r="AX418" s="1065"/>
      <c r="AY418" s="1065"/>
      <c r="AZ418" s="1065"/>
      <c r="BA418" s="1065"/>
      <c r="BB418" s="1065"/>
      <c r="BC418" s="1065"/>
      <c r="BD418" s="1065"/>
      <c r="BE418" s="1065"/>
      <c r="BF418" s="1065"/>
      <c r="BG418" s="1065"/>
      <c r="BH418" s="1065"/>
      <c r="BI418" s="1065"/>
      <c r="BJ418" s="1065"/>
      <c r="BK418" s="1065"/>
      <c r="BL418" s="1065"/>
      <c r="BM418" s="1065"/>
      <c r="BN418" s="1065"/>
      <c r="BO418" s="1065"/>
      <c r="BP418" s="1065"/>
      <c r="BQ418" s="1065"/>
      <c r="BR418" s="1065"/>
      <c r="BS418" s="1065"/>
      <c r="BT418" s="1065"/>
      <c r="BU418" s="1065"/>
      <c r="BV418" s="1065"/>
      <c r="BW418" s="1065"/>
      <c r="BX418" s="1065"/>
      <c r="BY418" s="1065"/>
      <c r="BZ418" s="1065"/>
      <c r="CA418" s="1065"/>
      <c r="CB418" s="1065"/>
      <c r="CC418" s="1065"/>
      <c r="CD418" s="1065"/>
      <c r="CE418" s="1065"/>
      <c r="CF418" s="1065"/>
      <c r="CG418" s="1065"/>
      <c r="CH418" s="1065"/>
      <c r="CI418" s="1065"/>
      <c r="CJ418" s="1065"/>
      <c r="CK418" s="1065"/>
      <c r="CL418" s="1065"/>
      <c r="CM418" s="1065"/>
      <c r="CN418" s="1065"/>
      <c r="CO418" s="1065"/>
      <c r="CP418" s="1065"/>
      <c r="CQ418" s="1065"/>
      <c r="CR418" s="1065"/>
      <c r="CS418" s="1065"/>
      <c r="CT418" s="1065"/>
      <c r="CU418" s="1065"/>
      <c r="CV418" s="1065"/>
      <c r="CW418" s="1065"/>
      <c r="CX418" s="1065"/>
      <c r="CY418" s="1065"/>
      <c r="CZ418" s="1065"/>
      <c r="DA418" s="1065"/>
      <c r="DB418" s="1065"/>
    </row>
    <row r="419" spans="1:106" ht="15" customHeight="1" thickBot="1">
      <c r="A419" s="1065"/>
      <c r="B419" s="1065"/>
      <c r="C419" s="1164" t="s">
        <v>670</v>
      </c>
      <c r="D419" s="1786"/>
      <c r="E419" s="1786"/>
      <c r="F419" s="1786"/>
      <c r="G419" s="1786"/>
      <c r="H419" s="1787"/>
      <c r="I419" s="1787"/>
      <c r="J419" s="1787"/>
      <c r="K419" s="1787"/>
      <c r="L419" s="1787"/>
      <c r="M419" s="1787"/>
      <c r="N419" s="1787"/>
      <c r="O419" s="1787"/>
      <c r="P419" s="1787"/>
      <c r="Q419" s="1787"/>
      <c r="R419" s="1787"/>
      <c r="S419" s="1077"/>
      <c r="T419" s="1165"/>
      <c r="U419" s="1805"/>
      <c r="V419" s="1065"/>
      <c r="W419" s="1065"/>
      <c r="X419" s="1065"/>
      <c r="Y419" s="1065"/>
      <c r="Z419" s="1065"/>
      <c r="AA419" s="1065"/>
      <c r="AB419" s="1065"/>
      <c r="AC419" s="1065"/>
      <c r="AD419" s="1065"/>
      <c r="AE419" s="1065"/>
      <c r="AF419" s="1065"/>
      <c r="AG419" s="1065"/>
      <c r="AH419" s="1065"/>
      <c r="AI419" s="1065"/>
      <c r="AJ419" s="1065"/>
      <c r="AK419" s="1065"/>
      <c r="AL419" s="1065"/>
      <c r="AM419" s="1065"/>
      <c r="AN419" s="1065"/>
      <c r="AO419" s="1065"/>
      <c r="AP419" s="1065"/>
      <c r="AQ419" s="1065"/>
      <c r="AR419" s="1065"/>
      <c r="AS419" s="1065"/>
      <c r="AT419" s="1065"/>
      <c r="AU419" s="1065"/>
      <c r="AV419" s="1065"/>
      <c r="AW419" s="1065"/>
      <c r="AX419" s="1065"/>
      <c r="AY419" s="1065"/>
      <c r="AZ419" s="1065"/>
      <c r="BA419" s="1065"/>
      <c r="BB419" s="1065"/>
      <c r="BC419" s="1065"/>
      <c r="BD419" s="1065"/>
      <c r="BE419" s="1065"/>
      <c r="BF419" s="1065"/>
      <c r="BG419" s="1065"/>
      <c r="BH419" s="1065"/>
      <c r="BI419" s="1065"/>
      <c r="BJ419" s="1065"/>
      <c r="BK419" s="1065"/>
      <c r="BL419" s="1065"/>
      <c r="BM419" s="1065"/>
      <c r="BN419" s="1065"/>
      <c r="BO419" s="1065"/>
      <c r="BP419" s="1065"/>
      <c r="BQ419" s="1065"/>
      <c r="BR419" s="1065"/>
      <c r="BS419" s="1065"/>
      <c r="BT419" s="1065"/>
      <c r="BU419" s="1065"/>
      <c r="BV419" s="1065"/>
      <c r="BW419" s="1065"/>
      <c r="BX419" s="1065"/>
      <c r="BY419" s="1065"/>
      <c r="BZ419" s="1065"/>
      <c r="CA419" s="1065"/>
      <c r="CB419" s="1065"/>
      <c r="CC419" s="1065"/>
      <c r="CD419" s="1065"/>
      <c r="CE419" s="1065"/>
      <c r="CF419" s="1065"/>
      <c r="CG419" s="1065"/>
      <c r="CH419" s="1065"/>
      <c r="CI419" s="1065"/>
      <c r="CJ419" s="1065"/>
      <c r="CK419" s="1065"/>
      <c r="CL419" s="1065"/>
      <c r="CM419" s="1065"/>
      <c r="CN419" s="1065"/>
      <c r="CO419" s="1065"/>
      <c r="CP419" s="1065"/>
      <c r="CQ419" s="1065"/>
      <c r="CR419" s="1065"/>
      <c r="CS419" s="1065"/>
      <c r="CT419" s="1065"/>
      <c r="CU419" s="1065"/>
      <c r="CV419" s="1065"/>
      <c r="CW419" s="1065"/>
      <c r="CX419" s="1065"/>
      <c r="CY419" s="1065"/>
      <c r="CZ419" s="1065"/>
      <c r="DA419" s="1065"/>
      <c r="DB419" s="1065"/>
    </row>
    <row r="420" spans="1:106" ht="15" customHeight="1" thickBot="1">
      <c r="A420" s="1065"/>
      <c r="B420" s="1065"/>
      <c r="C420" s="1166" t="s">
        <v>655</v>
      </c>
      <c r="D420" s="1795" t="s">
        <v>700</v>
      </c>
      <c r="E420" s="1795"/>
      <c r="F420" s="1795"/>
      <c r="G420" s="1795"/>
      <c r="H420" s="1774" t="s">
        <v>657</v>
      </c>
      <c r="I420" s="1774"/>
      <c r="J420" s="1774" t="s">
        <v>826</v>
      </c>
      <c r="K420" s="1774"/>
      <c r="L420" s="1774"/>
      <c r="M420" s="1774" t="s">
        <v>824</v>
      </c>
      <c r="N420" s="1774"/>
      <c r="O420" s="1774"/>
      <c r="P420" s="1774"/>
      <c r="Q420" s="1774"/>
      <c r="R420" s="1774"/>
      <c r="S420" s="1167"/>
      <c r="T420" s="1168"/>
      <c r="U420" s="1808">
        <v>0</v>
      </c>
      <c r="V420" s="1065"/>
      <c r="W420" s="1065"/>
      <c r="X420" s="1065"/>
      <c r="Y420" s="1065"/>
      <c r="Z420" s="1065"/>
      <c r="AA420" s="1065"/>
      <c r="AB420" s="1065"/>
      <c r="AC420" s="1065"/>
      <c r="AD420" s="1065"/>
      <c r="AE420" s="1065"/>
      <c r="AF420" s="1065"/>
      <c r="AG420" s="1065"/>
      <c r="AH420" s="1065"/>
      <c r="AI420" s="1065"/>
      <c r="AJ420" s="1065"/>
      <c r="AK420" s="1065"/>
      <c r="AL420" s="1065"/>
      <c r="AM420" s="1065"/>
      <c r="AN420" s="1065"/>
      <c r="AO420" s="1065"/>
      <c r="AP420" s="1065"/>
      <c r="AQ420" s="1065"/>
      <c r="AR420" s="1065"/>
      <c r="AS420" s="1065"/>
      <c r="AT420" s="1065"/>
      <c r="AU420" s="1065"/>
      <c r="AV420" s="1065"/>
      <c r="AW420" s="1065"/>
      <c r="AX420" s="1065"/>
      <c r="AY420" s="1065"/>
      <c r="AZ420" s="1065"/>
      <c r="BA420" s="1065"/>
      <c r="BB420" s="1065"/>
      <c r="BC420" s="1065"/>
      <c r="BD420" s="1065"/>
      <c r="BE420" s="1065"/>
      <c r="BF420" s="1065"/>
      <c r="BG420" s="1065"/>
      <c r="BH420" s="1065"/>
      <c r="BI420" s="1065"/>
      <c r="BJ420" s="1065"/>
      <c r="BK420" s="1065"/>
      <c r="BL420" s="1065"/>
      <c r="BM420" s="1065"/>
      <c r="BN420" s="1065"/>
      <c r="BO420" s="1065"/>
      <c r="BP420" s="1065"/>
      <c r="BQ420" s="1065"/>
      <c r="BR420" s="1065"/>
      <c r="BS420" s="1065"/>
      <c r="BT420" s="1065"/>
      <c r="BU420" s="1065"/>
      <c r="BV420" s="1065"/>
      <c r="BW420" s="1065"/>
      <c r="BX420" s="1065"/>
      <c r="BY420" s="1065"/>
      <c r="BZ420" s="1065"/>
      <c r="CA420" s="1065"/>
      <c r="CB420" s="1065"/>
      <c r="CC420" s="1065"/>
      <c r="CD420" s="1065"/>
      <c r="CE420" s="1065"/>
      <c r="CF420" s="1065"/>
      <c r="CG420" s="1065"/>
      <c r="CH420" s="1065"/>
      <c r="CI420" s="1065"/>
      <c r="CJ420" s="1065"/>
      <c r="CK420" s="1065"/>
      <c r="CL420" s="1065"/>
      <c r="CM420" s="1065"/>
      <c r="CN420" s="1065"/>
      <c r="CO420" s="1065"/>
      <c r="CP420" s="1065"/>
      <c r="CQ420" s="1065"/>
      <c r="CR420" s="1065"/>
      <c r="CS420" s="1065"/>
      <c r="CT420" s="1065"/>
      <c r="CU420" s="1065"/>
      <c r="CV420" s="1065"/>
      <c r="CW420" s="1065"/>
      <c r="CX420" s="1065"/>
      <c r="CY420" s="1065"/>
      <c r="CZ420" s="1065"/>
      <c r="DA420" s="1065"/>
      <c r="DB420" s="1065"/>
    </row>
    <row r="421" spans="1:106" ht="15" customHeight="1" thickBot="1">
      <c r="A421" s="1065"/>
      <c r="B421" s="1065"/>
      <c r="C421" s="1144" t="s">
        <v>660</v>
      </c>
      <c r="D421" s="1795"/>
      <c r="E421" s="1795"/>
      <c r="F421" s="1795"/>
      <c r="G421" s="1795"/>
      <c r="H421" s="1774"/>
      <c r="I421" s="1774"/>
      <c r="J421" s="1774"/>
      <c r="K421" s="1774"/>
      <c r="L421" s="1774"/>
      <c r="M421" s="1774"/>
      <c r="N421" s="1774"/>
      <c r="O421" s="1774"/>
      <c r="P421" s="1774"/>
      <c r="Q421" s="1774"/>
      <c r="R421" s="1774"/>
      <c r="S421" s="1169"/>
      <c r="T421" s="1170"/>
      <c r="U421" s="1808"/>
      <c r="V421" s="1065"/>
      <c r="W421" s="1065"/>
      <c r="X421" s="1065"/>
      <c r="Y421" s="1065"/>
      <c r="Z421" s="1065"/>
      <c r="AA421" s="1065"/>
      <c r="AB421" s="1065"/>
      <c r="AC421" s="1065"/>
      <c r="AD421" s="1065"/>
      <c r="AE421" s="1065"/>
      <c r="AF421" s="1065"/>
      <c r="AG421" s="1065"/>
      <c r="AH421" s="1065"/>
      <c r="AI421" s="1065"/>
      <c r="AJ421" s="1065"/>
      <c r="AK421" s="1065"/>
      <c r="AL421" s="1065"/>
      <c r="AM421" s="1065"/>
      <c r="AN421" s="1065"/>
      <c r="AO421" s="1065"/>
      <c r="AP421" s="1065"/>
      <c r="AQ421" s="1065"/>
      <c r="AR421" s="1065"/>
      <c r="AS421" s="1065"/>
      <c r="AT421" s="1065"/>
      <c r="AU421" s="1065"/>
      <c r="AV421" s="1065"/>
      <c r="AW421" s="1065"/>
      <c r="AX421" s="1065"/>
      <c r="AY421" s="1065"/>
      <c r="AZ421" s="1065"/>
      <c r="BA421" s="1065"/>
      <c r="BB421" s="1065"/>
      <c r="BC421" s="1065"/>
      <c r="BD421" s="1065"/>
      <c r="BE421" s="1065"/>
      <c r="BF421" s="1065"/>
      <c r="BG421" s="1065"/>
      <c r="BH421" s="1065"/>
      <c r="BI421" s="1065"/>
      <c r="BJ421" s="1065"/>
      <c r="BK421" s="1065"/>
      <c r="BL421" s="1065"/>
      <c r="BM421" s="1065"/>
      <c r="BN421" s="1065"/>
      <c r="BO421" s="1065"/>
      <c r="BP421" s="1065"/>
      <c r="BQ421" s="1065"/>
      <c r="BR421" s="1065"/>
      <c r="BS421" s="1065"/>
      <c r="BT421" s="1065"/>
      <c r="BU421" s="1065"/>
      <c r="BV421" s="1065"/>
      <c r="BW421" s="1065"/>
      <c r="BX421" s="1065"/>
      <c r="BY421" s="1065"/>
      <c r="BZ421" s="1065"/>
      <c r="CA421" s="1065"/>
      <c r="CB421" s="1065"/>
      <c r="CC421" s="1065"/>
      <c r="CD421" s="1065"/>
      <c r="CE421" s="1065"/>
      <c r="CF421" s="1065"/>
      <c r="CG421" s="1065"/>
      <c r="CH421" s="1065"/>
      <c r="CI421" s="1065"/>
      <c r="CJ421" s="1065"/>
      <c r="CK421" s="1065"/>
      <c r="CL421" s="1065"/>
      <c r="CM421" s="1065"/>
      <c r="CN421" s="1065"/>
      <c r="CO421" s="1065"/>
      <c r="CP421" s="1065"/>
      <c r="CQ421" s="1065"/>
      <c r="CR421" s="1065"/>
      <c r="CS421" s="1065"/>
      <c r="CT421" s="1065"/>
      <c r="CU421" s="1065"/>
      <c r="CV421" s="1065"/>
      <c r="CW421" s="1065"/>
      <c r="CX421" s="1065"/>
      <c r="CY421" s="1065"/>
      <c r="CZ421" s="1065"/>
      <c r="DA421" s="1065"/>
      <c r="DB421" s="1065"/>
    </row>
    <row r="422" spans="1:106" ht="15" customHeight="1" thickBot="1">
      <c r="A422" s="1065"/>
      <c r="B422" s="1065"/>
      <c r="C422" s="1144" t="s">
        <v>492</v>
      </c>
      <c r="D422" s="1795"/>
      <c r="E422" s="1795"/>
      <c r="F422" s="1795"/>
      <c r="G422" s="1795"/>
      <c r="H422" s="1774"/>
      <c r="I422" s="1774"/>
      <c r="J422" s="1774"/>
      <c r="K422" s="1774"/>
      <c r="L422" s="1774"/>
      <c r="M422" s="1774"/>
      <c r="N422" s="1774"/>
      <c r="O422" s="1774"/>
      <c r="P422" s="1774"/>
      <c r="Q422" s="1774"/>
      <c r="R422" s="1774"/>
      <c r="S422" s="1169"/>
      <c r="T422" s="1170"/>
      <c r="U422" s="1808"/>
      <c r="V422" s="1065"/>
      <c r="W422" s="1065"/>
      <c r="X422" s="1065"/>
      <c r="Y422" s="1065"/>
      <c r="Z422" s="1065"/>
      <c r="AA422" s="1065"/>
      <c r="AB422" s="1065"/>
      <c r="AC422" s="1065"/>
      <c r="AD422" s="1065"/>
      <c r="AE422" s="1065"/>
      <c r="AF422" s="1065"/>
      <c r="AG422" s="1065"/>
      <c r="AH422" s="1065"/>
      <c r="AI422" s="1065"/>
      <c r="AJ422" s="1065"/>
      <c r="AK422" s="1065"/>
      <c r="AL422" s="1065"/>
      <c r="AM422" s="1065"/>
      <c r="AN422" s="1065"/>
      <c r="AO422" s="1065"/>
      <c r="AP422" s="1065"/>
      <c r="AQ422" s="1065"/>
      <c r="AR422" s="1065"/>
      <c r="AS422" s="1065"/>
      <c r="AT422" s="1065"/>
      <c r="AU422" s="1065"/>
      <c r="AV422" s="1065"/>
      <c r="AW422" s="1065"/>
      <c r="AX422" s="1065"/>
      <c r="AY422" s="1065"/>
      <c r="AZ422" s="1065"/>
      <c r="BA422" s="1065"/>
      <c r="BB422" s="1065"/>
      <c r="BC422" s="1065"/>
      <c r="BD422" s="1065"/>
      <c r="BE422" s="1065"/>
      <c r="BF422" s="1065"/>
      <c r="BG422" s="1065"/>
      <c r="BH422" s="1065"/>
      <c r="BI422" s="1065"/>
      <c r="BJ422" s="1065"/>
      <c r="BK422" s="1065"/>
      <c r="BL422" s="1065"/>
      <c r="BM422" s="1065"/>
      <c r="BN422" s="1065"/>
      <c r="BO422" s="1065"/>
      <c r="BP422" s="1065"/>
      <c r="BQ422" s="1065"/>
      <c r="BR422" s="1065"/>
      <c r="BS422" s="1065"/>
      <c r="BT422" s="1065"/>
      <c r="BU422" s="1065"/>
      <c r="BV422" s="1065"/>
      <c r="BW422" s="1065"/>
      <c r="BX422" s="1065"/>
      <c r="BY422" s="1065"/>
      <c r="BZ422" s="1065"/>
      <c r="CA422" s="1065"/>
      <c r="CB422" s="1065"/>
      <c r="CC422" s="1065"/>
      <c r="CD422" s="1065"/>
      <c r="CE422" s="1065"/>
      <c r="CF422" s="1065"/>
      <c r="CG422" s="1065"/>
      <c r="CH422" s="1065"/>
      <c r="CI422" s="1065"/>
      <c r="CJ422" s="1065"/>
      <c r="CK422" s="1065"/>
      <c r="CL422" s="1065"/>
      <c r="CM422" s="1065"/>
      <c r="CN422" s="1065"/>
      <c r="CO422" s="1065"/>
      <c r="CP422" s="1065"/>
      <c r="CQ422" s="1065"/>
      <c r="CR422" s="1065"/>
      <c r="CS422" s="1065"/>
      <c r="CT422" s="1065"/>
      <c r="CU422" s="1065"/>
      <c r="CV422" s="1065"/>
      <c r="CW422" s="1065"/>
      <c r="CX422" s="1065"/>
      <c r="CY422" s="1065"/>
      <c r="CZ422" s="1065"/>
      <c r="DA422" s="1065"/>
      <c r="DB422" s="1065"/>
    </row>
    <row r="423" spans="1:106" ht="15" customHeight="1" thickBot="1">
      <c r="A423" s="1065"/>
      <c r="B423" s="1065"/>
      <c r="C423" s="1149" t="s">
        <v>300</v>
      </c>
      <c r="D423" s="1795"/>
      <c r="E423" s="1795"/>
      <c r="F423" s="1795"/>
      <c r="G423" s="1795"/>
      <c r="H423" s="1774"/>
      <c r="I423" s="1774"/>
      <c r="J423" s="1774"/>
      <c r="K423" s="1774"/>
      <c r="L423" s="1774"/>
      <c r="M423" s="1774"/>
      <c r="N423" s="1774"/>
      <c r="O423" s="1774"/>
      <c r="P423" s="1774"/>
      <c r="Q423" s="1774"/>
      <c r="R423" s="1774"/>
      <c r="S423" s="1171"/>
      <c r="T423" s="1172"/>
      <c r="U423" s="1808"/>
      <c r="V423" s="1065"/>
      <c r="W423" s="1065"/>
      <c r="X423" s="1065"/>
      <c r="Y423" s="1065"/>
      <c r="Z423" s="1065"/>
      <c r="AA423" s="1065"/>
      <c r="AB423" s="1065"/>
      <c r="AC423" s="1065"/>
      <c r="AD423" s="1065"/>
      <c r="AE423" s="1065"/>
      <c r="AF423" s="1065"/>
      <c r="AG423" s="1065"/>
      <c r="AH423" s="1065"/>
      <c r="AI423" s="1065"/>
      <c r="AJ423" s="1065"/>
      <c r="AK423" s="1065"/>
      <c r="AL423" s="1065"/>
      <c r="AM423" s="1065"/>
      <c r="AN423" s="1065"/>
      <c r="AO423" s="1065"/>
      <c r="AP423" s="1065"/>
      <c r="AQ423" s="1065"/>
      <c r="AR423" s="1065"/>
      <c r="AS423" s="1065"/>
      <c r="AT423" s="1065"/>
      <c r="AU423" s="1065"/>
      <c r="AV423" s="1065"/>
      <c r="AW423" s="1065"/>
      <c r="AX423" s="1065"/>
      <c r="AY423" s="1065"/>
      <c r="AZ423" s="1065"/>
      <c r="BA423" s="1065"/>
      <c r="BB423" s="1065"/>
      <c r="BC423" s="1065"/>
      <c r="BD423" s="1065"/>
      <c r="BE423" s="1065"/>
      <c r="BF423" s="1065"/>
      <c r="BG423" s="1065"/>
      <c r="BH423" s="1065"/>
      <c r="BI423" s="1065"/>
      <c r="BJ423" s="1065"/>
      <c r="BK423" s="1065"/>
      <c r="BL423" s="1065"/>
      <c r="BM423" s="1065"/>
      <c r="BN423" s="1065"/>
      <c r="BO423" s="1065"/>
      <c r="BP423" s="1065"/>
      <c r="BQ423" s="1065"/>
      <c r="BR423" s="1065"/>
      <c r="BS423" s="1065"/>
      <c r="BT423" s="1065"/>
      <c r="BU423" s="1065"/>
      <c r="BV423" s="1065"/>
      <c r="BW423" s="1065"/>
      <c r="BX423" s="1065"/>
      <c r="BY423" s="1065"/>
      <c r="BZ423" s="1065"/>
      <c r="CA423" s="1065"/>
      <c r="CB423" s="1065"/>
      <c r="CC423" s="1065"/>
      <c r="CD423" s="1065"/>
      <c r="CE423" s="1065"/>
      <c r="CF423" s="1065"/>
      <c r="CG423" s="1065"/>
      <c r="CH423" s="1065"/>
      <c r="CI423" s="1065"/>
      <c r="CJ423" s="1065"/>
      <c r="CK423" s="1065"/>
      <c r="CL423" s="1065"/>
      <c r="CM423" s="1065"/>
      <c r="CN423" s="1065"/>
      <c r="CO423" s="1065"/>
      <c r="CP423" s="1065"/>
      <c r="CQ423" s="1065"/>
      <c r="CR423" s="1065"/>
      <c r="CS423" s="1065"/>
      <c r="CT423" s="1065"/>
      <c r="CU423" s="1065"/>
      <c r="CV423" s="1065"/>
      <c r="CW423" s="1065"/>
      <c r="CX423" s="1065"/>
      <c r="CY423" s="1065"/>
      <c r="CZ423" s="1065"/>
      <c r="DA423" s="1065"/>
      <c r="DB423" s="1065"/>
    </row>
    <row r="424" spans="1:106" ht="15" customHeight="1" thickBot="1">
      <c r="A424" s="1065"/>
      <c r="B424" s="1065"/>
      <c r="C424" s="1161" t="s">
        <v>675</v>
      </c>
      <c r="D424" s="1786" t="s">
        <v>827</v>
      </c>
      <c r="E424" s="1786"/>
      <c r="F424" s="1786"/>
      <c r="G424" s="1786"/>
      <c r="H424" s="1787" t="s">
        <v>671</v>
      </c>
      <c r="I424" s="1787"/>
      <c r="J424" s="1787" t="s">
        <v>828</v>
      </c>
      <c r="K424" s="1787"/>
      <c r="L424" s="1787"/>
      <c r="M424" s="1787" t="s">
        <v>829</v>
      </c>
      <c r="N424" s="1787"/>
      <c r="O424" s="1787"/>
      <c r="P424" s="1787"/>
      <c r="Q424" s="1787"/>
      <c r="R424" s="1787"/>
      <c r="S424" s="1173"/>
      <c r="T424" s="1174"/>
      <c r="U424" s="1805">
        <v>0</v>
      </c>
      <c r="V424" s="1065"/>
      <c r="W424" s="1065"/>
      <c r="X424" s="1065"/>
      <c r="Y424" s="1065"/>
      <c r="Z424" s="1065"/>
      <c r="AA424" s="1065"/>
      <c r="AB424" s="1065"/>
      <c r="AC424" s="1065"/>
      <c r="AD424" s="1065"/>
      <c r="AE424" s="1065"/>
      <c r="AF424" s="1065"/>
      <c r="AG424" s="1065"/>
      <c r="AH424" s="1065"/>
      <c r="AI424" s="1065"/>
      <c r="AJ424" s="1065"/>
      <c r="AK424" s="1065"/>
      <c r="AL424" s="1065"/>
      <c r="AM424" s="1065"/>
      <c r="AN424" s="1065"/>
      <c r="AO424" s="1065"/>
      <c r="AP424" s="1065"/>
      <c r="AQ424" s="1065"/>
      <c r="AR424" s="1065"/>
      <c r="AS424" s="1065"/>
      <c r="AT424" s="1065"/>
      <c r="AU424" s="1065"/>
      <c r="AV424" s="1065"/>
      <c r="AW424" s="1065"/>
      <c r="AX424" s="1065"/>
      <c r="AY424" s="1065"/>
      <c r="AZ424" s="1065"/>
      <c r="BA424" s="1065"/>
      <c r="BB424" s="1065"/>
      <c r="BC424" s="1065"/>
      <c r="BD424" s="1065"/>
      <c r="BE424" s="1065"/>
      <c r="BF424" s="1065"/>
      <c r="BG424" s="1065"/>
      <c r="BH424" s="1065"/>
      <c r="BI424" s="1065"/>
      <c r="BJ424" s="1065"/>
      <c r="BK424" s="1065"/>
      <c r="BL424" s="1065"/>
      <c r="BM424" s="1065"/>
      <c r="BN424" s="1065"/>
      <c r="BO424" s="1065"/>
      <c r="BP424" s="1065"/>
      <c r="BQ424" s="1065"/>
      <c r="BR424" s="1065"/>
      <c r="BS424" s="1065"/>
      <c r="BT424" s="1065"/>
      <c r="BU424" s="1065"/>
      <c r="BV424" s="1065"/>
      <c r="BW424" s="1065"/>
      <c r="BX424" s="1065"/>
      <c r="BY424" s="1065"/>
      <c r="BZ424" s="1065"/>
      <c r="CA424" s="1065"/>
      <c r="CB424" s="1065"/>
      <c r="CC424" s="1065"/>
      <c r="CD424" s="1065"/>
      <c r="CE424" s="1065"/>
      <c r="CF424" s="1065"/>
      <c r="CG424" s="1065"/>
      <c r="CH424" s="1065"/>
      <c r="CI424" s="1065"/>
      <c r="CJ424" s="1065"/>
      <c r="CK424" s="1065"/>
      <c r="CL424" s="1065"/>
      <c r="CM424" s="1065"/>
      <c r="CN424" s="1065"/>
      <c r="CO424" s="1065"/>
      <c r="CP424" s="1065"/>
      <c r="CQ424" s="1065"/>
      <c r="CR424" s="1065"/>
      <c r="CS424" s="1065"/>
      <c r="CT424" s="1065"/>
      <c r="CU424" s="1065"/>
      <c r="CV424" s="1065"/>
      <c r="CW424" s="1065"/>
      <c r="CX424" s="1065"/>
      <c r="CY424" s="1065"/>
      <c r="CZ424" s="1065"/>
      <c r="DA424" s="1065"/>
      <c r="DB424" s="1065"/>
    </row>
    <row r="425" spans="1:106" ht="15" customHeight="1" thickBot="1">
      <c r="A425" s="1065"/>
      <c r="B425" s="1065"/>
      <c r="C425" s="1158" t="s">
        <v>674</v>
      </c>
      <c r="D425" s="1786"/>
      <c r="E425" s="1786"/>
      <c r="F425" s="1786"/>
      <c r="G425" s="1786"/>
      <c r="H425" s="1787"/>
      <c r="I425" s="1787"/>
      <c r="J425" s="1787"/>
      <c r="K425" s="1787"/>
      <c r="L425" s="1787"/>
      <c r="M425" s="1787"/>
      <c r="N425" s="1787"/>
      <c r="O425" s="1787"/>
      <c r="P425" s="1787"/>
      <c r="Q425" s="1787"/>
      <c r="R425" s="1787"/>
      <c r="S425" s="1173"/>
      <c r="T425" s="1175"/>
      <c r="U425" s="1805"/>
      <c r="V425" s="1065"/>
      <c r="W425" s="1065"/>
      <c r="X425" s="1065"/>
      <c r="Y425" s="1065"/>
      <c r="Z425" s="1065"/>
      <c r="AA425" s="1065"/>
      <c r="AB425" s="1065"/>
      <c r="AC425" s="1065"/>
      <c r="AD425" s="1065"/>
      <c r="AE425" s="1065"/>
      <c r="AF425" s="1065"/>
      <c r="AG425" s="1065"/>
      <c r="AH425" s="1065"/>
      <c r="AI425" s="1065"/>
      <c r="AJ425" s="1065"/>
      <c r="AK425" s="1065"/>
      <c r="AL425" s="1065"/>
      <c r="AM425" s="1065"/>
      <c r="AN425" s="1065"/>
      <c r="AO425" s="1065"/>
      <c r="AP425" s="1065"/>
      <c r="AQ425" s="1065"/>
      <c r="AR425" s="1065"/>
      <c r="AS425" s="1065"/>
      <c r="AT425" s="1065"/>
      <c r="AU425" s="1065"/>
      <c r="AV425" s="1065"/>
      <c r="AW425" s="1065"/>
      <c r="AX425" s="1065"/>
      <c r="AY425" s="1065"/>
      <c r="AZ425" s="1065"/>
      <c r="BA425" s="1065"/>
      <c r="BB425" s="1065"/>
      <c r="BC425" s="1065"/>
      <c r="BD425" s="1065"/>
      <c r="BE425" s="1065"/>
      <c r="BF425" s="1065"/>
      <c r="BG425" s="1065"/>
      <c r="BH425" s="1065"/>
      <c r="BI425" s="1065"/>
      <c r="BJ425" s="1065"/>
      <c r="BK425" s="1065"/>
      <c r="BL425" s="1065"/>
      <c r="BM425" s="1065"/>
      <c r="BN425" s="1065"/>
      <c r="BO425" s="1065"/>
      <c r="BP425" s="1065"/>
      <c r="BQ425" s="1065"/>
      <c r="BR425" s="1065"/>
      <c r="BS425" s="1065"/>
      <c r="BT425" s="1065"/>
      <c r="BU425" s="1065"/>
      <c r="BV425" s="1065"/>
      <c r="BW425" s="1065"/>
      <c r="BX425" s="1065"/>
      <c r="BY425" s="1065"/>
      <c r="BZ425" s="1065"/>
      <c r="CA425" s="1065"/>
      <c r="CB425" s="1065"/>
      <c r="CC425" s="1065"/>
      <c r="CD425" s="1065"/>
      <c r="CE425" s="1065"/>
      <c r="CF425" s="1065"/>
      <c r="CG425" s="1065"/>
      <c r="CH425" s="1065"/>
      <c r="CI425" s="1065"/>
      <c r="CJ425" s="1065"/>
      <c r="CK425" s="1065"/>
      <c r="CL425" s="1065"/>
      <c r="CM425" s="1065"/>
      <c r="CN425" s="1065"/>
      <c r="CO425" s="1065"/>
      <c r="CP425" s="1065"/>
      <c r="CQ425" s="1065"/>
      <c r="CR425" s="1065"/>
      <c r="CS425" s="1065"/>
      <c r="CT425" s="1065"/>
      <c r="CU425" s="1065"/>
      <c r="CV425" s="1065"/>
      <c r="CW425" s="1065"/>
      <c r="CX425" s="1065"/>
      <c r="CY425" s="1065"/>
      <c r="CZ425" s="1065"/>
      <c r="DA425" s="1065"/>
      <c r="DB425" s="1065"/>
    </row>
    <row r="426" spans="1:106" ht="15" customHeight="1" thickBot="1">
      <c r="A426" s="1065"/>
      <c r="B426" s="1065"/>
      <c r="C426" s="1164" t="s">
        <v>316</v>
      </c>
      <c r="D426" s="1786"/>
      <c r="E426" s="1786"/>
      <c r="F426" s="1786"/>
      <c r="G426" s="1786"/>
      <c r="H426" s="1787"/>
      <c r="I426" s="1787"/>
      <c r="J426" s="1787"/>
      <c r="K426" s="1787"/>
      <c r="L426" s="1787"/>
      <c r="M426" s="1787"/>
      <c r="N426" s="1787"/>
      <c r="O426" s="1787"/>
      <c r="P426" s="1787"/>
      <c r="Q426" s="1787"/>
      <c r="R426" s="1787"/>
      <c r="S426" s="1176"/>
      <c r="T426" s="1177"/>
      <c r="U426" s="1805"/>
      <c r="V426" s="1065"/>
      <c r="W426" s="1065"/>
      <c r="X426" s="1065"/>
      <c r="Y426" s="1065"/>
      <c r="Z426" s="1065"/>
      <c r="AA426" s="1065"/>
      <c r="AB426" s="1065"/>
      <c r="AC426" s="1065"/>
      <c r="AD426" s="1065"/>
      <c r="AE426" s="1065"/>
      <c r="AF426" s="1065"/>
      <c r="AG426" s="1065"/>
      <c r="AH426" s="1065"/>
      <c r="AI426" s="1065"/>
      <c r="AJ426" s="1065"/>
      <c r="AK426" s="1065"/>
      <c r="AL426" s="1065"/>
      <c r="AM426" s="1065"/>
      <c r="AN426" s="1065"/>
      <c r="AO426" s="1065"/>
      <c r="AP426" s="1065"/>
      <c r="AQ426" s="1065"/>
      <c r="AR426" s="1065"/>
      <c r="AS426" s="1065"/>
      <c r="AT426" s="1065"/>
      <c r="AU426" s="1065"/>
      <c r="AV426" s="1065"/>
      <c r="AW426" s="1065"/>
      <c r="AX426" s="1065"/>
      <c r="AY426" s="1065"/>
      <c r="AZ426" s="1065"/>
      <c r="BA426" s="1065"/>
      <c r="BB426" s="1065"/>
      <c r="BC426" s="1065"/>
      <c r="BD426" s="1065"/>
      <c r="BE426" s="1065"/>
      <c r="BF426" s="1065"/>
      <c r="BG426" s="1065"/>
      <c r="BH426" s="1065"/>
      <c r="BI426" s="1065"/>
      <c r="BJ426" s="1065"/>
      <c r="BK426" s="1065"/>
      <c r="BL426" s="1065"/>
      <c r="BM426" s="1065"/>
      <c r="BN426" s="1065"/>
      <c r="BO426" s="1065"/>
      <c r="BP426" s="1065"/>
      <c r="BQ426" s="1065"/>
      <c r="BR426" s="1065"/>
      <c r="BS426" s="1065"/>
      <c r="BT426" s="1065"/>
      <c r="BU426" s="1065"/>
      <c r="BV426" s="1065"/>
      <c r="BW426" s="1065"/>
      <c r="BX426" s="1065"/>
      <c r="BY426" s="1065"/>
      <c r="BZ426" s="1065"/>
      <c r="CA426" s="1065"/>
      <c r="CB426" s="1065"/>
      <c r="CC426" s="1065"/>
      <c r="CD426" s="1065"/>
      <c r="CE426" s="1065"/>
      <c r="CF426" s="1065"/>
      <c r="CG426" s="1065"/>
      <c r="CH426" s="1065"/>
      <c r="CI426" s="1065"/>
      <c r="CJ426" s="1065"/>
      <c r="CK426" s="1065"/>
      <c r="CL426" s="1065"/>
      <c r="CM426" s="1065"/>
      <c r="CN426" s="1065"/>
      <c r="CO426" s="1065"/>
      <c r="CP426" s="1065"/>
      <c r="CQ426" s="1065"/>
      <c r="CR426" s="1065"/>
      <c r="CS426" s="1065"/>
      <c r="CT426" s="1065"/>
      <c r="CU426" s="1065"/>
      <c r="CV426" s="1065"/>
      <c r="CW426" s="1065"/>
      <c r="CX426" s="1065"/>
      <c r="CY426" s="1065"/>
      <c r="CZ426" s="1065"/>
      <c r="DA426" s="1065"/>
      <c r="DB426" s="1065"/>
    </row>
    <row r="427" spans="1:106" ht="15" customHeight="1" thickBot="1">
      <c r="A427" s="1065"/>
      <c r="B427" s="1065"/>
      <c r="C427" s="1161" t="s">
        <v>664</v>
      </c>
      <c r="D427" s="1786" t="s">
        <v>827</v>
      </c>
      <c r="E427" s="1786"/>
      <c r="F427" s="1786"/>
      <c r="G427" s="1786"/>
      <c r="H427" s="1787" t="s">
        <v>657</v>
      </c>
      <c r="I427" s="1787"/>
      <c r="J427" s="1787" t="s">
        <v>830</v>
      </c>
      <c r="K427" s="1787"/>
      <c r="L427" s="1787"/>
      <c r="M427" s="1787" t="s">
        <v>829</v>
      </c>
      <c r="N427" s="1787"/>
      <c r="O427" s="1787"/>
      <c r="P427" s="1787"/>
      <c r="Q427" s="1787"/>
      <c r="R427" s="1787"/>
      <c r="S427" s="1173"/>
      <c r="T427" s="1174"/>
      <c r="U427" s="1805">
        <v>0</v>
      </c>
      <c r="V427" s="1065"/>
      <c r="W427" s="1065"/>
      <c r="X427" s="1065"/>
      <c r="Y427" s="1065"/>
      <c r="Z427" s="1065"/>
      <c r="AA427" s="1065"/>
      <c r="AB427" s="1065"/>
      <c r="AC427" s="1065"/>
      <c r="AD427" s="1065"/>
      <c r="AE427" s="1065"/>
      <c r="AF427" s="1065"/>
      <c r="AG427" s="1065"/>
      <c r="AH427" s="1065"/>
      <c r="AI427" s="1065"/>
      <c r="AJ427" s="1065"/>
      <c r="AK427" s="1065"/>
      <c r="AL427" s="1065"/>
      <c r="AM427" s="1065"/>
      <c r="AN427" s="1065"/>
      <c r="AO427" s="1065"/>
      <c r="AP427" s="1065"/>
      <c r="AQ427" s="1065"/>
      <c r="AR427" s="1065"/>
      <c r="AS427" s="1065"/>
      <c r="AT427" s="1065"/>
      <c r="AU427" s="1065"/>
      <c r="AV427" s="1065"/>
      <c r="AW427" s="1065"/>
      <c r="AX427" s="1065"/>
      <c r="AY427" s="1065"/>
      <c r="AZ427" s="1065"/>
      <c r="BA427" s="1065"/>
      <c r="BB427" s="1065"/>
      <c r="BC427" s="1065"/>
      <c r="BD427" s="1065"/>
      <c r="BE427" s="1065"/>
      <c r="BF427" s="1065"/>
      <c r="BG427" s="1065"/>
      <c r="BH427" s="1065"/>
      <c r="BI427" s="1065"/>
      <c r="BJ427" s="1065"/>
      <c r="BK427" s="1065"/>
      <c r="BL427" s="1065"/>
      <c r="BM427" s="1065"/>
      <c r="BN427" s="1065"/>
      <c r="BO427" s="1065"/>
      <c r="BP427" s="1065"/>
      <c r="BQ427" s="1065"/>
      <c r="BR427" s="1065"/>
      <c r="BS427" s="1065"/>
      <c r="BT427" s="1065"/>
      <c r="BU427" s="1065"/>
      <c r="BV427" s="1065"/>
      <c r="BW427" s="1065"/>
      <c r="BX427" s="1065"/>
      <c r="BY427" s="1065"/>
      <c r="BZ427" s="1065"/>
      <c r="CA427" s="1065"/>
      <c r="CB427" s="1065"/>
      <c r="CC427" s="1065"/>
      <c r="CD427" s="1065"/>
      <c r="CE427" s="1065"/>
      <c r="CF427" s="1065"/>
      <c r="CG427" s="1065"/>
      <c r="CH427" s="1065"/>
      <c r="CI427" s="1065"/>
      <c r="CJ427" s="1065"/>
      <c r="CK427" s="1065"/>
      <c r="CL427" s="1065"/>
      <c r="CM427" s="1065"/>
      <c r="CN427" s="1065"/>
      <c r="CO427" s="1065"/>
      <c r="CP427" s="1065"/>
      <c r="CQ427" s="1065"/>
      <c r="CR427" s="1065"/>
      <c r="CS427" s="1065"/>
      <c r="CT427" s="1065"/>
      <c r="CU427" s="1065"/>
      <c r="CV427" s="1065"/>
      <c r="CW427" s="1065"/>
      <c r="CX427" s="1065"/>
      <c r="CY427" s="1065"/>
      <c r="CZ427" s="1065"/>
      <c r="DA427" s="1065"/>
      <c r="DB427" s="1065"/>
    </row>
    <row r="428" spans="1:106" ht="15" customHeight="1" thickBot="1">
      <c r="A428" s="1065"/>
      <c r="B428" s="1065"/>
      <c r="C428" s="1158" t="s">
        <v>686</v>
      </c>
      <c r="D428" s="1786"/>
      <c r="E428" s="1786"/>
      <c r="F428" s="1786"/>
      <c r="G428" s="1786"/>
      <c r="H428" s="1787"/>
      <c r="I428" s="1787"/>
      <c r="J428" s="1787"/>
      <c r="K428" s="1787"/>
      <c r="L428" s="1787"/>
      <c r="M428" s="1787"/>
      <c r="N428" s="1787"/>
      <c r="O428" s="1787"/>
      <c r="P428" s="1787"/>
      <c r="Q428" s="1787"/>
      <c r="R428" s="1787"/>
      <c r="S428" s="1178"/>
      <c r="T428" s="1175"/>
      <c r="U428" s="1805"/>
      <c r="V428" s="1065"/>
      <c r="W428" s="1065"/>
      <c r="X428" s="1065"/>
      <c r="Y428" s="1065"/>
      <c r="Z428" s="1065"/>
      <c r="AA428" s="1065"/>
      <c r="AB428" s="1065"/>
      <c r="AC428" s="1065"/>
      <c r="AD428" s="1065"/>
      <c r="AE428" s="1065"/>
      <c r="AF428" s="1065"/>
      <c r="AG428" s="1065"/>
      <c r="AH428" s="1065"/>
      <c r="AI428" s="1065"/>
      <c r="AJ428" s="1065"/>
      <c r="AK428" s="1065"/>
      <c r="AL428" s="1065"/>
      <c r="AM428" s="1065"/>
      <c r="AN428" s="1065"/>
      <c r="AO428" s="1065"/>
      <c r="AP428" s="1065"/>
      <c r="AQ428" s="1065"/>
      <c r="AR428" s="1065"/>
      <c r="AS428" s="1065"/>
      <c r="AT428" s="1065"/>
      <c r="AU428" s="1065"/>
      <c r="AV428" s="1065"/>
      <c r="AW428" s="1065"/>
      <c r="AX428" s="1065"/>
      <c r="AY428" s="1065"/>
      <c r="AZ428" s="1065"/>
      <c r="BA428" s="1065"/>
      <c r="BB428" s="1065"/>
      <c r="BC428" s="1065"/>
      <c r="BD428" s="1065"/>
      <c r="BE428" s="1065"/>
      <c r="BF428" s="1065"/>
      <c r="BG428" s="1065"/>
      <c r="BH428" s="1065"/>
      <c r="BI428" s="1065"/>
      <c r="BJ428" s="1065"/>
      <c r="BK428" s="1065"/>
      <c r="BL428" s="1065"/>
      <c r="BM428" s="1065"/>
      <c r="BN428" s="1065"/>
      <c r="BO428" s="1065"/>
      <c r="BP428" s="1065"/>
      <c r="BQ428" s="1065"/>
      <c r="BR428" s="1065"/>
      <c r="BS428" s="1065"/>
      <c r="BT428" s="1065"/>
      <c r="BU428" s="1065"/>
      <c r="BV428" s="1065"/>
      <c r="BW428" s="1065"/>
      <c r="BX428" s="1065"/>
      <c r="BY428" s="1065"/>
      <c r="BZ428" s="1065"/>
      <c r="CA428" s="1065"/>
      <c r="CB428" s="1065"/>
      <c r="CC428" s="1065"/>
      <c r="CD428" s="1065"/>
      <c r="CE428" s="1065"/>
      <c r="CF428" s="1065"/>
      <c r="CG428" s="1065"/>
      <c r="CH428" s="1065"/>
      <c r="CI428" s="1065"/>
      <c r="CJ428" s="1065"/>
      <c r="CK428" s="1065"/>
      <c r="CL428" s="1065"/>
      <c r="CM428" s="1065"/>
      <c r="CN428" s="1065"/>
      <c r="CO428" s="1065"/>
      <c r="CP428" s="1065"/>
      <c r="CQ428" s="1065"/>
      <c r="CR428" s="1065"/>
      <c r="CS428" s="1065"/>
      <c r="CT428" s="1065"/>
      <c r="CU428" s="1065"/>
      <c r="CV428" s="1065"/>
      <c r="CW428" s="1065"/>
      <c r="CX428" s="1065"/>
      <c r="CY428" s="1065"/>
      <c r="CZ428" s="1065"/>
      <c r="DA428" s="1065"/>
      <c r="DB428" s="1065"/>
    </row>
    <row r="429" spans="1:106" ht="15" customHeight="1" thickBot="1">
      <c r="A429" s="1065"/>
      <c r="B429" s="1065"/>
      <c r="C429" s="1158" t="s">
        <v>301</v>
      </c>
      <c r="D429" s="1786"/>
      <c r="E429" s="1786"/>
      <c r="F429" s="1786"/>
      <c r="G429" s="1786"/>
      <c r="H429" s="1787"/>
      <c r="I429" s="1787"/>
      <c r="J429" s="1787"/>
      <c r="K429" s="1787"/>
      <c r="L429" s="1787"/>
      <c r="M429" s="1787"/>
      <c r="N429" s="1787"/>
      <c r="O429" s="1787"/>
      <c r="P429" s="1787"/>
      <c r="Q429" s="1787"/>
      <c r="R429" s="1787"/>
      <c r="S429" s="1178"/>
      <c r="T429" s="1175"/>
      <c r="U429" s="1805"/>
      <c r="V429" s="1065"/>
      <c r="W429" s="1065"/>
      <c r="X429" s="1065"/>
      <c r="Y429" s="1065"/>
      <c r="Z429" s="1065"/>
      <c r="AA429" s="1065"/>
      <c r="AB429" s="1065"/>
      <c r="AC429" s="1065"/>
      <c r="AD429" s="1065"/>
      <c r="AE429" s="1065"/>
      <c r="AF429" s="1065"/>
      <c r="AG429" s="1065"/>
      <c r="AH429" s="1065"/>
      <c r="AI429" s="1065"/>
      <c r="AJ429" s="1065"/>
      <c r="AK429" s="1065"/>
      <c r="AL429" s="1065"/>
      <c r="AM429" s="1065"/>
      <c r="AN429" s="1065"/>
      <c r="AO429" s="1065"/>
      <c r="AP429" s="1065"/>
      <c r="AQ429" s="1065"/>
      <c r="AR429" s="1065"/>
      <c r="AS429" s="1065"/>
      <c r="AT429" s="1065"/>
      <c r="AU429" s="1065"/>
      <c r="AV429" s="1065"/>
      <c r="AW429" s="1065"/>
      <c r="AX429" s="1065"/>
      <c r="AY429" s="1065"/>
      <c r="AZ429" s="1065"/>
      <c r="BA429" s="1065"/>
      <c r="BB429" s="1065"/>
      <c r="BC429" s="1065"/>
      <c r="BD429" s="1065"/>
      <c r="BE429" s="1065"/>
      <c r="BF429" s="1065"/>
      <c r="BG429" s="1065"/>
      <c r="BH429" s="1065"/>
      <c r="BI429" s="1065"/>
      <c r="BJ429" s="1065"/>
      <c r="BK429" s="1065"/>
      <c r="BL429" s="1065"/>
      <c r="BM429" s="1065"/>
      <c r="BN429" s="1065"/>
      <c r="BO429" s="1065"/>
      <c r="BP429" s="1065"/>
      <c r="BQ429" s="1065"/>
      <c r="BR429" s="1065"/>
      <c r="BS429" s="1065"/>
      <c r="BT429" s="1065"/>
      <c r="BU429" s="1065"/>
      <c r="BV429" s="1065"/>
      <c r="BW429" s="1065"/>
      <c r="BX429" s="1065"/>
      <c r="BY429" s="1065"/>
      <c r="BZ429" s="1065"/>
      <c r="CA429" s="1065"/>
      <c r="CB429" s="1065"/>
      <c r="CC429" s="1065"/>
      <c r="CD429" s="1065"/>
      <c r="CE429" s="1065"/>
      <c r="CF429" s="1065"/>
      <c r="CG429" s="1065"/>
      <c r="CH429" s="1065"/>
      <c r="CI429" s="1065"/>
      <c r="CJ429" s="1065"/>
      <c r="CK429" s="1065"/>
      <c r="CL429" s="1065"/>
      <c r="CM429" s="1065"/>
      <c r="CN429" s="1065"/>
      <c r="CO429" s="1065"/>
      <c r="CP429" s="1065"/>
      <c r="CQ429" s="1065"/>
      <c r="CR429" s="1065"/>
      <c r="CS429" s="1065"/>
      <c r="CT429" s="1065"/>
      <c r="CU429" s="1065"/>
      <c r="CV429" s="1065"/>
      <c r="CW429" s="1065"/>
      <c r="CX429" s="1065"/>
      <c r="CY429" s="1065"/>
      <c r="CZ429" s="1065"/>
      <c r="DA429" s="1065"/>
      <c r="DB429" s="1065"/>
    </row>
    <row r="430" spans="1:106" ht="15" customHeight="1" thickBot="1">
      <c r="A430" s="1065"/>
      <c r="B430" s="1065"/>
      <c r="C430" s="1158" t="s">
        <v>496</v>
      </c>
      <c r="D430" s="1786"/>
      <c r="E430" s="1786"/>
      <c r="F430" s="1786"/>
      <c r="G430" s="1786"/>
      <c r="H430" s="1787"/>
      <c r="I430" s="1787"/>
      <c r="J430" s="1787"/>
      <c r="K430" s="1787"/>
      <c r="L430" s="1787"/>
      <c r="M430" s="1787"/>
      <c r="N430" s="1787"/>
      <c r="O430" s="1787"/>
      <c r="P430" s="1787"/>
      <c r="Q430" s="1787"/>
      <c r="R430" s="1787"/>
      <c r="S430" s="1178"/>
      <c r="T430" s="1175"/>
      <c r="U430" s="1805"/>
      <c r="V430" s="1065"/>
      <c r="W430" s="1065"/>
      <c r="X430" s="1065"/>
      <c r="Y430" s="1065"/>
      <c r="Z430" s="1065"/>
      <c r="AA430" s="1065"/>
      <c r="AB430" s="1065"/>
      <c r="AC430" s="1065"/>
      <c r="AD430" s="1065"/>
      <c r="AE430" s="1065"/>
      <c r="AF430" s="1065"/>
      <c r="AG430" s="1065"/>
      <c r="AH430" s="1065"/>
      <c r="AI430" s="1065"/>
      <c r="AJ430" s="1065"/>
      <c r="AK430" s="1065"/>
      <c r="AL430" s="1065"/>
      <c r="AM430" s="1065"/>
      <c r="AN430" s="1065"/>
      <c r="AO430" s="1065"/>
      <c r="AP430" s="1065"/>
      <c r="AQ430" s="1065"/>
      <c r="AR430" s="1065"/>
      <c r="AS430" s="1065"/>
      <c r="AT430" s="1065"/>
      <c r="AU430" s="1065"/>
      <c r="AV430" s="1065"/>
      <c r="AW430" s="1065"/>
      <c r="AX430" s="1065"/>
      <c r="AY430" s="1065"/>
      <c r="AZ430" s="1065"/>
      <c r="BA430" s="1065"/>
      <c r="BB430" s="1065"/>
      <c r="BC430" s="1065"/>
      <c r="BD430" s="1065"/>
      <c r="BE430" s="1065"/>
      <c r="BF430" s="1065"/>
      <c r="BG430" s="1065"/>
      <c r="BH430" s="1065"/>
      <c r="BI430" s="1065"/>
      <c r="BJ430" s="1065"/>
      <c r="BK430" s="1065"/>
      <c r="BL430" s="1065"/>
      <c r="BM430" s="1065"/>
      <c r="BN430" s="1065"/>
      <c r="BO430" s="1065"/>
      <c r="BP430" s="1065"/>
      <c r="BQ430" s="1065"/>
      <c r="BR430" s="1065"/>
      <c r="BS430" s="1065"/>
      <c r="BT430" s="1065"/>
      <c r="BU430" s="1065"/>
      <c r="BV430" s="1065"/>
      <c r="BW430" s="1065"/>
      <c r="BX430" s="1065"/>
      <c r="BY430" s="1065"/>
      <c r="BZ430" s="1065"/>
      <c r="CA430" s="1065"/>
      <c r="CB430" s="1065"/>
      <c r="CC430" s="1065"/>
      <c r="CD430" s="1065"/>
      <c r="CE430" s="1065"/>
      <c r="CF430" s="1065"/>
      <c r="CG430" s="1065"/>
      <c r="CH430" s="1065"/>
      <c r="CI430" s="1065"/>
      <c r="CJ430" s="1065"/>
      <c r="CK430" s="1065"/>
      <c r="CL430" s="1065"/>
      <c r="CM430" s="1065"/>
      <c r="CN430" s="1065"/>
      <c r="CO430" s="1065"/>
      <c r="CP430" s="1065"/>
      <c r="CQ430" s="1065"/>
      <c r="CR430" s="1065"/>
      <c r="CS430" s="1065"/>
      <c r="CT430" s="1065"/>
      <c r="CU430" s="1065"/>
      <c r="CV430" s="1065"/>
      <c r="CW430" s="1065"/>
      <c r="CX430" s="1065"/>
      <c r="CY430" s="1065"/>
      <c r="CZ430" s="1065"/>
      <c r="DA430" s="1065"/>
      <c r="DB430" s="1065"/>
    </row>
    <row r="431" spans="1:106" ht="15" customHeight="1" thickBot="1">
      <c r="A431" s="1065"/>
      <c r="B431" s="1065"/>
      <c r="C431" s="1158" t="s">
        <v>663</v>
      </c>
      <c r="D431" s="1786"/>
      <c r="E431" s="1786"/>
      <c r="F431" s="1786"/>
      <c r="G431" s="1786"/>
      <c r="H431" s="1787"/>
      <c r="I431" s="1787"/>
      <c r="J431" s="1787"/>
      <c r="K431" s="1787"/>
      <c r="L431" s="1787"/>
      <c r="M431" s="1787"/>
      <c r="N431" s="1787"/>
      <c r="O431" s="1787"/>
      <c r="P431" s="1787"/>
      <c r="Q431" s="1787"/>
      <c r="R431" s="1787"/>
      <c r="S431" s="1178"/>
      <c r="T431" s="1175"/>
      <c r="U431" s="1805"/>
      <c r="V431" s="1065"/>
      <c r="W431" s="1065"/>
      <c r="X431" s="1065"/>
      <c r="Y431" s="1065"/>
      <c r="Z431" s="1065"/>
      <c r="AA431" s="1065"/>
      <c r="AB431" s="1065"/>
      <c r="AC431" s="1065"/>
      <c r="AD431" s="1065"/>
      <c r="AE431" s="1065"/>
      <c r="AF431" s="1065"/>
      <c r="AG431" s="1065"/>
      <c r="AH431" s="1065"/>
      <c r="AI431" s="1065"/>
      <c r="AJ431" s="1065"/>
      <c r="AK431" s="1065"/>
      <c r="AL431" s="1065"/>
      <c r="AM431" s="1065"/>
      <c r="AN431" s="1065"/>
      <c r="AO431" s="1065"/>
      <c r="AP431" s="1065"/>
      <c r="AQ431" s="1065"/>
      <c r="AR431" s="1065"/>
      <c r="AS431" s="1065"/>
      <c r="AT431" s="1065"/>
      <c r="AU431" s="1065"/>
      <c r="AV431" s="1065"/>
      <c r="AW431" s="1065"/>
      <c r="AX431" s="1065"/>
      <c r="AY431" s="1065"/>
      <c r="AZ431" s="1065"/>
      <c r="BA431" s="1065"/>
      <c r="BB431" s="1065"/>
      <c r="BC431" s="1065"/>
      <c r="BD431" s="1065"/>
      <c r="BE431" s="1065"/>
      <c r="BF431" s="1065"/>
      <c r="BG431" s="1065"/>
      <c r="BH431" s="1065"/>
      <c r="BI431" s="1065"/>
      <c r="BJ431" s="1065"/>
      <c r="BK431" s="1065"/>
      <c r="BL431" s="1065"/>
      <c r="BM431" s="1065"/>
      <c r="BN431" s="1065"/>
      <c r="BO431" s="1065"/>
      <c r="BP431" s="1065"/>
      <c r="BQ431" s="1065"/>
      <c r="BR431" s="1065"/>
      <c r="BS431" s="1065"/>
      <c r="BT431" s="1065"/>
      <c r="BU431" s="1065"/>
      <c r="BV431" s="1065"/>
      <c r="BW431" s="1065"/>
      <c r="BX431" s="1065"/>
      <c r="BY431" s="1065"/>
      <c r="BZ431" s="1065"/>
      <c r="CA431" s="1065"/>
      <c r="CB431" s="1065"/>
      <c r="CC431" s="1065"/>
      <c r="CD431" s="1065"/>
      <c r="CE431" s="1065"/>
      <c r="CF431" s="1065"/>
      <c r="CG431" s="1065"/>
      <c r="CH431" s="1065"/>
      <c r="CI431" s="1065"/>
      <c r="CJ431" s="1065"/>
      <c r="CK431" s="1065"/>
      <c r="CL431" s="1065"/>
      <c r="CM431" s="1065"/>
      <c r="CN431" s="1065"/>
      <c r="CO431" s="1065"/>
      <c r="CP431" s="1065"/>
      <c r="CQ431" s="1065"/>
      <c r="CR431" s="1065"/>
      <c r="CS431" s="1065"/>
      <c r="CT431" s="1065"/>
      <c r="CU431" s="1065"/>
      <c r="CV431" s="1065"/>
      <c r="CW431" s="1065"/>
      <c r="CX431" s="1065"/>
      <c r="CY431" s="1065"/>
      <c r="CZ431" s="1065"/>
      <c r="DA431" s="1065"/>
      <c r="DB431" s="1065"/>
    </row>
    <row r="432" spans="1:106" ht="15" customHeight="1" thickBot="1">
      <c r="A432" s="1065"/>
      <c r="B432" s="1065"/>
      <c r="C432" s="1158" t="s">
        <v>488</v>
      </c>
      <c r="D432" s="1786"/>
      <c r="E432" s="1786"/>
      <c r="F432" s="1786"/>
      <c r="G432" s="1786"/>
      <c r="H432" s="1787"/>
      <c r="I432" s="1787"/>
      <c r="J432" s="1787"/>
      <c r="K432" s="1787"/>
      <c r="L432" s="1787"/>
      <c r="M432" s="1787"/>
      <c r="N432" s="1787"/>
      <c r="O432" s="1787"/>
      <c r="P432" s="1787"/>
      <c r="Q432" s="1787"/>
      <c r="R432" s="1787"/>
      <c r="S432" s="1178"/>
      <c r="T432" s="1175"/>
      <c r="U432" s="1805"/>
      <c r="V432" s="1065"/>
      <c r="W432" s="1065"/>
      <c r="X432" s="1065"/>
      <c r="Y432" s="1065"/>
      <c r="Z432" s="1065"/>
      <c r="AA432" s="1065"/>
      <c r="AB432" s="1065"/>
      <c r="AC432" s="1065"/>
      <c r="AD432" s="1065"/>
      <c r="AE432" s="1065"/>
      <c r="AF432" s="1065"/>
      <c r="AG432" s="1065"/>
      <c r="AH432" s="1065"/>
      <c r="AI432" s="1065"/>
      <c r="AJ432" s="1065"/>
      <c r="AK432" s="1065"/>
      <c r="AL432" s="1065"/>
      <c r="AM432" s="1065"/>
      <c r="AN432" s="1065"/>
      <c r="AO432" s="1065"/>
      <c r="AP432" s="1065"/>
      <c r="AQ432" s="1065"/>
      <c r="AR432" s="1065"/>
      <c r="AS432" s="1065"/>
      <c r="AT432" s="1065"/>
      <c r="AU432" s="1065"/>
      <c r="AV432" s="1065"/>
      <c r="AW432" s="1065"/>
      <c r="AX432" s="1065"/>
      <c r="AY432" s="1065"/>
      <c r="AZ432" s="1065"/>
      <c r="BA432" s="1065"/>
      <c r="BB432" s="1065"/>
      <c r="BC432" s="1065"/>
      <c r="BD432" s="1065"/>
      <c r="BE432" s="1065"/>
      <c r="BF432" s="1065"/>
      <c r="BG432" s="1065"/>
      <c r="BH432" s="1065"/>
      <c r="BI432" s="1065"/>
      <c r="BJ432" s="1065"/>
      <c r="BK432" s="1065"/>
      <c r="BL432" s="1065"/>
      <c r="BM432" s="1065"/>
      <c r="BN432" s="1065"/>
      <c r="BO432" s="1065"/>
      <c r="BP432" s="1065"/>
      <c r="BQ432" s="1065"/>
      <c r="BR432" s="1065"/>
      <c r="BS432" s="1065"/>
      <c r="BT432" s="1065"/>
      <c r="BU432" s="1065"/>
      <c r="BV432" s="1065"/>
      <c r="BW432" s="1065"/>
      <c r="BX432" s="1065"/>
      <c r="BY432" s="1065"/>
      <c r="BZ432" s="1065"/>
      <c r="CA432" s="1065"/>
      <c r="CB432" s="1065"/>
      <c r="CC432" s="1065"/>
      <c r="CD432" s="1065"/>
      <c r="CE432" s="1065"/>
      <c r="CF432" s="1065"/>
      <c r="CG432" s="1065"/>
      <c r="CH432" s="1065"/>
      <c r="CI432" s="1065"/>
      <c r="CJ432" s="1065"/>
      <c r="CK432" s="1065"/>
      <c r="CL432" s="1065"/>
      <c r="CM432" s="1065"/>
      <c r="CN432" s="1065"/>
      <c r="CO432" s="1065"/>
      <c r="CP432" s="1065"/>
      <c r="CQ432" s="1065"/>
      <c r="CR432" s="1065"/>
      <c r="CS432" s="1065"/>
      <c r="CT432" s="1065"/>
      <c r="CU432" s="1065"/>
      <c r="CV432" s="1065"/>
      <c r="CW432" s="1065"/>
      <c r="CX432" s="1065"/>
      <c r="CY432" s="1065"/>
      <c r="CZ432" s="1065"/>
      <c r="DA432" s="1065"/>
      <c r="DB432" s="1065"/>
    </row>
    <row r="433" spans="1:106" ht="15" customHeight="1" thickBot="1">
      <c r="A433" s="1065"/>
      <c r="B433" s="1065"/>
      <c r="C433" s="1158" t="s">
        <v>666</v>
      </c>
      <c r="D433" s="1786"/>
      <c r="E433" s="1786"/>
      <c r="F433" s="1786"/>
      <c r="G433" s="1786"/>
      <c r="H433" s="1787"/>
      <c r="I433" s="1787"/>
      <c r="J433" s="1787"/>
      <c r="K433" s="1787"/>
      <c r="L433" s="1787"/>
      <c r="M433" s="1787"/>
      <c r="N433" s="1787"/>
      <c r="O433" s="1787"/>
      <c r="P433" s="1787"/>
      <c r="Q433" s="1787"/>
      <c r="R433" s="1787"/>
      <c r="S433" s="1178"/>
      <c r="T433" s="1175"/>
      <c r="U433" s="1805"/>
      <c r="V433" s="1065"/>
      <c r="W433" s="1065"/>
      <c r="X433" s="1065"/>
      <c r="Y433" s="1065"/>
      <c r="Z433" s="1065"/>
      <c r="AA433" s="1065"/>
      <c r="AB433" s="1065"/>
      <c r="AC433" s="1065"/>
      <c r="AD433" s="1065"/>
      <c r="AE433" s="1065"/>
      <c r="AF433" s="1065"/>
      <c r="AG433" s="1065"/>
      <c r="AH433" s="1065"/>
      <c r="AI433" s="1065"/>
      <c r="AJ433" s="1065"/>
      <c r="AK433" s="1065"/>
      <c r="AL433" s="1065"/>
      <c r="AM433" s="1065"/>
      <c r="AN433" s="1065"/>
      <c r="AO433" s="1065"/>
      <c r="AP433" s="1065"/>
      <c r="AQ433" s="1065"/>
      <c r="AR433" s="1065"/>
      <c r="AS433" s="1065"/>
      <c r="AT433" s="1065"/>
      <c r="AU433" s="1065"/>
      <c r="AV433" s="1065"/>
      <c r="AW433" s="1065"/>
      <c r="AX433" s="1065"/>
      <c r="AY433" s="1065"/>
      <c r="AZ433" s="1065"/>
      <c r="BA433" s="1065"/>
      <c r="BB433" s="1065"/>
      <c r="BC433" s="1065"/>
      <c r="BD433" s="1065"/>
      <c r="BE433" s="1065"/>
      <c r="BF433" s="1065"/>
      <c r="BG433" s="1065"/>
      <c r="BH433" s="1065"/>
      <c r="BI433" s="1065"/>
      <c r="BJ433" s="1065"/>
      <c r="BK433" s="1065"/>
      <c r="BL433" s="1065"/>
      <c r="BM433" s="1065"/>
      <c r="BN433" s="1065"/>
      <c r="BO433" s="1065"/>
      <c r="BP433" s="1065"/>
      <c r="BQ433" s="1065"/>
      <c r="BR433" s="1065"/>
      <c r="BS433" s="1065"/>
      <c r="BT433" s="1065"/>
      <c r="BU433" s="1065"/>
      <c r="BV433" s="1065"/>
      <c r="BW433" s="1065"/>
      <c r="BX433" s="1065"/>
      <c r="BY433" s="1065"/>
      <c r="BZ433" s="1065"/>
      <c r="CA433" s="1065"/>
      <c r="CB433" s="1065"/>
      <c r="CC433" s="1065"/>
      <c r="CD433" s="1065"/>
      <c r="CE433" s="1065"/>
      <c r="CF433" s="1065"/>
      <c r="CG433" s="1065"/>
      <c r="CH433" s="1065"/>
      <c r="CI433" s="1065"/>
      <c r="CJ433" s="1065"/>
      <c r="CK433" s="1065"/>
      <c r="CL433" s="1065"/>
      <c r="CM433" s="1065"/>
      <c r="CN433" s="1065"/>
      <c r="CO433" s="1065"/>
      <c r="CP433" s="1065"/>
      <c r="CQ433" s="1065"/>
      <c r="CR433" s="1065"/>
      <c r="CS433" s="1065"/>
      <c r="CT433" s="1065"/>
      <c r="CU433" s="1065"/>
      <c r="CV433" s="1065"/>
      <c r="CW433" s="1065"/>
      <c r="CX433" s="1065"/>
      <c r="CY433" s="1065"/>
      <c r="CZ433" s="1065"/>
      <c r="DA433" s="1065"/>
      <c r="DB433" s="1065"/>
    </row>
    <row r="434" spans="1:106" ht="15" customHeight="1" thickBot="1">
      <c r="A434" s="1065"/>
      <c r="B434" s="1065"/>
      <c r="C434" s="1158" t="s">
        <v>668</v>
      </c>
      <c r="D434" s="1786"/>
      <c r="E434" s="1786"/>
      <c r="F434" s="1786"/>
      <c r="G434" s="1786"/>
      <c r="H434" s="1787"/>
      <c r="I434" s="1787"/>
      <c r="J434" s="1787"/>
      <c r="K434" s="1787"/>
      <c r="L434" s="1787"/>
      <c r="M434" s="1787"/>
      <c r="N434" s="1787"/>
      <c r="O434" s="1787"/>
      <c r="P434" s="1787"/>
      <c r="Q434" s="1787"/>
      <c r="R434" s="1787"/>
      <c r="S434" s="1178"/>
      <c r="T434" s="1175"/>
      <c r="U434" s="1805"/>
      <c r="V434" s="1065"/>
      <c r="W434" s="1065"/>
      <c r="X434" s="1065"/>
      <c r="Y434" s="1065"/>
      <c r="Z434" s="1065"/>
      <c r="AA434" s="1065"/>
      <c r="AB434" s="1065"/>
      <c r="AC434" s="1065"/>
      <c r="AD434" s="1065"/>
      <c r="AE434" s="1065"/>
      <c r="AF434" s="1065"/>
      <c r="AG434" s="1065"/>
      <c r="AH434" s="1065"/>
      <c r="AI434" s="1065"/>
      <c r="AJ434" s="1065"/>
      <c r="AK434" s="1065"/>
      <c r="AL434" s="1065"/>
      <c r="AM434" s="1065"/>
      <c r="AN434" s="1065"/>
      <c r="AO434" s="1065"/>
      <c r="AP434" s="1065"/>
      <c r="AQ434" s="1065"/>
      <c r="AR434" s="1065"/>
      <c r="AS434" s="1065"/>
      <c r="AT434" s="1065"/>
      <c r="AU434" s="1065"/>
      <c r="AV434" s="1065"/>
      <c r="AW434" s="1065"/>
      <c r="AX434" s="1065"/>
      <c r="AY434" s="1065"/>
      <c r="AZ434" s="1065"/>
      <c r="BA434" s="1065"/>
      <c r="BB434" s="1065"/>
      <c r="BC434" s="1065"/>
      <c r="BD434" s="1065"/>
      <c r="BE434" s="1065"/>
      <c r="BF434" s="1065"/>
      <c r="BG434" s="1065"/>
      <c r="BH434" s="1065"/>
      <c r="BI434" s="1065"/>
      <c r="BJ434" s="1065"/>
      <c r="BK434" s="1065"/>
      <c r="BL434" s="1065"/>
      <c r="BM434" s="1065"/>
      <c r="BN434" s="1065"/>
      <c r="BO434" s="1065"/>
      <c r="BP434" s="1065"/>
      <c r="BQ434" s="1065"/>
      <c r="BR434" s="1065"/>
      <c r="BS434" s="1065"/>
      <c r="BT434" s="1065"/>
      <c r="BU434" s="1065"/>
      <c r="BV434" s="1065"/>
      <c r="BW434" s="1065"/>
      <c r="BX434" s="1065"/>
      <c r="BY434" s="1065"/>
      <c r="BZ434" s="1065"/>
      <c r="CA434" s="1065"/>
      <c r="CB434" s="1065"/>
      <c r="CC434" s="1065"/>
      <c r="CD434" s="1065"/>
      <c r="CE434" s="1065"/>
      <c r="CF434" s="1065"/>
      <c r="CG434" s="1065"/>
      <c r="CH434" s="1065"/>
      <c r="CI434" s="1065"/>
      <c r="CJ434" s="1065"/>
      <c r="CK434" s="1065"/>
      <c r="CL434" s="1065"/>
      <c r="CM434" s="1065"/>
      <c r="CN434" s="1065"/>
      <c r="CO434" s="1065"/>
      <c r="CP434" s="1065"/>
      <c r="CQ434" s="1065"/>
      <c r="CR434" s="1065"/>
      <c r="CS434" s="1065"/>
      <c r="CT434" s="1065"/>
      <c r="CU434" s="1065"/>
      <c r="CV434" s="1065"/>
      <c r="CW434" s="1065"/>
      <c r="CX434" s="1065"/>
      <c r="CY434" s="1065"/>
      <c r="CZ434" s="1065"/>
      <c r="DA434" s="1065"/>
      <c r="DB434" s="1065"/>
    </row>
    <row r="435" spans="1:106" ht="15" customHeight="1" thickBot="1">
      <c r="A435" s="1065"/>
      <c r="B435" s="1065"/>
      <c r="C435" s="1164" t="s">
        <v>662</v>
      </c>
      <c r="D435" s="1786"/>
      <c r="E435" s="1786"/>
      <c r="F435" s="1786"/>
      <c r="G435" s="1786"/>
      <c r="H435" s="1787"/>
      <c r="I435" s="1787"/>
      <c r="J435" s="1787"/>
      <c r="K435" s="1787"/>
      <c r="L435" s="1787"/>
      <c r="M435" s="1787"/>
      <c r="N435" s="1787"/>
      <c r="O435" s="1787"/>
      <c r="P435" s="1787"/>
      <c r="Q435" s="1787"/>
      <c r="R435" s="1787"/>
      <c r="S435" s="1176"/>
      <c r="T435" s="1177"/>
      <c r="U435" s="1805"/>
      <c r="V435" s="1065"/>
      <c r="W435" s="1065"/>
      <c r="X435" s="1065"/>
      <c r="Y435" s="1065"/>
      <c r="Z435" s="1065"/>
      <c r="AA435" s="1065"/>
      <c r="AB435" s="1065"/>
      <c r="AC435" s="1065"/>
      <c r="AD435" s="1065"/>
      <c r="AE435" s="1065"/>
      <c r="AF435" s="1065"/>
      <c r="AG435" s="1065"/>
      <c r="AH435" s="1065"/>
      <c r="AI435" s="1065"/>
      <c r="AJ435" s="1065"/>
      <c r="AK435" s="1065"/>
      <c r="AL435" s="1065"/>
      <c r="AM435" s="1065"/>
      <c r="AN435" s="1065"/>
      <c r="AO435" s="1065"/>
      <c r="AP435" s="1065"/>
      <c r="AQ435" s="1065"/>
      <c r="AR435" s="1065"/>
      <c r="AS435" s="1065"/>
      <c r="AT435" s="1065"/>
      <c r="AU435" s="1065"/>
      <c r="AV435" s="1065"/>
      <c r="AW435" s="1065"/>
      <c r="AX435" s="1065"/>
      <c r="AY435" s="1065"/>
      <c r="AZ435" s="1065"/>
      <c r="BA435" s="1065"/>
      <c r="BB435" s="1065"/>
      <c r="BC435" s="1065"/>
      <c r="BD435" s="1065"/>
      <c r="BE435" s="1065"/>
      <c r="BF435" s="1065"/>
      <c r="BG435" s="1065"/>
      <c r="BH435" s="1065"/>
      <c r="BI435" s="1065"/>
      <c r="BJ435" s="1065"/>
      <c r="BK435" s="1065"/>
      <c r="BL435" s="1065"/>
      <c r="BM435" s="1065"/>
      <c r="BN435" s="1065"/>
      <c r="BO435" s="1065"/>
      <c r="BP435" s="1065"/>
      <c r="BQ435" s="1065"/>
      <c r="BR435" s="1065"/>
      <c r="BS435" s="1065"/>
      <c r="BT435" s="1065"/>
      <c r="BU435" s="1065"/>
      <c r="BV435" s="1065"/>
      <c r="BW435" s="1065"/>
      <c r="BX435" s="1065"/>
      <c r="BY435" s="1065"/>
      <c r="BZ435" s="1065"/>
      <c r="CA435" s="1065"/>
      <c r="CB435" s="1065"/>
      <c r="CC435" s="1065"/>
      <c r="CD435" s="1065"/>
      <c r="CE435" s="1065"/>
      <c r="CF435" s="1065"/>
      <c r="CG435" s="1065"/>
      <c r="CH435" s="1065"/>
      <c r="CI435" s="1065"/>
      <c r="CJ435" s="1065"/>
      <c r="CK435" s="1065"/>
      <c r="CL435" s="1065"/>
      <c r="CM435" s="1065"/>
      <c r="CN435" s="1065"/>
      <c r="CO435" s="1065"/>
      <c r="CP435" s="1065"/>
      <c r="CQ435" s="1065"/>
      <c r="CR435" s="1065"/>
      <c r="CS435" s="1065"/>
      <c r="CT435" s="1065"/>
      <c r="CU435" s="1065"/>
      <c r="CV435" s="1065"/>
      <c r="CW435" s="1065"/>
      <c r="CX435" s="1065"/>
      <c r="CY435" s="1065"/>
      <c r="CZ435" s="1065"/>
      <c r="DA435" s="1065"/>
      <c r="DB435" s="1065"/>
    </row>
    <row r="436" spans="1:106" ht="15" customHeight="1" thickBot="1">
      <c r="A436" s="1065"/>
      <c r="B436" s="1065"/>
      <c r="C436" s="1179" t="s">
        <v>679</v>
      </c>
      <c r="D436" s="1806" t="s">
        <v>831</v>
      </c>
      <c r="E436" s="1806"/>
      <c r="F436" s="1806"/>
      <c r="G436" s="1806"/>
      <c r="H436" s="1807" t="s">
        <v>671</v>
      </c>
      <c r="I436" s="1807"/>
      <c r="J436" s="1793" t="s">
        <v>832</v>
      </c>
      <c r="K436" s="1793"/>
      <c r="L436" s="1793"/>
      <c r="M436" s="1793" t="s">
        <v>824</v>
      </c>
      <c r="N436" s="1793"/>
      <c r="O436" s="1793"/>
      <c r="P436" s="1793"/>
      <c r="Q436" s="1793"/>
      <c r="R436" s="1793"/>
      <c r="S436" s="1180"/>
      <c r="T436" s="1181"/>
      <c r="U436" s="1182">
        <v>0</v>
      </c>
      <c r="V436" s="1065"/>
      <c r="W436" s="1065"/>
      <c r="X436" s="1065"/>
      <c r="Y436" s="1065"/>
      <c r="Z436" s="1065"/>
      <c r="AA436" s="1065"/>
      <c r="AB436" s="1065"/>
      <c r="AC436" s="1065"/>
      <c r="AD436" s="1065"/>
      <c r="AE436" s="1065"/>
      <c r="AF436" s="1065"/>
      <c r="AG436" s="1065"/>
      <c r="AH436" s="1065"/>
      <c r="AI436" s="1065"/>
      <c r="AJ436" s="1065"/>
      <c r="AK436" s="1065"/>
      <c r="AL436" s="1065"/>
      <c r="AM436" s="1065"/>
      <c r="AN436" s="1065"/>
      <c r="AO436" s="1065"/>
      <c r="AP436" s="1065"/>
      <c r="AQ436" s="1065"/>
      <c r="AR436" s="1065"/>
      <c r="AS436" s="1065"/>
      <c r="AT436" s="1065"/>
      <c r="AU436" s="1065"/>
      <c r="AV436" s="1065"/>
      <c r="AW436" s="1065"/>
      <c r="AX436" s="1065"/>
      <c r="AY436" s="1065"/>
      <c r="AZ436" s="1065"/>
      <c r="BA436" s="1065"/>
      <c r="BB436" s="1065"/>
      <c r="BC436" s="1065"/>
      <c r="BD436" s="1065"/>
      <c r="BE436" s="1065"/>
      <c r="BF436" s="1065"/>
      <c r="BG436" s="1065"/>
      <c r="BH436" s="1065"/>
      <c r="BI436" s="1065"/>
      <c r="BJ436" s="1065"/>
      <c r="BK436" s="1065"/>
      <c r="BL436" s="1065"/>
      <c r="BM436" s="1065"/>
      <c r="BN436" s="1065"/>
      <c r="BO436" s="1065"/>
      <c r="BP436" s="1065"/>
      <c r="BQ436" s="1065"/>
      <c r="BR436" s="1065"/>
      <c r="BS436" s="1065"/>
      <c r="BT436" s="1065"/>
      <c r="BU436" s="1065"/>
      <c r="BV436" s="1065"/>
      <c r="BW436" s="1065"/>
      <c r="BX436" s="1065"/>
      <c r="BY436" s="1065"/>
      <c r="BZ436" s="1065"/>
      <c r="CA436" s="1065"/>
      <c r="CB436" s="1065"/>
      <c r="CC436" s="1065"/>
      <c r="CD436" s="1065"/>
      <c r="CE436" s="1065"/>
      <c r="CF436" s="1065"/>
      <c r="CG436" s="1065"/>
      <c r="CH436" s="1065"/>
      <c r="CI436" s="1065"/>
      <c r="CJ436" s="1065"/>
      <c r="CK436" s="1065"/>
      <c r="CL436" s="1065"/>
      <c r="CM436" s="1065"/>
      <c r="CN436" s="1065"/>
      <c r="CO436" s="1065"/>
      <c r="CP436" s="1065"/>
      <c r="CQ436" s="1065"/>
      <c r="CR436" s="1065"/>
      <c r="CS436" s="1065"/>
      <c r="CT436" s="1065"/>
      <c r="CU436" s="1065"/>
      <c r="CV436" s="1065"/>
      <c r="CW436" s="1065"/>
      <c r="CX436" s="1065"/>
      <c r="CY436" s="1065"/>
      <c r="CZ436" s="1065"/>
      <c r="DA436" s="1065"/>
      <c r="DB436" s="1065"/>
    </row>
    <row r="437" spans="1:106" ht="15" customHeight="1" thickBot="1">
      <c r="A437" s="1065"/>
      <c r="B437" s="1065"/>
      <c r="C437" s="1740" t="s">
        <v>833</v>
      </c>
      <c r="D437" s="1740"/>
      <c r="E437" s="1740"/>
      <c r="F437" s="1740"/>
      <c r="G437" s="1740"/>
      <c r="H437" s="1740"/>
      <c r="I437" s="1740"/>
      <c r="J437" s="1740"/>
      <c r="K437" s="1740"/>
      <c r="L437" s="1740"/>
      <c r="M437" s="1740"/>
      <c r="N437" s="1740"/>
      <c r="O437" s="1740"/>
      <c r="P437" s="1740"/>
      <c r="Q437" s="1740"/>
      <c r="R437" s="1740"/>
      <c r="S437" s="1740"/>
      <c r="T437" s="1740"/>
      <c r="U437" s="1740"/>
      <c r="V437" s="1065"/>
      <c r="W437" s="1065"/>
      <c r="X437" s="1065"/>
      <c r="Y437" s="1065"/>
      <c r="Z437" s="1065"/>
      <c r="AA437" s="1065"/>
      <c r="AB437" s="1065"/>
      <c r="AC437" s="1065"/>
      <c r="AD437" s="1065"/>
      <c r="AE437" s="1065"/>
      <c r="AF437" s="1065"/>
      <c r="AG437" s="1065"/>
      <c r="AH437" s="1065"/>
      <c r="AI437" s="1065"/>
      <c r="AJ437" s="1065"/>
      <c r="AK437" s="1065"/>
      <c r="AL437" s="1065"/>
      <c r="AM437" s="1065"/>
      <c r="AN437" s="1065"/>
      <c r="AO437" s="1065"/>
      <c r="AP437" s="1065"/>
      <c r="AQ437" s="1065"/>
      <c r="AR437" s="1065"/>
      <c r="AS437" s="1065"/>
      <c r="AT437" s="1065"/>
      <c r="AU437" s="1065"/>
      <c r="AV437" s="1065"/>
      <c r="AW437" s="1065"/>
      <c r="AX437" s="1065"/>
      <c r="AY437" s="1065"/>
      <c r="AZ437" s="1065"/>
      <c r="BA437" s="1065"/>
      <c r="BB437" s="1065"/>
      <c r="BC437" s="1065"/>
      <c r="BD437" s="1065"/>
      <c r="BE437" s="1065"/>
      <c r="BF437" s="1065"/>
      <c r="BG437" s="1065"/>
      <c r="BH437" s="1065"/>
      <c r="BI437" s="1065"/>
      <c r="BJ437" s="1065"/>
      <c r="BK437" s="1065"/>
      <c r="BL437" s="1065"/>
      <c r="BM437" s="1065"/>
      <c r="BN437" s="1065"/>
      <c r="BO437" s="1065"/>
      <c r="BP437" s="1065"/>
      <c r="BQ437" s="1065"/>
      <c r="BR437" s="1065"/>
      <c r="BS437" s="1065"/>
      <c r="BT437" s="1065"/>
      <c r="BU437" s="1065"/>
      <c r="BV437" s="1065"/>
      <c r="BW437" s="1065"/>
      <c r="BX437" s="1065"/>
      <c r="BY437" s="1065"/>
      <c r="BZ437" s="1065"/>
      <c r="CA437" s="1065"/>
      <c r="CB437" s="1065"/>
      <c r="CC437" s="1065"/>
      <c r="CD437" s="1065"/>
      <c r="CE437" s="1065"/>
      <c r="CF437" s="1065"/>
      <c r="CG437" s="1065"/>
      <c r="CH437" s="1065"/>
      <c r="CI437" s="1065"/>
      <c r="CJ437" s="1065"/>
      <c r="CK437" s="1065"/>
      <c r="CL437" s="1065"/>
      <c r="CM437" s="1065"/>
      <c r="CN437" s="1065"/>
      <c r="CO437" s="1065"/>
      <c r="CP437" s="1065"/>
      <c r="CQ437" s="1065"/>
      <c r="CR437" s="1065"/>
      <c r="CS437" s="1065"/>
      <c r="CT437" s="1065"/>
      <c r="CU437" s="1065"/>
      <c r="CV437" s="1065"/>
      <c r="CW437" s="1065"/>
      <c r="CX437" s="1065"/>
      <c r="CY437" s="1065"/>
      <c r="CZ437" s="1065"/>
      <c r="DA437" s="1065"/>
      <c r="DB437" s="1065"/>
    </row>
    <row r="438" spans="1:106" ht="15" customHeight="1" thickBot="1">
      <c r="A438" s="1065"/>
      <c r="B438" s="1065"/>
      <c r="C438" s="1741" t="s">
        <v>648</v>
      </c>
      <c r="D438" s="1742" t="s">
        <v>649</v>
      </c>
      <c r="E438" s="1742"/>
      <c r="F438" s="1742"/>
      <c r="G438" s="1742"/>
      <c r="H438" s="1759" t="s">
        <v>650</v>
      </c>
      <c r="I438" s="1759"/>
      <c r="J438" s="1743" t="s">
        <v>651</v>
      </c>
      <c r="K438" s="1743"/>
      <c r="L438" s="1743"/>
      <c r="M438" s="1743" t="s">
        <v>652</v>
      </c>
      <c r="N438" s="1743"/>
      <c r="O438" s="1743"/>
      <c r="P438" s="1743"/>
      <c r="Q438" s="1743"/>
      <c r="R438" s="1743"/>
      <c r="S438" s="1743" t="s">
        <v>6</v>
      </c>
      <c r="T438" s="1744" t="s">
        <v>653</v>
      </c>
      <c r="U438" s="1745" t="s">
        <v>654</v>
      </c>
      <c r="V438" s="1065"/>
      <c r="W438" s="1065"/>
      <c r="X438" s="1065"/>
      <c r="Y438" s="1065"/>
      <c r="Z438" s="1065"/>
      <c r="AA438" s="1065"/>
      <c r="AB438" s="1065"/>
      <c r="AC438" s="1065"/>
      <c r="AD438" s="1065"/>
      <c r="AE438" s="1065"/>
      <c r="AF438" s="1065"/>
      <c r="AG438" s="1065"/>
      <c r="AH438" s="1065"/>
      <c r="AI438" s="1065"/>
      <c r="AJ438" s="1065"/>
      <c r="AK438" s="1065"/>
      <c r="AL438" s="1065"/>
      <c r="AM438" s="1065"/>
      <c r="AN438" s="1065"/>
      <c r="AO438" s="1065"/>
      <c r="AP438" s="1065"/>
      <c r="AQ438" s="1065"/>
      <c r="AR438" s="1065"/>
      <c r="AS438" s="1065"/>
      <c r="AT438" s="1065"/>
      <c r="AU438" s="1065"/>
      <c r="AV438" s="1065"/>
      <c r="AW438" s="1065"/>
      <c r="AX438" s="1065"/>
      <c r="AY438" s="1065"/>
      <c r="AZ438" s="1065"/>
      <c r="BA438" s="1065"/>
      <c r="BB438" s="1065"/>
      <c r="BC438" s="1065"/>
      <c r="BD438" s="1065"/>
      <c r="BE438" s="1065"/>
      <c r="BF438" s="1065"/>
      <c r="BG438" s="1065"/>
      <c r="BH438" s="1065"/>
      <c r="BI438" s="1065"/>
      <c r="BJ438" s="1065"/>
      <c r="BK438" s="1065"/>
      <c r="BL438" s="1065"/>
      <c r="BM438" s="1065"/>
      <c r="BN438" s="1065"/>
      <c r="BO438" s="1065"/>
      <c r="BP438" s="1065"/>
      <c r="BQ438" s="1065"/>
      <c r="BR438" s="1065"/>
      <c r="BS438" s="1065"/>
      <c r="BT438" s="1065"/>
      <c r="BU438" s="1065"/>
      <c r="BV438" s="1065"/>
      <c r="BW438" s="1065"/>
      <c r="BX438" s="1065"/>
      <c r="BY438" s="1065"/>
      <c r="BZ438" s="1065"/>
      <c r="CA438" s="1065"/>
      <c r="CB438" s="1065"/>
      <c r="CC438" s="1065"/>
      <c r="CD438" s="1065"/>
      <c r="CE438" s="1065"/>
      <c r="CF438" s="1065"/>
      <c r="CG438" s="1065"/>
      <c r="CH438" s="1065"/>
      <c r="CI438" s="1065"/>
      <c r="CJ438" s="1065"/>
      <c r="CK438" s="1065"/>
      <c r="CL438" s="1065"/>
      <c r="CM438" s="1065"/>
      <c r="CN438" s="1065"/>
      <c r="CO438" s="1065"/>
      <c r="CP438" s="1065"/>
      <c r="CQ438" s="1065"/>
      <c r="CR438" s="1065"/>
      <c r="CS438" s="1065"/>
      <c r="CT438" s="1065"/>
      <c r="CU438" s="1065"/>
      <c r="CV438" s="1065"/>
      <c r="CW438" s="1065"/>
      <c r="CX438" s="1065"/>
      <c r="CY438" s="1065"/>
      <c r="CZ438" s="1065"/>
      <c r="DA438" s="1065"/>
      <c r="DB438" s="1065"/>
    </row>
    <row r="439" spans="1:106" ht="15" customHeight="1">
      <c r="A439" s="1065"/>
      <c r="B439" s="1065"/>
      <c r="C439" s="1741"/>
      <c r="D439" s="1742"/>
      <c r="E439" s="1742"/>
      <c r="F439" s="1742"/>
      <c r="G439" s="1742"/>
      <c r="H439" s="1759"/>
      <c r="I439" s="1759"/>
      <c r="J439" s="1743"/>
      <c r="K439" s="1743"/>
      <c r="L439" s="1743"/>
      <c r="M439" s="1743"/>
      <c r="N439" s="1743"/>
      <c r="O439" s="1743"/>
      <c r="P439" s="1743"/>
      <c r="Q439" s="1743"/>
      <c r="R439" s="1743"/>
      <c r="S439" s="1743"/>
      <c r="T439" s="1744"/>
      <c r="U439" s="1745"/>
      <c r="V439" s="1065"/>
      <c r="W439" s="1065"/>
      <c r="X439" s="1065"/>
      <c r="Y439" s="1065"/>
      <c r="Z439" s="1065"/>
      <c r="AA439" s="1065"/>
      <c r="AB439" s="1065"/>
      <c r="AC439" s="1065"/>
      <c r="AD439" s="1065"/>
      <c r="AE439" s="1065"/>
      <c r="AF439" s="1065"/>
      <c r="AG439" s="1065"/>
      <c r="AH439" s="1065"/>
      <c r="AI439" s="1065"/>
      <c r="AJ439" s="1065"/>
      <c r="AK439" s="1065"/>
      <c r="AL439" s="1065"/>
      <c r="AM439" s="1065"/>
      <c r="AN439" s="1065"/>
      <c r="AO439" s="1065"/>
      <c r="AP439" s="1065"/>
      <c r="AQ439" s="1065"/>
      <c r="AR439" s="1065"/>
      <c r="AS439" s="1065"/>
      <c r="AT439" s="1065"/>
      <c r="AU439" s="1065"/>
      <c r="AV439" s="1065"/>
      <c r="AW439" s="1065"/>
      <c r="AX439" s="1065"/>
      <c r="AY439" s="1065"/>
      <c r="AZ439" s="1065"/>
      <c r="BA439" s="1065"/>
      <c r="BB439" s="1065"/>
      <c r="BC439" s="1065"/>
      <c r="BD439" s="1065"/>
      <c r="BE439" s="1065"/>
      <c r="BF439" s="1065"/>
      <c r="BG439" s="1065"/>
      <c r="BH439" s="1065"/>
      <c r="BI439" s="1065"/>
      <c r="BJ439" s="1065"/>
      <c r="BK439" s="1065"/>
      <c r="BL439" s="1065"/>
      <c r="BM439" s="1065"/>
      <c r="BN439" s="1065"/>
      <c r="BO439" s="1065"/>
      <c r="BP439" s="1065"/>
      <c r="BQ439" s="1065"/>
      <c r="BR439" s="1065"/>
      <c r="BS439" s="1065"/>
      <c r="BT439" s="1065"/>
      <c r="BU439" s="1065"/>
      <c r="BV439" s="1065"/>
      <c r="BW439" s="1065"/>
      <c r="BX439" s="1065"/>
      <c r="BY439" s="1065"/>
      <c r="BZ439" s="1065"/>
      <c r="CA439" s="1065"/>
      <c r="CB439" s="1065"/>
      <c r="CC439" s="1065"/>
      <c r="CD439" s="1065"/>
      <c r="CE439" s="1065"/>
      <c r="CF439" s="1065"/>
      <c r="CG439" s="1065"/>
      <c r="CH439" s="1065"/>
      <c r="CI439" s="1065"/>
      <c r="CJ439" s="1065"/>
      <c r="CK439" s="1065"/>
      <c r="CL439" s="1065"/>
      <c r="CM439" s="1065"/>
      <c r="CN439" s="1065"/>
      <c r="CO439" s="1065"/>
      <c r="CP439" s="1065"/>
      <c r="CQ439" s="1065"/>
      <c r="CR439" s="1065"/>
      <c r="CS439" s="1065"/>
      <c r="CT439" s="1065"/>
      <c r="CU439" s="1065"/>
      <c r="CV439" s="1065"/>
      <c r="CW439" s="1065"/>
      <c r="CX439" s="1065"/>
      <c r="CY439" s="1065"/>
      <c r="CZ439" s="1065"/>
      <c r="DA439" s="1065"/>
      <c r="DB439" s="1065"/>
    </row>
    <row r="440" spans="1:106" ht="15" customHeight="1" thickBot="1">
      <c r="A440" s="1065"/>
      <c r="B440" s="1065"/>
      <c r="C440" s="1183" t="s">
        <v>669</v>
      </c>
      <c r="D440" s="1803" t="s">
        <v>822</v>
      </c>
      <c r="E440" s="1803"/>
      <c r="F440" s="1803"/>
      <c r="G440" s="1803"/>
      <c r="H440" s="1750" t="s">
        <v>657</v>
      </c>
      <c r="I440" s="1750"/>
      <c r="J440" s="1748" t="s">
        <v>834</v>
      </c>
      <c r="K440" s="1748"/>
      <c r="L440" s="1748"/>
      <c r="M440" s="1768" t="s">
        <v>835</v>
      </c>
      <c r="N440" s="1768"/>
      <c r="O440" s="1768"/>
      <c r="P440" s="1768"/>
      <c r="Q440" s="1768"/>
      <c r="R440" s="1768"/>
      <c r="S440" s="1184">
        <v>5124.0600000000004</v>
      </c>
      <c r="T440" s="1738">
        <f>SUM(S440:S460)</f>
        <v>5124.0600000000004</v>
      </c>
      <c r="U440" s="1804">
        <v>0</v>
      </c>
      <c r="V440" s="1065"/>
      <c r="W440" s="1065"/>
      <c r="X440" s="1065"/>
      <c r="Y440" s="1065"/>
      <c r="Z440" s="1065"/>
      <c r="AA440" s="1065"/>
      <c r="AB440" s="1065"/>
      <c r="AC440" s="1065"/>
      <c r="AD440" s="1065"/>
      <c r="AE440" s="1065"/>
      <c r="AF440" s="1065"/>
      <c r="AG440" s="1065"/>
      <c r="AH440" s="1065"/>
      <c r="AI440" s="1065"/>
      <c r="AJ440" s="1065"/>
      <c r="AK440" s="1065"/>
      <c r="AL440" s="1065"/>
      <c r="AM440" s="1065"/>
      <c r="AN440" s="1065"/>
      <c r="AO440" s="1065"/>
      <c r="AP440" s="1065"/>
      <c r="AQ440" s="1065"/>
      <c r="AR440" s="1065"/>
      <c r="AS440" s="1065"/>
      <c r="AT440" s="1065"/>
      <c r="AU440" s="1065"/>
      <c r="AV440" s="1065"/>
      <c r="AW440" s="1065"/>
      <c r="AX440" s="1065"/>
      <c r="AY440" s="1065"/>
      <c r="AZ440" s="1065"/>
      <c r="BA440" s="1065"/>
      <c r="BB440" s="1065"/>
      <c r="BC440" s="1065"/>
      <c r="BD440" s="1065"/>
      <c r="BE440" s="1065"/>
      <c r="BF440" s="1065"/>
      <c r="BG440" s="1065"/>
      <c r="BH440" s="1065"/>
      <c r="BI440" s="1065"/>
      <c r="BJ440" s="1065"/>
      <c r="BK440" s="1065"/>
      <c r="BL440" s="1065"/>
      <c r="BM440" s="1065"/>
      <c r="BN440" s="1065"/>
      <c r="BO440" s="1065"/>
      <c r="BP440" s="1065"/>
      <c r="BQ440" s="1065"/>
      <c r="BR440" s="1065"/>
      <c r="BS440" s="1065"/>
      <c r="BT440" s="1065"/>
      <c r="BU440" s="1065"/>
      <c r="BV440" s="1065"/>
      <c r="BW440" s="1065"/>
      <c r="BX440" s="1065"/>
      <c r="BY440" s="1065"/>
      <c r="BZ440" s="1065"/>
      <c r="CA440" s="1065"/>
      <c r="CB440" s="1065"/>
      <c r="CC440" s="1065"/>
      <c r="CD440" s="1065"/>
      <c r="CE440" s="1065"/>
      <c r="CF440" s="1065"/>
      <c r="CG440" s="1065"/>
      <c r="CH440" s="1065"/>
      <c r="CI440" s="1065"/>
      <c r="CJ440" s="1065"/>
      <c r="CK440" s="1065"/>
      <c r="CL440" s="1065"/>
      <c r="CM440" s="1065"/>
      <c r="CN440" s="1065"/>
      <c r="CO440" s="1065"/>
      <c r="CP440" s="1065"/>
      <c r="CQ440" s="1065"/>
      <c r="CR440" s="1065"/>
      <c r="CS440" s="1065"/>
      <c r="CT440" s="1065"/>
      <c r="CU440" s="1065"/>
      <c r="CV440" s="1065"/>
      <c r="CW440" s="1065"/>
      <c r="CX440" s="1065"/>
      <c r="CY440" s="1065"/>
      <c r="CZ440" s="1065"/>
      <c r="DA440" s="1065"/>
      <c r="DB440" s="1065"/>
    </row>
    <row r="441" spans="1:106" ht="15" customHeight="1" thickBot="1">
      <c r="A441" s="1065"/>
      <c r="B441" s="1065"/>
      <c r="C441" s="1094"/>
      <c r="D441" s="1802"/>
      <c r="E441" s="1802"/>
      <c r="F441" s="1802"/>
      <c r="G441" s="1802"/>
      <c r="H441" s="1678"/>
      <c r="I441" s="1678"/>
      <c r="J441" s="1681"/>
      <c r="K441" s="1681"/>
      <c r="L441" s="1681"/>
      <c r="M441" s="1756"/>
      <c r="N441" s="1756"/>
      <c r="O441" s="1756"/>
      <c r="P441" s="1756"/>
      <c r="Q441" s="1756"/>
      <c r="R441" s="1756"/>
      <c r="S441" s="1074"/>
      <c r="T441" s="1738"/>
      <c r="U441" s="1804"/>
      <c r="V441" s="1065"/>
      <c r="W441" s="1065"/>
      <c r="X441" s="1065"/>
      <c r="Y441" s="1065"/>
      <c r="Z441" s="1065"/>
      <c r="AA441" s="1065"/>
      <c r="AB441" s="1065"/>
      <c r="AC441" s="1065"/>
      <c r="AD441" s="1065"/>
      <c r="AE441" s="1065"/>
      <c r="AF441" s="1065"/>
      <c r="AG441" s="1065"/>
      <c r="AH441" s="1065"/>
      <c r="AI441" s="1065"/>
      <c r="AJ441" s="1065"/>
      <c r="AK441" s="1065"/>
      <c r="AL441" s="1065"/>
      <c r="AM441" s="1065"/>
      <c r="AN441" s="1065"/>
      <c r="AO441" s="1065"/>
      <c r="AP441" s="1065"/>
      <c r="AQ441" s="1065"/>
      <c r="AR441" s="1065"/>
      <c r="AS441" s="1065"/>
      <c r="AT441" s="1065"/>
      <c r="AU441" s="1065"/>
      <c r="AV441" s="1065"/>
      <c r="AW441" s="1065"/>
      <c r="AX441" s="1065"/>
      <c r="AY441" s="1065"/>
      <c r="AZ441" s="1065"/>
      <c r="BA441" s="1065"/>
      <c r="BB441" s="1065"/>
      <c r="BC441" s="1065"/>
      <c r="BD441" s="1065"/>
      <c r="BE441" s="1065"/>
      <c r="BF441" s="1065"/>
      <c r="BG441" s="1065"/>
      <c r="BH441" s="1065"/>
      <c r="BI441" s="1065"/>
      <c r="BJ441" s="1065"/>
      <c r="BK441" s="1065"/>
      <c r="BL441" s="1065"/>
      <c r="BM441" s="1065"/>
      <c r="BN441" s="1065"/>
      <c r="BO441" s="1065"/>
      <c r="BP441" s="1065"/>
      <c r="BQ441" s="1065"/>
      <c r="BR441" s="1065"/>
      <c r="BS441" s="1065"/>
      <c r="BT441" s="1065"/>
      <c r="BU441" s="1065"/>
      <c r="BV441" s="1065"/>
      <c r="BW441" s="1065"/>
      <c r="BX441" s="1065"/>
      <c r="BY441" s="1065"/>
      <c r="BZ441" s="1065"/>
      <c r="CA441" s="1065"/>
      <c r="CB441" s="1065"/>
      <c r="CC441" s="1065"/>
      <c r="CD441" s="1065"/>
      <c r="CE441" s="1065"/>
      <c r="CF441" s="1065"/>
      <c r="CG441" s="1065"/>
      <c r="CH441" s="1065"/>
      <c r="CI441" s="1065"/>
      <c r="CJ441" s="1065"/>
      <c r="CK441" s="1065"/>
      <c r="CL441" s="1065"/>
      <c r="CM441" s="1065"/>
      <c r="CN441" s="1065"/>
      <c r="CO441" s="1065"/>
      <c r="CP441" s="1065"/>
      <c r="CQ441" s="1065"/>
      <c r="CR441" s="1065"/>
      <c r="CS441" s="1065"/>
      <c r="CT441" s="1065"/>
      <c r="CU441" s="1065"/>
      <c r="CV441" s="1065"/>
      <c r="CW441" s="1065"/>
      <c r="CX441" s="1065"/>
      <c r="CY441" s="1065"/>
      <c r="CZ441" s="1065"/>
      <c r="DA441" s="1065"/>
      <c r="DB441" s="1065"/>
    </row>
    <row r="442" spans="1:106" ht="15" customHeight="1" thickBot="1">
      <c r="A442" s="1065"/>
      <c r="B442" s="1065"/>
      <c r="C442" s="1094"/>
      <c r="D442" s="1802"/>
      <c r="E442" s="1802"/>
      <c r="F442" s="1802"/>
      <c r="G442" s="1802"/>
      <c r="H442" s="1678"/>
      <c r="I442" s="1678"/>
      <c r="J442" s="1748"/>
      <c r="K442" s="1748"/>
      <c r="L442" s="1748"/>
      <c r="M442" s="1756"/>
      <c r="N442" s="1756"/>
      <c r="O442" s="1756"/>
      <c r="P442" s="1756"/>
      <c r="Q442" s="1756"/>
      <c r="R442" s="1756"/>
      <c r="S442" s="1074"/>
      <c r="T442" s="1738"/>
      <c r="U442" s="1804"/>
      <c r="V442" s="1065"/>
      <c r="W442" s="1065"/>
      <c r="X442" s="1065"/>
      <c r="Y442" s="1065"/>
      <c r="Z442" s="1065"/>
      <c r="AA442" s="1065"/>
      <c r="AB442" s="1065"/>
      <c r="AC442" s="1065"/>
      <c r="AD442" s="1065"/>
      <c r="AE442" s="1065"/>
      <c r="AF442" s="1065"/>
      <c r="AG442" s="1065"/>
      <c r="AH442" s="1065"/>
      <c r="AI442" s="1065"/>
      <c r="AJ442" s="1065"/>
      <c r="AK442" s="1065"/>
      <c r="AL442" s="1065"/>
      <c r="AM442" s="1065"/>
      <c r="AN442" s="1065"/>
      <c r="AO442" s="1065"/>
      <c r="AP442" s="1065"/>
      <c r="AQ442" s="1065"/>
      <c r="AR442" s="1065"/>
      <c r="AS442" s="1065"/>
      <c r="AT442" s="1065"/>
      <c r="AU442" s="1065"/>
      <c r="AV442" s="1065"/>
      <c r="AW442" s="1065"/>
      <c r="AX442" s="1065"/>
      <c r="AY442" s="1065"/>
      <c r="AZ442" s="1065"/>
      <c r="BA442" s="1065"/>
      <c r="BB442" s="1065"/>
      <c r="BC442" s="1065"/>
      <c r="BD442" s="1065"/>
      <c r="BE442" s="1065"/>
      <c r="BF442" s="1065"/>
      <c r="BG442" s="1065"/>
      <c r="BH442" s="1065"/>
      <c r="BI442" s="1065"/>
      <c r="BJ442" s="1065"/>
      <c r="BK442" s="1065"/>
      <c r="BL442" s="1065"/>
      <c r="BM442" s="1065"/>
      <c r="BN442" s="1065"/>
      <c r="BO442" s="1065"/>
      <c r="BP442" s="1065"/>
      <c r="BQ442" s="1065"/>
      <c r="BR442" s="1065"/>
      <c r="BS442" s="1065"/>
      <c r="BT442" s="1065"/>
      <c r="BU442" s="1065"/>
      <c r="BV442" s="1065"/>
      <c r="BW442" s="1065"/>
      <c r="BX442" s="1065"/>
      <c r="BY442" s="1065"/>
      <c r="BZ442" s="1065"/>
      <c r="CA442" s="1065"/>
      <c r="CB442" s="1065"/>
      <c r="CC442" s="1065"/>
      <c r="CD442" s="1065"/>
      <c r="CE442" s="1065"/>
      <c r="CF442" s="1065"/>
      <c r="CG442" s="1065"/>
      <c r="CH442" s="1065"/>
      <c r="CI442" s="1065"/>
      <c r="CJ442" s="1065"/>
      <c r="CK442" s="1065"/>
      <c r="CL442" s="1065"/>
      <c r="CM442" s="1065"/>
      <c r="CN442" s="1065"/>
      <c r="CO442" s="1065"/>
      <c r="CP442" s="1065"/>
      <c r="CQ442" s="1065"/>
      <c r="CR442" s="1065"/>
      <c r="CS442" s="1065"/>
      <c r="CT442" s="1065"/>
      <c r="CU442" s="1065"/>
      <c r="CV442" s="1065"/>
      <c r="CW442" s="1065"/>
      <c r="CX442" s="1065"/>
      <c r="CY442" s="1065"/>
      <c r="CZ442" s="1065"/>
      <c r="DA442" s="1065"/>
      <c r="DB442" s="1065"/>
    </row>
    <row r="443" spans="1:106" ht="15" customHeight="1" thickBot="1">
      <c r="A443" s="1065"/>
      <c r="B443" s="1065"/>
      <c r="C443" s="1094"/>
      <c r="D443" s="1746"/>
      <c r="E443" s="1746"/>
      <c r="F443" s="1746"/>
      <c r="G443" s="1746"/>
      <c r="H443" s="1678"/>
      <c r="I443" s="1678"/>
      <c r="J443" s="1756"/>
      <c r="K443" s="1756"/>
      <c r="L443" s="1756"/>
      <c r="M443" s="1756"/>
      <c r="N443" s="1756"/>
      <c r="O443" s="1756"/>
      <c r="P443" s="1756"/>
      <c r="Q443" s="1756"/>
      <c r="R443" s="1756"/>
      <c r="S443" s="1074"/>
      <c r="T443" s="1738"/>
      <c r="U443" s="1804"/>
      <c r="V443" s="1065"/>
      <c r="W443" s="1065"/>
      <c r="X443" s="1065"/>
      <c r="Y443" s="1065"/>
      <c r="Z443" s="1065"/>
      <c r="AA443" s="1065"/>
      <c r="AB443" s="1065"/>
      <c r="AC443" s="1065"/>
      <c r="AD443" s="1065"/>
      <c r="AE443" s="1065"/>
      <c r="AF443" s="1065"/>
      <c r="AG443" s="1065"/>
      <c r="AH443" s="1065"/>
      <c r="AI443" s="1065"/>
      <c r="AJ443" s="1065"/>
      <c r="AK443" s="1065"/>
      <c r="AL443" s="1065"/>
      <c r="AM443" s="1065"/>
      <c r="AN443" s="1065"/>
      <c r="AO443" s="1065"/>
      <c r="AP443" s="1065"/>
      <c r="AQ443" s="1065"/>
      <c r="AR443" s="1065"/>
      <c r="AS443" s="1065"/>
      <c r="AT443" s="1065"/>
      <c r="AU443" s="1065"/>
      <c r="AV443" s="1065"/>
      <c r="AW443" s="1065"/>
      <c r="AX443" s="1065"/>
      <c r="AY443" s="1065"/>
      <c r="AZ443" s="1065"/>
      <c r="BA443" s="1065"/>
      <c r="BB443" s="1065"/>
      <c r="BC443" s="1065"/>
      <c r="BD443" s="1065"/>
      <c r="BE443" s="1065"/>
      <c r="BF443" s="1065"/>
      <c r="BG443" s="1065"/>
      <c r="BH443" s="1065"/>
      <c r="BI443" s="1065"/>
      <c r="BJ443" s="1065"/>
      <c r="BK443" s="1065"/>
      <c r="BL443" s="1065"/>
      <c r="BM443" s="1065"/>
      <c r="BN443" s="1065"/>
      <c r="BO443" s="1065"/>
      <c r="BP443" s="1065"/>
      <c r="BQ443" s="1065"/>
      <c r="BR443" s="1065"/>
      <c r="BS443" s="1065"/>
      <c r="BT443" s="1065"/>
      <c r="BU443" s="1065"/>
      <c r="BV443" s="1065"/>
      <c r="BW443" s="1065"/>
      <c r="BX443" s="1065"/>
      <c r="BY443" s="1065"/>
      <c r="BZ443" s="1065"/>
      <c r="CA443" s="1065"/>
      <c r="CB443" s="1065"/>
      <c r="CC443" s="1065"/>
      <c r="CD443" s="1065"/>
      <c r="CE443" s="1065"/>
      <c r="CF443" s="1065"/>
      <c r="CG443" s="1065"/>
      <c r="CH443" s="1065"/>
      <c r="CI443" s="1065"/>
      <c r="CJ443" s="1065"/>
      <c r="CK443" s="1065"/>
      <c r="CL443" s="1065"/>
      <c r="CM443" s="1065"/>
      <c r="CN443" s="1065"/>
      <c r="CO443" s="1065"/>
      <c r="CP443" s="1065"/>
      <c r="CQ443" s="1065"/>
      <c r="CR443" s="1065"/>
      <c r="CS443" s="1065"/>
      <c r="CT443" s="1065"/>
      <c r="CU443" s="1065"/>
      <c r="CV443" s="1065"/>
      <c r="CW443" s="1065"/>
      <c r="CX443" s="1065"/>
      <c r="CY443" s="1065"/>
      <c r="CZ443" s="1065"/>
      <c r="DA443" s="1065"/>
      <c r="DB443" s="1065"/>
    </row>
    <row r="444" spans="1:106" ht="15" customHeight="1" thickBot="1">
      <c r="A444" s="1065"/>
      <c r="B444" s="1065"/>
      <c r="C444" s="1094"/>
      <c r="D444" s="1746"/>
      <c r="E444" s="1746"/>
      <c r="F444" s="1746"/>
      <c r="G444" s="1746"/>
      <c r="H444" s="1678"/>
      <c r="I444" s="1678"/>
      <c r="J444" s="1756"/>
      <c r="K444" s="1756"/>
      <c r="L444" s="1756"/>
      <c r="M444" s="1756"/>
      <c r="N444" s="1756"/>
      <c r="O444" s="1756"/>
      <c r="P444" s="1756"/>
      <c r="Q444" s="1756"/>
      <c r="R444" s="1756"/>
      <c r="S444" s="1074"/>
      <c r="T444" s="1738"/>
      <c r="U444" s="1804"/>
      <c r="V444" s="1065"/>
      <c r="W444" s="1065"/>
      <c r="X444" s="1065"/>
      <c r="Y444" s="1065"/>
      <c r="Z444" s="1065"/>
      <c r="AA444" s="1065"/>
      <c r="AB444" s="1065"/>
      <c r="AC444" s="1065"/>
      <c r="AD444" s="1065"/>
      <c r="AE444" s="1065"/>
      <c r="AF444" s="1065"/>
      <c r="AG444" s="1065"/>
      <c r="AH444" s="1065"/>
      <c r="AI444" s="1065"/>
      <c r="AJ444" s="1065"/>
      <c r="AK444" s="1065"/>
      <c r="AL444" s="1065"/>
      <c r="AM444" s="1065"/>
      <c r="AN444" s="1065"/>
      <c r="AO444" s="1065"/>
      <c r="AP444" s="1065"/>
      <c r="AQ444" s="1065"/>
      <c r="AR444" s="1065"/>
      <c r="AS444" s="1065"/>
      <c r="AT444" s="1065"/>
      <c r="AU444" s="1065"/>
      <c r="AV444" s="1065"/>
      <c r="AW444" s="1065"/>
      <c r="AX444" s="1065"/>
      <c r="AY444" s="1065"/>
      <c r="AZ444" s="1065"/>
      <c r="BA444" s="1065"/>
      <c r="BB444" s="1065"/>
      <c r="BC444" s="1065"/>
      <c r="BD444" s="1065"/>
      <c r="BE444" s="1065"/>
      <c r="BF444" s="1065"/>
      <c r="BG444" s="1065"/>
      <c r="BH444" s="1065"/>
      <c r="BI444" s="1065"/>
      <c r="BJ444" s="1065"/>
      <c r="BK444" s="1065"/>
      <c r="BL444" s="1065"/>
      <c r="BM444" s="1065"/>
      <c r="BN444" s="1065"/>
      <c r="BO444" s="1065"/>
      <c r="BP444" s="1065"/>
      <c r="BQ444" s="1065"/>
      <c r="BR444" s="1065"/>
      <c r="BS444" s="1065"/>
      <c r="BT444" s="1065"/>
      <c r="BU444" s="1065"/>
      <c r="BV444" s="1065"/>
      <c r="BW444" s="1065"/>
      <c r="BX444" s="1065"/>
      <c r="BY444" s="1065"/>
      <c r="BZ444" s="1065"/>
      <c r="CA444" s="1065"/>
      <c r="CB444" s="1065"/>
      <c r="CC444" s="1065"/>
      <c r="CD444" s="1065"/>
      <c r="CE444" s="1065"/>
      <c r="CF444" s="1065"/>
      <c r="CG444" s="1065"/>
      <c r="CH444" s="1065"/>
      <c r="CI444" s="1065"/>
      <c r="CJ444" s="1065"/>
      <c r="CK444" s="1065"/>
      <c r="CL444" s="1065"/>
      <c r="CM444" s="1065"/>
      <c r="CN444" s="1065"/>
      <c r="CO444" s="1065"/>
      <c r="CP444" s="1065"/>
      <c r="CQ444" s="1065"/>
      <c r="CR444" s="1065"/>
      <c r="CS444" s="1065"/>
      <c r="CT444" s="1065"/>
      <c r="CU444" s="1065"/>
      <c r="CV444" s="1065"/>
      <c r="CW444" s="1065"/>
      <c r="CX444" s="1065"/>
      <c r="CY444" s="1065"/>
      <c r="CZ444" s="1065"/>
      <c r="DA444" s="1065"/>
      <c r="DB444" s="1065"/>
    </row>
    <row r="445" spans="1:106" ht="15" customHeight="1" thickBot="1">
      <c r="A445" s="1065"/>
      <c r="B445" s="1065"/>
      <c r="C445" s="1185"/>
      <c r="D445" s="1746"/>
      <c r="E445" s="1746"/>
      <c r="F445" s="1746"/>
      <c r="G445" s="1746"/>
      <c r="H445" s="1678"/>
      <c r="I445" s="1678"/>
      <c r="J445" s="1747"/>
      <c r="K445" s="1747"/>
      <c r="L445" s="1747"/>
      <c r="M445" s="1756"/>
      <c r="N445" s="1756"/>
      <c r="O445" s="1756"/>
      <c r="P445" s="1756"/>
      <c r="Q445" s="1756"/>
      <c r="R445" s="1756"/>
      <c r="S445" s="1097"/>
      <c r="T445" s="1738"/>
      <c r="U445" s="1804"/>
      <c r="V445" s="1065"/>
      <c r="W445" s="1065"/>
      <c r="X445" s="1065"/>
      <c r="Y445" s="1065"/>
      <c r="Z445" s="1065"/>
      <c r="AA445" s="1065"/>
      <c r="AB445" s="1065"/>
      <c r="AC445" s="1065"/>
      <c r="AD445" s="1065"/>
      <c r="AE445" s="1065"/>
      <c r="AF445" s="1065"/>
      <c r="AG445" s="1065"/>
      <c r="AH445" s="1065"/>
      <c r="AI445" s="1065"/>
      <c r="AJ445" s="1065"/>
      <c r="AK445" s="1065"/>
      <c r="AL445" s="1065"/>
      <c r="AM445" s="1065"/>
      <c r="AN445" s="1065"/>
      <c r="AO445" s="1065"/>
      <c r="AP445" s="1065"/>
      <c r="AQ445" s="1065"/>
      <c r="AR445" s="1065"/>
      <c r="AS445" s="1065"/>
      <c r="AT445" s="1065"/>
      <c r="AU445" s="1065"/>
      <c r="AV445" s="1065"/>
      <c r="AW445" s="1065"/>
      <c r="AX445" s="1065"/>
      <c r="AY445" s="1065"/>
      <c r="AZ445" s="1065"/>
      <c r="BA445" s="1065"/>
      <c r="BB445" s="1065"/>
      <c r="BC445" s="1065"/>
      <c r="BD445" s="1065"/>
      <c r="BE445" s="1065"/>
      <c r="BF445" s="1065"/>
      <c r="BG445" s="1065"/>
      <c r="BH445" s="1065"/>
      <c r="BI445" s="1065"/>
      <c r="BJ445" s="1065"/>
      <c r="BK445" s="1065"/>
      <c r="BL445" s="1065"/>
      <c r="BM445" s="1065"/>
      <c r="BN445" s="1065"/>
      <c r="BO445" s="1065"/>
      <c r="BP445" s="1065"/>
      <c r="BQ445" s="1065"/>
      <c r="BR445" s="1065"/>
      <c r="BS445" s="1065"/>
      <c r="BT445" s="1065"/>
      <c r="BU445" s="1065"/>
      <c r="BV445" s="1065"/>
      <c r="BW445" s="1065"/>
      <c r="BX445" s="1065"/>
      <c r="BY445" s="1065"/>
      <c r="BZ445" s="1065"/>
      <c r="CA445" s="1065"/>
      <c r="CB445" s="1065"/>
      <c r="CC445" s="1065"/>
      <c r="CD445" s="1065"/>
      <c r="CE445" s="1065"/>
      <c r="CF445" s="1065"/>
      <c r="CG445" s="1065"/>
      <c r="CH445" s="1065"/>
      <c r="CI445" s="1065"/>
      <c r="CJ445" s="1065"/>
      <c r="CK445" s="1065"/>
      <c r="CL445" s="1065"/>
      <c r="CM445" s="1065"/>
      <c r="CN445" s="1065"/>
      <c r="CO445" s="1065"/>
      <c r="CP445" s="1065"/>
      <c r="CQ445" s="1065"/>
      <c r="CR445" s="1065"/>
      <c r="CS445" s="1065"/>
      <c r="CT445" s="1065"/>
      <c r="CU445" s="1065"/>
      <c r="CV445" s="1065"/>
      <c r="CW445" s="1065"/>
      <c r="CX445" s="1065"/>
      <c r="CY445" s="1065"/>
      <c r="CZ445" s="1065"/>
      <c r="DA445" s="1065"/>
      <c r="DB445" s="1065"/>
    </row>
    <row r="446" spans="1:106" ht="15" customHeight="1" thickBot="1">
      <c r="A446" s="1065"/>
      <c r="B446" s="1065"/>
      <c r="C446" s="1185"/>
      <c r="D446" s="1746"/>
      <c r="E446" s="1746"/>
      <c r="F446" s="1746"/>
      <c r="G446" s="1746"/>
      <c r="H446" s="1678"/>
      <c r="I446" s="1678"/>
      <c r="J446" s="1747"/>
      <c r="K446" s="1747"/>
      <c r="L446" s="1747"/>
      <c r="M446" s="1756"/>
      <c r="N446" s="1756"/>
      <c r="O446" s="1756"/>
      <c r="P446" s="1756"/>
      <c r="Q446" s="1756"/>
      <c r="R446" s="1756"/>
      <c r="S446" s="1097"/>
      <c r="T446" s="1738"/>
      <c r="U446" s="1804"/>
      <c r="V446" s="1065"/>
      <c r="W446" s="1065"/>
      <c r="X446" s="1065"/>
      <c r="Y446" s="1065"/>
      <c r="Z446" s="1065"/>
      <c r="AA446" s="1065"/>
      <c r="AB446" s="1065"/>
      <c r="AC446" s="1065"/>
      <c r="AD446" s="1065"/>
      <c r="AE446" s="1065"/>
      <c r="AF446" s="1065"/>
      <c r="AG446" s="1065"/>
      <c r="AH446" s="1065"/>
      <c r="AI446" s="1065"/>
      <c r="AJ446" s="1065"/>
      <c r="AK446" s="1065"/>
      <c r="AL446" s="1065"/>
      <c r="AM446" s="1065"/>
      <c r="AN446" s="1065"/>
      <c r="AO446" s="1065"/>
      <c r="AP446" s="1065"/>
      <c r="AQ446" s="1065"/>
      <c r="AR446" s="1065"/>
      <c r="AS446" s="1065"/>
      <c r="AT446" s="1065"/>
      <c r="AU446" s="1065"/>
      <c r="AV446" s="1065"/>
      <c r="AW446" s="1065"/>
      <c r="AX446" s="1065"/>
      <c r="AY446" s="1065"/>
      <c r="AZ446" s="1065"/>
      <c r="BA446" s="1065"/>
      <c r="BB446" s="1065"/>
      <c r="BC446" s="1065"/>
      <c r="BD446" s="1065"/>
      <c r="BE446" s="1065"/>
      <c r="BF446" s="1065"/>
      <c r="BG446" s="1065"/>
      <c r="BH446" s="1065"/>
      <c r="BI446" s="1065"/>
      <c r="BJ446" s="1065"/>
      <c r="BK446" s="1065"/>
      <c r="BL446" s="1065"/>
      <c r="BM446" s="1065"/>
      <c r="BN446" s="1065"/>
      <c r="BO446" s="1065"/>
      <c r="BP446" s="1065"/>
      <c r="BQ446" s="1065"/>
      <c r="BR446" s="1065"/>
      <c r="BS446" s="1065"/>
      <c r="BT446" s="1065"/>
      <c r="BU446" s="1065"/>
      <c r="BV446" s="1065"/>
      <c r="BW446" s="1065"/>
      <c r="BX446" s="1065"/>
      <c r="BY446" s="1065"/>
      <c r="BZ446" s="1065"/>
      <c r="CA446" s="1065"/>
      <c r="CB446" s="1065"/>
      <c r="CC446" s="1065"/>
      <c r="CD446" s="1065"/>
      <c r="CE446" s="1065"/>
      <c r="CF446" s="1065"/>
      <c r="CG446" s="1065"/>
      <c r="CH446" s="1065"/>
      <c r="CI446" s="1065"/>
      <c r="CJ446" s="1065"/>
      <c r="CK446" s="1065"/>
      <c r="CL446" s="1065"/>
      <c r="CM446" s="1065"/>
      <c r="CN446" s="1065"/>
      <c r="CO446" s="1065"/>
      <c r="CP446" s="1065"/>
      <c r="CQ446" s="1065"/>
      <c r="CR446" s="1065"/>
      <c r="CS446" s="1065"/>
      <c r="CT446" s="1065"/>
      <c r="CU446" s="1065"/>
      <c r="CV446" s="1065"/>
      <c r="CW446" s="1065"/>
      <c r="CX446" s="1065"/>
      <c r="CY446" s="1065"/>
      <c r="CZ446" s="1065"/>
      <c r="DA446" s="1065"/>
      <c r="DB446" s="1065"/>
    </row>
    <row r="447" spans="1:106" ht="15" customHeight="1" thickBot="1">
      <c r="A447" s="1065"/>
      <c r="B447" s="1065"/>
      <c r="C447" s="1185"/>
      <c r="D447" s="1746"/>
      <c r="E447" s="1746"/>
      <c r="F447" s="1746"/>
      <c r="G447" s="1746"/>
      <c r="H447" s="1678"/>
      <c r="I447" s="1678"/>
      <c r="J447" s="1747"/>
      <c r="K447" s="1747"/>
      <c r="L447" s="1747"/>
      <c r="M447" s="1756"/>
      <c r="N447" s="1756"/>
      <c r="O447" s="1756"/>
      <c r="P447" s="1756"/>
      <c r="Q447" s="1756"/>
      <c r="R447" s="1756"/>
      <c r="S447" s="1097"/>
      <c r="T447" s="1738"/>
      <c r="U447" s="1804"/>
      <c r="V447" s="1065"/>
      <c r="W447" s="1065"/>
      <c r="X447" s="1065"/>
      <c r="Y447" s="1065"/>
      <c r="Z447" s="1065"/>
      <c r="AA447" s="1065"/>
      <c r="AB447" s="1065"/>
      <c r="AC447" s="1065"/>
      <c r="AD447" s="1065"/>
      <c r="AE447" s="1065"/>
      <c r="AF447" s="1065"/>
      <c r="AG447" s="1065"/>
      <c r="AH447" s="1065"/>
      <c r="AI447" s="1065"/>
      <c r="AJ447" s="1065"/>
      <c r="AK447" s="1065"/>
      <c r="AL447" s="1065"/>
      <c r="AM447" s="1065"/>
      <c r="AN447" s="1065"/>
      <c r="AO447" s="1065"/>
      <c r="AP447" s="1065"/>
      <c r="AQ447" s="1065"/>
      <c r="AR447" s="1065"/>
      <c r="AS447" s="1065"/>
      <c r="AT447" s="1065"/>
      <c r="AU447" s="1065"/>
      <c r="AV447" s="1065"/>
      <c r="AW447" s="1065"/>
      <c r="AX447" s="1065"/>
      <c r="AY447" s="1065"/>
      <c r="AZ447" s="1065"/>
      <c r="BA447" s="1065"/>
      <c r="BB447" s="1065"/>
      <c r="BC447" s="1065"/>
      <c r="BD447" s="1065"/>
      <c r="BE447" s="1065"/>
      <c r="BF447" s="1065"/>
      <c r="BG447" s="1065"/>
      <c r="BH447" s="1065"/>
      <c r="BI447" s="1065"/>
      <c r="BJ447" s="1065"/>
      <c r="BK447" s="1065"/>
      <c r="BL447" s="1065"/>
      <c r="BM447" s="1065"/>
      <c r="BN447" s="1065"/>
      <c r="BO447" s="1065"/>
      <c r="BP447" s="1065"/>
      <c r="BQ447" s="1065"/>
      <c r="BR447" s="1065"/>
      <c r="BS447" s="1065"/>
      <c r="BT447" s="1065"/>
      <c r="BU447" s="1065"/>
      <c r="BV447" s="1065"/>
      <c r="BW447" s="1065"/>
      <c r="BX447" s="1065"/>
      <c r="BY447" s="1065"/>
      <c r="BZ447" s="1065"/>
      <c r="CA447" s="1065"/>
      <c r="CB447" s="1065"/>
      <c r="CC447" s="1065"/>
      <c r="CD447" s="1065"/>
      <c r="CE447" s="1065"/>
      <c r="CF447" s="1065"/>
      <c r="CG447" s="1065"/>
      <c r="CH447" s="1065"/>
      <c r="CI447" s="1065"/>
      <c r="CJ447" s="1065"/>
      <c r="CK447" s="1065"/>
      <c r="CL447" s="1065"/>
      <c r="CM447" s="1065"/>
      <c r="CN447" s="1065"/>
      <c r="CO447" s="1065"/>
      <c r="CP447" s="1065"/>
      <c r="CQ447" s="1065"/>
      <c r="CR447" s="1065"/>
      <c r="CS447" s="1065"/>
      <c r="CT447" s="1065"/>
      <c r="CU447" s="1065"/>
      <c r="CV447" s="1065"/>
      <c r="CW447" s="1065"/>
      <c r="CX447" s="1065"/>
      <c r="CY447" s="1065"/>
      <c r="CZ447" s="1065"/>
      <c r="DA447" s="1065"/>
      <c r="DB447" s="1065"/>
    </row>
    <row r="448" spans="1:106" ht="15" customHeight="1" thickBot="1">
      <c r="A448" s="1065"/>
      <c r="B448" s="1065"/>
      <c r="C448" s="1185"/>
      <c r="D448" s="1746"/>
      <c r="E448" s="1746"/>
      <c r="F448" s="1746"/>
      <c r="G448" s="1746"/>
      <c r="H448" s="1678"/>
      <c r="I448" s="1678"/>
      <c r="J448" s="1747"/>
      <c r="K448" s="1747"/>
      <c r="L448" s="1747"/>
      <c r="M448" s="1756"/>
      <c r="N448" s="1756"/>
      <c r="O448" s="1756"/>
      <c r="P448" s="1756"/>
      <c r="Q448" s="1756"/>
      <c r="R448" s="1756"/>
      <c r="S448" s="1097"/>
      <c r="T448" s="1738"/>
      <c r="U448" s="1804"/>
      <c r="V448" s="1065"/>
      <c r="W448" s="1065"/>
      <c r="X448" s="1065"/>
      <c r="Y448" s="1065"/>
      <c r="Z448" s="1065"/>
      <c r="AA448" s="1065"/>
      <c r="AB448" s="1065"/>
      <c r="AC448" s="1065"/>
      <c r="AD448" s="1065"/>
      <c r="AE448" s="1065"/>
      <c r="AF448" s="1065"/>
      <c r="AG448" s="1065"/>
      <c r="AH448" s="1065"/>
      <c r="AI448" s="1065"/>
      <c r="AJ448" s="1065"/>
      <c r="AK448" s="1065"/>
      <c r="AL448" s="1065"/>
      <c r="AM448" s="1065"/>
      <c r="AN448" s="1065"/>
      <c r="AO448" s="1065"/>
      <c r="AP448" s="1065"/>
      <c r="AQ448" s="1065"/>
      <c r="AR448" s="1065"/>
      <c r="AS448" s="1065"/>
      <c r="AT448" s="1065"/>
      <c r="AU448" s="1065"/>
      <c r="AV448" s="1065"/>
      <c r="AW448" s="1065"/>
      <c r="AX448" s="1065"/>
      <c r="AY448" s="1065"/>
      <c r="AZ448" s="1065"/>
      <c r="BA448" s="1065"/>
      <c r="BB448" s="1065"/>
      <c r="BC448" s="1065"/>
      <c r="BD448" s="1065"/>
      <c r="BE448" s="1065"/>
      <c r="BF448" s="1065"/>
      <c r="BG448" s="1065"/>
      <c r="BH448" s="1065"/>
      <c r="BI448" s="1065"/>
      <c r="BJ448" s="1065"/>
      <c r="BK448" s="1065"/>
      <c r="BL448" s="1065"/>
      <c r="BM448" s="1065"/>
      <c r="BN448" s="1065"/>
      <c r="BO448" s="1065"/>
      <c r="BP448" s="1065"/>
      <c r="BQ448" s="1065"/>
      <c r="BR448" s="1065"/>
      <c r="BS448" s="1065"/>
      <c r="BT448" s="1065"/>
      <c r="BU448" s="1065"/>
      <c r="BV448" s="1065"/>
      <c r="BW448" s="1065"/>
      <c r="BX448" s="1065"/>
      <c r="BY448" s="1065"/>
      <c r="BZ448" s="1065"/>
      <c r="CA448" s="1065"/>
      <c r="CB448" s="1065"/>
      <c r="CC448" s="1065"/>
      <c r="CD448" s="1065"/>
      <c r="CE448" s="1065"/>
      <c r="CF448" s="1065"/>
      <c r="CG448" s="1065"/>
      <c r="CH448" s="1065"/>
      <c r="CI448" s="1065"/>
      <c r="CJ448" s="1065"/>
      <c r="CK448" s="1065"/>
      <c r="CL448" s="1065"/>
      <c r="CM448" s="1065"/>
      <c r="CN448" s="1065"/>
      <c r="CO448" s="1065"/>
      <c r="CP448" s="1065"/>
      <c r="CQ448" s="1065"/>
      <c r="CR448" s="1065"/>
      <c r="CS448" s="1065"/>
      <c r="CT448" s="1065"/>
      <c r="CU448" s="1065"/>
      <c r="CV448" s="1065"/>
      <c r="CW448" s="1065"/>
      <c r="CX448" s="1065"/>
      <c r="CY448" s="1065"/>
      <c r="CZ448" s="1065"/>
      <c r="DA448" s="1065"/>
      <c r="DB448" s="1065"/>
    </row>
    <row r="449" spans="1:106" ht="15" customHeight="1" thickBot="1">
      <c r="A449" s="1065"/>
      <c r="B449" s="1065"/>
      <c r="C449" s="1185"/>
      <c r="D449" s="1746"/>
      <c r="E449" s="1746"/>
      <c r="F449" s="1746"/>
      <c r="G449" s="1746"/>
      <c r="H449" s="1678"/>
      <c r="I449" s="1678"/>
      <c r="J449" s="1747"/>
      <c r="K449" s="1747"/>
      <c r="L449" s="1747"/>
      <c r="M449" s="1756"/>
      <c r="N449" s="1756"/>
      <c r="O449" s="1756"/>
      <c r="P449" s="1756"/>
      <c r="Q449" s="1756"/>
      <c r="R449" s="1756"/>
      <c r="S449" s="1097"/>
      <c r="T449" s="1738"/>
      <c r="U449" s="1804"/>
      <c r="V449" s="1065"/>
      <c r="W449" s="1065"/>
      <c r="X449" s="1065"/>
      <c r="Y449" s="1065"/>
      <c r="Z449" s="1065"/>
      <c r="AA449" s="1065"/>
      <c r="AB449" s="1065"/>
      <c r="AC449" s="1065"/>
      <c r="AD449" s="1065"/>
      <c r="AE449" s="1065"/>
      <c r="AF449" s="1065"/>
      <c r="AG449" s="1065"/>
      <c r="AH449" s="1065"/>
      <c r="AI449" s="1065"/>
      <c r="AJ449" s="1065"/>
      <c r="AK449" s="1065"/>
      <c r="AL449" s="1065"/>
      <c r="AM449" s="1065"/>
      <c r="AN449" s="1065"/>
      <c r="AO449" s="1065"/>
      <c r="AP449" s="1065"/>
      <c r="AQ449" s="1065"/>
      <c r="AR449" s="1065"/>
      <c r="AS449" s="1065"/>
      <c r="AT449" s="1065"/>
      <c r="AU449" s="1065"/>
      <c r="AV449" s="1065"/>
      <c r="AW449" s="1065"/>
      <c r="AX449" s="1065"/>
      <c r="AY449" s="1065"/>
      <c r="AZ449" s="1065"/>
      <c r="BA449" s="1065"/>
      <c r="BB449" s="1065"/>
      <c r="BC449" s="1065"/>
      <c r="BD449" s="1065"/>
      <c r="BE449" s="1065"/>
      <c r="BF449" s="1065"/>
      <c r="BG449" s="1065"/>
      <c r="BH449" s="1065"/>
      <c r="BI449" s="1065"/>
      <c r="BJ449" s="1065"/>
      <c r="BK449" s="1065"/>
      <c r="BL449" s="1065"/>
      <c r="BM449" s="1065"/>
      <c r="BN449" s="1065"/>
      <c r="BO449" s="1065"/>
      <c r="BP449" s="1065"/>
      <c r="BQ449" s="1065"/>
      <c r="BR449" s="1065"/>
      <c r="BS449" s="1065"/>
      <c r="BT449" s="1065"/>
      <c r="BU449" s="1065"/>
      <c r="BV449" s="1065"/>
      <c r="BW449" s="1065"/>
      <c r="BX449" s="1065"/>
      <c r="BY449" s="1065"/>
      <c r="BZ449" s="1065"/>
      <c r="CA449" s="1065"/>
      <c r="CB449" s="1065"/>
      <c r="CC449" s="1065"/>
      <c r="CD449" s="1065"/>
      <c r="CE449" s="1065"/>
      <c r="CF449" s="1065"/>
      <c r="CG449" s="1065"/>
      <c r="CH449" s="1065"/>
      <c r="CI449" s="1065"/>
      <c r="CJ449" s="1065"/>
      <c r="CK449" s="1065"/>
      <c r="CL449" s="1065"/>
      <c r="CM449" s="1065"/>
      <c r="CN449" s="1065"/>
      <c r="CO449" s="1065"/>
      <c r="CP449" s="1065"/>
      <c r="CQ449" s="1065"/>
      <c r="CR449" s="1065"/>
      <c r="CS449" s="1065"/>
      <c r="CT449" s="1065"/>
      <c r="CU449" s="1065"/>
      <c r="CV449" s="1065"/>
      <c r="CW449" s="1065"/>
      <c r="CX449" s="1065"/>
      <c r="CY449" s="1065"/>
      <c r="CZ449" s="1065"/>
      <c r="DA449" s="1065"/>
      <c r="DB449" s="1065"/>
    </row>
    <row r="450" spans="1:106" ht="15" customHeight="1" thickBot="1">
      <c r="A450" s="1065"/>
      <c r="B450" s="1065"/>
      <c r="C450" s="1185"/>
      <c r="D450" s="1746"/>
      <c r="E450" s="1746"/>
      <c r="F450" s="1746"/>
      <c r="G450" s="1746"/>
      <c r="H450" s="1678"/>
      <c r="I450" s="1678"/>
      <c r="J450" s="1747"/>
      <c r="K450" s="1747"/>
      <c r="L450" s="1747"/>
      <c r="M450" s="1756"/>
      <c r="N450" s="1756"/>
      <c r="O450" s="1756"/>
      <c r="P450" s="1756"/>
      <c r="Q450" s="1756"/>
      <c r="R450" s="1756"/>
      <c r="S450" s="1097"/>
      <c r="T450" s="1738"/>
      <c r="U450" s="1804"/>
      <c r="V450" s="1065"/>
      <c r="W450" s="1065"/>
      <c r="X450" s="1065"/>
      <c r="Y450" s="1065"/>
      <c r="Z450" s="1065"/>
      <c r="AA450" s="1065"/>
      <c r="AB450" s="1065"/>
      <c r="AC450" s="1065"/>
      <c r="AD450" s="1065"/>
      <c r="AE450" s="1065"/>
      <c r="AF450" s="1065"/>
      <c r="AG450" s="1065"/>
      <c r="AH450" s="1065"/>
      <c r="AI450" s="1065"/>
      <c r="AJ450" s="1065"/>
      <c r="AK450" s="1065"/>
      <c r="AL450" s="1065"/>
      <c r="AM450" s="1065"/>
      <c r="AN450" s="1065"/>
      <c r="AO450" s="1065"/>
      <c r="AP450" s="1065"/>
      <c r="AQ450" s="1065"/>
      <c r="AR450" s="1065"/>
      <c r="AS450" s="1065"/>
      <c r="AT450" s="1065"/>
      <c r="AU450" s="1065"/>
      <c r="AV450" s="1065"/>
      <c r="AW450" s="1065"/>
      <c r="AX450" s="1065"/>
      <c r="AY450" s="1065"/>
      <c r="AZ450" s="1065"/>
      <c r="BA450" s="1065"/>
      <c r="BB450" s="1065"/>
      <c r="BC450" s="1065"/>
      <c r="BD450" s="1065"/>
      <c r="BE450" s="1065"/>
      <c r="BF450" s="1065"/>
      <c r="BG450" s="1065"/>
      <c r="BH450" s="1065"/>
      <c r="BI450" s="1065"/>
      <c r="BJ450" s="1065"/>
      <c r="BK450" s="1065"/>
      <c r="BL450" s="1065"/>
      <c r="BM450" s="1065"/>
      <c r="BN450" s="1065"/>
      <c r="BO450" s="1065"/>
      <c r="BP450" s="1065"/>
      <c r="BQ450" s="1065"/>
      <c r="BR450" s="1065"/>
      <c r="BS450" s="1065"/>
      <c r="BT450" s="1065"/>
      <c r="BU450" s="1065"/>
      <c r="BV450" s="1065"/>
      <c r="BW450" s="1065"/>
      <c r="BX450" s="1065"/>
      <c r="BY450" s="1065"/>
      <c r="BZ450" s="1065"/>
      <c r="CA450" s="1065"/>
      <c r="CB450" s="1065"/>
      <c r="CC450" s="1065"/>
      <c r="CD450" s="1065"/>
      <c r="CE450" s="1065"/>
      <c r="CF450" s="1065"/>
      <c r="CG450" s="1065"/>
      <c r="CH450" s="1065"/>
      <c r="CI450" s="1065"/>
      <c r="CJ450" s="1065"/>
      <c r="CK450" s="1065"/>
      <c r="CL450" s="1065"/>
      <c r="CM450" s="1065"/>
      <c r="CN450" s="1065"/>
      <c r="CO450" s="1065"/>
      <c r="CP450" s="1065"/>
      <c r="CQ450" s="1065"/>
      <c r="CR450" s="1065"/>
      <c r="CS450" s="1065"/>
      <c r="CT450" s="1065"/>
      <c r="CU450" s="1065"/>
      <c r="CV450" s="1065"/>
      <c r="CW450" s="1065"/>
      <c r="CX450" s="1065"/>
      <c r="CY450" s="1065"/>
      <c r="CZ450" s="1065"/>
      <c r="DA450" s="1065"/>
      <c r="DB450" s="1065"/>
    </row>
    <row r="451" spans="1:106" ht="15" customHeight="1" thickBot="1">
      <c r="A451" s="1065"/>
      <c r="B451" s="1065"/>
      <c r="C451" s="1185"/>
      <c r="D451" s="1746"/>
      <c r="E451" s="1746"/>
      <c r="F451" s="1746"/>
      <c r="G451" s="1746"/>
      <c r="H451" s="1678"/>
      <c r="I451" s="1678"/>
      <c r="J451" s="1747"/>
      <c r="K451" s="1747"/>
      <c r="L451" s="1747"/>
      <c r="M451" s="1756"/>
      <c r="N451" s="1756"/>
      <c r="O451" s="1756"/>
      <c r="P451" s="1756"/>
      <c r="Q451" s="1756"/>
      <c r="R451" s="1756"/>
      <c r="S451" s="1097"/>
      <c r="T451" s="1738"/>
      <c r="U451" s="1804"/>
      <c r="V451" s="1065"/>
      <c r="W451" s="1065"/>
      <c r="X451" s="1065"/>
      <c r="Y451" s="1065"/>
      <c r="Z451" s="1065"/>
      <c r="AA451" s="1065"/>
      <c r="AB451" s="1065"/>
      <c r="AC451" s="1065"/>
      <c r="AD451" s="1065"/>
      <c r="AE451" s="1065"/>
      <c r="AF451" s="1065"/>
      <c r="AG451" s="1065"/>
      <c r="AH451" s="1065"/>
      <c r="AI451" s="1065"/>
      <c r="AJ451" s="1065"/>
      <c r="AK451" s="1065"/>
      <c r="AL451" s="1065"/>
      <c r="AM451" s="1065"/>
      <c r="AN451" s="1065"/>
      <c r="AO451" s="1065"/>
      <c r="AP451" s="1065"/>
      <c r="AQ451" s="1065"/>
      <c r="AR451" s="1065"/>
      <c r="AS451" s="1065"/>
      <c r="AT451" s="1065"/>
      <c r="AU451" s="1065"/>
      <c r="AV451" s="1065"/>
      <c r="AW451" s="1065"/>
      <c r="AX451" s="1065"/>
      <c r="AY451" s="1065"/>
      <c r="AZ451" s="1065"/>
      <c r="BA451" s="1065"/>
      <c r="BB451" s="1065"/>
      <c r="BC451" s="1065"/>
      <c r="BD451" s="1065"/>
      <c r="BE451" s="1065"/>
      <c r="BF451" s="1065"/>
      <c r="BG451" s="1065"/>
      <c r="BH451" s="1065"/>
      <c r="BI451" s="1065"/>
      <c r="BJ451" s="1065"/>
      <c r="BK451" s="1065"/>
      <c r="BL451" s="1065"/>
      <c r="BM451" s="1065"/>
      <c r="BN451" s="1065"/>
      <c r="BO451" s="1065"/>
      <c r="BP451" s="1065"/>
      <c r="BQ451" s="1065"/>
      <c r="BR451" s="1065"/>
      <c r="BS451" s="1065"/>
      <c r="BT451" s="1065"/>
      <c r="BU451" s="1065"/>
      <c r="BV451" s="1065"/>
      <c r="BW451" s="1065"/>
      <c r="BX451" s="1065"/>
      <c r="BY451" s="1065"/>
      <c r="BZ451" s="1065"/>
      <c r="CA451" s="1065"/>
      <c r="CB451" s="1065"/>
      <c r="CC451" s="1065"/>
      <c r="CD451" s="1065"/>
      <c r="CE451" s="1065"/>
      <c r="CF451" s="1065"/>
      <c r="CG451" s="1065"/>
      <c r="CH451" s="1065"/>
      <c r="CI451" s="1065"/>
      <c r="CJ451" s="1065"/>
      <c r="CK451" s="1065"/>
      <c r="CL451" s="1065"/>
      <c r="CM451" s="1065"/>
      <c r="CN451" s="1065"/>
      <c r="CO451" s="1065"/>
      <c r="CP451" s="1065"/>
      <c r="CQ451" s="1065"/>
      <c r="CR451" s="1065"/>
      <c r="CS451" s="1065"/>
      <c r="CT451" s="1065"/>
      <c r="CU451" s="1065"/>
      <c r="CV451" s="1065"/>
      <c r="CW451" s="1065"/>
      <c r="CX451" s="1065"/>
      <c r="CY451" s="1065"/>
      <c r="CZ451" s="1065"/>
      <c r="DA451" s="1065"/>
      <c r="DB451" s="1065"/>
    </row>
    <row r="452" spans="1:106" ht="15" customHeight="1" thickBot="1">
      <c r="A452" s="1065"/>
      <c r="B452" s="1065"/>
      <c r="C452" s="1185"/>
      <c r="D452" s="1746"/>
      <c r="E452" s="1746"/>
      <c r="F452" s="1746"/>
      <c r="G452" s="1746"/>
      <c r="H452" s="1678"/>
      <c r="I452" s="1678"/>
      <c r="J452" s="1747"/>
      <c r="K452" s="1747"/>
      <c r="L452" s="1747"/>
      <c r="M452" s="1756"/>
      <c r="N452" s="1756"/>
      <c r="O452" s="1756"/>
      <c r="P452" s="1756"/>
      <c r="Q452" s="1756"/>
      <c r="R452" s="1756"/>
      <c r="S452" s="1097"/>
      <c r="T452" s="1738"/>
      <c r="U452" s="1804"/>
      <c r="V452" s="1065"/>
      <c r="W452" s="1065"/>
      <c r="X452" s="1065"/>
      <c r="Y452" s="1065"/>
      <c r="Z452" s="1065"/>
      <c r="AA452" s="1065"/>
      <c r="AB452" s="1065"/>
      <c r="AC452" s="1065"/>
      <c r="AD452" s="1065"/>
      <c r="AE452" s="1065"/>
      <c r="AF452" s="1065"/>
      <c r="AG452" s="1065"/>
      <c r="AH452" s="1065"/>
      <c r="AI452" s="1065"/>
      <c r="AJ452" s="1065"/>
      <c r="AK452" s="1065"/>
      <c r="AL452" s="1065"/>
      <c r="AM452" s="1065"/>
      <c r="AN452" s="1065"/>
      <c r="AO452" s="1065"/>
      <c r="AP452" s="1065"/>
      <c r="AQ452" s="1065"/>
      <c r="AR452" s="1065"/>
      <c r="AS452" s="1065"/>
      <c r="AT452" s="1065"/>
      <c r="AU452" s="1065"/>
      <c r="AV452" s="1065"/>
      <c r="AW452" s="1065"/>
      <c r="AX452" s="1065"/>
      <c r="AY452" s="1065"/>
      <c r="AZ452" s="1065"/>
      <c r="BA452" s="1065"/>
      <c r="BB452" s="1065"/>
      <c r="BC452" s="1065"/>
      <c r="BD452" s="1065"/>
      <c r="BE452" s="1065"/>
      <c r="BF452" s="1065"/>
      <c r="BG452" s="1065"/>
      <c r="BH452" s="1065"/>
      <c r="BI452" s="1065"/>
      <c r="BJ452" s="1065"/>
      <c r="BK452" s="1065"/>
      <c r="BL452" s="1065"/>
      <c r="BM452" s="1065"/>
      <c r="BN452" s="1065"/>
      <c r="BO452" s="1065"/>
      <c r="BP452" s="1065"/>
      <c r="BQ452" s="1065"/>
      <c r="BR452" s="1065"/>
      <c r="BS452" s="1065"/>
      <c r="BT452" s="1065"/>
      <c r="BU452" s="1065"/>
      <c r="BV452" s="1065"/>
      <c r="BW452" s="1065"/>
      <c r="BX452" s="1065"/>
      <c r="BY452" s="1065"/>
      <c r="BZ452" s="1065"/>
      <c r="CA452" s="1065"/>
      <c r="CB452" s="1065"/>
      <c r="CC452" s="1065"/>
      <c r="CD452" s="1065"/>
      <c r="CE452" s="1065"/>
      <c r="CF452" s="1065"/>
      <c r="CG452" s="1065"/>
      <c r="CH452" s="1065"/>
      <c r="CI452" s="1065"/>
      <c r="CJ452" s="1065"/>
      <c r="CK452" s="1065"/>
      <c r="CL452" s="1065"/>
      <c r="CM452" s="1065"/>
      <c r="CN452" s="1065"/>
      <c r="CO452" s="1065"/>
      <c r="CP452" s="1065"/>
      <c r="CQ452" s="1065"/>
      <c r="CR452" s="1065"/>
      <c r="CS452" s="1065"/>
      <c r="CT452" s="1065"/>
      <c r="CU452" s="1065"/>
      <c r="CV452" s="1065"/>
      <c r="CW452" s="1065"/>
      <c r="CX452" s="1065"/>
      <c r="CY452" s="1065"/>
      <c r="CZ452" s="1065"/>
      <c r="DA452" s="1065"/>
      <c r="DB452" s="1065"/>
    </row>
    <row r="453" spans="1:106" ht="15" customHeight="1" thickBot="1">
      <c r="A453" s="1065"/>
      <c r="B453" s="1065"/>
      <c r="C453" s="1185"/>
      <c r="D453" s="1746"/>
      <c r="E453" s="1746"/>
      <c r="F453" s="1746"/>
      <c r="G453" s="1746"/>
      <c r="H453" s="1678"/>
      <c r="I453" s="1678"/>
      <c r="J453" s="1747"/>
      <c r="K453" s="1747"/>
      <c r="L453" s="1747"/>
      <c r="M453" s="1756"/>
      <c r="N453" s="1756"/>
      <c r="O453" s="1756"/>
      <c r="P453" s="1756"/>
      <c r="Q453" s="1756"/>
      <c r="R453" s="1756"/>
      <c r="S453" s="1097"/>
      <c r="T453" s="1738"/>
      <c r="U453" s="1804"/>
      <c r="V453" s="1065"/>
      <c r="W453" s="1065"/>
      <c r="X453" s="1065"/>
      <c r="Y453" s="1065"/>
      <c r="Z453" s="1065"/>
      <c r="AA453" s="1065"/>
      <c r="AB453" s="1065"/>
      <c r="AC453" s="1065"/>
      <c r="AD453" s="1065"/>
      <c r="AE453" s="1065"/>
      <c r="AF453" s="1065"/>
      <c r="AG453" s="1065"/>
      <c r="AH453" s="1065"/>
      <c r="AI453" s="1065"/>
      <c r="AJ453" s="1065"/>
      <c r="AK453" s="1065"/>
      <c r="AL453" s="1065"/>
      <c r="AM453" s="1065"/>
      <c r="AN453" s="1065"/>
      <c r="AO453" s="1065"/>
      <c r="AP453" s="1065"/>
      <c r="AQ453" s="1065"/>
      <c r="AR453" s="1065"/>
      <c r="AS453" s="1065"/>
      <c r="AT453" s="1065"/>
      <c r="AU453" s="1065"/>
      <c r="AV453" s="1065"/>
      <c r="AW453" s="1065"/>
      <c r="AX453" s="1065"/>
      <c r="AY453" s="1065"/>
      <c r="AZ453" s="1065"/>
      <c r="BA453" s="1065"/>
      <c r="BB453" s="1065"/>
      <c r="BC453" s="1065"/>
      <c r="BD453" s="1065"/>
      <c r="BE453" s="1065"/>
      <c r="BF453" s="1065"/>
      <c r="BG453" s="1065"/>
      <c r="BH453" s="1065"/>
      <c r="BI453" s="1065"/>
      <c r="BJ453" s="1065"/>
      <c r="BK453" s="1065"/>
      <c r="BL453" s="1065"/>
      <c r="BM453" s="1065"/>
      <c r="BN453" s="1065"/>
      <c r="BO453" s="1065"/>
      <c r="BP453" s="1065"/>
      <c r="BQ453" s="1065"/>
      <c r="BR453" s="1065"/>
      <c r="BS453" s="1065"/>
      <c r="BT453" s="1065"/>
      <c r="BU453" s="1065"/>
      <c r="BV453" s="1065"/>
      <c r="BW453" s="1065"/>
      <c r="BX453" s="1065"/>
      <c r="BY453" s="1065"/>
      <c r="BZ453" s="1065"/>
      <c r="CA453" s="1065"/>
      <c r="CB453" s="1065"/>
      <c r="CC453" s="1065"/>
      <c r="CD453" s="1065"/>
      <c r="CE453" s="1065"/>
      <c r="CF453" s="1065"/>
      <c r="CG453" s="1065"/>
      <c r="CH453" s="1065"/>
      <c r="CI453" s="1065"/>
      <c r="CJ453" s="1065"/>
      <c r="CK453" s="1065"/>
      <c r="CL453" s="1065"/>
      <c r="CM453" s="1065"/>
      <c r="CN453" s="1065"/>
      <c r="CO453" s="1065"/>
      <c r="CP453" s="1065"/>
      <c r="CQ453" s="1065"/>
      <c r="CR453" s="1065"/>
      <c r="CS453" s="1065"/>
      <c r="CT453" s="1065"/>
      <c r="CU453" s="1065"/>
      <c r="CV453" s="1065"/>
      <c r="CW453" s="1065"/>
      <c r="CX453" s="1065"/>
      <c r="CY453" s="1065"/>
      <c r="CZ453" s="1065"/>
      <c r="DA453" s="1065"/>
      <c r="DB453" s="1065"/>
    </row>
    <row r="454" spans="1:106" ht="15" customHeight="1" thickBot="1">
      <c r="A454" s="1065"/>
      <c r="B454" s="1065"/>
      <c r="C454" s="1094"/>
      <c r="D454" s="1802"/>
      <c r="E454" s="1802"/>
      <c r="F454" s="1802"/>
      <c r="G454" s="1802"/>
      <c r="H454" s="1750"/>
      <c r="I454" s="1750"/>
      <c r="J454" s="1748"/>
      <c r="K454" s="1748"/>
      <c r="L454" s="1748"/>
      <c r="M454" s="1768"/>
      <c r="N454" s="1768"/>
      <c r="O454" s="1768"/>
      <c r="P454" s="1768"/>
      <c r="Q454" s="1768"/>
      <c r="R454" s="1768"/>
      <c r="S454" s="1074"/>
      <c r="T454" s="1738"/>
      <c r="U454" s="1804"/>
      <c r="V454" s="1065"/>
      <c r="W454" s="1065"/>
      <c r="X454" s="1065"/>
      <c r="Y454" s="1065"/>
      <c r="Z454" s="1065"/>
      <c r="AA454" s="1065"/>
      <c r="AB454" s="1065"/>
      <c r="AC454" s="1065"/>
      <c r="AD454" s="1065"/>
      <c r="AE454" s="1065"/>
      <c r="AF454" s="1065"/>
      <c r="AG454" s="1065"/>
      <c r="AH454" s="1065"/>
      <c r="AI454" s="1065"/>
      <c r="AJ454" s="1065"/>
      <c r="AK454" s="1065"/>
      <c r="AL454" s="1065"/>
      <c r="AM454" s="1065"/>
      <c r="AN454" s="1065"/>
      <c r="AO454" s="1065"/>
      <c r="AP454" s="1065"/>
      <c r="AQ454" s="1065"/>
      <c r="AR454" s="1065"/>
      <c r="AS454" s="1065"/>
      <c r="AT454" s="1065"/>
      <c r="AU454" s="1065"/>
      <c r="AV454" s="1065"/>
      <c r="AW454" s="1065"/>
      <c r="AX454" s="1065"/>
      <c r="AY454" s="1065"/>
      <c r="AZ454" s="1065"/>
      <c r="BA454" s="1065"/>
      <c r="BB454" s="1065"/>
      <c r="BC454" s="1065"/>
      <c r="BD454" s="1065"/>
      <c r="BE454" s="1065"/>
      <c r="BF454" s="1065"/>
      <c r="BG454" s="1065"/>
      <c r="BH454" s="1065"/>
      <c r="BI454" s="1065"/>
      <c r="BJ454" s="1065"/>
      <c r="BK454" s="1065"/>
      <c r="BL454" s="1065"/>
      <c r="BM454" s="1065"/>
      <c r="BN454" s="1065"/>
      <c r="BO454" s="1065"/>
      <c r="BP454" s="1065"/>
      <c r="BQ454" s="1065"/>
      <c r="BR454" s="1065"/>
      <c r="BS454" s="1065"/>
      <c r="BT454" s="1065"/>
      <c r="BU454" s="1065"/>
      <c r="BV454" s="1065"/>
      <c r="BW454" s="1065"/>
      <c r="BX454" s="1065"/>
      <c r="BY454" s="1065"/>
      <c r="BZ454" s="1065"/>
      <c r="CA454" s="1065"/>
      <c r="CB454" s="1065"/>
      <c r="CC454" s="1065"/>
      <c r="CD454" s="1065"/>
      <c r="CE454" s="1065"/>
      <c r="CF454" s="1065"/>
      <c r="CG454" s="1065"/>
      <c r="CH454" s="1065"/>
      <c r="CI454" s="1065"/>
      <c r="CJ454" s="1065"/>
      <c r="CK454" s="1065"/>
      <c r="CL454" s="1065"/>
      <c r="CM454" s="1065"/>
      <c r="CN454" s="1065"/>
      <c r="CO454" s="1065"/>
      <c r="CP454" s="1065"/>
      <c r="CQ454" s="1065"/>
      <c r="CR454" s="1065"/>
      <c r="CS454" s="1065"/>
      <c r="CT454" s="1065"/>
      <c r="CU454" s="1065"/>
      <c r="CV454" s="1065"/>
      <c r="CW454" s="1065"/>
      <c r="CX454" s="1065"/>
      <c r="CY454" s="1065"/>
      <c r="CZ454" s="1065"/>
      <c r="DA454" s="1065"/>
      <c r="DB454" s="1065"/>
    </row>
    <row r="455" spans="1:106" ht="15" customHeight="1" thickBot="1">
      <c r="A455" s="1065"/>
      <c r="B455" s="1065"/>
      <c r="C455" s="1094"/>
      <c r="D455" s="1802"/>
      <c r="E455" s="1802"/>
      <c r="F455" s="1802"/>
      <c r="G455" s="1802"/>
      <c r="H455" s="1678"/>
      <c r="I455" s="1678"/>
      <c r="J455" s="1748"/>
      <c r="K455" s="1748"/>
      <c r="L455" s="1748"/>
      <c r="M455" s="1768"/>
      <c r="N455" s="1768"/>
      <c r="O455" s="1768"/>
      <c r="P455" s="1768"/>
      <c r="Q455" s="1768"/>
      <c r="R455" s="1768"/>
      <c r="S455" s="1074"/>
      <c r="T455" s="1738"/>
      <c r="U455" s="1804"/>
      <c r="V455" s="1065"/>
      <c r="W455" s="1065"/>
      <c r="X455" s="1065"/>
      <c r="Y455" s="1065"/>
      <c r="Z455" s="1065"/>
      <c r="AA455" s="1065"/>
      <c r="AB455" s="1065"/>
      <c r="AC455" s="1065"/>
      <c r="AD455" s="1065"/>
      <c r="AE455" s="1065"/>
      <c r="AF455" s="1065"/>
      <c r="AG455" s="1065"/>
      <c r="AH455" s="1065"/>
      <c r="AI455" s="1065"/>
      <c r="AJ455" s="1065"/>
      <c r="AK455" s="1065"/>
      <c r="AL455" s="1065"/>
      <c r="AM455" s="1065"/>
      <c r="AN455" s="1065"/>
      <c r="AO455" s="1065"/>
      <c r="AP455" s="1065"/>
      <c r="AQ455" s="1065"/>
      <c r="AR455" s="1065"/>
      <c r="AS455" s="1065"/>
      <c r="AT455" s="1065"/>
      <c r="AU455" s="1065"/>
      <c r="AV455" s="1065"/>
      <c r="AW455" s="1065"/>
      <c r="AX455" s="1065"/>
      <c r="AY455" s="1065"/>
      <c r="AZ455" s="1065"/>
      <c r="BA455" s="1065"/>
      <c r="BB455" s="1065"/>
      <c r="BC455" s="1065"/>
      <c r="BD455" s="1065"/>
      <c r="BE455" s="1065"/>
      <c r="BF455" s="1065"/>
      <c r="BG455" s="1065"/>
      <c r="BH455" s="1065"/>
      <c r="BI455" s="1065"/>
      <c r="BJ455" s="1065"/>
      <c r="BK455" s="1065"/>
      <c r="BL455" s="1065"/>
      <c r="BM455" s="1065"/>
      <c r="BN455" s="1065"/>
      <c r="BO455" s="1065"/>
      <c r="BP455" s="1065"/>
      <c r="BQ455" s="1065"/>
      <c r="BR455" s="1065"/>
      <c r="BS455" s="1065"/>
      <c r="BT455" s="1065"/>
      <c r="BU455" s="1065"/>
      <c r="BV455" s="1065"/>
      <c r="BW455" s="1065"/>
      <c r="BX455" s="1065"/>
      <c r="BY455" s="1065"/>
      <c r="BZ455" s="1065"/>
      <c r="CA455" s="1065"/>
      <c r="CB455" s="1065"/>
      <c r="CC455" s="1065"/>
      <c r="CD455" s="1065"/>
      <c r="CE455" s="1065"/>
      <c r="CF455" s="1065"/>
      <c r="CG455" s="1065"/>
      <c r="CH455" s="1065"/>
      <c r="CI455" s="1065"/>
      <c r="CJ455" s="1065"/>
      <c r="CK455" s="1065"/>
      <c r="CL455" s="1065"/>
      <c r="CM455" s="1065"/>
      <c r="CN455" s="1065"/>
      <c r="CO455" s="1065"/>
      <c r="CP455" s="1065"/>
      <c r="CQ455" s="1065"/>
      <c r="CR455" s="1065"/>
      <c r="CS455" s="1065"/>
      <c r="CT455" s="1065"/>
      <c r="CU455" s="1065"/>
      <c r="CV455" s="1065"/>
      <c r="CW455" s="1065"/>
      <c r="CX455" s="1065"/>
      <c r="CY455" s="1065"/>
      <c r="CZ455" s="1065"/>
      <c r="DA455" s="1065"/>
      <c r="DB455" s="1065"/>
    </row>
    <row r="456" spans="1:106" ht="15" customHeight="1" thickBot="1">
      <c r="A456" s="1065"/>
      <c r="B456" s="1065"/>
      <c r="C456" s="1185"/>
      <c r="D456" s="1802"/>
      <c r="E456" s="1802"/>
      <c r="F456" s="1802"/>
      <c r="G456" s="1802"/>
      <c r="H456" s="1696"/>
      <c r="I456" s="1696"/>
      <c r="J456" s="1694"/>
      <c r="K456" s="1694"/>
      <c r="L456" s="1694"/>
      <c r="M456" s="1756"/>
      <c r="N456" s="1756"/>
      <c r="O456" s="1756"/>
      <c r="P456" s="1756"/>
      <c r="Q456" s="1756"/>
      <c r="R456" s="1756"/>
      <c r="S456" s="1067"/>
      <c r="T456" s="1738"/>
      <c r="U456" s="1804"/>
      <c r="V456" s="1065"/>
      <c r="W456" s="1065"/>
      <c r="X456" s="1065"/>
      <c r="Y456" s="1065"/>
      <c r="Z456" s="1065"/>
      <c r="AA456" s="1065"/>
      <c r="AB456" s="1065"/>
      <c r="AC456" s="1065"/>
      <c r="AD456" s="1065"/>
      <c r="AE456" s="1065"/>
      <c r="AF456" s="1065"/>
      <c r="AG456" s="1065"/>
      <c r="AH456" s="1065"/>
      <c r="AI456" s="1065"/>
      <c r="AJ456" s="1065"/>
      <c r="AK456" s="1065"/>
      <c r="AL456" s="1065"/>
      <c r="AM456" s="1065"/>
      <c r="AN456" s="1065"/>
      <c r="AO456" s="1065"/>
      <c r="AP456" s="1065"/>
      <c r="AQ456" s="1065"/>
      <c r="AR456" s="1065"/>
      <c r="AS456" s="1065"/>
      <c r="AT456" s="1065"/>
      <c r="AU456" s="1065"/>
      <c r="AV456" s="1065"/>
      <c r="AW456" s="1065"/>
      <c r="AX456" s="1065"/>
      <c r="AY456" s="1065"/>
      <c r="AZ456" s="1065"/>
      <c r="BA456" s="1065"/>
      <c r="BB456" s="1065"/>
      <c r="BC456" s="1065"/>
      <c r="BD456" s="1065"/>
      <c r="BE456" s="1065"/>
      <c r="BF456" s="1065"/>
      <c r="BG456" s="1065"/>
      <c r="BH456" s="1065"/>
      <c r="BI456" s="1065"/>
      <c r="BJ456" s="1065"/>
      <c r="BK456" s="1065"/>
      <c r="BL456" s="1065"/>
      <c r="BM456" s="1065"/>
      <c r="BN456" s="1065"/>
      <c r="BO456" s="1065"/>
      <c r="BP456" s="1065"/>
      <c r="BQ456" s="1065"/>
      <c r="BR456" s="1065"/>
      <c r="BS456" s="1065"/>
      <c r="BT456" s="1065"/>
      <c r="BU456" s="1065"/>
      <c r="BV456" s="1065"/>
      <c r="BW456" s="1065"/>
      <c r="BX456" s="1065"/>
      <c r="BY456" s="1065"/>
      <c r="BZ456" s="1065"/>
      <c r="CA456" s="1065"/>
      <c r="CB456" s="1065"/>
      <c r="CC456" s="1065"/>
      <c r="CD456" s="1065"/>
      <c r="CE456" s="1065"/>
      <c r="CF456" s="1065"/>
      <c r="CG456" s="1065"/>
      <c r="CH456" s="1065"/>
      <c r="CI456" s="1065"/>
      <c r="CJ456" s="1065"/>
      <c r="CK456" s="1065"/>
      <c r="CL456" s="1065"/>
      <c r="CM456" s="1065"/>
      <c r="CN456" s="1065"/>
      <c r="CO456" s="1065"/>
      <c r="CP456" s="1065"/>
      <c r="CQ456" s="1065"/>
      <c r="CR456" s="1065"/>
      <c r="CS456" s="1065"/>
      <c r="CT456" s="1065"/>
      <c r="CU456" s="1065"/>
      <c r="CV456" s="1065"/>
      <c r="CW456" s="1065"/>
      <c r="CX456" s="1065"/>
      <c r="CY456" s="1065"/>
      <c r="CZ456" s="1065"/>
      <c r="DA456" s="1065"/>
      <c r="DB456" s="1065"/>
    </row>
    <row r="457" spans="1:106" ht="15" customHeight="1" thickBot="1">
      <c r="A457" s="1065"/>
      <c r="B457" s="1065"/>
      <c r="C457" s="1185"/>
      <c r="D457" s="1802"/>
      <c r="E457" s="1802"/>
      <c r="F457" s="1802"/>
      <c r="G457" s="1802"/>
      <c r="H457" s="1696"/>
      <c r="I457" s="1696"/>
      <c r="J457" s="1694"/>
      <c r="K457" s="1694"/>
      <c r="L457" s="1694"/>
      <c r="M457" s="1756"/>
      <c r="N457" s="1756"/>
      <c r="O457" s="1756"/>
      <c r="P457" s="1756"/>
      <c r="Q457" s="1756"/>
      <c r="R457" s="1756"/>
      <c r="S457" s="1067"/>
      <c r="T457" s="1738"/>
      <c r="U457" s="1804"/>
      <c r="V457" s="1065"/>
      <c r="W457" s="1065"/>
      <c r="X457" s="1065"/>
      <c r="Y457" s="1065"/>
      <c r="Z457" s="1065"/>
      <c r="AA457" s="1065"/>
      <c r="AB457" s="1065"/>
      <c r="AC457" s="1065"/>
      <c r="AD457" s="1065"/>
      <c r="AE457" s="1065"/>
      <c r="AF457" s="1065"/>
      <c r="AG457" s="1065"/>
      <c r="AH457" s="1065"/>
      <c r="AI457" s="1065"/>
      <c r="AJ457" s="1065"/>
      <c r="AK457" s="1065"/>
      <c r="AL457" s="1065"/>
      <c r="AM457" s="1065"/>
      <c r="AN457" s="1065"/>
      <c r="AO457" s="1065"/>
      <c r="AP457" s="1065"/>
      <c r="AQ457" s="1065"/>
      <c r="AR457" s="1065"/>
      <c r="AS457" s="1065"/>
      <c r="AT457" s="1065"/>
      <c r="AU457" s="1065"/>
      <c r="AV457" s="1065"/>
      <c r="AW457" s="1065"/>
      <c r="AX457" s="1065"/>
      <c r="AY457" s="1065"/>
      <c r="AZ457" s="1065"/>
      <c r="BA457" s="1065"/>
      <c r="BB457" s="1065"/>
      <c r="BC457" s="1065"/>
      <c r="BD457" s="1065"/>
      <c r="BE457" s="1065"/>
      <c r="BF457" s="1065"/>
      <c r="BG457" s="1065"/>
      <c r="BH457" s="1065"/>
      <c r="BI457" s="1065"/>
      <c r="BJ457" s="1065"/>
      <c r="BK457" s="1065"/>
      <c r="BL457" s="1065"/>
      <c r="BM457" s="1065"/>
      <c r="BN457" s="1065"/>
      <c r="BO457" s="1065"/>
      <c r="BP457" s="1065"/>
      <c r="BQ457" s="1065"/>
      <c r="BR457" s="1065"/>
      <c r="BS457" s="1065"/>
      <c r="BT457" s="1065"/>
      <c r="BU457" s="1065"/>
      <c r="BV457" s="1065"/>
      <c r="BW457" s="1065"/>
      <c r="BX457" s="1065"/>
      <c r="BY457" s="1065"/>
      <c r="BZ457" s="1065"/>
      <c r="CA457" s="1065"/>
      <c r="CB457" s="1065"/>
      <c r="CC457" s="1065"/>
      <c r="CD457" s="1065"/>
      <c r="CE457" s="1065"/>
      <c r="CF457" s="1065"/>
      <c r="CG457" s="1065"/>
      <c r="CH457" s="1065"/>
      <c r="CI457" s="1065"/>
      <c r="CJ457" s="1065"/>
      <c r="CK457" s="1065"/>
      <c r="CL457" s="1065"/>
      <c r="CM457" s="1065"/>
      <c r="CN457" s="1065"/>
      <c r="CO457" s="1065"/>
      <c r="CP457" s="1065"/>
      <c r="CQ457" s="1065"/>
      <c r="CR457" s="1065"/>
      <c r="CS457" s="1065"/>
      <c r="CT457" s="1065"/>
      <c r="CU457" s="1065"/>
      <c r="CV457" s="1065"/>
      <c r="CW457" s="1065"/>
      <c r="CX457" s="1065"/>
      <c r="CY457" s="1065"/>
      <c r="CZ457" s="1065"/>
      <c r="DA457" s="1065"/>
      <c r="DB457" s="1065"/>
    </row>
    <row r="458" spans="1:106" ht="15" customHeight="1" thickBot="1">
      <c r="A458" s="1065"/>
      <c r="B458" s="1065"/>
      <c r="C458" s="1185"/>
      <c r="D458" s="1802"/>
      <c r="E458" s="1802"/>
      <c r="F458" s="1802"/>
      <c r="G458" s="1802"/>
      <c r="H458" s="1696"/>
      <c r="I458" s="1696"/>
      <c r="J458" s="1694"/>
      <c r="K458" s="1694"/>
      <c r="L458" s="1694"/>
      <c r="M458" s="1756"/>
      <c r="N458" s="1756"/>
      <c r="O458" s="1756"/>
      <c r="P458" s="1756"/>
      <c r="Q458" s="1756"/>
      <c r="R458" s="1756"/>
      <c r="S458" s="1067"/>
      <c r="T458" s="1738"/>
      <c r="U458" s="1804"/>
      <c r="V458" s="1065"/>
      <c r="W458" s="1065"/>
      <c r="X458" s="1065"/>
      <c r="Y458" s="1065"/>
      <c r="Z458" s="1065"/>
      <c r="AA458" s="1065"/>
      <c r="AB458" s="1065"/>
      <c r="AC458" s="1065"/>
      <c r="AD458" s="1065"/>
      <c r="AE458" s="1065"/>
      <c r="AF458" s="1065"/>
      <c r="AG458" s="1065"/>
      <c r="AH458" s="1065"/>
      <c r="AI458" s="1065"/>
      <c r="AJ458" s="1065"/>
      <c r="AK458" s="1065"/>
      <c r="AL458" s="1065"/>
      <c r="AM458" s="1065"/>
      <c r="AN458" s="1065"/>
      <c r="AO458" s="1065"/>
      <c r="AP458" s="1065"/>
      <c r="AQ458" s="1065"/>
      <c r="AR458" s="1065"/>
      <c r="AS458" s="1065"/>
      <c r="AT458" s="1065"/>
      <c r="AU458" s="1065"/>
      <c r="AV458" s="1065"/>
      <c r="AW458" s="1065"/>
      <c r="AX458" s="1065"/>
      <c r="AY458" s="1065"/>
      <c r="AZ458" s="1065"/>
      <c r="BA458" s="1065"/>
      <c r="BB458" s="1065"/>
      <c r="BC458" s="1065"/>
      <c r="BD458" s="1065"/>
      <c r="BE458" s="1065"/>
      <c r="BF458" s="1065"/>
      <c r="BG458" s="1065"/>
      <c r="BH458" s="1065"/>
      <c r="BI458" s="1065"/>
      <c r="BJ458" s="1065"/>
      <c r="BK458" s="1065"/>
      <c r="BL458" s="1065"/>
      <c r="BM458" s="1065"/>
      <c r="BN458" s="1065"/>
      <c r="BO458" s="1065"/>
      <c r="BP458" s="1065"/>
      <c r="BQ458" s="1065"/>
      <c r="BR458" s="1065"/>
      <c r="BS458" s="1065"/>
      <c r="BT458" s="1065"/>
      <c r="BU458" s="1065"/>
      <c r="BV458" s="1065"/>
      <c r="BW458" s="1065"/>
      <c r="BX458" s="1065"/>
      <c r="BY458" s="1065"/>
      <c r="BZ458" s="1065"/>
      <c r="CA458" s="1065"/>
      <c r="CB458" s="1065"/>
      <c r="CC458" s="1065"/>
      <c r="CD458" s="1065"/>
      <c r="CE458" s="1065"/>
      <c r="CF458" s="1065"/>
      <c r="CG458" s="1065"/>
      <c r="CH458" s="1065"/>
      <c r="CI458" s="1065"/>
      <c r="CJ458" s="1065"/>
      <c r="CK458" s="1065"/>
      <c r="CL458" s="1065"/>
      <c r="CM458" s="1065"/>
      <c r="CN458" s="1065"/>
      <c r="CO458" s="1065"/>
      <c r="CP458" s="1065"/>
      <c r="CQ458" s="1065"/>
      <c r="CR458" s="1065"/>
      <c r="CS458" s="1065"/>
      <c r="CT458" s="1065"/>
      <c r="CU458" s="1065"/>
      <c r="CV458" s="1065"/>
      <c r="CW458" s="1065"/>
      <c r="CX458" s="1065"/>
      <c r="CY458" s="1065"/>
      <c r="CZ458" s="1065"/>
      <c r="DA458" s="1065"/>
      <c r="DB458" s="1065"/>
    </row>
    <row r="459" spans="1:106" ht="15" customHeight="1" thickBot="1">
      <c r="A459" s="1065"/>
      <c r="B459" s="1065"/>
      <c r="C459" s="1185"/>
      <c r="D459" s="1802"/>
      <c r="E459" s="1802"/>
      <c r="F459" s="1802"/>
      <c r="G459" s="1802"/>
      <c r="H459" s="1696"/>
      <c r="I459" s="1696"/>
      <c r="J459" s="1694"/>
      <c r="K459" s="1694"/>
      <c r="L459" s="1694"/>
      <c r="M459" s="1756"/>
      <c r="N459" s="1756"/>
      <c r="O459" s="1756"/>
      <c r="P459" s="1756"/>
      <c r="Q459" s="1756"/>
      <c r="R459" s="1756"/>
      <c r="S459" s="1067"/>
      <c r="T459" s="1738"/>
      <c r="U459" s="1804"/>
      <c r="V459" s="1065"/>
      <c r="W459" s="1065"/>
      <c r="X459" s="1065"/>
      <c r="Y459" s="1065"/>
      <c r="Z459" s="1065"/>
      <c r="AA459" s="1065"/>
      <c r="AB459" s="1065"/>
      <c r="AC459" s="1065"/>
      <c r="AD459" s="1065"/>
      <c r="AE459" s="1065"/>
      <c r="AF459" s="1065"/>
      <c r="AG459" s="1065"/>
      <c r="AH459" s="1065"/>
      <c r="AI459" s="1065"/>
      <c r="AJ459" s="1065"/>
      <c r="AK459" s="1065"/>
      <c r="AL459" s="1065"/>
      <c r="AM459" s="1065"/>
      <c r="AN459" s="1065"/>
      <c r="AO459" s="1065"/>
      <c r="AP459" s="1065"/>
      <c r="AQ459" s="1065"/>
      <c r="AR459" s="1065"/>
      <c r="AS459" s="1065"/>
      <c r="AT459" s="1065"/>
      <c r="AU459" s="1065"/>
      <c r="AV459" s="1065"/>
      <c r="AW459" s="1065"/>
      <c r="AX459" s="1065"/>
      <c r="AY459" s="1065"/>
      <c r="AZ459" s="1065"/>
      <c r="BA459" s="1065"/>
      <c r="BB459" s="1065"/>
      <c r="BC459" s="1065"/>
      <c r="BD459" s="1065"/>
      <c r="BE459" s="1065"/>
      <c r="BF459" s="1065"/>
      <c r="BG459" s="1065"/>
      <c r="BH459" s="1065"/>
      <c r="BI459" s="1065"/>
      <c r="BJ459" s="1065"/>
      <c r="BK459" s="1065"/>
      <c r="BL459" s="1065"/>
      <c r="BM459" s="1065"/>
      <c r="BN459" s="1065"/>
      <c r="BO459" s="1065"/>
      <c r="BP459" s="1065"/>
      <c r="BQ459" s="1065"/>
      <c r="BR459" s="1065"/>
      <c r="BS459" s="1065"/>
      <c r="BT459" s="1065"/>
      <c r="BU459" s="1065"/>
      <c r="BV459" s="1065"/>
      <c r="BW459" s="1065"/>
      <c r="BX459" s="1065"/>
      <c r="BY459" s="1065"/>
      <c r="BZ459" s="1065"/>
      <c r="CA459" s="1065"/>
      <c r="CB459" s="1065"/>
      <c r="CC459" s="1065"/>
      <c r="CD459" s="1065"/>
      <c r="CE459" s="1065"/>
      <c r="CF459" s="1065"/>
      <c r="CG459" s="1065"/>
      <c r="CH459" s="1065"/>
      <c r="CI459" s="1065"/>
      <c r="CJ459" s="1065"/>
      <c r="CK459" s="1065"/>
      <c r="CL459" s="1065"/>
      <c r="CM459" s="1065"/>
      <c r="CN459" s="1065"/>
      <c r="CO459" s="1065"/>
      <c r="CP459" s="1065"/>
      <c r="CQ459" s="1065"/>
      <c r="CR459" s="1065"/>
      <c r="CS459" s="1065"/>
      <c r="CT459" s="1065"/>
      <c r="CU459" s="1065"/>
      <c r="CV459" s="1065"/>
      <c r="CW459" s="1065"/>
      <c r="CX459" s="1065"/>
      <c r="CY459" s="1065"/>
      <c r="CZ459" s="1065"/>
      <c r="DA459" s="1065"/>
      <c r="DB459" s="1065"/>
    </row>
    <row r="460" spans="1:106" ht="15" customHeight="1" thickBot="1">
      <c r="A460" s="1065"/>
      <c r="B460" s="1065"/>
      <c r="C460" s="1186"/>
      <c r="D460" s="1703"/>
      <c r="E460" s="1703"/>
      <c r="F460" s="1703"/>
      <c r="G460" s="1703"/>
      <c r="H460" s="1704"/>
      <c r="I460" s="1704"/>
      <c r="J460" s="1704"/>
      <c r="K460" s="1704"/>
      <c r="L460" s="1704"/>
      <c r="M460" s="1706"/>
      <c r="N460" s="1706"/>
      <c r="O460" s="1706"/>
      <c r="P460" s="1706"/>
      <c r="Q460" s="1706"/>
      <c r="R460" s="1706"/>
      <c r="S460" s="1084"/>
      <c r="T460" s="1738"/>
      <c r="U460" s="1804"/>
      <c r="V460" s="1065"/>
      <c r="W460" s="1065"/>
      <c r="X460" s="1065"/>
      <c r="Y460" s="1065"/>
      <c r="Z460" s="1065"/>
      <c r="AA460" s="1065"/>
      <c r="AB460" s="1065"/>
      <c r="AC460" s="1065"/>
      <c r="AD460" s="1065"/>
      <c r="AE460" s="1065"/>
      <c r="AF460" s="1065"/>
      <c r="AG460" s="1065"/>
      <c r="AH460" s="1065"/>
      <c r="AI460" s="1065"/>
      <c r="AJ460" s="1065"/>
      <c r="AK460" s="1065"/>
      <c r="AL460" s="1065"/>
      <c r="AM460" s="1065"/>
      <c r="AN460" s="1065"/>
      <c r="AO460" s="1065"/>
      <c r="AP460" s="1065"/>
      <c r="AQ460" s="1065"/>
      <c r="AR460" s="1065"/>
      <c r="AS460" s="1065"/>
      <c r="AT460" s="1065"/>
      <c r="AU460" s="1065"/>
      <c r="AV460" s="1065"/>
      <c r="AW460" s="1065"/>
      <c r="AX460" s="1065"/>
      <c r="AY460" s="1065"/>
      <c r="AZ460" s="1065"/>
      <c r="BA460" s="1065"/>
      <c r="BB460" s="1065"/>
      <c r="BC460" s="1065"/>
      <c r="BD460" s="1065"/>
      <c r="BE460" s="1065"/>
      <c r="BF460" s="1065"/>
      <c r="BG460" s="1065"/>
      <c r="BH460" s="1065"/>
      <c r="BI460" s="1065"/>
      <c r="BJ460" s="1065"/>
      <c r="BK460" s="1065"/>
      <c r="BL460" s="1065"/>
      <c r="BM460" s="1065"/>
      <c r="BN460" s="1065"/>
      <c r="BO460" s="1065"/>
      <c r="BP460" s="1065"/>
      <c r="BQ460" s="1065"/>
      <c r="BR460" s="1065"/>
      <c r="BS460" s="1065"/>
      <c r="BT460" s="1065"/>
      <c r="BU460" s="1065"/>
      <c r="BV460" s="1065"/>
      <c r="BW460" s="1065"/>
      <c r="BX460" s="1065"/>
      <c r="BY460" s="1065"/>
      <c r="BZ460" s="1065"/>
      <c r="CA460" s="1065"/>
      <c r="CB460" s="1065"/>
      <c r="CC460" s="1065"/>
      <c r="CD460" s="1065"/>
      <c r="CE460" s="1065"/>
      <c r="CF460" s="1065"/>
      <c r="CG460" s="1065"/>
      <c r="CH460" s="1065"/>
      <c r="CI460" s="1065"/>
      <c r="CJ460" s="1065"/>
      <c r="CK460" s="1065"/>
      <c r="CL460" s="1065"/>
      <c r="CM460" s="1065"/>
      <c r="CN460" s="1065"/>
      <c r="CO460" s="1065"/>
      <c r="CP460" s="1065"/>
      <c r="CQ460" s="1065"/>
      <c r="CR460" s="1065"/>
      <c r="CS460" s="1065"/>
      <c r="CT460" s="1065"/>
      <c r="CU460" s="1065"/>
      <c r="CV460" s="1065"/>
      <c r="CW460" s="1065"/>
      <c r="CX460" s="1065"/>
      <c r="CY460" s="1065"/>
      <c r="CZ460" s="1065"/>
      <c r="DA460" s="1065"/>
      <c r="DB460" s="1065"/>
    </row>
    <row r="461" spans="1:106" ht="15" customHeight="1" thickBot="1">
      <c r="A461" s="1065"/>
      <c r="B461" s="1065"/>
      <c r="C461" s="1799" t="s">
        <v>836</v>
      </c>
      <c r="D461" s="1799"/>
      <c r="E461" s="1799"/>
      <c r="F461" s="1799"/>
      <c r="G461" s="1799"/>
      <c r="H461" s="1799"/>
      <c r="I461" s="1799"/>
      <c r="J461" s="1799"/>
      <c r="K461" s="1799"/>
      <c r="L461" s="1799"/>
      <c r="M461" s="1799"/>
      <c r="N461" s="1799"/>
      <c r="O461" s="1799"/>
      <c r="P461" s="1799"/>
      <c r="Q461" s="1799"/>
      <c r="R461" s="1799"/>
      <c r="S461" s="1799"/>
      <c r="T461" s="1799"/>
      <c r="U461" s="1799"/>
      <c r="V461" s="1065"/>
      <c r="W461" s="1065"/>
      <c r="X461" s="1065"/>
      <c r="Y461" s="1065"/>
      <c r="Z461" s="1065"/>
      <c r="AA461" s="1065"/>
      <c r="AB461" s="1065"/>
      <c r="AC461" s="1065"/>
      <c r="AD461" s="1065"/>
      <c r="AE461" s="1065"/>
      <c r="AF461" s="1065"/>
      <c r="AG461" s="1065"/>
      <c r="AH461" s="1065"/>
      <c r="AI461" s="1065"/>
      <c r="AJ461" s="1065"/>
      <c r="AK461" s="1065"/>
      <c r="AL461" s="1065"/>
      <c r="AM461" s="1065"/>
      <c r="AN461" s="1065"/>
      <c r="AO461" s="1065"/>
      <c r="AP461" s="1065"/>
      <c r="AQ461" s="1065"/>
      <c r="AR461" s="1065"/>
      <c r="AS461" s="1065"/>
      <c r="AT461" s="1065"/>
      <c r="AU461" s="1065"/>
      <c r="AV461" s="1065"/>
      <c r="AW461" s="1065"/>
      <c r="AX461" s="1065"/>
      <c r="AY461" s="1065"/>
      <c r="AZ461" s="1065"/>
      <c r="BA461" s="1065"/>
      <c r="BB461" s="1065"/>
      <c r="BC461" s="1065"/>
      <c r="BD461" s="1065"/>
      <c r="BE461" s="1065"/>
      <c r="BF461" s="1065"/>
      <c r="BG461" s="1065"/>
      <c r="BH461" s="1065"/>
      <c r="BI461" s="1065"/>
      <c r="BJ461" s="1065"/>
      <c r="BK461" s="1065"/>
      <c r="BL461" s="1065"/>
      <c r="BM461" s="1065"/>
      <c r="BN461" s="1065"/>
      <c r="BO461" s="1065"/>
      <c r="BP461" s="1065"/>
      <c r="BQ461" s="1065"/>
      <c r="BR461" s="1065"/>
      <c r="BS461" s="1065"/>
      <c r="BT461" s="1065"/>
      <c r="BU461" s="1065"/>
      <c r="BV461" s="1065"/>
      <c r="BW461" s="1065"/>
      <c r="BX461" s="1065"/>
      <c r="BY461" s="1065"/>
      <c r="BZ461" s="1065"/>
      <c r="CA461" s="1065"/>
      <c r="CB461" s="1065"/>
      <c r="CC461" s="1065"/>
      <c r="CD461" s="1065"/>
      <c r="CE461" s="1065"/>
      <c r="CF461" s="1065"/>
      <c r="CG461" s="1065"/>
      <c r="CH461" s="1065"/>
      <c r="CI461" s="1065"/>
      <c r="CJ461" s="1065"/>
      <c r="CK461" s="1065"/>
      <c r="CL461" s="1065"/>
      <c r="CM461" s="1065"/>
      <c r="CN461" s="1065"/>
      <c r="CO461" s="1065"/>
      <c r="CP461" s="1065"/>
      <c r="CQ461" s="1065"/>
      <c r="CR461" s="1065"/>
      <c r="CS461" s="1065"/>
      <c r="CT461" s="1065"/>
      <c r="CU461" s="1065"/>
      <c r="CV461" s="1065"/>
      <c r="CW461" s="1065"/>
      <c r="CX461" s="1065"/>
      <c r="CY461" s="1065"/>
      <c r="CZ461" s="1065"/>
      <c r="DA461" s="1065"/>
      <c r="DB461" s="1065"/>
    </row>
    <row r="462" spans="1:106" ht="15" customHeight="1" thickBot="1">
      <c r="A462" s="1065"/>
      <c r="B462" s="1065"/>
      <c r="C462" s="1800" t="s">
        <v>648</v>
      </c>
      <c r="D462" s="1795" t="s">
        <v>649</v>
      </c>
      <c r="E462" s="1795"/>
      <c r="F462" s="1795"/>
      <c r="G462" s="1795"/>
      <c r="H462" s="1801" t="s">
        <v>650</v>
      </c>
      <c r="I462" s="1801"/>
      <c r="J462" s="1774" t="s">
        <v>651</v>
      </c>
      <c r="K462" s="1774"/>
      <c r="L462" s="1774"/>
      <c r="M462" s="1774" t="s">
        <v>652</v>
      </c>
      <c r="N462" s="1774"/>
      <c r="O462" s="1774"/>
      <c r="P462" s="1774"/>
      <c r="Q462" s="1774"/>
      <c r="R462" s="1774"/>
      <c r="S462" s="1787" t="s">
        <v>6</v>
      </c>
      <c r="T462" s="1796" t="s">
        <v>653</v>
      </c>
      <c r="U462" s="1745" t="s">
        <v>654</v>
      </c>
      <c r="V462" s="1065"/>
      <c r="W462" s="1065"/>
      <c r="X462" s="1065"/>
      <c r="Y462" s="1065"/>
      <c r="Z462" s="1065"/>
      <c r="AA462" s="1065"/>
      <c r="AB462" s="1065"/>
      <c r="AC462" s="1065"/>
      <c r="AD462" s="1065"/>
      <c r="AE462" s="1065"/>
      <c r="AF462" s="1065"/>
      <c r="AG462" s="1065"/>
      <c r="AH462" s="1065"/>
      <c r="AI462" s="1065"/>
      <c r="AJ462" s="1065"/>
      <c r="AK462" s="1065"/>
      <c r="AL462" s="1065"/>
      <c r="AM462" s="1065"/>
      <c r="AN462" s="1065"/>
      <c r="AO462" s="1065"/>
      <c r="AP462" s="1065"/>
      <c r="AQ462" s="1065"/>
      <c r="AR462" s="1065"/>
      <c r="AS462" s="1065"/>
      <c r="AT462" s="1065"/>
      <c r="AU462" s="1065"/>
      <c r="AV462" s="1065"/>
      <c r="AW462" s="1065"/>
      <c r="AX462" s="1065"/>
      <c r="AY462" s="1065"/>
      <c r="AZ462" s="1065"/>
      <c r="BA462" s="1065"/>
      <c r="BB462" s="1065"/>
      <c r="BC462" s="1065"/>
      <c r="BD462" s="1065"/>
      <c r="BE462" s="1065"/>
      <c r="BF462" s="1065"/>
      <c r="BG462" s="1065"/>
      <c r="BH462" s="1065"/>
      <c r="BI462" s="1065"/>
      <c r="BJ462" s="1065"/>
      <c r="BK462" s="1065"/>
      <c r="BL462" s="1065"/>
      <c r="BM462" s="1065"/>
      <c r="BN462" s="1065"/>
      <c r="BO462" s="1065"/>
      <c r="BP462" s="1065"/>
      <c r="BQ462" s="1065"/>
      <c r="BR462" s="1065"/>
      <c r="BS462" s="1065"/>
      <c r="BT462" s="1065"/>
      <c r="BU462" s="1065"/>
      <c r="BV462" s="1065"/>
      <c r="BW462" s="1065"/>
      <c r="BX462" s="1065"/>
      <c r="BY462" s="1065"/>
      <c r="BZ462" s="1065"/>
      <c r="CA462" s="1065"/>
      <c r="CB462" s="1065"/>
      <c r="CC462" s="1065"/>
      <c r="CD462" s="1065"/>
      <c r="CE462" s="1065"/>
      <c r="CF462" s="1065"/>
      <c r="CG462" s="1065"/>
      <c r="CH462" s="1065"/>
      <c r="CI462" s="1065"/>
      <c r="CJ462" s="1065"/>
      <c r="CK462" s="1065"/>
      <c r="CL462" s="1065"/>
      <c r="CM462" s="1065"/>
      <c r="CN462" s="1065"/>
      <c r="CO462" s="1065"/>
      <c r="CP462" s="1065"/>
      <c r="CQ462" s="1065"/>
      <c r="CR462" s="1065"/>
      <c r="CS462" s="1065"/>
      <c r="CT462" s="1065"/>
      <c r="CU462" s="1065"/>
      <c r="CV462" s="1065"/>
      <c r="CW462" s="1065"/>
      <c r="CX462" s="1065"/>
      <c r="CY462" s="1065"/>
      <c r="CZ462" s="1065"/>
      <c r="DA462" s="1065"/>
      <c r="DB462" s="1065"/>
    </row>
    <row r="463" spans="1:106" ht="15" customHeight="1" thickBot="1">
      <c r="A463" s="1065"/>
      <c r="B463" s="1065"/>
      <c r="C463" s="1800"/>
      <c r="D463" s="1795"/>
      <c r="E463" s="1795"/>
      <c r="F463" s="1795"/>
      <c r="G463" s="1795"/>
      <c r="H463" s="1801"/>
      <c r="I463" s="1801"/>
      <c r="J463" s="1774"/>
      <c r="K463" s="1774"/>
      <c r="L463" s="1774"/>
      <c r="M463" s="1774"/>
      <c r="N463" s="1774"/>
      <c r="O463" s="1774"/>
      <c r="P463" s="1774"/>
      <c r="Q463" s="1774"/>
      <c r="R463" s="1774"/>
      <c r="S463" s="1787"/>
      <c r="T463" s="1796"/>
      <c r="U463" s="1745"/>
      <c r="V463" s="1065"/>
      <c r="W463" s="1065"/>
      <c r="X463" s="1065"/>
      <c r="Y463" s="1065"/>
      <c r="Z463" s="1065"/>
      <c r="AA463" s="1065"/>
      <c r="AB463" s="1065"/>
      <c r="AC463" s="1065"/>
      <c r="AD463" s="1065"/>
      <c r="AE463" s="1065"/>
      <c r="AF463" s="1065"/>
      <c r="AG463" s="1065"/>
      <c r="AH463" s="1065"/>
      <c r="AI463" s="1065"/>
      <c r="AJ463" s="1065"/>
      <c r="AK463" s="1065"/>
      <c r="AL463" s="1065"/>
      <c r="AM463" s="1065"/>
      <c r="AN463" s="1065"/>
      <c r="AO463" s="1065"/>
      <c r="AP463" s="1065"/>
      <c r="AQ463" s="1065"/>
      <c r="AR463" s="1065"/>
      <c r="AS463" s="1065"/>
      <c r="AT463" s="1065"/>
      <c r="AU463" s="1065"/>
      <c r="AV463" s="1065"/>
      <c r="AW463" s="1065"/>
      <c r="AX463" s="1065"/>
      <c r="AY463" s="1065"/>
      <c r="AZ463" s="1065"/>
      <c r="BA463" s="1065"/>
      <c r="BB463" s="1065"/>
      <c r="BC463" s="1065"/>
      <c r="BD463" s="1065"/>
      <c r="BE463" s="1065"/>
      <c r="BF463" s="1065"/>
      <c r="BG463" s="1065"/>
      <c r="BH463" s="1065"/>
      <c r="BI463" s="1065"/>
      <c r="BJ463" s="1065"/>
      <c r="BK463" s="1065"/>
      <c r="BL463" s="1065"/>
      <c r="BM463" s="1065"/>
      <c r="BN463" s="1065"/>
      <c r="BO463" s="1065"/>
      <c r="BP463" s="1065"/>
      <c r="BQ463" s="1065"/>
      <c r="BR463" s="1065"/>
      <c r="BS463" s="1065"/>
      <c r="BT463" s="1065"/>
      <c r="BU463" s="1065"/>
      <c r="BV463" s="1065"/>
      <c r="BW463" s="1065"/>
      <c r="BX463" s="1065"/>
      <c r="BY463" s="1065"/>
      <c r="BZ463" s="1065"/>
      <c r="CA463" s="1065"/>
      <c r="CB463" s="1065"/>
      <c r="CC463" s="1065"/>
      <c r="CD463" s="1065"/>
      <c r="CE463" s="1065"/>
      <c r="CF463" s="1065"/>
      <c r="CG463" s="1065"/>
      <c r="CH463" s="1065"/>
      <c r="CI463" s="1065"/>
      <c r="CJ463" s="1065"/>
      <c r="CK463" s="1065"/>
      <c r="CL463" s="1065"/>
      <c r="CM463" s="1065"/>
      <c r="CN463" s="1065"/>
      <c r="CO463" s="1065"/>
      <c r="CP463" s="1065"/>
      <c r="CQ463" s="1065"/>
      <c r="CR463" s="1065"/>
      <c r="CS463" s="1065"/>
      <c r="CT463" s="1065"/>
      <c r="CU463" s="1065"/>
      <c r="CV463" s="1065"/>
      <c r="CW463" s="1065"/>
      <c r="CX463" s="1065"/>
      <c r="CY463" s="1065"/>
      <c r="CZ463" s="1065"/>
      <c r="DA463" s="1065"/>
      <c r="DB463" s="1065"/>
    </row>
    <row r="464" spans="1:106" ht="15" customHeight="1" thickBot="1">
      <c r="A464" s="1065"/>
      <c r="B464" s="1065"/>
      <c r="C464" s="1794" t="s">
        <v>662</v>
      </c>
      <c r="D464" s="1795" t="s">
        <v>837</v>
      </c>
      <c r="E464" s="1795"/>
      <c r="F464" s="1795"/>
      <c r="G464" s="1795"/>
      <c r="H464" s="1774" t="s">
        <v>657</v>
      </c>
      <c r="I464" s="1774"/>
      <c r="J464" s="1747" t="s">
        <v>838</v>
      </c>
      <c r="K464" s="1747"/>
      <c r="L464" s="1747"/>
      <c r="M464" s="1775" t="s">
        <v>839</v>
      </c>
      <c r="N464" s="1775"/>
      <c r="O464" s="1775"/>
      <c r="P464" s="1775"/>
      <c r="Q464" s="1775"/>
      <c r="R464" s="1775"/>
      <c r="S464" s="1103">
        <f>580*2</f>
        <v>1160</v>
      </c>
      <c r="T464" s="1187">
        <v>2960</v>
      </c>
      <c r="U464" s="1797">
        <f>SUM(T464:T498)</f>
        <v>90560</v>
      </c>
      <c r="V464" s="1065"/>
      <c r="W464" s="1065"/>
      <c r="X464" s="1065"/>
      <c r="Y464" s="1065"/>
      <c r="Z464" s="1065"/>
      <c r="AA464" s="1065"/>
      <c r="AB464" s="1065"/>
      <c r="AC464" s="1065"/>
      <c r="AD464" s="1065"/>
      <c r="AE464" s="1065"/>
      <c r="AF464" s="1065"/>
      <c r="AG464" s="1065"/>
      <c r="AH464" s="1065"/>
      <c r="AI464" s="1065"/>
      <c r="AJ464" s="1065"/>
      <c r="AK464" s="1065"/>
      <c r="AL464" s="1065"/>
      <c r="AM464" s="1065"/>
      <c r="AN464" s="1065"/>
      <c r="AO464" s="1065"/>
      <c r="AP464" s="1065"/>
      <c r="AQ464" s="1065"/>
      <c r="AR464" s="1065"/>
      <c r="AS464" s="1065"/>
      <c r="AT464" s="1065"/>
      <c r="AU464" s="1065"/>
      <c r="AV464" s="1065"/>
      <c r="AW464" s="1065"/>
      <c r="AX464" s="1065"/>
      <c r="AY464" s="1065"/>
      <c r="AZ464" s="1065"/>
      <c r="BA464" s="1065"/>
      <c r="BB464" s="1065"/>
      <c r="BC464" s="1065"/>
      <c r="BD464" s="1065"/>
      <c r="BE464" s="1065"/>
      <c r="BF464" s="1065"/>
      <c r="BG464" s="1065"/>
      <c r="BH464" s="1065"/>
      <c r="BI464" s="1065"/>
      <c r="BJ464" s="1065"/>
      <c r="BK464" s="1065"/>
      <c r="BL464" s="1065"/>
      <c r="BM464" s="1065"/>
      <c r="BN464" s="1065"/>
      <c r="BO464" s="1065"/>
      <c r="BP464" s="1065"/>
      <c r="BQ464" s="1065"/>
      <c r="BR464" s="1065"/>
      <c r="BS464" s="1065"/>
      <c r="BT464" s="1065"/>
      <c r="BU464" s="1065"/>
      <c r="BV464" s="1065"/>
      <c r="BW464" s="1065"/>
      <c r="BX464" s="1065"/>
      <c r="BY464" s="1065"/>
      <c r="BZ464" s="1065"/>
      <c r="CA464" s="1065"/>
      <c r="CB464" s="1065"/>
      <c r="CC464" s="1065"/>
      <c r="CD464" s="1065"/>
      <c r="CE464" s="1065"/>
      <c r="CF464" s="1065"/>
      <c r="CG464" s="1065"/>
      <c r="CH464" s="1065"/>
      <c r="CI464" s="1065"/>
      <c r="CJ464" s="1065"/>
      <c r="CK464" s="1065"/>
      <c r="CL464" s="1065"/>
      <c r="CM464" s="1065"/>
      <c r="CN464" s="1065"/>
      <c r="CO464" s="1065"/>
      <c r="CP464" s="1065"/>
      <c r="CQ464" s="1065"/>
      <c r="CR464" s="1065"/>
      <c r="CS464" s="1065"/>
      <c r="CT464" s="1065"/>
      <c r="CU464" s="1065"/>
      <c r="CV464" s="1065"/>
      <c r="CW464" s="1065"/>
      <c r="CX464" s="1065"/>
      <c r="CY464" s="1065"/>
      <c r="CZ464" s="1065"/>
      <c r="DA464" s="1065"/>
      <c r="DB464" s="1065"/>
    </row>
    <row r="465" spans="1:106" ht="15" customHeight="1" thickBot="1">
      <c r="A465" s="1065"/>
      <c r="B465" s="1065"/>
      <c r="C465" s="1794"/>
      <c r="D465" s="1795"/>
      <c r="E465" s="1795"/>
      <c r="F465" s="1795"/>
      <c r="G465" s="1795"/>
      <c r="H465" s="1774"/>
      <c r="I465" s="1774"/>
      <c r="J465" s="1756" t="s">
        <v>840</v>
      </c>
      <c r="K465" s="1756"/>
      <c r="L465" s="1756"/>
      <c r="M465" s="1678" t="s">
        <v>841</v>
      </c>
      <c r="N465" s="1678"/>
      <c r="O465" s="1678"/>
      <c r="P465" s="1678"/>
      <c r="Q465" s="1678"/>
      <c r="R465" s="1678"/>
      <c r="S465" s="1097">
        <v>1160</v>
      </c>
      <c r="T465" s="1188">
        <v>1160</v>
      </c>
      <c r="U465" s="1797"/>
      <c r="V465" s="1065"/>
      <c r="W465" s="1065"/>
      <c r="X465" s="1065"/>
      <c r="Y465" s="1065"/>
      <c r="Z465" s="1065"/>
      <c r="AA465" s="1065"/>
      <c r="AB465" s="1065"/>
      <c r="AC465" s="1065"/>
      <c r="AD465" s="1065"/>
      <c r="AE465" s="1065"/>
      <c r="AF465" s="1065"/>
      <c r="AG465" s="1065"/>
      <c r="AH465" s="1065"/>
      <c r="AI465" s="1065"/>
      <c r="AJ465" s="1065"/>
      <c r="AK465" s="1065"/>
      <c r="AL465" s="1065"/>
      <c r="AM465" s="1065"/>
      <c r="AN465" s="1065"/>
      <c r="AO465" s="1065"/>
      <c r="AP465" s="1065"/>
      <c r="AQ465" s="1065"/>
      <c r="AR465" s="1065"/>
      <c r="AS465" s="1065"/>
      <c r="AT465" s="1065"/>
      <c r="AU465" s="1065"/>
      <c r="AV465" s="1065"/>
      <c r="AW465" s="1065"/>
      <c r="AX465" s="1065"/>
      <c r="AY465" s="1065"/>
      <c r="AZ465" s="1065"/>
      <c r="BA465" s="1065"/>
      <c r="BB465" s="1065"/>
      <c r="BC465" s="1065"/>
      <c r="BD465" s="1065"/>
      <c r="BE465" s="1065"/>
      <c r="BF465" s="1065"/>
      <c r="BG465" s="1065"/>
      <c r="BH465" s="1065"/>
      <c r="BI465" s="1065"/>
      <c r="BJ465" s="1065"/>
      <c r="BK465" s="1065"/>
      <c r="BL465" s="1065"/>
      <c r="BM465" s="1065"/>
      <c r="BN465" s="1065"/>
      <c r="BO465" s="1065"/>
      <c r="BP465" s="1065"/>
      <c r="BQ465" s="1065"/>
      <c r="BR465" s="1065"/>
      <c r="BS465" s="1065"/>
      <c r="BT465" s="1065"/>
      <c r="BU465" s="1065"/>
      <c r="BV465" s="1065"/>
      <c r="BW465" s="1065"/>
      <c r="BX465" s="1065"/>
      <c r="BY465" s="1065"/>
      <c r="BZ465" s="1065"/>
      <c r="CA465" s="1065"/>
      <c r="CB465" s="1065"/>
      <c r="CC465" s="1065"/>
      <c r="CD465" s="1065"/>
      <c r="CE465" s="1065"/>
      <c r="CF465" s="1065"/>
      <c r="CG465" s="1065"/>
      <c r="CH465" s="1065"/>
      <c r="CI465" s="1065"/>
      <c r="CJ465" s="1065"/>
      <c r="CK465" s="1065"/>
      <c r="CL465" s="1065"/>
      <c r="CM465" s="1065"/>
      <c r="CN465" s="1065"/>
      <c r="CO465" s="1065"/>
      <c r="CP465" s="1065"/>
      <c r="CQ465" s="1065"/>
      <c r="CR465" s="1065"/>
      <c r="CS465" s="1065"/>
      <c r="CT465" s="1065"/>
      <c r="CU465" s="1065"/>
      <c r="CV465" s="1065"/>
      <c r="CW465" s="1065"/>
      <c r="CX465" s="1065"/>
      <c r="CY465" s="1065"/>
      <c r="CZ465" s="1065"/>
      <c r="DA465" s="1065"/>
      <c r="DB465" s="1065"/>
    </row>
    <row r="466" spans="1:106" ht="15" customHeight="1" thickBot="1">
      <c r="A466" s="1065"/>
      <c r="B466" s="1065"/>
      <c r="C466" s="1794"/>
      <c r="D466" s="1795"/>
      <c r="E466" s="1795"/>
      <c r="F466" s="1795"/>
      <c r="G466" s="1795"/>
      <c r="H466" s="1774"/>
      <c r="I466" s="1774"/>
      <c r="J466" s="1776" t="s">
        <v>842</v>
      </c>
      <c r="K466" s="1776"/>
      <c r="L466" s="1776"/>
      <c r="M466" s="1792" t="s">
        <v>843</v>
      </c>
      <c r="N466" s="1792"/>
      <c r="O466" s="1792"/>
      <c r="P466" s="1792"/>
      <c r="Q466" s="1792"/>
      <c r="R466" s="1792"/>
      <c r="S466" s="1112">
        <f>1160+1800</f>
        <v>2960</v>
      </c>
      <c r="T466" s="1189">
        <v>2960</v>
      </c>
      <c r="U466" s="1797"/>
      <c r="V466" s="1065"/>
      <c r="W466" s="1065"/>
      <c r="X466" s="1065"/>
      <c r="Y466" s="1065"/>
      <c r="Z466" s="1065"/>
      <c r="AA466" s="1065"/>
      <c r="AB466" s="1065"/>
      <c r="AC466" s="1065"/>
      <c r="AD466" s="1065"/>
      <c r="AE466" s="1065"/>
      <c r="AF466" s="1065"/>
      <c r="AG466" s="1065"/>
      <c r="AH466" s="1065"/>
      <c r="AI466" s="1065"/>
      <c r="AJ466" s="1065"/>
      <c r="AK466" s="1065"/>
      <c r="AL466" s="1065"/>
      <c r="AM466" s="1065"/>
      <c r="AN466" s="1065"/>
      <c r="AO466" s="1065"/>
      <c r="AP466" s="1065"/>
      <c r="AQ466" s="1065"/>
      <c r="AR466" s="1065"/>
      <c r="AS466" s="1065"/>
      <c r="AT466" s="1065"/>
      <c r="AU466" s="1065"/>
      <c r="AV466" s="1065"/>
      <c r="AW466" s="1065"/>
      <c r="AX466" s="1065"/>
      <c r="AY466" s="1065"/>
      <c r="AZ466" s="1065"/>
      <c r="BA466" s="1065"/>
      <c r="BB466" s="1065"/>
      <c r="BC466" s="1065"/>
      <c r="BD466" s="1065"/>
      <c r="BE466" s="1065"/>
      <c r="BF466" s="1065"/>
      <c r="BG466" s="1065"/>
      <c r="BH466" s="1065"/>
      <c r="BI466" s="1065"/>
      <c r="BJ466" s="1065"/>
      <c r="BK466" s="1065"/>
      <c r="BL466" s="1065"/>
      <c r="BM466" s="1065"/>
      <c r="BN466" s="1065"/>
      <c r="BO466" s="1065"/>
      <c r="BP466" s="1065"/>
      <c r="BQ466" s="1065"/>
      <c r="BR466" s="1065"/>
      <c r="BS466" s="1065"/>
      <c r="BT466" s="1065"/>
      <c r="BU466" s="1065"/>
      <c r="BV466" s="1065"/>
      <c r="BW466" s="1065"/>
      <c r="BX466" s="1065"/>
      <c r="BY466" s="1065"/>
      <c r="BZ466" s="1065"/>
      <c r="CA466" s="1065"/>
      <c r="CB466" s="1065"/>
      <c r="CC466" s="1065"/>
      <c r="CD466" s="1065"/>
      <c r="CE466" s="1065"/>
      <c r="CF466" s="1065"/>
      <c r="CG466" s="1065"/>
      <c r="CH466" s="1065"/>
      <c r="CI466" s="1065"/>
      <c r="CJ466" s="1065"/>
      <c r="CK466" s="1065"/>
      <c r="CL466" s="1065"/>
      <c r="CM466" s="1065"/>
      <c r="CN466" s="1065"/>
      <c r="CO466" s="1065"/>
      <c r="CP466" s="1065"/>
      <c r="CQ466" s="1065"/>
      <c r="CR466" s="1065"/>
      <c r="CS466" s="1065"/>
      <c r="CT466" s="1065"/>
      <c r="CU466" s="1065"/>
      <c r="CV466" s="1065"/>
      <c r="CW466" s="1065"/>
      <c r="CX466" s="1065"/>
      <c r="CY466" s="1065"/>
      <c r="CZ466" s="1065"/>
      <c r="DA466" s="1065"/>
      <c r="DB466" s="1065"/>
    </row>
    <row r="467" spans="1:106" ht="15" customHeight="1" thickBot="1">
      <c r="A467" s="1065"/>
      <c r="B467" s="1065"/>
      <c r="C467" s="1794" t="s">
        <v>300</v>
      </c>
      <c r="D467" s="1795" t="s">
        <v>837</v>
      </c>
      <c r="E467" s="1795"/>
      <c r="F467" s="1795"/>
      <c r="G467" s="1795"/>
      <c r="H467" s="1774" t="s">
        <v>657</v>
      </c>
      <c r="I467" s="1774"/>
      <c r="J467" s="1747" t="s">
        <v>838</v>
      </c>
      <c r="K467" s="1747"/>
      <c r="L467" s="1747"/>
      <c r="M467" s="1775" t="s">
        <v>844</v>
      </c>
      <c r="N467" s="1775"/>
      <c r="O467" s="1775"/>
      <c r="P467" s="1775"/>
      <c r="Q467" s="1775"/>
      <c r="R467" s="1775"/>
      <c r="S467" s="1103">
        <f>580*7</f>
        <v>4060</v>
      </c>
      <c r="T467" s="1187">
        <v>5860</v>
      </c>
      <c r="U467" s="1797"/>
      <c r="V467" s="1065"/>
      <c r="W467" s="1065"/>
      <c r="X467" s="1065"/>
      <c r="Y467" s="1065"/>
      <c r="Z467" s="1065"/>
      <c r="AA467" s="1065"/>
      <c r="AB467" s="1065"/>
      <c r="AC467" s="1065"/>
      <c r="AD467" s="1065"/>
      <c r="AE467" s="1065"/>
      <c r="AF467" s="1065"/>
      <c r="AG467" s="1065"/>
      <c r="AH467" s="1065"/>
      <c r="AI467" s="1065"/>
      <c r="AJ467" s="1065"/>
      <c r="AK467" s="1065"/>
      <c r="AL467" s="1065"/>
      <c r="AM467" s="1065"/>
      <c r="AN467" s="1065"/>
      <c r="AO467" s="1065"/>
      <c r="AP467" s="1065"/>
      <c r="AQ467" s="1065"/>
      <c r="AR467" s="1065"/>
      <c r="AS467" s="1065"/>
      <c r="AT467" s="1065"/>
      <c r="AU467" s="1065"/>
      <c r="AV467" s="1065"/>
      <c r="AW467" s="1065"/>
      <c r="AX467" s="1065"/>
      <c r="AY467" s="1065"/>
      <c r="AZ467" s="1065"/>
      <c r="BA467" s="1065"/>
      <c r="BB467" s="1065"/>
      <c r="BC467" s="1065"/>
      <c r="BD467" s="1065"/>
      <c r="BE467" s="1065"/>
      <c r="BF467" s="1065"/>
      <c r="BG467" s="1065"/>
      <c r="BH467" s="1065"/>
      <c r="BI467" s="1065"/>
      <c r="BJ467" s="1065"/>
      <c r="BK467" s="1065"/>
      <c r="BL467" s="1065"/>
      <c r="BM467" s="1065"/>
      <c r="BN467" s="1065"/>
      <c r="BO467" s="1065"/>
      <c r="BP467" s="1065"/>
      <c r="BQ467" s="1065"/>
      <c r="BR467" s="1065"/>
      <c r="BS467" s="1065"/>
      <c r="BT467" s="1065"/>
      <c r="BU467" s="1065"/>
      <c r="BV467" s="1065"/>
      <c r="BW467" s="1065"/>
      <c r="BX467" s="1065"/>
      <c r="BY467" s="1065"/>
      <c r="BZ467" s="1065"/>
      <c r="CA467" s="1065"/>
      <c r="CB467" s="1065"/>
      <c r="CC467" s="1065"/>
      <c r="CD467" s="1065"/>
      <c r="CE467" s="1065"/>
      <c r="CF467" s="1065"/>
      <c r="CG467" s="1065"/>
      <c r="CH467" s="1065"/>
      <c r="CI467" s="1065"/>
      <c r="CJ467" s="1065"/>
      <c r="CK467" s="1065"/>
      <c r="CL467" s="1065"/>
      <c r="CM467" s="1065"/>
      <c r="CN467" s="1065"/>
      <c r="CO467" s="1065"/>
      <c r="CP467" s="1065"/>
      <c r="CQ467" s="1065"/>
      <c r="CR467" s="1065"/>
      <c r="CS467" s="1065"/>
      <c r="CT467" s="1065"/>
      <c r="CU467" s="1065"/>
      <c r="CV467" s="1065"/>
      <c r="CW467" s="1065"/>
      <c r="CX467" s="1065"/>
      <c r="CY467" s="1065"/>
      <c r="CZ467" s="1065"/>
      <c r="DA467" s="1065"/>
      <c r="DB467" s="1065"/>
    </row>
    <row r="468" spans="1:106" ht="15" customHeight="1" thickBot="1">
      <c r="A468" s="1065"/>
      <c r="B468" s="1065"/>
      <c r="C468" s="1794"/>
      <c r="D468" s="1795"/>
      <c r="E468" s="1795"/>
      <c r="F468" s="1795"/>
      <c r="G468" s="1795"/>
      <c r="H468" s="1774"/>
      <c r="I468" s="1774"/>
      <c r="J468" s="1747" t="s">
        <v>845</v>
      </c>
      <c r="K468" s="1747"/>
      <c r="L468" s="1747"/>
      <c r="M468" s="1678" t="s">
        <v>846</v>
      </c>
      <c r="N468" s="1678"/>
      <c r="O468" s="1678"/>
      <c r="P468" s="1678"/>
      <c r="Q468" s="1678"/>
      <c r="R468" s="1678"/>
      <c r="S468" s="1097">
        <v>4060</v>
      </c>
      <c r="T468" s="1188">
        <v>4060</v>
      </c>
      <c r="U468" s="1797"/>
      <c r="V468" s="1065"/>
      <c r="W468" s="1065"/>
      <c r="X468" s="1065"/>
      <c r="Y468" s="1065"/>
      <c r="Z468" s="1065"/>
      <c r="AA468" s="1065"/>
      <c r="AB468" s="1065"/>
      <c r="AC468" s="1065"/>
      <c r="AD468" s="1065"/>
      <c r="AE468" s="1065"/>
      <c r="AF468" s="1065"/>
      <c r="AG468" s="1065"/>
      <c r="AH468" s="1065"/>
      <c r="AI468" s="1065"/>
      <c r="AJ468" s="1065"/>
      <c r="AK468" s="1065"/>
      <c r="AL468" s="1065"/>
      <c r="AM468" s="1065"/>
      <c r="AN468" s="1065"/>
      <c r="AO468" s="1065"/>
      <c r="AP468" s="1065"/>
      <c r="AQ468" s="1065"/>
      <c r="AR468" s="1065"/>
      <c r="AS468" s="1065"/>
      <c r="AT468" s="1065"/>
      <c r="AU468" s="1065"/>
      <c r="AV468" s="1065"/>
      <c r="AW468" s="1065"/>
      <c r="AX468" s="1065"/>
      <c r="AY468" s="1065"/>
      <c r="AZ468" s="1065"/>
      <c r="BA468" s="1065"/>
      <c r="BB468" s="1065"/>
      <c r="BC468" s="1065"/>
      <c r="BD468" s="1065"/>
      <c r="BE468" s="1065"/>
      <c r="BF468" s="1065"/>
      <c r="BG468" s="1065"/>
      <c r="BH468" s="1065"/>
      <c r="BI468" s="1065"/>
      <c r="BJ468" s="1065"/>
      <c r="BK468" s="1065"/>
      <c r="BL468" s="1065"/>
      <c r="BM468" s="1065"/>
      <c r="BN468" s="1065"/>
      <c r="BO468" s="1065"/>
      <c r="BP468" s="1065"/>
      <c r="BQ468" s="1065"/>
      <c r="BR468" s="1065"/>
      <c r="BS468" s="1065"/>
      <c r="BT468" s="1065"/>
      <c r="BU468" s="1065"/>
      <c r="BV468" s="1065"/>
      <c r="BW468" s="1065"/>
      <c r="BX468" s="1065"/>
      <c r="BY468" s="1065"/>
      <c r="BZ468" s="1065"/>
      <c r="CA468" s="1065"/>
      <c r="CB468" s="1065"/>
      <c r="CC468" s="1065"/>
      <c r="CD468" s="1065"/>
      <c r="CE468" s="1065"/>
      <c r="CF468" s="1065"/>
      <c r="CG468" s="1065"/>
      <c r="CH468" s="1065"/>
      <c r="CI468" s="1065"/>
      <c r="CJ468" s="1065"/>
      <c r="CK468" s="1065"/>
      <c r="CL468" s="1065"/>
      <c r="CM468" s="1065"/>
      <c r="CN468" s="1065"/>
      <c r="CO468" s="1065"/>
      <c r="CP468" s="1065"/>
      <c r="CQ468" s="1065"/>
      <c r="CR468" s="1065"/>
      <c r="CS468" s="1065"/>
      <c r="CT468" s="1065"/>
      <c r="CU468" s="1065"/>
      <c r="CV468" s="1065"/>
      <c r="CW468" s="1065"/>
      <c r="CX468" s="1065"/>
      <c r="CY468" s="1065"/>
      <c r="CZ468" s="1065"/>
      <c r="DA468" s="1065"/>
      <c r="DB468" s="1065"/>
    </row>
    <row r="469" spans="1:106" ht="15" customHeight="1" thickBot="1">
      <c r="A469" s="1065"/>
      <c r="B469" s="1065"/>
      <c r="C469" s="1794"/>
      <c r="D469" s="1795"/>
      <c r="E469" s="1795"/>
      <c r="F469" s="1795"/>
      <c r="G469" s="1795"/>
      <c r="H469" s="1774"/>
      <c r="I469" s="1774"/>
      <c r="J469" s="1747" t="s">
        <v>842</v>
      </c>
      <c r="K469" s="1747"/>
      <c r="L469" s="1747"/>
      <c r="M469" s="1678" t="s">
        <v>847</v>
      </c>
      <c r="N469" s="1678"/>
      <c r="O469" s="1678"/>
      <c r="P469" s="1678"/>
      <c r="Q469" s="1678"/>
      <c r="R469" s="1678"/>
      <c r="S469" s="1097">
        <f>4060+1800</f>
        <v>5860</v>
      </c>
      <c r="T469" s="1188">
        <v>4060</v>
      </c>
      <c r="U469" s="1797"/>
      <c r="V469" s="1065"/>
      <c r="W469" s="1065"/>
      <c r="X469" s="1065"/>
      <c r="Y469" s="1065"/>
      <c r="Z469" s="1065"/>
      <c r="AA469" s="1065"/>
      <c r="AB469" s="1065"/>
      <c r="AC469" s="1065"/>
      <c r="AD469" s="1065"/>
      <c r="AE469" s="1065"/>
      <c r="AF469" s="1065"/>
      <c r="AG469" s="1065"/>
      <c r="AH469" s="1065"/>
      <c r="AI469" s="1065"/>
      <c r="AJ469" s="1065"/>
      <c r="AK469" s="1065"/>
      <c r="AL469" s="1065"/>
      <c r="AM469" s="1065"/>
      <c r="AN469" s="1065"/>
      <c r="AO469" s="1065"/>
      <c r="AP469" s="1065"/>
      <c r="AQ469" s="1065"/>
      <c r="AR469" s="1065"/>
      <c r="AS469" s="1065"/>
      <c r="AT469" s="1065"/>
      <c r="AU469" s="1065"/>
      <c r="AV469" s="1065"/>
      <c r="AW469" s="1065"/>
      <c r="AX469" s="1065"/>
      <c r="AY469" s="1065"/>
      <c r="AZ469" s="1065"/>
      <c r="BA469" s="1065"/>
      <c r="BB469" s="1065"/>
      <c r="BC469" s="1065"/>
      <c r="BD469" s="1065"/>
      <c r="BE469" s="1065"/>
      <c r="BF469" s="1065"/>
      <c r="BG469" s="1065"/>
      <c r="BH469" s="1065"/>
      <c r="BI469" s="1065"/>
      <c r="BJ469" s="1065"/>
      <c r="BK469" s="1065"/>
      <c r="BL469" s="1065"/>
      <c r="BM469" s="1065"/>
      <c r="BN469" s="1065"/>
      <c r="BO469" s="1065"/>
      <c r="BP469" s="1065"/>
      <c r="BQ469" s="1065"/>
      <c r="BR469" s="1065"/>
      <c r="BS469" s="1065"/>
      <c r="BT469" s="1065"/>
      <c r="BU469" s="1065"/>
      <c r="BV469" s="1065"/>
      <c r="BW469" s="1065"/>
      <c r="BX469" s="1065"/>
      <c r="BY469" s="1065"/>
      <c r="BZ469" s="1065"/>
      <c r="CA469" s="1065"/>
      <c r="CB469" s="1065"/>
      <c r="CC469" s="1065"/>
      <c r="CD469" s="1065"/>
      <c r="CE469" s="1065"/>
      <c r="CF469" s="1065"/>
      <c r="CG469" s="1065"/>
      <c r="CH469" s="1065"/>
      <c r="CI469" s="1065"/>
      <c r="CJ469" s="1065"/>
      <c r="CK469" s="1065"/>
      <c r="CL469" s="1065"/>
      <c r="CM469" s="1065"/>
      <c r="CN469" s="1065"/>
      <c r="CO469" s="1065"/>
      <c r="CP469" s="1065"/>
      <c r="CQ469" s="1065"/>
      <c r="CR469" s="1065"/>
      <c r="CS469" s="1065"/>
      <c r="CT469" s="1065"/>
      <c r="CU469" s="1065"/>
      <c r="CV469" s="1065"/>
      <c r="CW469" s="1065"/>
      <c r="CX469" s="1065"/>
      <c r="CY469" s="1065"/>
      <c r="CZ469" s="1065"/>
      <c r="DA469" s="1065"/>
      <c r="DB469" s="1065"/>
    </row>
    <row r="470" spans="1:106" ht="15" customHeight="1" thickBot="1">
      <c r="A470" s="1065"/>
      <c r="B470" s="1065"/>
      <c r="C470" s="1794"/>
      <c r="D470" s="1795"/>
      <c r="E470" s="1795"/>
      <c r="F470" s="1795"/>
      <c r="G470" s="1795"/>
      <c r="H470" s="1774"/>
      <c r="I470" s="1774"/>
      <c r="J470" s="1776" t="s">
        <v>848</v>
      </c>
      <c r="K470" s="1776"/>
      <c r="L470" s="1776"/>
      <c r="M470" s="1792" t="s">
        <v>846</v>
      </c>
      <c r="N470" s="1792"/>
      <c r="O470" s="1792"/>
      <c r="P470" s="1792"/>
      <c r="Q470" s="1792"/>
      <c r="R470" s="1792"/>
      <c r="S470" s="1112">
        <v>0</v>
      </c>
      <c r="T470" s="1189">
        <v>5860</v>
      </c>
      <c r="U470" s="1797"/>
      <c r="V470" s="1065"/>
      <c r="W470" s="1065"/>
      <c r="X470" s="1065"/>
      <c r="Y470" s="1065"/>
      <c r="Z470" s="1065"/>
      <c r="AA470" s="1065"/>
      <c r="AB470" s="1065"/>
      <c r="AC470" s="1065"/>
      <c r="AD470" s="1065"/>
      <c r="AE470" s="1065"/>
      <c r="AF470" s="1065"/>
      <c r="AG470" s="1065"/>
      <c r="AH470" s="1065"/>
      <c r="AI470" s="1065"/>
      <c r="AJ470" s="1065"/>
      <c r="AK470" s="1065"/>
      <c r="AL470" s="1065"/>
      <c r="AM470" s="1065"/>
      <c r="AN470" s="1065"/>
      <c r="AO470" s="1065"/>
      <c r="AP470" s="1065"/>
      <c r="AQ470" s="1065"/>
      <c r="AR470" s="1065"/>
      <c r="AS470" s="1065"/>
      <c r="AT470" s="1065"/>
      <c r="AU470" s="1065"/>
      <c r="AV470" s="1065"/>
      <c r="AW470" s="1065"/>
      <c r="AX470" s="1065"/>
      <c r="AY470" s="1065"/>
      <c r="AZ470" s="1065"/>
      <c r="BA470" s="1065"/>
      <c r="BB470" s="1065"/>
      <c r="BC470" s="1065"/>
      <c r="BD470" s="1065"/>
      <c r="BE470" s="1065"/>
      <c r="BF470" s="1065"/>
      <c r="BG470" s="1065"/>
      <c r="BH470" s="1065"/>
      <c r="BI470" s="1065"/>
      <c r="BJ470" s="1065"/>
      <c r="BK470" s="1065"/>
      <c r="BL470" s="1065"/>
      <c r="BM470" s="1065"/>
      <c r="BN470" s="1065"/>
      <c r="BO470" s="1065"/>
      <c r="BP470" s="1065"/>
      <c r="BQ470" s="1065"/>
      <c r="BR470" s="1065"/>
      <c r="BS470" s="1065"/>
      <c r="BT470" s="1065"/>
      <c r="BU470" s="1065"/>
      <c r="BV470" s="1065"/>
      <c r="BW470" s="1065"/>
      <c r="BX470" s="1065"/>
      <c r="BY470" s="1065"/>
      <c r="BZ470" s="1065"/>
      <c r="CA470" s="1065"/>
      <c r="CB470" s="1065"/>
      <c r="CC470" s="1065"/>
      <c r="CD470" s="1065"/>
      <c r="CE470" s="1065"/>
      <c r="CF470" s="1065"/>
      <c r="CG470" s="1065"/>
      <c r="CH470" s="1065"/>
      <c r="CI470" s="1065"/>
      <c r="CJ470" s="1065"/>
      <c r="CK470" s="1065"/>
      <c r="CL470" s="1065"/>
      <c r="CM470" s="1065"/>
      <c r="CN470" s="1065"/>
      <c r="CO470" s="1065"/>
      <c r="CP470" s="1065"/>
      <c r="CQ470" s="1065"/>
      <c r="CR470" s="1065"/>
      <c r="CS470" s="1065"/>
      <c r="CT470" s="1065"/>
      <c r="CU470" s="1065"/>
      <c r="CV470" s="1065"/>
      <c r="CW470" s="1065"/>
      <c r="CX470" s="1065"/>
      <c r="CY470" s="1065"/>
      <c r="CZ470" s="1065"/>
      <c r="DA470" s="1065"/>
      <c r="DB470" s="1065"/>
    </row>
    <row r="471" spans="1:106" ht="15" customHeight="1" thickBot="1">
      <c r="A471" s="1065"/>
      <c r="B471" s="1065"/>
      <c r="C471" s="1785" t="s">
        <v>686</v>
      </c>
      <c r="D471" s="1786" t="s">
        <v>837</v>
      </c>
      <c r="E471" s="1786"/>
      <c r="F471" s="1786"/>
      <c r="G471" s="1786"/>
      <c r="H471" s="1787" t="s">
        <v>657</v>
      </c>
      <c r="I471" s="1787"/>
      <c r="J471" s="1789" t="s">
        <v>842</v>
      </c>
      <c r="K471" s="1789"/>
      <c r="L471" s="1789"/>
      <c r="M471" s="1775" t="s">
        <v>843</v>
      </c>
      <c r="N471" s="1775"/>
      <c r="O471" s="1775"/>
      <c r="P471" s="1775"/>
      <c r="Q471" s="1775"/>
      <c r="R471" s="1775"/>
      <c r="S471" s="1103">
        <f>1160+1800</f>
        <v>2960</v>
      </c>
      <c r="T471" s="1187">
        <v>2960</v>
      </c>
      <c r="U471" s="1797"/>
      <c r="V471" s="1065"/>
      <c r="W471" s="1065"/>
      <c r="X471" s="1065"/>
      <c r="Y471" s="1065"/>
      <c r="Z471" s="1065"/>
      <c r="AA471" s="1065"/>
      <c r="AB471" s="1065"/>
      <c r="AC471" s="1065"/>
      <c r="AD471" s="1065"/>
      <c r="AE471" s="1065"/>
      <c r="AF471" s="1065"/>
      <c r="AG471" s="1065"/>
      <c r="AH471" s="1065"/>
      <c r="AI471" s="1065"/>
      <c r="AJ471" s="1065"/>
      <c r="AK471" s="1065"/>
      <c r="AL471" s="1065"/>
      <c r="AM471" s="1065"/>
      <c r="AN471" s="1065"/>
      <c r="AO471" s="1065"/>
      <c r="AP471" s="1065"/>
      <c r="AQ471" s="1065"/>
      <c r="AR471" s="1065"/>
      <c r="AS471" s="1065"/>
      <c r="AT471" s="1065"/>
      <c r="AU471" s="1065"/>
      <c r="AV471" s="1065"/>
      <c r="AW471" s="1065"/>
      <c r="AX471" s="1065"/>
      <c r="AY471" s="1065"/>
      <c r="AZ471" s="1065"/>
      <c r="BA471" s="1065"/>
      <c r="BB471" s="1065"/>
      <c r="BC471" s="1065"/>
      <c r="BD471" s="1065"/>
      <c r="BE471" s="1065"/>
      <c r="BF471" s="1065"/>
      <c r="BG471" s="1065"/>
      <c r="BH471" s="1065"/>
      <c r="BI471" s="1065"/>
      <c r="BJ471" s="1065"/>
      <c r="BK471" s="1065"/>
      <c r="BL471" s="1065"/>
      <c r="BM471" s="1065"/>
      <c r="BN471" s="1065"/>
      <c r="BO471" s="1065"/>
      <c r="BP471" s="1065"/>
      <c r="BQ471" s="1065"/>
      <c r="BR471" s="1065"/>
      <c r="BS471" s="1065"/>
      <c r="BT471" s="1065"/>
      <c r="BU471" s="1065"/>
      <c r="BV471" s="1065"/>
      <c r="BW471" s="1065"/>
      <c r="BX471" s="1065"/>
      <c r="BY471" s="1065"/>
      <c r="BZ471" s="1065"/>
      <c r="CA471" s="1065"/>
      <c r="CB471" s="1065"/>
      <c r="CC471" s="1065"/>
      <c r="CD471" s="1065"/>
      <c r="CE471" s="1065"/>
      <c r="CF471" s="1065"/>
      <c r="CG471" s="1065"/>
      <c r="CH471" s="1065"/>
      <c r="CI471" s="1065"/>
      <c r="CJ471" s="1065"/>
      <c r="CK471" s="1065"/>
      <c r="CL471" s="1065"/>
      <c r="CM471" s="1065"/>
      <c r="CN471" s="1065"/>
      <c r="CO471" s="1065"/>
      <c r="CP471" s="1065"/>
      <c r="CQ471" s="1065"/>
      <c r="CR471" s="1065"/>
      <c r="CS471" s="1065"/>
      <c r="CT471" s="1065"/>
      <c r="CU471" s="1065"/>
      <c r="CV471" s="1065"/>
      <c r="CW471" s="1065"/>
      <c r="CX471" s="1065"/>
      <c r="CY471" s="1065"/>
      <c r="CZ471" s="1065"/>
      <c r="DA471" s="1065"/>
      <c r="DB471" s="1065"/>
    </row>
    <row r="472" spans="1:106" ht="15" customHeight="1" thickBot="1">
      <c r="A472" s="1065"/>
      <c r="B472" s="1065"/>
      <c r="C472" s="1785"/>
      <c r="D472" s="1786"/>
      <c r="E472" s="1786"/>
      <c r="F472" s="1786"/>
      <c r="G472" s="1786"/>
      <c r="H472" s="1787"/>
      <c r="I472" s="1787"/>
      <c r="J472" s="1776" t="s">
        <v>838</v>
      </c>
      <c r="K472" s="1776"/>
      <c r="L472" s="1776"/>
      <c r="M472" s="1678" t="s">
        <v>841</v>
      </c>
      <c r="N472" s="1678"/>
      <c r="O472" s="1678"/>
      <c r="P472" s="1678"/>
      <c r="Q472" s="1678"/>
      <c r="R472" s="1678"/>
      <c r="S472" s="1097">
        <f>580*2</f>
        <v>1160</v>
      </c>
      <c r="T472" s="1188">
        <v>1160</v>
      </c>
      <c r="U472" s="1797"/>
      <c r="V472" s="1065"/>
      <c r="W472" s="1065"/>
      <c r="X472" s="1065"/>
      <c r="Y472" s="1065"/>
      <c r="Z472" s="1065"/>
      <c r="AA472" s="1065"/>
      <c r="AB472" s="1065"/>
      <c r="AC472" s="1065"/>
      <c r="AD472" s="1065"/>
      <c r="AE472" s="1065"/>
      <c r="AF472" s="1065"/>
      <c r="AG472" s="1065"/>
      <c r="AH472" s="1065"/>
      <c r="AI472" s="1065"/>
      <c r="AJ472" s="1065"/>
      <c r="AK472" s="1065"/>
      <c r="AL472" s="1065"/>
      <c r="AM472" s="1065"/>
      <c r="AN472" s="1065"/>
      <c r="AO472" s="1065"/>
      <c r="AP472" s="1065"/>
      <c r="AQ472" s="1065"/>
      <c r="AR472" s="1065"/>
      <c r="AS472" s="1065"/>
      <c r="AT472" s="1065"/>
      <c r="AU472" s="1065"/>
      <c r="AV472" s="1065"/>
      <c r="AW472" s="1065"/>
      <c r="AX472" s="1065"/>
      <c r="AY472" s="1065"/>
      <c r="AZ472" s="1065"/>
      <c r="BA472" s="1065"/>
      <c r="BB472" s="1065"/>
      <c r="BC472" s="1065"/>
      <c r="BD472" s="1065"/>
      <c r="BE472" s="1065"/>
      <c r="BF472" s="1065"/>
      <c r="BG472" s="1065"/>
      <c r="BH472" s="1065"/>
      <c r="BI472" s="1065"/>
      <c r="BJ472" s="1065"/>
      <c r="BK472" s="1065"/>
      <c r="BL472" s="1065"/>
      <c r="BM472" s="1065"/>
      <c r="BN472" s="1065"/>
      <c r="BO472" s="1065"/>
      <c r="BP472" s="1065"/>
      <c r="BQ472" s="1065"/>
      <c r="BR472" s="1065"/>
      <c r="BS472" s="1065"/>
      <c r="BT472" s="1065"/>
      <c r="BU472" s="1065"/>
      <c r="BV472" s="1065"/>
      <c r="BW472" s="1065"/>
      <c r="BX472" s="1065"/>
      <c r="BY472" s="1065"/>
      <c r="BZ472" s="1065"/>
      <c r="CA472" s="1065"/>
      <c r="CB472" s="1065"/>
      <c r="CC472" s="1065"/>
      <c r="CD472" s="1065"/>
      <c r="CE472" s="1065"/>
      <c r="CF472" s="1065"/>
      <c r="CG472" s="1065"/>
      <c r="CH472" s="1065"/>
      <c r="CI472" s="1065"/>
      <c r="CJ472" s="1065"/>
      <c r="CK472" s="1065"/>
      <c r="CL472" s="1065"/>
      <c r="CM472" s="1065"/>
      <c r="CN472" s="1065"/>
      <c r="CO472" s="1065"/>
      <c r="CP472" s="1065"/>
      <c r="CQ472" s="1065"/>
      <c r="CR472" s="1065"/>
      <c r="CS472" s="1065"/>
      <c r="CT472" s="1065"/>
      <c r="CU472" s="1065"/>
      <c r="CV472" s="1065"/>
      <c r="CW472" s="1065"/>
      <c r="CX472" s="1065"/>
      <c r="CY472" s="1065"/>
      <c r="CZ472" s="1065"/>
      <c r="DA472" s="1065"/>
      <c r="DB472" s="1065"/>
    </row>
    <row r="473" spans="1:106" ht="15" customHeight="1" thickBot="1">
      <c r="A473" s="1065"/>
      <c r="B473" s="1065"/>
      <c r="C473" s="1785"/>
      <c r="D473" s="1786"/>
      <c r="E473" s="1786"/>
      <c r="F473" s="1786"/>
      <c r="G473" s="1786"/>
      <c r="H473" s="1787"/>
      <c r="I473" s="1787"/>
      <c r="J473" s="1704"/>
      <c r="K473" s="1704"/>
      <c r="L473" s="1704"/>
      <c r="M473" s="1706"/>
      <c r="N473" s="1706"/>
      <c r="O473" s="1706"/>
      <c r="P473" s="1706"/>
      <c r="Q473" s="1706"/>
      <c r="R473" s="1706"/>
      <c r="S473" s="1098"/>
      <c r="T473" s="1190">
        <v>2960</v>
      </c>
      <c r="U473" s="1797"/>
      <c r="V473" s="1065"/>
      <c r="W473" s="1065"/>
      <c r="X473" s="1065"/>
      <c r="Y473" s="1065"/>
      <c r="Z473" s="1065"/>
      <c r="AA473" s="1065"/>
      <c r="AB473" s="1065"/>
      <c r="AC473" s="1065"/>
      <c r="AD473" s="1065"/>
      <c r="AE473" s="1065"/>
      <c r="AF473" s="1065"/>
      <c r="AG473" s="1065"/>
      <c r="AH473" s="1065"/>
      <c r="AI473" s="1065"/>
      <c r="AJ473" s="1065"/>
      <c r="AK473" s="1065"/>
      <c r="AL473" s="1065"/>
      <c r="AM473" s="1065"/>
      <c r="AN473" s="1065"/>
      <c r="AO473" s="1065"/>
      <c r="AP473" s="1065"/>
      <c r="AQ473" s="1065"/>
      <c r="AR473" s="1065"/>
      <c r="AS473" s="1065"/>
      <c r="AT473" s="1065"/>
      <c r="AU473" s="1065"/>
      <c r="AV473" s="1065"/>
      <c r="AW473" s="1065"/>
      <c r="AX473" s="1065"/>
      <c r="AY473" s="1065"/>
      <c r="AZ473" s="1065"/>
      <c r="BA473" s="1065"/>
      <c r="BB473" s="1065"/>
      <c r="BC473" s="1065"/>
      <c r="BD473" s="1065"/>
      <c r="BE473" s="1065"/>
      <c r="BF473" s="1065"/>
      <c r="BG473" s="1065"/>
      <c r="BH473" s="1065"/>
      <c r="BI473" s="1065"/>
      <c r="BJ473" s="1065"/>
      <c r="BK473" s="1065"/>
      <c r="BL473" s="1065"/>
      <c r="BM473" s="1065"/>
      <c r="BN473" s="1065"/>
      <c r="BO473" s="1065"/>
      <c r="BP473" s="1065"/>
      <c r="BQ473" s="1065"/>
      <c r="BR473" s="1065"/>
      <c r="BS473" s="1065"/>
      <c r="BT473" s="1065"/>
      <c r="BU473" s="1065"/>
      <c r="BV473" s="1065"/>
      <c r="BW473" s="1065"/>
      <c r="BX473" s="1065"/>
      <c r="BY473" s="1065"/>
      <c r="BZ473" s="1065"/>
      <c r="CA473" s="1065"/>
      <c r="CB473" s="1065"/>
      <c r="CC473" s="1065"/>
      <c r="CD473" s="1065"/>
      <c r="CE473" s="1065"/>
      <c r="CF473" s="1065"/>
      <c r="CG473" s="1065"/>
      <c r="CH473" s="1065"/>
      <c r="CI473" s="1065"/>
      <c r="CJ473" s="1065"/>
      <c r="CK473" s="1065"/>
      <c r="CL473" s="1065"/>
      <c r="CM473" s="1065"/>
      <c r="CN473" s="1065"/>
      <c r="CO473" s="1065"/>
      <c r="CP473" s="1065"/>
      <c r="CQ473" s="1065"/>
      <c r="CR473" s="1065"/>
      <c r="CS473" s="1065"/>
      <c r="CT473" s="1065"/>
      <c r="CU473" s="1065"/>
      <c r="CV473" s="1065"/>
      <c r="CW473" s="1065"/>
      <c r="CX473" s="1065"/>
      <c r="CY473" s="1065"/>
      <c r="CZ473" s="1065"/>
      <c r="DA473" s="1065"/>
      <c r="DB473" s="1065"/>
    </row>
    <row r="474" spans="1:106" ht="15" customHeight="1" thickBot="1">
      <c r="A474" s="1065"/>
      <c r="B474" s="1065"/>
      <c r="C474" s="1798" t="s">
        <v>301</v>
      </c>
      <c r="D474" s="1779" t="s">
        <v>837</v>
      </c>
      <c r="E474" s="1779"/>
      <c r="F474" s="1779"/>
      <c r="G474" s="1779"/>
      <c r="H474" s="1780" t="s">
        <v>657</v>
      </c>
      <c r="I474" s="1780"/>
      <c r="J474" s="1748" t="s">
        <v>845</v>
      </c>
      <c r="K474" s="1748"/>
      <c r="L474" s="1748"/>
      <c r="M474" s="1731" t="s">
        <v>849</v>
      </c>
      <c r="N474" s="1731"/>
      <c r="O474" s="1731"/>
      <c r="P474" s="1731"/>
      <c r="Q474" s="1731"/>
      <c r="R474" s="1731"/>
      <c r="S474" s="1095">
        <f>580</f>
        <v>580</v>
      </c>
      <c r="T474" s="1074">
        <v>3080</v>
      </c>
      <c r="U474" s="1797"/>
      <c r="V474" s="1065"/>
      <c r="W474" s="1065"/>
      <c r="X474" s="1065"/>
      <c r="Y474" s="1065"/>
      <c r="Z474" s="1065"/>
      <c r="AA474" s="1065"/>
      <c r="AB474" s="1065"/>
      <c r="AC474" s="1065"/>
      <c r="AD474" s="1065"/>
      <c r="AE474" s="1065"/>
      <c r="AF474" s="1065"/>
      <c r="AG474" s="1065"/>
      <c r="AH474" s="1065"/>
      <c r="AI474" s="1065"/>
      <c r="AJ474" s="1065"/>
      <c r="AK474" s="1065"/>
      <c r="AL474" s="1065"/>
      <c r="AM474" s="1065"/>
      <c r="AN474" s="1065"/>
      <c r="AO474" s="1065"/>
      <c r="AP474" s="1065"/>
      <c r="AQ474" s="1065"/>
      <c r="AR474" s="1065"/>
      <c r="AS474" s="1065"/>
      <c r="AT474" s="1065"/>
      <c r="AU474" s="1065"/>
      <c r="AV474" s="1065"/>
      <c r="AW474" s="1065"/>
      <c r="AX474" s="1065"/>
      <c r="AY474" s="1065"/>
      <c r="AZ474" s="1065"/>
      <c r="BA474" s="1065"/>
      <c r="BB474" s="1065"/>
      <c r="BC474" s="1065"/>
      <c r="BD474" s="1065"/>
      <c r="BE474" s="1065"/>
      <c r="BF474" s="1065"/>
      <c r="BG474" s="1065"/>
      <c r="BH474" s="1065"/>
      <c r="BI474" s="1065"/>
      <c r="BJ474" s="1065"/>
      <c r="BK474" s="1065"/>
      <c r="BL474" s="1065"/>
      <c r="BM474" s="1065"/>
      <c r="BN474" s="1065"/>
      <c r="BO474" s="1065"/>
      <c r="BP474" s="1065"/>
      <c r="BQ474" s="1065"/>
      <c r="BR474" s="1065"/>
      <c r="BS474" s="1065"/>
      <c r="BT474" s="1065"/>
      <c r="BU474" s="1065"/>
      <c r="BV474" s="1065"/>
      <c r="BW474" s="1065"/>
      <c r="BX474" s="1065"/>
      <c r="BY474" s="1065"/>
      <c r="BZ474" s="1065"/>
      <c r="CA474" s="1065"/>
      <c r="CB474" s="1065"/>
      <c r="CC474" s="1065"/>
      <c r="CD474" s="1065"/>
      <c r="CE474" s="1065"/>
      <c r="CF474" s="1065"/>
      <c r="CG474" s="1065"/>
      <c r="CH474" s="1065"/>
      <c r="CI474" s="1065"/>
      <c r="CJ474" s="1065"/>
      <c r="CK474" s="1065"/>
      <c r="CL474" s="1065"/>
      <c r="CM474" s="1065"/>
      <c r="CN474" s="1065"/>
      <c r="CO474" s="1065"/>
      <c r="CP474" s="1065"/>
      <c r="CQ474" s="1065"/>
      <c r="CR474" s="1065"/>
      <c r="CS474" s="1065"/>
      <c r="CT474" s="1065"/>
      <c r="CU474" s="1065"/>
      <c r="CV474" s="1065"/>
      <c r="CW474" s="1065"/>
      <c r="CX474" s="1065"/>
      <c r="CY474" s="1065"/>
      <c r="CZ474" s="1065"/>
      <c r="DA474" s="1065"/>
      <c r="DB474" s="1065"/>
    </row>
    <row r="475" spans="1:106" ht="15" customHeight="1" thickBot="1">
      <c r="A475" s="1065"/>
      <c r="B475" s="1065"/>
      <c r="C475" s="1798"/>
      <c r="D475" s="1779"/>
      <c r="E475" s="1779"/>
      <c r="F475" s="1779"/>
      <c r="G475" s="1779"/>
      <c r="H475" s="1780"/>
      <c r="I475" s="1780"/>
      <c r="J475" s="1747" t="s">
        <v>850</v>
      </c>
      <c r="K475" s="1747"/>
      <c r="L475" s="1747"/>
      <c r="M475" s="1678" t="s">
        <v>849</v>
      </c>
      <c r="N475" s="1678"/>
      <c r="O475" s="1678"/>
      <c r="P475" s="1678"/>
      <c r="Q475" s="1678"/>
      <c r="R475" s="1678"/>
      <c r="S475" s="1097">
        <f>1800+580</f>
        <v>2380</v>
      </c>
      <c r="T475" s="1067">
        <v>580</v>
      </c>
      <c r="U475" s="1797"/>
      <c r="V475" s="1065"/>
      <c r="W475" s="1065"/>
      <c r="X475" s="1065"/>
      <c r="Y475" s="1065"/>
      <c r="Z475" s="1065"/>
      <c r="AA475" s="1065"/>
      <c r="AB475" s="1065"/>
      <c r="AC475" s="1065"/>
      <c r="AD475" s="1065"/>
      <c r="AE475" s="1065"/>
      <c r="AF475" s="1065"/>
      <c r="AG475" s="1065"/>
      <c r="AH475" s="1065"/>
      <c r="AI475" s="1065"/>
      <c r="AJ475" s="1065"/>
      <c r="AK475" s="1065"/>
      <c r="AL475" s="1065"/>
      <c r="AM475" s="1065"/>
      <c r="AN475" s="1065"/>
      <c r="AO475" s="1065"/>
      <c r="AP475" s="1065"/>
      <c r="AQ475" s="1065"/>
      <c r="AR475" s="1065"/>
      <c r="AS475" s="1065"/>
      <c r="AT475" s="1065"/>
      <c r="AU475" s="1065"/>
      <c r="AV475" s="1065"/>
      <c r="AW475" s="1065"/>
      <c r="AX475" s="1065"/>
      <c r="AY475" s="1065"/>
      <c r="AZ475" s="1065"/>
      <c r="BA475" s="1065"/>
      <c r="BB475" s="1065"/>
      <c r="BC475" s="1065"/>
      <c r="BD475" s="1065"/>
      <c r="BE475" s="1065"/>
      <c r="BF475" s="1065"/>
      <c r="BG475" s="1065"/>
      <c r="BH475" s="1065"/>
      <c r="BI475" s="1065"/>
      <c r="BJ475" s="1065"/>
      <c r="BK475" s="1065"/>
      <c r="BL475" s="1065"/>
      <c r="BM475" s="1065"/>
      <c r="BN475" s="1065"/>
      <c r="BO475" s="1065"/>
      <c r="BP475" s="1065"/>
      <c r="BQ475" s="1065"/>
      <c r="BR475" s="1065"/>
      <c r="BS475" s="1065"/>
      <c r="BT475" s="1065"/>
      <c r="BU475" s="1065"/>
      <c r="BV475" s="1065"/>
      <c r="BW475" s="1065"/>
      <c r="BX475" s="1065"/>
      <c r="BY475" s="1065"/>
      <c r="BZ475" s="1065"/>
      <c r="CA475" s="1065"/>
      <c r="CB475" s="1065"/>
      <c r="CC475" s="1065"/>
      <c r="CD475" s="1065"/>
      <c r="CE475" s="1065"/>
      <c r="CF475" s="1065"/>
      <c r="CG475" s="1065"/>
      <c r="CH475" s="1065"/>
      <c r="CI475" s="1065"/>
      <c r="CJ475" s="1065"/>
      <c r="CK475" s="1065"/>
      <c r="CL475" s="1065"/>
      <c r="CM475" s="1065"/>
      <c r="CN475" s="1065"/>
      <c r="CO475" s="1065"/>
      <c r="CP475" s="1065"/>
      <c r="CQ475" s="1065"/>
      <c r="CR475" s="1065"/>
      <c r="CS475" s="1065"/>
      <c r="CT475" s="1065"/>
      <c r="CU475" s="1065"/>
      <c r="CV475" s="1065"/>
      <c r="CW475" s="1065"/>
      <c r="CX475" s="1065"/>
      <c r="CY475" s="1065"/>
      <c r="CZ475" s="1065"/>
      <c r="DA475" s="1065"/>
      <c r="DB475" s="1065"/>
    </row>
    <row r="476" spans="1:106" ht="15" customHeight="1" thickBot="1">
      <c r="A476" s="1065"/>
      <c r="B476" s="1065"/>
      <c r="C476" s="1798"/>
      <c r="D476" s="1779"/>
      <c r="E476" s="1779"/>
      <c r="F476" s="1779"/>
      <c r="G476" s="1779"/>
      <c r="H476" s="1780"/>
      <c r="I476" s="1780"/>
      <c r="J476" s="1704" t="s">
        <v>842</v>
      </c>
      <c r="K476" s="1704"/>
      <c r="L476" s="1704"/>
      <c r="M476" s="1706" t="s">
        <v>849</v>
      </c>
      <c r="N476" s="1706"/>
      <c r="O476" s="1706"/>
      <c r="P476" s="1706"/>
      <c r="Q476" s="1706"/>
      <c r="R476" s="1706"/>
      <c r="S476" s="1112">
        <f>580+1800</f>
        <v>2380</v>
      </c>
      <c r="T476" s="1108">
        <v>3080</v>
      </c>
      <c r="U476" s="1797"/>
      <c r="V476" s="1065"/>
      <c r="W476" s="1065"/>
      <c r="X476" s="1065"/>
      <c r="Y476" s="1065"/>
      <c r="Z476" s="1065"/>
      <c r="AA476" s="1065"/>
      <c r="AB476" s="1065"/>
      <c r="AC476" s="1065"/>
      <c r="AD476" s="1065"/>
      <c r="AE476" s="1065"/>
      <c r="AF476" s="1065"/>
      <c r="AG476" s="1065"/>
      <c r="AH476" s="1065"/>
      <c r="AI476" s="1065"/>
      <c r="AJ476" s="1065"/>
      <c r="AK476" s="1065"/>
      <c r="AL476" s="1065"/>
      <c r="AM476" s="1065"/>
      <c r="AN476" s="1065"/>
      <c r="AO476" s="1065"/>
      <c r="AP476" s="1065"/>
      <c r="AQ476" s="1065"/>
      <c r="AR476" s="1065"/>
      <c r="AS476" s="1065"/>
      <c r="AT476" s="1065"/>
      <c r="AU476" s="1065"/>
      <c r="AV476" s="1065"/>
      <c r="AW476" s="1065"/>
      <c r="AX476" s="1065"/>
      <c r="AY476" s="1065"/>
      <c r="AZ476" s="1065"/>
      <c r="BA476" s="1065"/>
      <c r="BB476" s="1065"/>
      <c r="BC476" s="1065"/>
      <c r="BD476" s="1065"/>
      <c r="BE476" s="1065"/>
      <c r="BF476" s="1065"/>
      <c r="BG476" s="1065"/>
      <c r="BH476" s="1065"/>
      <c r="BI476" s="1065"/>
      <c r="BJ476" s="1065"/>
      <c r="BK476" s="1065"/>
      <c r="BL476" s="1065"/>
      <c r="BM476" s="1065"/>
      <c r="BN476" s="1065"/>
      <c r="BO476" s="1065"/>
      <c r="BP476" s="1065"/>
      <c r="BQ476" s="1065"/>
      <c r="BR476" s="1065"/>
      <c r="BS476" s="1065"/>
      <c r="BT476" s="1065"/>
      <c r="BU476" s="1065"/>
      <c r="BV476" s="1065"/>
      <c r="BW476" s="1065"/>
      <c r="BX476" s="1065"/>
      <c r="BY476" s="1065"/>
      <c r="BZ476" s="1065"/>
      <c r="CA476" s="1065"/>
      <c r="CB476" s="1065"/>
      <c r="CC476" s="1065"/>
      <c r="CD476" s="1065"/>
      <c r="CE476" s="1065"/>
      <c r="CF476" s="1065"/>
      <c r="CG476" s="1065"/>
      <c r="CH476" s="1065"/>
      <c r="CI476" s="1065"/>
      <c r="CJ476" s="1065"/>
      <c r="CK476" s="1065"/>
      <c r="CL476" s="1065"/>
      <c r="CM476" s="1065"/>
      <c r="CN476" s="1065"/>
      <c r="CO476" s="1065"/>
      <c r="CP476" s="1065"/>
      <c r="CQ476" s="1065"/>
      <c r="CR476" s="1065"/>
      <c r="CS476" s="1065"/>
      <c r="CT476" s="1065"/>
      <c r="CU476" s="1065"/>
      <c r="CV476" s="1065"/>
      <c r="CW476" s="1065"/>
      <c r="CX476" s="1065"/>
      <c r="CY476" s="1065"/>
      <c r="CZ476" s="1065"/>
      <c r="DA476" s="1065"/>
      <c r="DB476" s="1065"/>
    </row>
    <row r="477" spans="1:106" ht="15" customHeight="1" thickBot="1">
      <c r="A477" s="1065"/>
      <c r="B477" s="1065"/>
      <c r="C477" s="1785" t="s">
        <v>664</v>
      </c>
      <c r="D477" s="1692" t="s">
        <v>837</v>
      </c>
      <c r="E477" s="1692"/>
      <c r="F477" s="1692"/>
      <c r="G477" s="1692"/>
      <c r="H477" s="1787" t="s">
        <v>657</v>
      </c>
      <c r="I477" s="1787"/>
      <c r="J477" s="1748" t="s">
        <v>845</v>
      </c>
      <c r="K477" s="1748"/>
      <c r="L477" s="1748"/>
      <c r="M477" s="1775" t="s">
        <v>851</v>
      </c>
      <c r="N477" s="1775"/>
      <c r="O477" s="1775"/>
      <c r="P477" s="1775"/>
      <c r="Q477" s="1775"/>
      <c r="R477" s="1775"/>
      <c r="S477" s="1103">
        <f>2320</f>
        <v>2320</v>
      </c>
      <c r="T477" s="1072">
        <v>4120</v>
      </c>
      <c r="U477" s="1797"/>
      <c r="V477" s="1065"/>
      <c r="W477" s="1065"/>
      <c r="X477" s="1065"/>
      <c r="Y477" s="1065"/>
      <c r="Z477" s="1065"/>
      <c r="AA477" s="1065"/>
      <c r="AB477" s="1065"/>
      <c r="AC477" s="1065"/>
      <c r="AD477" s="1065"/>
      <c r="AE477" s="1065"/>
      <c r="AF477" s="1065"/>
      <c r="AG477" s="1065"/>
      <c r="AH477" s="1065"/>
      <c r="AI477" s="1065"/>
      <c r="AJ477" s="1065"/>
      <c r="AK477" s="1065"/>
      <c r="AL477" s="1065"/>
      <c r="AM477" s="1065"/>
      <c r="AN477" s="1065"/>
      <c r="AO477" s="1065"/>
      <c r="AP477" s="1065"/>
      <c r="AQ477" s="1065"/>
      <c r="AR477" s="1065"/>
      <c r="AS477" s="1065"/>
      <c r="AT477" s="1065"/>
      <c r="AU477" s="1065"/>
      <c r="AV477" s="1065"/>
      <c r="AW477" s="1065"/>
      <c r="AX477" s="1065"/>
      <c r="AY477" s="1065"/>
      <c r="AZ477" s="1065"/>
      <c r="BA477" s="1065"/>
      <c r="BB477" s="1065"/>
      <c r="BC477" s="1065"/>
      <c r="BD477" s="1065"/>
      <c r="BE477" s="1065"/>
      <c r="BF477" s="1065"/>
      <c r="BG477" s="1065"/>
      <c r="BH477" s="1065"/>
      <c r="BI477" s="1065"/>
      <c r="BJ477" s="1065"/>
      <c r="BK477" s="1065"/>
      <c r="BL477" s="1065"/>
      <c r="BM477" s="1065"/>
      <c r="BN477" s="1065"/>
      <c r="BO477" s="1065"/>
      <c r="BP477" s="1065"/>
      <c r="BQ477" s="1065"/>
      <c r="BR477" s="1065"/>
      <c r="BS477" s="1065"/>
      <c r="BT477" s="1065"/>
      <c r="BU477" s="1065"/>
      <c r="BV477" s="1065"/>
      <c r="BW477" s="1065"/>
      <c r="BX477" s="1065"/>
      <c r="BY477" s="1065"/>
      <c r="BZ477" s="1065"/>
      <c r="CA477" s="1065"/>
      <c r="CB477" s="1065"/>
      <c r="CC477" s="1065"/>
      <c r="CD477" s="1065"/>
      <c r="CE477" s="1065"/>
      <c r="CF477" s="1065"/>
      <c r="CG477" s="1065"/>
      <c r="CH477" s="1065"/>
      <c r="CI477" s="1065"/>
      <c r="CJ477" s="1065"/>
      <c r="CK477" s="1065"/>
      <c r="CL477" s="1065"/>
      <c r="CM477" s="1065"/>
      <c r="CN477" s="1065"/>
      <c r="CO477" s="1065"/>
      <c r="CP477" s="1065"/>
      <c r="CQ477" s="1065"/>
      <c r="CR477" s="1065"/>
      <c r="CS477" s="1065"/>
      <c r="CT477" s="1065"/>
      <c r="CU477" s="1065"/>
      <c r="CV477" s="1065"/>
      <c r="CW477" s="1065"/>
      <c r="CX477" s="1065"/>
      <c r="CY477" s="1065"/>
      <c r="CZ477" s="1065"/>
      <c r="DA477" s="1065"/>
      <c r="DB477" s="1065"/>
    </row>
    <row r="478" spans="1:106" ht="15" customHeight="1" thickBot="1">
      <c r="A478" s="1065"/>
      <c r="B478" s="1065"/>
      <c r="C478" s="1785"/>
      <c r="D478" s="1692"/>
      <c r="E478" s="1692"/>
      <c r="F478" s="1692"/>
      <c r="G478" s="1692"/>
      <c r="H478" s="1787"/>
      <c r="I478" s="1787"/>
      <c r="J478" s="1747" t="s">
        <v>850</v>
      </c>
      <c r="K478" s="1747"/>
      <c r="L478" s="1747"/>
      <c r="M478" s="1743" t="s">
        <v>851</v>
      </c>
      <c r="N478" s="1743"/>
      <c r="O478" s="1743"/>
      <c r="P478" s="1743"/>
      <c r="Q478" s="1743"/>
      <c r="R478" s="1743"/>
      <c r="S478" s="1097">
        <f>1800+2320</f>
        <v>4120</v>
      </c>
      <c r="T478" s="1067">
        <v>2320</v>
      </c>
      <c r="U478" s="1797"/>
      <c r="V478" s="1065"/>
      <c r="W478" s="1065"/>
      <c r="X478" s="1065"/>
      <c r="Y478" s="1065"/>
      <c r="Z478" s="1065"/>
      <c r="AA478" s="1065"/>
      <c r="AB478" s="1065"/>
      <c r="AC478" s="1065"/>
      <c r="AD478" s="1065"/>
      <c r="AE478" s="1065"/>
      <c r="AF478" s="1065"/>
      <c r="AG478" s="1065"/>
      <c r="AH478" s="1065"/>
      <c r="AI478" s="1065"/>
      <c r="AJ478" s="1065"/>
      <c r="AK478" s="1065"/>
      <c r="AL478" s="1065"/>
      <c r="AM478" s="1065"/>
      <c r="AN478" s="1065"/>
      <c r="AO478" s="1065"/>
      <c r="AP478" s="1065"/>
      <c r="AQ478" s="1065"/>
      <c r="AR478" s="1065"/>
      <c r="AS478" s="1065"/>
      <c r="AT478" s="1065"/>
      <c r="AU478" s="1065"/>
      <c r="AV478" s="1065"/>
      <c r="AW478" s="1065"/>
      <c r="AX478" s="1065"/>
      <c r="AY478" s="1065"/>
      <c r="AZ478" s="1065"/>
      <c r="BA478" s="1065"/>
      <c r="BB478" s="1065"/>
      <c r="BC478" s="1065"/>
      <c r="BD478" s="1065"/>
      <c r="BE478" s="1065"/>
      <c r="BF478" s="1065"/>
      <c r="BG478" s="1065"/>
      <c r="BH478" s="1065"/>
      <c r="BI478" s="1065"/>
      <c r="BJ478" s="1065"/>
      <c r="BK478" s="1065"/>
      <c r="BL478" s="1065"/>
      <c r="BM478" s="1065"/>
      <c r="BN478" s="1065"/>
      <c r="BO478" s="1065"/>
      <c r="BP478" s="1065"/>
      <c r="BQ478" s="1065"/>
      <c r="BR478" s="1065"/>
      <c r="BS478" s="1065"/>
      <c r="BT478" s="1065"/>
      <c r="BU478" s="1065"/>
      <c r="BV478" s="1065"/>
      <c r="BW478" s="1065"/>
      <c r="BX478" s="1065"/>
      <c r="BY478" s="1065"/>
      <c r="BZ478" s="1065"/>
      <c r="CA478" s="1065"/>
      <c r="CB478" s="1065"/>
      <c r="CC478" s="1065"/>
      <c r="CD478" s="1065"/>
      <c r="CE478" s="1065"/>
      <c r="CF478" s="1065"/>
      <c r="CG478" s="1065"/>
      <c r="CH478" s="1065"/>
      <c r="CI478" s="1065"/>
      <c r="CJ478" s="1065"/>
      <c r="CK478" s="1065"/>
      <c r="CL478" s="1065"/>
      <c r="CM478" s="1065"/>
      <c r="CN478" s="1065"/>
      <c r="CO478" s="1065"/>
      <c r="CP478" s="1065"/>
      <c r="CQ478" s="1065"/>
      <c r="CR478" s="1065"/>
      <c r="CS478" s="1065"/>
      <c r="CT478" s="1065"/>
      <c r="CU478" s="1065"/>
      <c r="CV478" s="1065"/>
      <c r="CW478" s="1065"/>
      <c r="CX478" s="1065"/>
      <c r="CY478" s="1065"/>
      <c r="CZ478" s="1065"/>
      <c r="DA478" s="1065"/>
      <c r="DB478" s="1065"/>
    </row>
    <row r="479" spans="1:106" ht="15" customHeight="1" thickBot="1">
      <c r="A479" s="1065"/>
      <c r="B479" s="1065"/>
      <c r="C479" s="1785"/>
      <c r="D479" s="1692"/>
      <c r="E479" s="1692"/>
      <c r="F479" s="1692"/>
      <c r="G479" s="1692"/>
      <c r="H479" s="1787"/>
      <c r="I479" s="1787"/>
      <c r="J479" s="1704" t="s">
        <v>842</v>
      </c>
      <c r="K479" s="1704"/>
      <c r="L479" s="1704"/>
      <c r="M479" s="1743" t="s">
        <v>851</v>
      </c>
      <c r="N479" s="1743"/>
      <c r="O479" s="1743"/>
      <c r="P479" s="1743"/>
      <c r="Q479" s="1743"/>
      <c r="R479" s="1743"/>
      <c r="S479" s="1098">
        <f>2320+1800</f>
        <v>4120</v>
      </c>
      <c r="T479" s="1077">
        <v>4120</v>
      </c>
      <c r="U479" s="1797"/>
      <c r="V479" s="1065"/>
      <c r="W479" s="1065"/>
      <c r="X479" s="1065"/>
      <c r="Y479" s="1065"/>
      <c r="Z479" s="1065"/>
      <c r="AA479" s="1065"/>
      <c r="AB479" s="1065"/>
      <c r="AC479" s="1065"/>
      <c r="AD479" s="1065"/>
      <c r="AE479" s="1065"/>
      <c r="AF479" s="1065"/>
      <c r="AG479" s="1065"/>
      <c r="AH479" s="1065"/>
      <c r="AI479" s="1065"/>
      <c r="AJ479" s="1065"/>
      <c r="AK479" s="1065"/>
      <c r="AL479" s="1065"/>
      <c r="AM479" s="1065"/>
      <c r="AN479" s="1065"/>
      <c r="AO479" s="1065"/>
      <c r="AP479" s="1065"/>
      <c r="AQ479" s="1065"/>
      <c r="AR479" s="1065"/>
      <c r="AS479" s="1065"/>
      <c r="AT479" s="1065"/>
      <c r="AU479" s="1065"/>
      <c r="AV479" s="1065"/>
      <c r="AW479" s="1065"/>
      <c r="AX479" s="1065"/>
      <c r="AY479" s="1065"/>
      <c r="AZ479" s="1065"/>
      <c r="BA479" s="1065"/>
      <c r="BB479" s="1065"/>
      <c r="BC479" s="1065"/>
      <c r="BD479" s="1065"/>
      <c r="BE479" s="1065"/>
      <c r="BF479" s="1065"/>
      <c r="BG479" s="1065"/>
      <c r="BH479" s="1065"/>
      <c r="BI479" s="1065"/>
      <c r="BJ479" s="1065"/>
      <c r="BK479" s="1065"/>
      <c r="BL479" s="1065"/>
      <c r="BM479" s="1065"/>
      <c r="BN479" s="1065"/>
      <c r="BO479" s="1065"/>
      <c r="BP479" s="1065"/>
      <c r="BQ479" s="1065"/>
      <c r="BR479" s="1065"/>
      <c r="BS479" s="1065"/>
      <c r="BT479" s="1065"/>
      <c r="BU479" s="1065"/>
      <c r="BV479" s="1065"/>
      <c r="BW479" s="1065"/>
      <c r="BX479" s="1065"/>
      <c r="BY479" s="1065"/>
      <c r="BZ479" s="1065"/>
      <c r="CA479" s="1065"/>
      <c r="CB479" s="1065"/>
      <c r="CC479" s="1065"/>
      <c r="CD479" s="1065"/>
      <c r="CE479" s="1065"/>
      <c r="CF479" s="1065"/>
      <c r="CG479" s="1065"/>
      <c r="CH479" s="1065"/>
      <c r="CI479" s="1065"/>
      <c r="CJ479" s="1065"/>
      <c r="CK479" s="1065"/>
      <c r="CL479" s="1065"/>
      <c r="CM479" s="1065"/>
      <c r="CN479" s="1065"/>
      <c r="CO479" s="1065"/>
      <c r="CP479" s="1065"/>
      <c r="CQ479" s="1065"/>
      <c r="CR479" s="1065"/>
      <c r="CS479" s="1065"/>
      <c r="CT479" s="1065"/>
      <c r="CU479" s="1065"/>
      <c r="CV479" s="1065"/>
      <c r="CW479" s="1065"/>
      <c r="CX479" s="1065"/>
      <c r="CY479" s="1065"/>
      <c r="CZ479" s="1065"/>
      <c r="DA479" s="1065"/>
      <c r="DB479" s="1065"/>
    </row>
    <row r="480" spans="1:106" ht="15" customHeight="1" thickBot="1">
      <c r="A480" s="1065"/>
      <c r="B480" s="1065"/>
      <c r="C480" s="1191" t="s">
        <v>665</v>
      </c>
      <c r="D480" s="1793" t="s">
        <v>837</v>
      </c>
      <c r="E480" s="1793"/>
      <c r="F480" s="1793"/>
      <c r="G480" s="1793"/>
      <c r="H480" s="1787" t="s">
        <v>657</v>
      </c>
      <c r="I480" s="1787"/>
      <c r="J480" s="1748" t="s">
        <v>852</v>
      </c>
      <c r="K480" s="1748"/>
      <c r="L480" s="1748"/>
      <c r="M480" s="1793" t="s">
        <v>853</v>
      </c>
      <c r="N480" s="1793"/>
      <c r="O480" s="1793"/>
      <c r="P480" s="1793"/>
      <c r="Q480" s="1793"/>
      <c r="R480" s="1793"/>
      <c r="S480" s="1180">
        <v>1900</v>
      </c>
      <c r="T480" s="1100">
        <v>1900</v>
      </c>
      <c r="U480" s="1797"/>
      <c r="V480" s="1065"/>
      <c r="W480" s="1065"/>
      <c r="X480" s="1065"/>
      <c r="Y480" s="1065"/>
      <c r="Z480" s="1065"/>
      <c r="AA480" s="1065"/>
      <c r="AB480" s="1065"/>
      <c r="AC480" s="1065"/>
      <c r="AD480" s="1065"/>
      <c r="AE480" s="1065"/>
      <c r="AF480" s="1065"/>
      <c r="AG480" s="1065"/>
      <c r="AH480" s="1065"/>
      <c r="AI480" s="1065"/>
      <c r="AJ480" s="1065"/>
      <c r="AK480" s="1065"/>
      <c r="AL480" s="1065"/>
      <c r="AM480" s="1065"/>
      <c r="AN480" s="1065"/>
      <c r="AO480" s="1065"/>
      <c r="AP480" s="1065"/>
      <c r="AQ480" s="1065"/>
      <c r="AR480" s="1065"/>
      <c r="AS480" s="1065"/>
      <c r="AT480" s="1065"/>
      <c r="AU480" s="1065"/>
      <c r="AV480" s="1065"/>
      <c r="AW480" s="1065"/>
      <c r="AX480" s="1065"/>
      <c r="AY480" s="1065"/>
      <c r="AZ480" s="1065"/>
      <c r="BA480" s="1065"/>
      <c r="BB480" s="1065"/>
      <c r="BC480" s="1065"/>
      <c r="BD480" s="1065"/>
      <c r="BE480" s="1065"/>
      <c r="BF480" s="1065"/>
      <c r="BG480" s="1065"/>
      <c r="BH480" s="1065"/>
      <c r="BI480" s="1065"/>
      <c r="BJ480" s="1065"/>
      <c r="BK480" s="1065"/>
      <c r="BL480" s="1065"/>
      <c r="BM480" s="1065"/>
      <c r="BN480" s="1065"/>
      <c r="BO480" s="1065"/>
      <c r="BP480" s="1065"/>
      <c r="BQ480" s="1065"/>
      <c r="BR480" s="1065"/>
      <c r="BS480" s="1065"/>
      <c r="BT480" s="1065"/>
      <c r="BU480" s="1065"/>
      <c r="BV480" s="1065"/>
      <c r="BW480" s="1065"/>
      <c r="BX480" s="1065"/>
      <c r="BY480" s="1065"/>
      <c r="BZ480" s="1065"/>
      <c r="CA480" s="1065"/>
      <c r="CB480" s="1065"/>
      <c r="CC480" s="1065"/>
      <c r="CD480" s="1065"/>
      <c r="CE480" s="1065"/>
      <c r="CF480" s="1065"/>
      <c r="CG480" s="1065"/>
      <c r="CH480" s="1065"/>
      <c r="CI480" s="1065"/>
      <c r="CJ480" s="1065"/>
      <c r="CK480" s="1065"/>
      <c r="CL480" s="1065"/>
      <c r="CM480" s="1065"/>
      <c r="CN480" s="1065"/>
      <c r="CO480" s="1065"/>
      <c r="CP480" s="1065"/>
      <c r="CQ480" s="1065"/>
      <c r="CR480" s="1065"/>
      <c r="CS480" s="1065"/>
      <c r="CT480" s="1065"/>
      <c r="CU480" s="1065"/>
      <c r="CV480" s="1065"/>
      <c r="CW480" s="1065"/>
      <c r="CX480" s="1065"/>
      <c r="CY480" s="1065"/>
      <c r="CZ480" s="1065"/>
      <c r="DA480" s="1065"/>
      <c r="DB480" s="1065"/>
    </row>
    <row r="481" spans="1:106" ht="15" customHeight="1" thickBot="1">
      <c r="A481" s="1065"/>
      <c r="B481" s="1065"/>
      <c r="C481" s="1790" t="s">
        <v>666</v>
      </c>
      <c r="D481" s="1791" t="s">
        <v>837</v>
      </c>
      <c r="E481" s="1791"/>
      <c r="F481" s="1791"/>
      <c r="G481" s="1791"/>
      <c r="H481" s="1787" t="s">
        <v>657</v>
      </c>
      <c r="I481" s="1787"/>
      <c r="J481" s="1776" t="s">
        <v>854</v>
      </c>
      <c r="K481" s="1776"/>
      <c r="L481" s="1776"/>
      <c r="M481" s="1775" t="s">
        <v>855</v>
      </c>
      <c r="N481" s="1775"/>
      <c r="O481" s="1775"/>
      <c r="P481" s="1775"/>
      <c r="Q481" s="1775"/>
      <c r="R481" s="1775"/>
      <c r="S481" s="1103">
        <f>580*3</f>
        <v>1740</v>
      </c>
      <c r="T481" s="1072">
        <v>4240</v>
      </c>
      <c r="U481" s="1797"/>
      <c r="V481" s="1065"/>
      <c r="W481" s="1065"/>
      <c r="X481" s="1065"/>
      <c r="Y481" s="1065"/>
      <c r="Z481" s="1065"/>
      <c r="AA481" s="1065"/>
      <c r="AB481" s="1065"/>
      <c r="AC481" s="1065"/>
      <c r="AD481" s="1065"/>
      <c r="AE481" s="1065"/>
      <c r="AF481" s="1065"/>
      <c r="AG481" s="1065"/>
      <c r="AH481" s="1065"/>
      <c r="AI481" s="1065"/>
      <c r="AJ481" s="1065"/>
      <c r="AK481" s="1065"/>
      <c r="AL481" s="1065"/>
      <c r="AM481" s="1065"/>
      <c r="AN481" s="1065"/>
      <c r="AO481" s="1065"/>
      <c r="AP481" s="1065"/>
      <c r="AQ481" s="1065"/>
      <c r="AR481" s="1065"/>
      <c r="AS481" s="1065"/>
      <c r="AT481" s="1065"/>
      <c r="AU481" s="1065"/>
      <c r="AV481" s="1065"/>
      <c r="AW481" s="1065"/>
      <c r="AX481" s="1065"/>
      <c r="AY481" s="1065"/>
      <c r="AZ481" s="1065"/>
      <c r="BA481" s="1065"/>
      <c r="BB481" s="1065"/>
      <c r="BC481" s="1065"/>
      <c r="BD481" s="1065"/>
      <c r="BE481" s="1065"/>
      <c r="BF481" s="1065"/>
      <c r="BG481" s="1065"/>
      <c r="BH481" s="1065"/>
      <c r="BI481" s="1065"/>
      <c r="BJ481" s="1065"/>
      <c r="BK481" s="1065"/>
      <c r="BL481" s="1065"/>
      <c r="BM481" s="1065"/>
      <c r="BN481" s="1065"/>
      <c r="BO481" s="1065"/>
      <c r="BP481" s="1065"/>
      <c r="BQ481" s="1065"/>
      <c r="BR481" s="1065"/>
      <c r="BS481" s="1065"/>
      <c r="BT481" s="1065"/>
      <c r="BU481" s="1065"/>
      <c r="BV481" s="1065"/>
      <c r="BW481" s="1065"/>
      <c r="BX481" s="1065"/>
      <c r="BY481" s="1065"/>
      <c r="BZ481" s="1065"/>
      <c r="CA481" s="1065"/>
      <c r="CB481" s="1065"/>
      <c r="CC481" s="1065"/>
      <c r="CD481" s="1065"/>
      <c r="CE481" s="1065"/>
      <c r="CF481" s="1065"/>
      <c r="CG481" s="1065"/>
      <c r="CH481" s="1065"/>
      <c r="CI481" s="1065"/>
      <c r="CJ481" s="1065"/>
      <c r="CK481" s="1065"/>
      <c r="CL481" s="1065"/>
      <c r="CM481" s="1065"/>
      <c r="CN481" s="1065"/>
      <c r="CO481" s="1065"/>
      <c r="CP481" s="1065"/>
      <c r="CQ481" s="1065"/>
      <c r="CR481" s="1065"/>
      <c r="CS481" s="1065"/>
      <c r="CT481" s="1065"/>
      <c r="CU481" s="1065"/>
      <c r="CV481" s="1065"/>
      <c r="CW481" s="1065"/>
      <c r="CX481" s="1065"/>
      <c r="CY481" s="1065"/>
      <c r="CZ481" s="1065"/>
      <c r="DA481" s="1065"/>
      <c r="DB481" s="1065"/>
    </row>
    <row r="482" spans="1:106" ht="15" customHeight="1" thickBot="1">
      <c r="A482" s="1065"/>
      <c r="B482" s="1065"/>
      <c r="C482" s="1790"/>
      <c r="D482" s="1791"/>
      <c r="E482" s="1791"/>
      <c r="F482" s="1791"/>
      <c r="G482" s="1791"/>
      <c r="H482" s="1787"/>
      <c r="I482" s="1787"/>
      <c r="J482" s="1748" t="s">
        <v>856</v>
      </c>
      <c r="K482" s="1748"/>
      <c r="L482" s="1748"/>
      <c r="M482" s="1678" t="s">
        <v>857</v>
      </c>
      <c r="N482" s="1678"/>
      <c r="O482" s="1678"/>
      <c r="P482" s="1678"/>
      <c r="Q482" s="1678"/>
      <c r="R482" s="1678"/>
      <c r="S482" s="1097">
        <f>2500+1740</f>
        <v>4240</v>
      </c>
      <c r="T482" s="1067">
        <v>1740</v>
      </c>
      <c r="U482" s="1797"/>
      <c r="V482" s="1065"/>
      <c r="W482" s="1065"/>
      <c r="X482" s="1065"/>
      <c r="Y482" s="1065"/>
      <c r="Z482" s="1065"/>
      <c r="AA482" s="1065"/>
      <c r="AB482" s="1065"/>
      <c r="AC482" s="1065"/>
      <c r="AD482" s="1065"/>
      <c r="AE482" s="1065"/>
      <c r="AF482" s="1065"/>
      <c r="AG482" s="1065"/>
      <c r="AH482" s="1065"/>
      <c r="AI482" s="1065"/>
      <c r="AJ482" s="1065"/>
      <c r="AK482" s="1065"/>
      <c r="AL482" s="1065"/>
      <c r="AM482" s="1065"/>
      <c r="AN482" s="1065"/>
      <c r="AO482" s="1065"/>
      <c r="AP482" s="1065"/>
      <c r="AQ482" s="1065"/>
      <c r="AR482" s="1065"/>
      <c r="AS482" s="1065"/>
      <c r="AT482" s="1065"/>
      <c r="AU482" s="1065"/>
      <c r="AV482" s="1065"/>
      <c r="AW482" s="1065"/>
      <c r="AX482" s="1065"/>
      <c r="AY482" s="1065"/>
      <c r="AZ482" s="1065"/>
      <c r="BA482" s="1065"/>
      <c r="BB482" s="1065"/>
      <c r="BC482" s="1065"/>
      <c r="BD482" s="1065"/>
      <c r="BE482" s="1065"/>
      <c r="BF482" s="1065"/>
      <c r="BG482" s="1065"/>
      <c r="BH482" s="1065"/>
      <c r="BI482" s="1065"/>
      <c r="BJ482" s="1065"/>
      <c r="BK482" s="1065"/>
      <c r="BL482" s="1065"/>
      <c r="BM482" s="1065"/>
      <c r="BN482" s="1065"/>
      <c r="BO482" s="1065"/>
      <c r="BP482" s="1065"/>
      <c r="BQ482" s="1065"/>
      <c r="BR482" s="1065"/>
      <c r="BS482" s="1065"/>
      <c r="BT482" s="1065"/>
      <c r="BU482" s="1065"/>
      <c r="BV482" s="1065"/>
      <c r="BW482" s="1065"/>
      <c r="BX482" s="1065"/>
      <c r="BY482" s="1065"/>
      <c r="BZ482" s="1065"/>
      <c r="CA482" s="1065"/>
      <c r="CB482" s="1065"/>
      <c r="CC482" s="1065"/>
      <c r="CD482" s="1065"/>
      <c r="CE482" s="1065"/>
      <c r="CF482" s="1065"/>
      <c r="CG482" s="1065"/>
      <c r="CH482" s="1065"/>
      <c r="CI482" s="1065"/>
      <c r="CJ482" s="1065"/>
      <c r="CK482" s="1065"/>
      <c r="CL482" s="1065"/>
      <c r="CM482" s="1065"/>
      <c r="CN482" s="1065"/>
      <c r="CO482" s="1065"/>
      <c r="CP482" s="1065"/>
      <c r="CQ482" s="1065"/>
      <c r="CR482" s="1065"/>
      <c r="CS482" s="1065"/>
      <c r="CT482" s="1065"/>
      <c r="CU482" s="1065"/>
      <c r="CV482" s="1065"/>
      <c r="CW482" s="1065"/>
      <c r="CX482" s="1065"/>
      <c r="CY482" s="1065"/>
      <c r="CZ482" s="1065"/>
      <c r="DA482" s="1065"/>
      <c r="DB482" s="1065"/>
    </row>
    <row r="483" spans="1:106" ht="15" customHeight="1" thickBot="1">
      <c r="A483" s="1065"/>
      <c r="B483" s="1065"/>
      <c r="C483" s="1790"/>
      <c r="D483" s="1791"/>
      <c r="E483" s="1791"/>
      <c r="F483" s="1791"/>
      <c r="G483" s="1791"/>
      <c r="H483" s="1787"/>
      <c r="I483" s="1787"/>
      <c r="J483" s="1704" t="s">
        <v>848</v>
      </c>
      <c r="K483" s="1704"/>
      <c r="L483" s="1704"/>
      <c r="M483" s="1706" t="s">
        <v>857</v>
      </c>
      <c r="N483" s="1706"/>
      <c r="O483" s="1706"/>
      <c r="P483" s="1706"/>
      <c r="Q483" s="1706"/>
      <c r="R483" s="1706"/>
      <c r="S483" s="1097">
        <v>0</v>
      </c>
      <c r="T483" s="1077">
        <v>4240</v>
      </c>
      <c r="U483" s="1797"/>
      <c r="V483" s="1065"/>
      <c r="W483" s="1065"/>
      <c r="X483" s="1065"/>
      <c r="Y483" s="1065"/>
      <c r="Z483" s="1065"/>
      <c r="AA483" s="1065"/>
      <c r="AB483" s="1065"/>
      <c r="AC483" s="1065"/>
      <c r="AD483" s="1065"/>
      <c r="AE483" s="1065"/>
      <c r="AF483" s="1065"/>
      <c r="AG483" s="1065"/>
      <c r="AH483" s="1065"/>
      <c r="AI483" s="1065"/>
      <c r="AJ483" s="1065"/>
      <c r="AK483" s="1065"/>
      <c r="AL483" s="1065"/>
      <c r="AM483" s="1065"/>
      <c r="AN483" s="1065"/>
      <c r="AO483" s="1065"/>
      <c r="AP483" s="1065"/>
      <c r="AQ483" s="1065"/>
      <c r="AR483" s="1065"/>
      <c r="AS483" s="1065"/>
      <c r="AT483" s="1065"/>
      <c r="AU483" s="1065"/>
      <c r="AV483" s="1065"/>
      <c r="AW483" s="1065"/>
      <c r="AX483" s="1065"/>
      <c r="AY483" s="1065"/>
      <c r="AZ483" s="1065"/>
      <c r="BA483" s="1065"/>
      <c r="BB483" s="1065"/>
      <c r="BC483" s="1065"/>
      <c r="BD483" s="1065"/>
      <c r="BE483" s="1065"/>
      <c r="BF483" s="1065"/>
      <c r="BG483" s="1065"/>
      <c r="BH483" s="1065"/>
      <c r="BI483" s="1065"/>
      <c r="BJ483" s="1065"/>
      <c r="BK483" s="1065"/>
      <c r="BL483" s="1065"/>
      <c r="BM483" s="1065"/>
      <c r="BN483" s="1065"/>
      <c r="BO483" s="1065"/>
      <c r="BP483" s="1065"/>
      <c r="BQ483" s="1065"/>
      <c r="BR483" s="1065"/>
      <c r="BS483" s="1065"/>
      <c r="BT483" s="1065"/>
      <c r="BU483" s="1065"/>
      <c r="BV483" s="1065"/>
      <c r="BW483" s="1065"/>
      <c r="BX483" s="1065"/>
      <c r="BY483" s="1065"/>
      <c r="BZ483" s="1065"/>
      <c r="CA483" s="1065"/>
      <c r="CB483" s="1065"/>
      <c r="CC483" s="1065"/>
      <c r="CD483" s="1065"/>
      <c r="CE483" s="1065"/>
      <c r="CF483" s="1065"/>
      <c r="CG483" s="1065"/>
      <c r="CH483" s="1065"/>
      <c r="CI483" s="1065"/>
      <c r="CJ483" s="1065"/>
      <c r="CK483" s="1065"/>
      <c r="CL483" s="1065"/>
      <c r="CM483" s="1065"/>
      <c r="CN483" s="1065"/>
      <c r="CO483" s="1065"/>
      <c r="CP483" s="1065"/>
      <c r="CQ483" s="1065"/>
      <c r="CR483" s="1065"/>
      <c r="CS483" s="1065"/>
      <c r="CT483" s="1065"/>
      <c r="CU483" s="1065"/>
      <c r="CV483" s="1065"/>
      <c r="CW483" s="1065"/>
      <c r="CX483" s="1065"/>
      <c r="CY483" s="1065"/>
      <c r="CZ483" s="1065"/>
      <c r="DA483" s="1065"/>
      <c r="DB483" s="1065"/>
    </row>
    <row r="484" spans="1:106" ht="15" customHeight="1" thickBot="1">
      <c r="A484" s="1065"/>
      <c r="B484" s="1065"/>
      <c r="C484" s="1790" t="s">
        <v>108</v>
      </c>
      <c r="D484" s="1791" t="s">
        <v>837</v>
      </c>
      <c r="E484" s="1791"/>
      <c r="F484" s="1791"/>
      <c r="G484" s="1791"/>
      <c r="H484" s="1787" t="s">
        <v>657</v>
      </c>
      <c r="I484" s="1787"/>
      <c r="J484" s="1776" t="s">
        <v>854</v>
      </c>
      <c r="K484" s="1776"/>
      <c r="L484" s="1776"/>
      <c r="M484" s="1678" t="s">
        <v>841</v>
      </c>
      <c r="N484" s="1678"/>
      <c r="O484" s="1678"/>
      <c r="P484" s="1678"/>
      <c r="Q484" s="1678"/>
      <c r="R484" s="1678"/>
      <c r="S484" s="1103">
        <f>1160</f>
        <v>1160</v>
      </c>
      <c r="T484" s="1072">
        <v>2960</v>
      </c>
      <c r="U484" s="1797"/>
      <c r="V484" s="1065"/>
      <c r="W484" s="1065"/>
      <c r="X484" s="1065"/>
      <c r="Y484" s="1065"/>
      <c r="Z484" s="1065"/>
      <c r="AA484" s="1065"/>
      <c r="AB484" s="1065"/>
      <c r="AC484" s="1065"/>
      <c r="AD484" s="1065"/>
      <c r="AE484" s="1065"/>
      <c r="AF484" s="1065"/>
      <c r="AG484" s="1065"/>
      <c r="AH484" s="1065"/>
      <c r="AI484" s="1065"/>
      <c r="AJ484" s="1065"/>
      <c r="AK484" s="1065"/>
      <c r="AL484" s="1065"/>
      <c r="AM484" s="1065"/>
      <c r="AN484" s="1065"/>
      <c r="AO484" s="1065"/>
      <c r="AP484" s="1065"/>
      <c r="AQ484" s="1065"/>
      <c r="AR484" s="1065"/>
      <c r="AS484" s="1065"/>
      <c r="AT484" s="1065"/>
      <c r="AU484" s="1065"/>
      <c r="AV484" s="1065"/>
      <c r="AW484" s="1065"/>
      <c r="AX484" s="1065"/>
      <c r="AY484" s="1065"/>
      <c r="AZ484" s="1065"/>
      <c r="BA484" s="1065"/>
      <c r="BB484" s="1065"/>
      <c r="BC484" s="1065"/>
      <c r="BD484" s="1065"/>
      <c r="BE484" s="1065"/>
      <c r="BF484" s="1065"/>
      <c r="BG484" s="1065"/>
      <c r="BH484" s="1065"/>
      <c r="BI484" s="1065"/>
      <c r="BJ484" s="1065"/>
      <c r="BK484" s="1065"/>
      <c r="BL484" s="1065"/>
      <c r="BM484" s="1065"/>
      <c r="BN484" s="1065"/>
      <c r="BO484" s="1065"/>
      <c r="BP484" s="1065"/>
      <c r="BQ484" s="1065"/>
      <c r="BR484" s="1065"/>
      <c r="BS484" s="1065"/>
      <c r="BT484" s="1065"/>
      <c r="BU484" s="1065"/>
      <c r="BV484" s="1065"/>
      <c r="BW484" s="1065"/>
      <c r="BX484" s="1065"/>
      <c r="BY484" s="1065"/>
      <c r="BZ484" s="1065"/>
      <c r="CA484" s="1065"/>
      <c r="CB484" s="1065"/>
      <c r="CC484" s="1065"/>
      <c r="CD484" s="1065"/>
      <c r="CE484" s="1065"/>
      <c r="CF484" s="1065"/>
      <c r="CG484" s="1065"/>
      <c r="CH484" s="1065"/>
      <c r="CI484" s="1065"/>
      <c r="CJ484" s="1065"/>
      <c r="CK484" s="1065"/>
      <c r="CL484" s="1065"/>
      <c r="CM484" s="1065"/>
      <c r="CN484" s="1065"/>
      <c r="CO484" s="1065"/>
      <c r="CP484" s="1065"/>
      <c r="CQ484" s="1065"/>
      <c r="CR484" s="1065"/>
      <c r="CS484" s="1065"/>
      <c r="CT484" s="1065"/>
      <c r="CU484" s="1065"/>
      <c r="CV484" s="1065"/>
      <c r="CW484" s="1065"/>
      <c r="CX484" s="1065"/>
      <c r="CY484" s="1065"/>
      <c r="CZ484" s="1065"/>
      <c r="DA484" s="1065"/>
      <c r="DB484" s="1065"/>
    </row>
    <row r="485" spans="1:106" ht="15" customHeight="1" thickBot="1">
      <c r="A485" s="1065"/>
      <c r="B485" s="1065"/>
      <c r="C485" s="1790"/>
      <c r="D485" s="1791"/>
      <c r="E485" s="1791"/>
      <c r="F485" s="1791"/>
      <c r="G485" s="1791"/>
      <c r="H485" s="1787"/>
      <c r="I485" s="1787"/>
      <c r="J485" s="1776" t="s">
        <v>838</v>
      </c>
      <c r="K485" s="1776"/>
      <c r="L485" s="1776"/>
      <c r="M485" s="1775" t="s">
        <v>839</v>
      </c>
      <c r="N485" s="1775"/>
      <c r="O485" s="1775"/>
      <c r="P485" s="1775"/>
      <c r="Q485" s="1775"/>
      <c r="R485" s="1775"/>
      <c r="S485" s="1097">
        <f>580*2</f>
        <v>1160</v>
      </c>
      <c r="T485" s="1067">
        <v>1160</v>
      </c>
      <c r="U485" s="1797"/>
      <c r="V485" s="1065"/>
      <c r="W485" s="1065"/>
      <c r="X485" s="1065"/>
      <c r="Y485" s="1065"/>
      <c r="Z485" s="1065"/>
      <c r="AA485" s="1065"/>
      <c r="AB485" s="1065"/>
      <c r="AC485" s="1065"/>
      <c r="AD485" s="1065"/>
      <c r="AE485" s="1065"/>
      <c r="AF485" s="1065"/>
      <c r="AG485" s="1065"/>
      <c r="AH485" s="1065"/>
      <c r="AI485" s="1065"/>
      <c r="AJ485" s="1065"/>
      <c r="AK485" s="1065"/>
      <c r="AL485" s="1065"/>
      <c r="AM485" s="1065"/>
      <c r="AN485" s="1065"/>
      <c r="AO485" s="1065"/>
      <c r="AP485" s="1065"/>
      <c r="AQ485" s="1065"/>
      <c r="AR485" s="1065"/>
      <c r="AS485" s="1065"/>
      <c r="AT485" s="1065"/>
      <c r="AU485" s="1065"/>
      <c r="AV485" s="1065"/>
      <c r="AW485" s="1065"/>
      <c r="AX485" s="1065"/>
      <c r="AY485" s="1065"/>
      <c r="AZ485" s="1065"/>
      <c r="BA485" s="1065"/>
      <c r="BB485" s="1065"/>
      <c r="BC485" s="1065"/>
      <c r="BD485" s="1065"/>
      <c r="BE485" s="1065"/>
      <c r="BF485" s="1065"/>
      <c r="BG485" s="1065"/>
      <c r="BH485" s="1065"/>
      <c r="BI485" s="1065"/>
      <c r="BJ485" s="1065"/>
      <c r="BK485" s="1065"/>
      <c r="BL485" s="1065"/>
      <c r="BM485" s="1065"/>
      <c r="BN485" s="1065"/>
      <c r="BO485" s="1065"/>
      <c r="BP485" s="1065"/>
      <c r="BQ485" s="1065"/>
      <c r="BR485" s="1065"/>
      <c r="BS485" s="1065"/>
      <c r="BT485" s="1065"/>
      <c r="BU485" s="1065"/>
      <c r="BV485" s="1065"/>
      <c r="BW485" s="1065"/>
      <c r="BX485" s="1065"/>
      <c r="BY485" s="1065"/>
      <c r="BZ485" s="1065"/>
      <c r="CA485" s="1065"/>
      <c r="CB485" s="1065"/>
      <c r="CC485" s="1065"/>
      <c r="CD485" s="1065"/>
      <c r="CE485" s="1065"/>
      <c r="CF485" s="1065"/>
      <c r="CG485" s="1065"/>
      <c r="CH485" s="1065"/>
      <c r="CI485" s="1065"/>
      <c r="CJ485" s="1065"/>
      <c r="CK485" s="1065"/>
      <c r="CL485" s="1065"/>
      <c r="CM485" s="1065"/>
      <c r="CN485" s="1065"/>
      <c r="CO485" s="1065"/>
      <c r="CP485" s="1065"/>
      <c r="CQ485" s="1065"/>
      <c r="CR485" s="1065"/>
      <c r="CS485" s="1065"/>
      <c r="CT485" s="1065"/>
      <c r="CU485" s="1065"/>
      <c r="CV485" s="1065"/>
      <c r="CW485" s="1065"/>
      <c r="CX485" s="1065"/>
      <c r="CY485" s="1065"/>
      <c r="CZ485" s="1065"/>
      <c r="DA485" s="1065"/>
      <c r="DB485" s="1065"/>
    </row>
    <row r="486" spans="1:106" ht="15" customHeight="1" thickBot="1">
      <c r="A486" s="1065"/>
      <c r="B486" s="1065"/>
      <c r="C486" s="1790"/>
      <c r="D486" s="1791"/>
      <c r="E486" s="1791"/>
      <c r="F486" s="1791"/>
      <c r="G486" s="1791"/>
      <c r="H486" s="1787"/>
      <c r="I486" s="1787"/>
      <c r="J486" s="1704" t="s">
        <v>852</v>
      </c>
      <c r="K486" s="1704"/>
      <c r="L486" s="1704"/>
      <c r="M486" s="1743" t="s">
        <v>841</v>
      </c>
      <c r="N486" s="1743"/>
      <c r="O486" s="1743"/>
      <c r="P486" s="1743"/>
      <c r="Q486" s="1743"/>
      <c r="R486" s="1743"/>
      <c r="S486" s="1098">
        <v>1160</v>
      </c>
      <c r="T486" s="1077">
        <v>2960</v>
      </c>
      <c r="U486" s="1797"/>
      <c r="V486" s="1065"/>
      <c r="W486" s="1065"/>
      <c r="X486" s="1065"/>
      <c r="Y486" s="1065"/>
      <c r="Z486" s="1065"/>
      <c r="AA486" s="1065"/>
      <c r="AB486" s="1065"/>
      <c r="AC486" s="1065"/>
      <c r="AD486" s="1065"/>
      <c r="AE486" s="1065"/>
      <c r="AF486" s="1065"/>
      <c r="AG486" s="1065"/>
      <c r="AH486" s="1065"/>
      <c r="AI486" s="1065"/>
      <c r="AJ486" s="1065"/>
      <c r="AK486" s="1065"/>
      <c r="AL486" s="1065"/>
      <c r="AM486" s="1065"/>
      <c r="AN486" s="1065"/>
      <c r="AO486" s="1065"/>
      <c r="AP486" s="1065"/>
      <c r="AQ486" s="1065"/>
      <c r="AR486" s="1065"/>
      <c r="AS486" s="1065"/>
      <c r="AT486" s="1065"/>
      <c r="AU486" s="1065"/>
      <c r="AV486" s="1065"/>
      <c r="AW486" s="1065"/>
      <c r="AX486" s="1065"/>
      <c r="AY486" s="1065"/>
      <c r="AZ486" s="1065"/>
      <c r="BA486" s="1065"/>
      <c r="BB486" s="1065"/>
      <c r="BC486" s="1065"/>
      <c r="BD486" s="1065"/>
      <c r="BE486" s="1065"/>
      <c r="BF486" s="1065"/>
      <c r="BG486" s="1065"/>
      <c r="BH486" s="1065"/>
      <c r="BI486" s="1065"/>
      <c r="BJ486" s="1065"/>
      <c r="BK486" s="1065"/>
      <c r="BL486" s="1065"/>
      <c r="BM486" s="1065"/>
      <c r="BN486" s="1065"/>
      <c r="BO486" s="1065"/>
      <c r="BP486" s="1065"/>
      <c r="BQ486" s="1065"/>
      <c r="BR486" s="1065"/>
      <c r="BS486" s="1065"/>
      <c r="BT486" s="1065"/>
      <c r="BU486" s="1065"/>
      <c r="BV486" s="1065"/>
      <c r="BW486" s="1065"/>
      <c r="BX486" s="1065"/>
      <c r="BY486" s="1065"/>
      <c r="BZ486" s="1065"/>
      <c r="CA486" s="1065"/>
      <c r="CB486" s="1065"/>
      <c r="CC486" s="1065"/>
      <c r="CD486" s="1065"/>
      <c r="CE486" s="1065"/>
      <c r="CF486" s="1065"/>
      <c r="CG486" s="1065"/>
      <c r="CH486" s="1065"/>
      <c r="CI486" s="1065"/>
      <c r="CJ486" s="1065"/>
      <c r="CK486" s="1065"/>
      <c r="CL486" s="1065"/>
      <c r="CM486" s="1065"/>
      <c r="CN486" s="1065"/>
      <c r="CO486" s="1065"/>
      <c r="CP486" s="1065"/>
      <c r="CQ486" s="1065"/>
      <c r="CR486" s="1065"/>
      <c r="CS486" s="1065"/>
      <c r="CT486" s="1065"/>
      <c r="CU486" s="1065"/>
      <c r="CV486" s="1065"/>
      <c r="CW486" s="1065"/>
      <c r="CX486" s="1065"/>
      <c r="CY486" s="1065"/>
      <c r="CZ486" s="1065"/>
      <c r="DA486" s="1065"/>
      <c r="DB486" s="1065"/>
    </row>
    <row r="487" spans="1:106" ht="15" customHeight="1" thickBot="1">
      <c r="A487" s="1065"/>
      <c r="B487" s="1065"/>
      <c r="C487" s="1773" t="s">
        <v>668</v>
      </c>
      <c r="D487" s="1774" t="s">
        <v>837</v>
      </c>
      <c r="E487" s="1774"/>
      <c r="F487" s="1774"/>
      <c r="G487" s="1774"/>
      <c r="H487" s="1774" t="s">
        <v>657</v>
      </c>
      <c r="I487" s="1774"/>
      <c r="J487" s="1748"/>
      <c r="K487" s="1748"/>
      <c r="L487" s="1748"/>
      <c r="M487" s="1775"/>
      <c r="N487" s="1775"/>
      <c r="O487" s="1775"/>
      <c r="P487" s="1775"/>
      <c r="Q487" s="1775"/>
      <c r="R487" s="1775"/>
      <c r="S487" s="1103"/>
      <c r="T487" s="1072">
        <v>0</v>
      </c>
      <c r="U487" s="1797"/>
      <c r="V487" s="1065"/>
      <c r="W487" s="1065"/>
      <c r="X487" s="1065"/>
      <c r="Y487" s="1065"/>
      <c r="Z487" s="1065"/>
      <c r="AA487" s="1065"/>
      <c r="AB487" s="1065"/>
      <c r="AC487" s="1065"/>
      <c r="AD487" s="1065"/>
      <c r="AE487" s="1065"/>
      <c r="AF487" s="1065"/>
      <c r="AG487" s="1065"/>
      <c r="AH487" s="1065"/>
      <c r="AI487" s="1065"/>
      <c r="AJ487" s="1065"/>
      <c r="AK487" s="1065"/>
      <c r="AL487" s="1065"/>
      <c r="AM487" s="1065"/>
      <c r="AN487" s="1065"/>
      <c r="AO487" s="1065"/>
      <c r="AP487" s="1065"/>
      <c r="AQ487" s="1065"/>
      <c r="AR487" s="1065"/>
      <c r="AS487" s="1065"/>
      <c r="AT487" s="1065"/>
      <c r="AU487" s="1065"/>
      <c r="AV487" s="1065"/>
      <c r="AW487" s="1065"/>
      <c r="AX487" s="1065"/>
      <c r="AY487" s="1065"/>
      <c r="AZ487" s="1065"/>
      <c r="BA487" s="1065"/>
      <c r="BB487" s="1065"/>
      <c r="BC487" s="1065"/>
      <c r="BD487" s="1065"/>
      <c r="BE487" s="1065"/>
      <c r="BF487" s="1065"/>
      <c r="BG487" s="1065"/>
      <c r="BH487" s="1065"/>
      <c r="BI487" s="1065"/>
      <c r="BJ487" s="1065"/>
      <c r="BK487" s="1065"/>
      <c r="BL487" s="1065"/>
      <c r="BM487" s="1065"/>
      <c r="BN487" s="1065"/>
      <c r="BO487" s="1065"/>
      <c r="BP487" s="1065"/>
      <c r="BQ487" s="1065"/>
      <c r="BR487" s="1065"/>
      <c r="BS487" s="1065"/>
      <c r="BT487" s="1065"/>
      <c r="BU487" s="1065"/>
      <c r="BV487" s="1065"/>
      <c r="BW487" s="1065"/>
      <c r="BX487" s="1065"/>
      <c r="BY487" s="1065"/>
      <c r="BZ487" s="1065"/>
      <c r="CA487" s="1065"/>
      <c r="CB487" s="1065"/>
      <c r="CC487" s="1065"/>
      <c r="CD487" s="1065"/>
      <c r="CE487" s="1065"/>
      <c r="CF487" s="1065"/>
      <c r="CG487" s="1065"/>
      <c r="CH487" s="1065"/>
      <c r="CI487" s="1065"/>
      <c r="CJ487" s="1065"/>
      <c r="CK487" s="1065"/>
      <c r="CL487" s="1065"/>
      <c r="CM487" s="1065"/>
      <c r="CN487" s="1065"/>
      <c r="CO487" s="1065"/>
      <c r="CP487" s="1065"/>
      <c r="CQ487" s="1065"/>
      <c r="CR487" s="1065"/>
      <c r="CS487" s="1065"/>
      <c r="CT487" s="1065"/>
      <c r="CU487" s="1065"/>
      <c r="CV487" s="1065"/>
      <c r="CW487" s="1065"/>
      <c r="CX487" s="1065"/>
      <c r="CY487" s="1065"/>
      <c r="CZ487" s="1065"/>
      <c r="DA487" s="1065"/>
      <c r="DB487" s="1065"/>
    </row>
    <row r="488" spans="1:106" ht="15" customHeight="1" thickBot="1">
      <c r="A488" s="1065"/>
      <c r="B488" s="1065"/>
      <c r="C488" s="1773"/>
      <c r="D488" s="1774"/>
      <c r="E488" s="1774"/>
      <c r="F488" s="1774"/>
      <c r="G488" s="1774"/>
      <c r="H488" s="1774"/>
      <c r="I488" s="1774"/>
      <c r="J488" s="1776" t="s">
        <v>852</v>
      </c>
      <c r="K488" s="1776"/>
      <c r="L488" s="1776"/>
      <c r="M488" s="1777" t="s">
        <v>853</v>
      </c>
      <c r="N488" s="1777"/>
      <c r="O488" s="1777"/>
      <c r="P488" s="1777"/>
      <c r="Q488" s="1777"/>
      <c r="R488" s="1777"/>
      <c r="S488" s="1192">
        <v>1900</v>
      </c>
      <c r="T488" s="1141">
        <v>0</v>
      </c>
      <c r="U488" s="1797"/>
      <c r="V488" s="1065"/>
      <c r="W488" s="1065"/>
      <c r="X488" s="1065"/>
      <c r="Y488" s="1065"/>
      <c r="Z488" s="1065"/>
      <c r="AA488" s="1065"/>
      <c r="AB488" s="1065"/>
      <c r="AC488" s="1065"/>
      <c r="AD488" s="1065"/>
      <c r="AE488" s="1065"/>
      <c r="AF488" s="1065"/>
      <c r="AG488" s="1065"/>
      <c r="AH488" s="1065"/>
      <c r="AI488" s="1065"/>
      <c r="AJ488" s="1065"/>
      <c r="AK488" s="1065"/>
      <c r="AL488" s="1065"/>
      <c r="AM488" s="1065"/>
      <c r="AN488" s="1065"/>
      <c r="AO488" s="1065"/>
      <c r="AP488" s="1065"/>
      <c r="AQ488" s="1065"/>
      <c r="AR488" s="1065"/>
      <c r="AS488" s="1065"/>
      <c r="AT488" s="1065"/>
      <c r="AU488" s="1065"/>
      <c r="AV488" s="1065"/>
      <c r="AW488" s="1065"/>
      <c r="AX488" s="1065"/>
      <c r="AY488" s="1065"/>
      <c r="AZ488" s="1065"/>
      <c r="BA488" s="1065"/>
      <c r="BB488" s="1065"/>
      <c r="BC488" s="1065"/>
      <c r="BD488" s="1065"/>
      <c r="BE488" s="1065"/>
      <c r="BF488" s="1065"/>
      <c r="BG488" s="1065"/>
      <c r="BH488" s="1065"/>
      <c r="BI488" s="1065"/>
      <c r="BJ488" s="1065"/>
      <c r="BK488" s="1065"/>
      <c r="BL488" s="1065"/>
      <c r="BM488" s="1065"/>
      <c r="BN488" s="1065"/>
      <c r="BO488" s="1065"/>
      <c r="BP488" s="1065"/>
      <c r="BQ488" s="1065"/>
      <c r="BR488" s="1065"/>
      <c r="BS488" s="1065"/>
      <c r="BT488" s="1065"/>
      <c r="BU488" s="1065"/>
      <c r="BV488" s="1065"/>
      <c r="BW488" s="1065"/>
      <c r="BX488" s="1065"/>
      <c r="BY488" s="1065"/>
      <c r="BZ488" s="1065"/>
      <c r="CA488" s="1065"/>
      <c r="CB488" s="1065"/>
      <c r="CC488" s="1065"/>
      <c r="CD488" s="1065"/>
      <c r="CE488" s="1065"/>
      <c r="CF488" s="1065"/>
      <c r="CG488" s="1065"/>
      <c r="CH488" s="1065"/>
      <c r="CI488" s="1065"/>
      <c r="CJ488" s="1065"/>
      <c r="CK488" s="1065"/>
      <c r="CL488" s="1065"/>
      <c r="CM488" s="1065"/>
      <c r="CN488" s="1065"/>
      <c r="CO488" s="1065"/>
      <c r="CP488" s="1065"/>
      <c r="CQ488" s="1065"/>
      <c r="CR488" s="1065"/>
      <c r="CS488" s="1065"/>
      <c r="CT488" s="1065"/>
      <c r="CU488" s="1065"/>
      <c r="CV488" s="1065"/>
      <c r="CW488" s="1065"/>
      <c r="CX488" s="1065"/>
      <c r="CY488" s="1065"/>
      <c r="CZ488" s="1065"/>
      <c r="DA488" s="1065"/>
      <c r="DB488" s="1065"/>
    </row>
    <row r="489" spans="1:106" ht="15" customHeight="1" thickBot="1">
      <c r="A489" s="1065"/>
      <c r="B489" s="1065"/>
      <c r="C489" s="1785" t="s">
        <v>858</v>
      </c>
      <c r="D489" s="1786" t="s">
        <v>837</v>
      </c>
      <c r="E489" s="1786"/>
      <c r="F489" s="1786"/>
      <c r="G489" s="1786"/>
      <c r="H489" s="1787" t="s">
        <v>657</v>
      </c>
      <c r="I489" s="1787"/>
      <c r="J489" s="1788" t="s">
        <v>840</v>
      </c>
      <c r="K489" s="1788"/>
      <c r="L489" s="1788"/>
      <c r="M489" s="1775" t="s">
        <v>859</v>
      </c>
      <c r="N489" s="1775"/>
      <c r="O489" s="1775"/>
      <c r="P489" s="1775"/>
      <c r="Q489" s="1775"/>
      <c r="R489" s="1775"/>
      <c r="S489" s="1103">
        <v>1160</v>
      </c>
      <c r="T489" s="1187">
        <v>2380</v>
      </c>
      <c r="U489" s="1797"/>
      <c r="V489" s="1065"/>
      <c r="W489" s="1065"/>
      <c r="X489" s="1065"/>
      <c r="Y489" s="1065"/>
      <c r="Z489" s="1065"/>
      <c r="AA489" s="1065"/>
      <c r="AB489" s="1065"/>
      <c r="AC489" s="1065"/>
      <c r="AD489" s="1065"/>
      <c r="AE489" s="1065"/>
      <c r="AF489" s="1065"/>
      <c r="AG489" s="1065"/>
      <c r="AH489" s="1065"/>
      <c r="AI489" s="1065"/>
      <c r="AJ489" s="1065"/>
      <c r="AK489" s="1065"/>
      <c r="AL489" s="1065"/>
      <c r="AM489" s="1065"/>
      <c r="AN489" s="1065"/>
      <c r="AO489" s="1065"/>
      <c r="AP489" s="1065"/>
      <c r="AQ489" s="1065"/>
      <c r="AR489" s="1065"/>
      <c r="AS489" s="1065"/>
      <c r="AT489" s="1065"/>
      <c r="AU489" s="1065"/>
      <c r="AV489" s="1065"/>
      <c r="AW489" s="1065"/>
      <c r="AX489" s="1065"/>
      <c r="AY489" s="1065"/>
      <c r="AZ489" s="1065"/>
      <c r="BA489" s="1065"/>
      <c r="BB489" s="1065"/>
      <c r="BC489" s="1065"/>
      <c r="BD489" s="1065"/>
      <c r="BE489" s="1065"/>
      <c r="BF489" s="1065"/>
      <c r="BG489" s="1065"/>
      <c r="BH489" s="1065"/>
      <c r="BI489" s="1065"/>
      <c r="BJ489" s="1065"/>
      <c r="BK489" s="1065"/>
      <c r="BL489" s="1065"/>
      <c r="BM489" s="1065"/>
      <c r="BN489" s="1065"/>
      <c r="BO489" s="1065"/>
      <c r="BP489" s="1065"/>
      <c r="BQ489" s="1065"/>
      <c r="BR489" s="1065"/>
      <c r="BS489" s="1065"/>
      <c r="BT489" s="1065"/>
      <c r="BU489" s="1065"/>
      <c r="BV489" s="1065"/>
      <c r="BW489" s="1065"/>
      <c r="BX489" s="1065"/>
      <c r="BY489" s="1065"/>
      <c r="BZ489" s="1065"/>
      <c r="CA489" s="1065"/>
      <c r="CB489" s="1065"/>
      <c r="CC489" s="1065"/>
      <c r="CD489" s="1065"/>
      <c r="CE489" s="1065"/>
      <c r="CF489" s="1065"/>
      <c r="CG489" s="1065"/>
      <c r="CH489" s="1065"/>
      <c r="CI489" s="1065"/>
      <c r="CJ489" s="1065"/>
      <c r="CK489" s="1065"/>
      <c r="CL489" s="1065"/>
      <c r="CM489" s="1065"/>
      <c r="CN489" s="1065"/>
      <c r="CO489" s="1065"/>
      <c r="CP489" s="1065"/>
      <c r="CQ489" s="1065"/>
      <c r="CR489" s="1065"/>
      <c r="CS489" s="1065"/>
      <c r="CT489" s="1065"/>
      <c r="CU489" s="1065"/>
      <c r="CV489" s="1065"/>
      <c r="CW489" s="1065"/>
      <c r="CX489" s="1065"/>
      <c r="CY489" s="1065"/>
      <c r="CZ489" s="1065"/>
      <c r="DA489" s="1065"/>
      <c r="DB489" s="1065"/>
    </row>
    <row r="490" spans="1:106" ht="15" customHeight="1" thickBot="1">
      <c r="A490" s="1065"/>
      <c r="B490" s="1065"/>
      <c r="C490" s="1785"/>
      <c r="D490" s="1786"/>
      <c r="E490" s="1786"/>
      <c r="F490" s="1786"/>
      <c r="G490" s="1786"/>
      <c r="H490" s="1787"/>
      <c r="I490" s="1787"/>
      <c r="J490" s="1704" t="s">
        <v>852</v>
      </c>
      <c r="K490" s="1704"/>
      <c r="L490" s="1704"/>
      <c r="M490" s="1678" t="s">
        <v>860</v>
      </c>
      <c r="N490" s="1678"/>
      <c r="O490" s="1678"/>
      <c r="P490" s="1678"/>
      <c r="Q490" s="1678"/>
      <c r="R490" s="1678"/>
      <c r="S490" s="1097">
        <v>580</v>
      </c>
      <c r="T490" s="1188">
        <v>580</v>
      </c>
      <c r="U490" s="1797"/>
      <c r="V490" s="1065"/>
      <c r="W490" s="1065"/>
      <c r="X490" s="1065"/>
      <c r="Y490" s="1065"/>
      <c r="Z490" s="1065"/>
      <c r="AA490" s="1065"/>
      <c r="AB490" s="1065"/>
      <c r="AC490" s="1065"/>
      <c r="AD490" s="1065"/>
      <c r="AE490" s="1065"/>
      <c r="AF490" s="1065"/>
      <c r="AG490" s="1065"/>
      <c r="AH490" s="1065"/>
      <c r="AI490" s="1065"/>
      <c r="AJ490" s="1065"/>
      <c r="AK490" s="1065"/>
      <c r="AL490" s="1065"/>
      <c r="AM490" s="1065"/>
      <c r="AN490" s="1065"/>
      <c r="AO490" s="1065"/>
      <c r="AP490" s="1065"/>
      <c r="AQ490" s="1065"/>
      <c r="AR490" s="1065"/>
      <c r="AS490" s="1065"/>
      <c r="AT490" s="1065"/>
      <c r="AU490" s="1065"/>
      <c r="AV490" s="1065"/>
      <c r="AW490" s="1065"/>
      <c r="AX490" s="1065"/>
      <c r="AY490" s="1065"/>
      <c r="AZ490" s="1065"/>
      <c r="BA490" s="1065"/>
      <c r="BB490" s="1065"/>
      <c r="BC490" s="1065"/>
      <c r="BD490" s="1065"/>
      <c r="BE490" s="1065"/>
      <c r="BF490" s="1065"/>
      <c r="BG490" s="1065"/>
      <c r="BH490" s="1065"/>
      <c r="BI490" s="1065"/>
      <c r="BJ490" s="1065"/>
      <c r="BK490" s="1065"/>
      <c r="BL490" s="1065"/>
      <c r="BM490" s="1065"/>
      <c r="BN490" s="1065"/>
      <c r="BO490" s="1065"/>
      <c r="BP490" s="1065"/>
      <c r="BQ490" s="1065"/>
      <c r="BR490" s="1065"/>
      <c r="BS490" s="1065"/>
      <c r="BT490" s="1065"/>
      <c r="BU490" s="1065"/>
      <c r="BV490" s="1065"/>
      <c r="BW490" s="1065"/>
      <c r="BX490" s="1065"/>
      <c r="BY490" s="1065"/>
      <c r="BZ490" s="1065"/>
      <c r="CA490" s="1065"/>
      <c r="CB490" s="1065"/>
      <c r="CC490" s="1065"/>
      <c r="CD490" s="1065"/>
      <c r="CE490" s="1065"/>
      <c r="CF490" s="1065"/>
      <c r="CG490" s="1065"/>
      <c r="CH490" s="1065"/>
      <c r="CI490" s="1065"/>
      <c r="CJ490" s="1065"/>
      <c r="CK490" s="1065"/>
      <c r="CL490" s="1065"/>
      <c r="CM490" s="1065"/>
      <c r="CN490" s="1065"/>
      <c r="CO490" s="1065"/>
      <c r="CP490" s="1065"/>
      <c r="CQ490" s="1065"/>
      <c r="CR490" s="1065"/>
      <c r="CS490" s="1065"/>
      <c r="CT490" s="1065"/>
      <c r="CU490" s="1065"/>
      <c r="CV490" s="1065"/>
      <c r="CW490" s="1065"/>
      <c r="CX490" s="1065"/>
      <c r="CY490" s="1065"/>
      <c r="CZ490" s="1065"/>
      <c r="DA490" s="1065"/>
      <c r="DB490" s="1065"/>
    </row>
    <row r="491" spans="1:106" ht="15" customHeight="1" thickBot="1">
      <c r="A491" s="1065"/>
      <c r="B491" s="1065"/>
      <c r="C491" s="1785"/>
      <c r="D491" s="1786"/>
      <c r="E491" s="1786"/>
      <c r="F491" s="1786"/>
      <c r="G491" s="1786"/>
      <c r="H491" s="1787"/>
      <c r="I491" s="1787"/>
      <c r="J491" s="1789" t="s">
        <v>856</v>
      </c>
      <c r="K491" s="1789"/>
      <c r="L491" s="1789"/>
      <c r="M491" s="1678" t="s">
        <v>860</v>
      </c>
      <c r="N491" s="1678"/>
      <c r="O491" s="1678"/>
      <c r="P491" s="1678"/>
      <c r="Q491" s="1678"/>
      <c r="R491" s="1678"/>
      <c r="S491" s="1097">
        <v>580</v>
      </c>
      <c r="T491" s="1188">
        <v>2380</v>
      </c>
      <c r="U491" s="1797"/>
      <c r="V491" s="1065"/>
      <c r="W491" s="1065"/>
      <c r="X491" s="1065"/>
      <c r="Y491" s="1065"/>
      <c r="Z491" s="1065"/>
      <c r="AA491" s="1065"/>
      <c r="AB491" s="1065"/>
      <c r="AC491" s="1065"/>
      <c r="AD491" s="1065"/>
      <c r="AE491" s="1065"/>
      <c r="AF491" s="1065"/>
      <c r="AG491" s="1065"/>
      <c r="AH491" s="1065"/>
      <c r="AI491" s="1065"/>
      <c r="AJ491" s="1065"/>
      <c r="AK491" s="1065"/>
      <c r="AL491" s="1065"/>
      <c r="AM491" s="1065"/>
      <c r="AN491" s="1065"/>
      <c r="AO491" s="1065"/>
      <c r="AP491" s="1065"/>
      <c r="AQ491" s="1065"/>
      <c r="AR491" s="1065"/>
      <c r="AS491" s="1065"/>
      <c r="AT491" s="1065"/>
      <c r="AU491" s="1065"/>
      <c r="AV491" s="1065"/>
      <c r="AW491" s="1065"/>
      <c r="AX491" s="1065"/>
      <c r="AY491" s="1065"/>
      <c r="AZ491" s="1065"/>
      <c r="BA491" s="1065"/>
      <c r="BB491" s="1065"/>
      <c r="BC491" s="1065"/>
      <c r="BD491" s="1065"/>
      <c r="BE491" s="1065"/>
      <c r="BF491" s="1065"/>
      <c r="BG491" s="1065"/>
      <c r="BH491" s="1065"/>
      <c r="BI491" s="1065"/>
      <c r="BJ491" s="1065"/>
      <c r="BK491" s="1065"/>
      <c r="BL491" s="1065"/>
      <c r="BM491" s="1065"/>
      <c r="BN491" s="1065"/>
      <c r="BO491" s="1065"/>
      <c r="BP491" s="1065"/>
      <c r="BQ491" s="1065"/>
      <c r="BR491" s="1065"/>
      <c r="BS491" s="1065"/>
      <c r="BT491" s="1065"/>
      <c r="BU491" s="1065"/>
      <c r="BV491" s="1065"/>
      <c r="BW491" s="1065"/>
      <c r="BX491" s="1065"/>
      <c r="BY491" s="1065"/>
      <c r="BZ491" s="1065"/>
      <c r="CA491" s="1065"/>
      <c r="CB491" s="1065"/>
      <c r="CC491" s="1065"/>
      <c r="CD491" s="1065"/>
      <c r="CE491" s="1065"/>
      <c r="CF491" s="1065"/>
      <c r="CG491" s="1065"/>
      <c r="CH491" s="1065"/>
      <c r="CI491" s="1065"/>
      <c r="CJ491" s="1065"/>
      <c r="CK491" s="1065"/>
      <c r="CL491" s="1065"/>
      <c r="CM491" s="1065"/>
      <c r="CN491" s="1065"/>
      <c r="CO491" s="1065"/>
      <c r="CP491" s="1065"/>
      <c r="CQ491" s="1065"/>
      <c r="CR491" s="1065"/>
      <c r="CS491" s="1065"/>
      <c r="CT491" s="1065"/>
      <c r="CU491" s="1065"/>
      <c r="CV491" s="1065"/>
      <c r="CW491" s="1065"/>
      <c r="CX491" s="1065"/>
      <c r="CY491" s="1065"/>
      <c r="CZ491" s="1065"/>
      <c r="DA491" s="1065"/>
      <c r="DB491" s="1065"/>
    </row>
    <row r="492" spans="1:106" ht="15" customHeight="1" thickBot="1">
      <c r="A492" s="1065"/>
      <c r="B492" s="1065"/>
      <c r="C492" s="1785"/>
      <c r="D492" s="1786"/>
      <c r="E492" s="1786"/>
      <c r="F492" s="1786"/>
      <c r="G492" s="1786"/>
      <c r="H492" s="1787"/>
      <c r="I492" s="1787"/>
      <c r="J492" s="1747" t="s">
        <v>842</v>
      </c>
      <c r="K492" s="1747"/>
      <c r="L492" s="1747"/>
      <c r="M492" s="1678" t="s">
        <v>861</v>
      </c>
      <c r="N492" s="1678"/>
      <c r="O492" s="1678"/>
      <c r="P492" s="1678"/>
      <c r="Q492" s="1678"/>
      <c r="R492" s="1678"/>
      <c r="S492" s="1097">
        <f>1800+1160</f>
        <v>2960</v>
      </c>
      <c r="T492" s="1188"/>
      <c r="U492" s="1797"/>
      <c r="V492" s="1065"/>
      <c r="W492" s="1065"/>
      <c r="X492" s="1065"/>
      <c r="Y492" s="1065"/>
      <c r="Z492" s="1065"/>
      <c r="AA492" s="1065"/>
      <c r="AB492" s="1065"/>
      <c r="AC492" s="1065"/>
      <c r="AD492" s="1065"/>
      <c r="AE492" s="1065"/>
      <c r="AF492" s="1065"/>
      <c r="AG492" s="1065"/>
      <c r="AH492" s="1065"/>
      <c r="AI492" s="1065"/>
      <c r="AJ492" s="1065"/>
      <c r="AK492" s="1065"/>
      <c r="AL492" s="1065"/>
      <c r="AM492" s="1065"/>
      <c r="AN492" s="1065"/>
      <c r="AO492" s="1065"/>
      <c r="AP492" s="1065"/>
      <c r="AQ492" s="1065"/>
      <c r="AR492" s="1065"/>
      <c r="AS492" s="1065"/>
      <c r="AT492" s="1065"/>
      <c r="AU492" s="1065"/>
      <c r="AV492" s="1065"/>
      <c r="AW492" s="1065"/>
      <c r="AX492" s="1065"/>
      <c r="AY492" s="1065"/>
      <c r="AZ492" s="1065"/>
      <c r="BA492" s="1065"/>
      <c r="BB492" s="1065"/>
      <c r="BC492" s="1065"/>
      <c r="BD492" s="1065"/>
      <c r="BE492" s="1065"/>
      <c r="BF492" s="1065"/>
      <c r="BG492" s="1065"/>
      <c r="BH492" s="1065"/>
      <c r="BI492" s="1065"/>
      <c r="BJ492" s="1065"/>
      <c r="BK492" s="1065"/>
      <c r="BL492" s="1065"/>
      <c r="BM492" s="1065"/>
      <c r="BN492" s="1065"/>
      <c r="BO492" s="1065"/>
      <c r="BP492" s="1065"/>
      <c r="BQ492" s="1065"/>
      <c r="BR492" s="1065"/>
      <c r="BS492" s="1065"/>
      <c r="BT492" s="1065"/>
      <c r="BU492" s="1065"/>
      <c r="BV492" s="1065"/>
      <c r="BW492" s="1065"/>
      <c r="BX492" s="1065"/>
      <c r="BY492" s="1065"/>
      <c r="BZ492" s="1065"/>
      <c r="CA492" s="1065"/>
      <c r="CB492" s="1065"/>
      <c r="CC492" s="1065"/>
      <c r="CD492" s="1065"/>
      <c r="CE492" s="1065"/>
      <c r="CF492" s="1065"/>
      <c r="CG492" s="1065"/>
      <c r="CH492" s="1065"/>
      <c r="CI492" s="1065"/>
      <c r="CJ492" s="1065"/>
      <c r="CK492" s="1065"/>
      <c r="CL492" s="1065"/>
      <c r="CM492" s="1065"/>
      <c r="CN492" s="1065"/>
      <c r="CO492" s="1065"/>
      <c r="CP492" s="1065"/>
      <c r="CQ492" s="1065"/>
      <c r="CR492" s="1065"/>
      <c r="CS492" s="1065"/>
      <c r="CT492" s="1065"/>
      <c r="CU492" s="1065"/>
      <c r="CV492" s="1065"/>
      <c r="CW492" s="1065"/>
      <c r="CX492" s="1065"/>
      <c r="CY492" s="1065"/>
      <c r="CZ492" s="1065"/>
      <c r="DA492" s="1065"/>
      <c r="DB492" s="1065"/>
    </row>
    <row r="493" spans="1:106" ht="15" customHeight="1" thickBot="1">
      <c r="A493" s="1065"/>
      <c r="B493" s="1065"/>
      <c r="C493" s="1785"/>
      <c r="D493" s="1786"/>
      <c r="E493" s="1786"/>
      <c r="F493" s="1786"/>
      <c r="G493" s="1786"/>
      <c r="H493" s="1787"/>
      <c r="I493" s="1787"/>
      <c r="J493" s="1704" t="s">
        <v>852</v>
      </c>
      <c r="K493" s="1704"/>
      <c r="L493" s="1704"/>
      <c r="M493" s="1706" t="s">
        <v>853</v>
      </c>
      <c r="N493" s="1706"/>
      <c r="O493" s="1706"/>
      <c r="P493" s="1706"/>
      <c r="Q493" s="1706"/>
      <c r="R493" s="1706"/>
      <c r="S493" s="1098">
        <v>1900</v>
      </c>
      <c r="T493" s="1190">
        <v>1900</v>
      </c>
      <c r="U493" s="1797"/>
      <c r="V493" s="1065"/>
      <c r="W493" s="1065"/>
      <c r="X493" s="1065"/>
      <c r="Y493" s="1065"/>
      <c r="Z493" s="1065"/>
      <c r="AA493" s="1065"/>
      <c r="AB493" s="1065"/>
      <c r="AC493" s="1065"/>
      <c r="AD493" s="1065"/>
      <c r="AE493" s="1065"/>
      <c r="AF493" s="1065"/>
      <c r="AG493" s="1065"/>
      <c r="AH493" s="1065"/>
      <c r="AI493" s="1065"/>
      <c r="AJ493" s="1065"/>
      <c r="AK493" s="1065"/>
      <c r="AL493" s="1065"/>
      <c r="AM493" s="1065"/>
      <c r="AN493" s="1065"/>
      <c r="AO493" s="1065"/>
      <c r="AP493" s="1065"/>
      <c r="AQ493" s="1065"/>
      <c r="AR493" s="1065"/>
      <c r="AS493" s="1065"/>
      <c r="AT493" s="1065"/>
      <c r="AU493" s="1065"/>
      <c r="AV493" s="1065"/>
      <c r="AW493" s="1065"/>
      <c r="AX493" s="1065"/>
      <c r="AY493" s="1065"/>
      <c r="AZ493" s="1065"/>
      <c r="BA493" s="1065"/>
      <c r="BB493" s="1065"/>
      <c r="BC493" s="1065"/>
      <c r="BD493" s="1065"/>
      <c r="BE493" s="1065"/>
      <c r="BF493" s="1065"/>
      <c r="BG493" s="1065"/>
      <c r="BH493" s="1065"/>
      <c r="BI493" s="1065"/>
      <c r="BJ493" s="1065"/>
      <c r="BK493" s="1065"/>
      <c r="BL493" s="1065"/>
      <c r="BM493" s="1065"/>
      <c r="BN493" s="1065"/>
      <c r="BO493" s="1065"/>
      <c r="BP493" s="1065"/>
      <c r="BQ493" s="1065"/>
      <c r="BR493" s="1065"/>
      <c r="BS493" s="1065"/>
      <c r="BT493" s="1065"/>
      <c r="BU493" s="1065"/>
      <c r="BV493" s="1065"/>
      <c r="BW493" s="1065"/>
      <c r="BX493" s="1065"/>
      <c r="BY493" s="1065"/>
      <c r="BZ493" s="1065"/>
      <c r="CA493" s="1065"/>
      <c r="CB493" s="1065"/>
      <c r="CC493" s="1065"/>
      <c r="CD493" s="1065"/>
      <c r="CE493" s="1065"/>
      <c r="CF493" s="1065"/>
      <c r="CG493" s="1065"/>
      <c r="CH493" s="1065"/>
      <c r="CI493" s="1065"/>
      <c r="CJ493" s="1065"/>
      <c r="CK493" s="1065"/>
      <c r="CL493" s="1065"/>
      <c r="CM493" s="1065"/>
      <c r="CN493" s="1065"/>
      <c r="CO493" s="1065"/>
      <c r="CP493" s="1065"/>
      <c r="CQ493" s="1065"/>
      <c r="CR493" s="1065"/>
      <c r="CS493" s="1065"/>
      <c r="CT493" s="1065"/>
      <c r="CU493" s="1065"/>
      <c r="CV493" s="1065"/>
      <c r="CW493" s="1065"/>
      <c r="CX493" s="1065"/>
      <c r="CY493" s="1065"/>
      <c r="CZ493" s="1065"/>
      <c r="DA493" s="1065"/>
      <c r="DB493" s="1065"/>
    </row>
    <row r="494" spans="1:106" ht="15" customHeight="1" thickBot="1">
      <c r="A494" s="1065"/>
      <c r="B494" s="1065"/>
      <c r="C494" s="1778" t="s">
        <v>679</v>
      </c>
      <c r="D494" s="1779" t="s">
        <v>837</v>
      </c>
      <c r="E494" s="1779"/>
      <c r="F494" s="1779"/>
      <c r="G494" s="1779"/>
      <c r="H494" s="1780" t="s">
        <v>671</v>
      </c>
      <c r="I494" s="1780"/>
      <c r="J494" s="1781" t="s">
        <v>862</v>
      </c>
      <c r="K494" s="1781"/>
      <c r="L494" s="1781"/>
      <c r="M494" s="1782" t="s">
        <v>863</v>
      </c>
      <c r="N494" s="1782"/>
      <c r="O494" s="1782"/>
      <c r="P494" s="1782"/>
      <c r="Q494" s="1782"/>
      <c r="R494" s="1782"/>
      <c r="S494" s="1103">
        <v>4640</v>
      </c>
      <c r="T494" s="1193">
        <v>7020</v>
      </c>
      <c r="U494" s="1797"/>
      <c r="V494" s="1065"/>
      <c r="W494" s="1065"/>
      <c r="X494" s="1065"/>
      <c r="Y494" s="1065"/>
      <c r="Z494" s="1065"/>
      <c r="AA494" s="1065"/>
      <c r="AB494" s="1065"/>
      <c r="AC494" s="1065"/>
      <c r="AD494" s="1065"/>
      <c r="AE494" s="1065"/>
      <c r="AF494" s="1065"/>
      <c r="AG494" s="1065"/>
      <c r="AH494" s="1065"/>
      <c r="AI494" s="1065"/>
      <c r="AJ494" s="1065"/>
      <c r="AK494" s="1065"/>
      <c r="AL494" s="1065"/>
      <c r="AM494" s="1065"/>
      <c r="AN494" s="1065"/>
      <c r="AO494" s="1065"/>
      <c r="AP494" s="1065"/>
      <c r="AQ494" s="1065"/>
      <c r="AR494" s="1065"/>
      <c r="AS494" s="1065"/>
      <c r="AT494" s="1065"/>
      <c r="AU494" s="1065"/>
      <c r="AV494" s="1065"/>
      <c r="AW494" s="1065"/>
      <c r="AX494" s="1065"/>
      <c r="AY494" s="1065"/>
      <c r="AZ494" s="1065"/>
      <c r="BA494" s="1065"/>
      <c r="BB494" s="1065"/>
      <c r="BC494" s="1065"/>
      <c r="BD494" s="1065"/>
      <c r="BE494" s="1065"/>
      <c r="BF494" s="1065"/>
      <c r="BG494" s="1065"/>
      <c r="BH494" s="1065"/>
      <c r="BI494" s="1065"/>
      <c r="BJ494" s="1065"/>
      <c r="BK494" s="1065"/>
      <c r="BL494" s="1065"/>
      <c r="BM494" s="1065"/>
      <c r="BN494" s="1065"/>
      <c r="BO494" s="1065"/>
      <c r="BP494" s="1065"/>
      <c r="BQ494" s="1065"/>
      <c r="BR494" s="1065"/>
      <c r="BS494" s="1065"/>
      <c r="BT494" s="1065"/>
      <c r="BU494" s="1065"/>
      <c r="BV494" s="1065"/>
      <c r="BW494" s="1065"/>
      <c r="BX494" s="1065"/>
      <c r="BY494" s="1065"/>
      <c r="BZ494" s="1065"/>
      <c r="CA494" s="1065"/>
      <c r="CB494" s="1065"/>
      <c r="CC494" s="1065"/>
      <c r="CD494" s="1065"/>
      <c r="CE494" s="1065"/>
      <c r="CF494" s="1065"/>
      <c r="CG494" s="1065"/>
      <c r="CH494" s="1065"/>
      <c r="CI494" s="1065"/>
      <c r="CJ494" s="1065"/>
      <c r="CK494" s="1065"/>
      <c r="CL494" s="1065"/>
      <c r="CM494" s="1065"/>
      <c r="CN494" s="1065"/>
      <c r="CO494" s="1065"/>
      <c r="CP494" s="1065"/>
      <c r="CQ494" s="1065"/>
      <c r="CR494" s="1065"/>
      <c r="CS494" s="1065"/>
      <c r="CT494" s="1065"/>
      <c r="CU494" s="1065"/>
      <c r="CV494" s="1065"/>
      <c r="CW494" s="1065"/>
      <c r="CX494" s="1065"/>
      <c r="CY494" s="1065"/>
      <c r="CZ494" s="1065"/>
      <c r="DA494" s="1065"/>
      <c r="DB494" s="1065"/>
    </row>
    <row r="495" spans="1:106" ht="15" customHeight="1" thickBot="1">
      <c r="A495" s="1065"/>
      <c r="B495" s="1065"/>
      <c r="C495" s="1778"/>
      <c r="D495" s="1779"/>
      <c r="E495" s="1779"/>
      <c r="F495" s="1779"/>
      <c r="G495" s="1779"/>
      <c r="H495" s="1780"/>
      <c r="I495" s="1780"/>
      <c r="J495" s="1783" t="s">
        <v>864</v>
      </c>
      <c r="K495" s="1783"/>
      <c r="L495" s="1783"/>
      <c r="M495" s="1784" t="s">
        <v>865</v>
      </c>
      <c r="N495" s="1784"/>
      <c r="O495" s="1784"/>
      <c r="P495" s="1784"/>
      <c r="Q495" s="1784"/>
      <c r="R495" s="1784"/>
      <c r="S495" s="1095">
        <v>5220</v>
      </c>
      <c r="T495" s="1072"/>
      <c r="U495" s="1797"/>
      <c r="V495" s="1065"/>
      <c r="W495" s="1065"/>
      <c r="X495" s="1065"/>
      <c r="Y495" s="1065"/>
      <c r="Z495" s="1065"/>
      <c r="AA495" s="1065"/>
      <c r="AB495" s="1065"/>
      <c r="AC495" s="1065"/>
      <c r="AD495" s="1065"/>
      <c r="AE495" s="1065"/>
      <c r="AF495" s="1065"/>
      <c r="AG495" s="1065"/>
      <c r="AH495" s="1065"/>
      <c r="AI495" s="1065"/>
      <c r="AJ495" s="1065"/>
      <c r="AK495" s="1065"/>
      <c r="AL495" s="1065"/>
      <c r="AM495" s="1065"/>
      <c r="AN495" s="1065"/>
      <c r="AO495" s="1065"/>
      <c r="AP495" s="1065"/>
      <c r="AQ495" s="1065"/>
      <c r="AR495" s="1065"/>
      <c r="AS495" s="1065"/>
      <c r="AT495" s="1065"/>
      <c r="AU495" s="1065"/>
      <c r="AV495" s="1065"/>
      <c r="AW495" s="1065"/>
      <c r="AX495" s="1065"/>
      <c r="AY495" s="1065"/>
      <c r="AZ495" s="1065"/>
      <c r="BA495" s="1065"/>
      <c r="BB495" s="1065"/>
      <c r="BC495" s="1065"/>
      <c r="BD495" s="1065"/>
      <c r="BE495" s="1065"/>
      <c r="BF495" s="1065"/>
      <c r="BG495" s="1065"/>
      <c r="BH495" s="1065"/>
      <c r="BI495" s="1065"/>
      <c r="BJ495" s="1065"/>
      <c r="BK495" s="1065"/>
      <c r="BL495" s="1065"/>
      <c r="BM495" s="1065"/>
      <c r="BN495" s="1065"/>
      <c r="BO495" s="1065"/>
      <c r="BP495" s="1065"/>
      <c r="BQ495" s="1065"/>
      <c r="BR495" s="1065"/>
      <c r="BS495" s="1065"/>
      <c r="BT495" s="1065"/>
      <c r="BU495" s="1065"/>
      <c r="BV495" s="1065"/>
      <c r="BW495" s="1065"/>
      <c r="BX495" s="1065"/>
      <c r="BY495" s="1065"/>
      <c r="BZ495" s="1065"/>
      <c r="CA495" s="1065"/>
      <c r="CB495" s="1065"/>
      <c r="CC495" s="1065"/>
      <c r="CD495" s="1065"/>
      <c r="CE495" s="1065"/>
      <c r="CF495" s="1065"/>
      <c r="CG495" s="1065"/>
      <c r="CH495" s="1065"/>
      <c r="CI495" s="1065"/>
      <c r="CJ495" s="1065"/>
      <c r="CK495" s="1065"/>
      <c r="CL495" s="1065"/>
      <c r="CM495" s="1065"/>
      <c r="CN495" s="1065"/>
      <c r="CO495" s="1065"/>
      <c r="CP495" s="1065"/>
      <c r="CQ495" s="1065"/>
      <c r="CR495" s="1065"/>
      <c r="CS495" s="1065"/>
      <c r="CT495" s="1065"/>
      <c r="CU495" s="1065"/>
      <c r="CV495" s="1065"/>
      <c r="CW495" s="1065"/>
      <c r="CX495" s="1065"/>
      <c r="CY495" s="1065"/>
      <c r="CZ495" s="1065"/>
      <c r="DA495" s="1065"/>
      <c r="DB495" s="1065"/>
    </row>
    <row r="496" spans="1:106" ht="15" customHeight="1" thickBot="1">
      <c r="A496" s="1065"/>
      <c r="B496" s="1065"/>
      <c r="C496" s="1778"/>
      <c r="D496" s="1779"/>
      <c r="E496" s="1779"/>
      <c r="F496" s="1779"/>
      <c r="G496" s="1779"/>
      <c r="H496" s="1780"/>
      <c r="I496" s="1780"/>
      <c r="J496" s="1704"/>
      <c r="K496" s="1704"/>
      <c r="L496" s="1704"/>
      <c r="M496" s="1706"/>
      <c r="N496" s="1706"/>
      <c r="O496" s="1706"/>
      <c r="P496" s="1706"/>
      <c r="Q496" s="1706"/>
      <c r="R496" s="1706"/>
      <c r="S496" s="1098"/>
      <c r="T496" s="1077">
        <v>5220</v>
      </c>
      <c r="U496" s="1797"/>
      <c r="V496" s="1065"/>
      <c r="W496" s="1065"/>
      <c r="X496" s="1065"/>
      <c r="Y496" s="1065"/>
      <c r="Z496" s="1065"/>
      <c r="AA496" s="1065"/>
      <c r="AB496" s="1065"/>
      <c r="AC496" s="1065"/>
      <c r="AD496" s="1065"/>
      <c r="AE496" s="1065"/>
      <c r="AF496" s="1065"/>
      <c r="AG496" s="1065"/>
      <c r="AH496" s="1065"/>
      <c r="AI496" s="1065"/>
      <c r="AJ496" s="1065"/>
      <c r="AK496" s="1065"/>
      <c r="AL496" s="1065"/>
      <c r="AM496" s="1065"/>
      <c r="AN496" s="1065"/>
      <c r="AO496" s="1065"/>
      <c r="AP496" s="1065"/>
      <c r="AQ496" s="1065"/>
      <c r="AR496" s="1065"/>
      <c r="AS496" s="1065"/>
      <c r="AT496" s="1065"/>
      <c r="AU496" s="1065"/>
      <c r="AV496" s="1065"/>
      <c r="AW496" s="1065"/>
      <c r="AX496" s="1065"/>
      <c r="AY496" s="1065"/>
      <c r="AZ496" s="1065"/>
      <c r="BA496" s="1065"/>
      <c r="BB496" s="1065"/>
      <c r="BC496" s="1065"/>
      <c r="BD496" s="1065"/>
      <c r="BE496" s="1065"/>
      <c r="BF496" s="1065"/>
      <c r="BG496" s="1065"/>
      <c r="BH496" s="1065"/>
      <c r="BI496" s="1065"/>
      <c r="BJ496" s="1065"/>
      <c r="BK496" s="1065"/>
      <c r="BL496" s="1065"/>
      <c r="BM496" s="1065"/>
      <c r="BN496" s="1065"/>
      <c r="BO496" s="1065"/>
      <c r="BP496" s="1065"/>
      <c r="BQ496" s="1065"/>
      <c r="BR496" s="1065"/>
      <c r="BS496" s="1065"/>
      <c r="BT496" s="1065"/>
      <c r="BU496" s="1065"/>
      <c r="BV496" s="1065"/>
      <c r="BW496" s="1065"/>
      <c r="BX496" s="1065"/>
      <c r="BY496" s="1065"/>
      <c r="BZ496" s="1065"/>
      <c r="CA496" s="1065"/>
      <c r="CB496" s="1065"/>
      <c r="CC496" s="1065"/>
      <c r="CD496" s="1065"/>
      <c r="CE496" s="1065"/>
      <c r="CF496" s="1065"/>
      <c r="CG496" s="1065"/>
      <c r="CH496" s="1065"/>
      <c r="CI496" s="1065"/>
      <c r="CJ496" s="1065"/>
      <c r="CK496" s="1065"/>
      <c r="CL496" s="1065"/>
      <c r="CM496" s="1065"/>
      <c r="CN496" s="1065"/>
      <c r="CO496" s="1065"/>
      <c r="CP496" s="1065"/>
      <c r="CQ496" s="1065"/>
      <c r="CR496" s="1065"/>
      <c r="CS496" s="1065"/>
      <c r="CT496" s="1065"/>
      <c r="CU496" s="1065"/>
      <c r="CV496" s="1065"/>
      <c r="CW496" s="1065"/>
      <c r="CX496" s="1065"/>
      <c r="CY496" s="1065"/>
      <c r="CZ496" s="1065"/>
      <c r="DA496" s="1065"/>
      <c r="DB496" s="1065"/>
    </row>
    <row r="497" spans="1:106" ht="15" customHeight="1" thickBot="1">
      <c r="A497" s="1065"/>
      <c r="B497" s="1065"/>
      <c r="C497" s="1773" t="s">
        <v>669</v>
      </c>
      <c r="D497" s="1774" t="s">
        <v>837</v>
      </c>
      <c r="E497" s="1774"/>
      <c r="F497" s="1774"/>
      <c r="G497" s="1774"/>
      <c r="H497" s="1774" t="s">
        <v>657</v>
      </c>
      <c r="I497" s="1774"/>
      <c r="J497" s="1748"/>
      <c r="K497" s="1748"/>
      <c r="L497" s="1748"/>
      <c r="M497" s="1775"/>
      <c r="N497" s="1775"/>
      <c r="O497" s="1775"/>
      <c r="P497" s="1775"/>
      <c r="Q497" s="1775"/>
      <c r="R497" s="1775"/>
      <c r="S497" s="1103"/>
      <c r="T497" s="1072">
        <v>0</v>
      </c>
      <c r="U497" s="1797"/>
      <c r="V497" s="1065"/>
      <c r="W497" s="1065"/>
      <c r="X497" s="1065"/>
      <c r="Y497" s="1065"/>
      <c r="Z497" s="1065"/>
      <c r="AA497" s="1065"/>
      <c r="AB497" s="1065"/>
      <c r="AC497" s="1065"/>
      <c r="AD497" s="1065"/>
      <c r="AE497" s="1065"/>
      <c r="AF497" s="1065"/>
      <c r="AG497" s="1065"/>
      <c r="AH497" s="1065"/>
      <c r="AI497" s="1065"/>
      <c r="AJ497" s="1065"/>
      <c r="AK497" s="1065"/>
      <c r="AL497" s="1065"/>
      <c r="AM497" s="1065"/>
      <c r="AN497" s="1065"/>
      <c r="AO497" s="1065"/>
      <c r="AP497" s="1065"/>
      <c r="AQ497" s="1065"/>
      <c r="AR497" s="1065"/>
      <c r="AS497" s="1065"/>
      <c r="AT497" s="1065"/>
      <c r="AU497" s="1065"/>
      <c r="AV497" s="1065"/>
      <c r="AW497" s="1065"/>
      <c r="AX497" s="1065"/>
      <c r="AY497" s="1065"/>
      <c r="AZ497" s="1065"/>
      <c r="BA497" s="1065"/>
      <c r="BB497" s="1065"/>
      <c r="BC497" s="1065"/>
      <c r="BD497" s="1065"/>
      <c r="BE497" s="1065"/>
      <c r="BF497" s="1065"/>
      <c r="BG497" s="1065"/>
      <c r="BH497" s="1065"/>
      <c r="BI497" s="1065"/>
      <c r="BJ497" s="1065"/>
      <c r="BK497" s="1065"/>
      <c r="BL497" s="1065"/>
      <c r="BM497" s="1065"/>
      <c r="BN497" s="1065"/>
      <c r="BO497" s="1065"/>
      <c r="BP497" s="1065"/>
      <c r="BQ497" s="1065"/>
      <c r="BR497" s="1065"/>
      <c r="BS497" s="1065"/>
      <c r="BT497" s="1065"/>
      <c r="BU497" s="1065"/>
      <c r="BV497" s="1065"/>
      <c r="BW497" s="1065"/>
      <c r="BX497" s="1065"/>
      <c r="BY497" s="1065"/>
      <c r="BZ497" s="1065"/>
      <c r="CA497" s="1065"/>
      <c r="CB497" s="1065"/>
      <c r="CC497" s="1065"/>
      <c r="CD497" s="1065"/>
      <c r="CE497" s="1065"/>
      <c r="CF497" s="1065"/>
      <c r="CG497" s="1065"/>
      <c r="CH497" s="1065"/>
      <c r="CI497" s="1065"/>
      <c r="CJ497" s="1065"/>
      <c r="CK497" s="1065"/>
      <c r="CL497" s="1065"/>
      <c r="CM497" s="1065"/>
      <c r="CN497" s="1065"/>
      <c r="CO497" s="1065"/>
      <c r="CP497" s="1065"/>
      <c r="CQ497" s="1065"/>
      <c r="CR497" s="1065"/>
      <c r="CS497" s="1065"/>
      <c r="CT497" s="1065"/>
      <c r="CU497" s="1065"/>
      <c r="CV497" s="1065"/>
      <c r="CW497" s="1065"/>
      <c r="CX497" s="1065"/>
      <c r="CY497" s="1065"/>
      <c r="CZ497" s="1065"/>
      <c r="DA497" s="1065"/>
      <c r="DB497" s="1065"/>
    </row>
    <row r="498" spans="1:106" ht="15" customHeight="1" thickBot="1">
      <c r="A498" s="1065"/>
      <c r="B498" s="1065"/>
      <c r="C498" s="1773"/>
      <c r="D498" s="1774"/>
      <c r="E498" s="1774"/>
      <c r="F498" s="1774"/>
      <c r="G498" s="1774"/>
      <c r="H498" s="1774"/>
      <c r="I498" s="1774"/>
      <c r="J498" s="1776" t="s">
        <v>838</v>
      </c>
      <c r="K498" s="1776"/>
      <c r="L498" s="1776"/>
      <c r="M498" s="1777" t="s">
        <v>853</v>
      </c>
      <c r="N498" s="1777"/>
      <c r="O498" s="1777"/>
      <c r="P498" s="1777"/>
      <c r="Q498" s="1777"/>
      <c r="R498" s="1777"/>
      <c r="S498" s="1097">
        <v>580</v>
      </c>
      <c r="T498" s="1141">
        <v>580</v>
      </c>
      <c r="U498" s="1797"/>
      <c r="V498" s="1065"/>
      <c r="W498" s="1065"/>
      <c r="X498" s="1065"/>
      <c r="Y498" s="1065"/>
      <c r="Z498" s="1065"/>
      <c r="AA498" s="1065"/>
      <c r="AB498" s="1065"/>
      <c r="AC498" s="1065"/>
      <c r="AD498" s="1065"/>
      <c r="AE498" s="1065"/>
      <c r="AF498" s="1065"/>
      <c r="AG498" s="1065"/>
      <c r="AH498" s="1065"/>
      <c r="AI498" s="1065"/>
      <c r="AJ498" s="1065"/>
      <c r="AK498" s="1065"/>
      <c r="AL498" s="1065"/>
      <c r="AM498" s="1065"/>
      <c r="AN498" s="1065"/>
      <c r="AO498" s="1065"/>
      <c r="AP498" s="1065"/>
      <c r="AQ498" s="1065"/>
      <c r="AR498" s="1065"/>
      <c r="AS498" s="1065"/>
      <c r="AT498" s="1065"/>
      <c r="AU498" s="1065"/>
      <c r="AV498" s="1065"/>
      <c r="AW498" s="1065"/>
      <c r="AX498" s="1065"/>
      <c r="AY498" s="1065"/>
      <c r="AZ498" s="1065"/>
      <c r="BA498" s="1065"/>
      <c r="BB498" s="1065"/>
      <c r="BC498" s="1065"/>
      <c r="BD498" s="1065"/>
      <c r="BE498" s="1065"/>
      <c r="BF498" s="1065"/>
      <c r="BG498" s="1065"/>
      <c r="BH498" s="1065"/>
      <c r="BI498" s="1065"/>
      <c r="BJ498" s="1065"/>
      <c r="BK498" s="1065"/>
      <c r="BL498" s="1065"/>
      <c r="BM498" s="1065"/>
      <c r="BN498" s="1065"/>
      <c r="BO498" s="1065"/>
      <c r="BP498" s="1065"/>
      <c r="BQ498" s="1065"/>
      <c r="BR498" s="1065"/>
      <c r="BS498" s="1065"/>
      <c r="BT498" s="1065"/>
      <c r="BU498" s="1065"/>
      <c r="BV498" s="1065"/>
      <c r="BW498" s="1065"/>
      <c r="BX498" s="1065"/>
      <c r="BY498" s="1065"/>
      <c r="BZ498" s="1065"/>
      <c r="CA498" s="1065"/>
      <c r="CB498" s="1065"/>
      <c r="CC498" s="1065"/>
      <c r="CD498" s="1065"/>
      <c r="CE498" s="1065"/>
      <c r="CF498" s="1065"/>
      <c r="CG498" s="1065"/>
      <c r="CH498" s="1065"/>
      <c r="CI498" s="1065"/>
      <c r="CJ498" s="1065"/>
      <c r="CK498" s="1065"/>
      <c r="CL498" s="1065"/>
      <c r="CM498" s="1065"/>
      <c r="CN498" s="1065"/>
      <c r="CO498" s="1065"/>
      <c r="CP498" s="1065"/>
      <c r="CQ498" s="1065"/>
      <c r="CR498" s="1065"/>
      <c r="CS498" s="1065"/>
      <c r="CT498" s="1065"/>
      <c r="CU498" s="1065"/>
      <c r="CV498" s="1065"/>
      <c r="CW498" s="1065"/>
      <c r="CX498" s="1065"/>
      <c r="CY498" s="1065"/>
      <c r="CZ498" s="1065"/>
      <c r="DA498" s="1065"/>
      <c r="DB498" s="1065"/>
    </row>
    <row r="499" spans="1:106" ht="15" customHeight="1" thickBot="1">
      <c r="A499" s="1065"/>
      <c r="B499" s="1065"/>
      <c r="C499" s="1740" t="s">
        <v>866</v>
      </c>
      <c r="D499" s="1740"/>
      <c r="E499" s="1740"/>
      <c r="F499" s="1740"/>
      <c r="G499" s="1740"/>
      <c r="H499" s="1740"/>
      <c r="I499" s="1740"/>
      <c r="J499" s="1740"/>
      <c r="K499" s="1740"/>
      <c r="L499" s="1740"/>
      <c r="M499" s="1740"/>
      <c r="N499" s="1740"/>
      <c r="O499" s="1740"/>
      <c r="P499" s="1740"/>
      <c r="Q499" s="1740"/>
      <c r="R499" s="1740"/>
      <c r="S499" s="1740"/>
      <c r="T499" s="1740"/>
      <c r="U499" s="1740"/>
      <c r="V499" s="1065"/>
      <c r="W499" s="1065"/>
      <c r="X499" s="1065"/>
      <c r="Y499" s="1065"/>
      <c r="Z499" s="1065"/>
      <c r="AA499" s="1065"/>
      <c r="AB499" s="1065"/>
      <c r="AC499" s="1065"/>
      <c r="AD499" s="1065"/>
      <c r="AE499" s="1065"/>
      <c r="AF499" s="1065"/>
      <c r="AG499" s="1065"/>
      <c r="AH499" s="1065"/>
      <c r="AI499" s="1065"/>
      <c r="AJ499" s="1065"/>
      <c r="AK499" s="1065"/>
      <c r="AL499" s="1065"/>
      <c r="AM499" s="1065"/>
      <c r="AN499" s="1065"/>
      <c r="AO499" s="1065"/>
      <c r="AP499" s="1065"/>
      <c r="AQ499" s="1065"/>
      <c r="AR499" s="1065"/>
      <c r="AS499" s="1065"/>
      <c r="AT499" s="1065"/>
      <c r="AU499" s="1065"/>
      <c r="AV499" s="1065"/>
      <c r="AW499" s="1065"/>
      <c r="AX499" s="1065"/>
      <c r="AY499" s="1065"/>
      <c r="AZ499" s="1065"/>
      <c r="BA499" s="1065"/>
      <c r="BB499" s="1065"/>
      <c r="BC499" s="1065"/>
      <c r="BD499" s="1065"/>
      <c r="BE499" s="1065"/>
      <c r="BF499" s="1065"/>
      <c r="BG499" s="1065"/>
      <c r="BH499" s="1065"/>
      <c r="BI499" s="1065"/>
      <c r="BJ499" s="1065"/>
      <c r="BK499" s="1065"/>
      <c r="BL499" s="1065"/>
      <c r="BM499" s="1065"/>
      <c r="BN499" s="1065"/>
      <c r="BO499" s="1065"/>
      <c r="BP499" s="1065"/>
      <c r="BQ499" s="1065"/>
      <c r="BR499" s="1065"/>
      <c r="BS499" s="1065"/>
      <c r="BT499" s="1065"/>
      <c r="BU499" s="1065"/>
      <c r="BV499" s="1065"/>
      <c r="BW499" s="1065"/>
      <c r="BX499" s="1065"/>
      <c r="BY499" s="1065"/>
      <c r="BZ499" s="1065"/>
      <c r="CA499" s="1065"/>
      <c r="CB499" s="1065"/>
      <c r="CC499" s="1065"/>
      <c r="CD499" s="1065"/>
      <c r="CE499" s="1065"/>
      <c r="CF499" s="1065"/>
      <c r="CG499" s="1065"/>
      <c r="CH499" s="1065"/>
      <c r="CI499" s="1065"/>
      <c r="CJ499" s="1065"/>
      <c r="CK499" s="1065"/>
      <c r="CL499" s="1065"/>
      <c r="CM499" s="1065"/>
      <c r="CN499" s="1065"/>
      <c r="CO499" s="1065"/>
      <c r="CP499" s="1065"/>
      <c r="CQ499" s="1065"/>
      <c r="CR499" s="1065"/>
      <c r="CS499" s="1065"/>
      <c r="CT499" s="1065"/>
      <c r="CU499" s="1065"/>
      <c r="CV499" s="1065"/>
      <c r="CW499" s="1065"/>
      <c r="CX499" s="1065"/>
      <c r="CY499" s="1065"/>
      <c r="CZ499" s="1065"/>
      <c r="DA499" s="1065"/>
      <c r="DB499" s="1065"/>
    </row>
    <row r="500" spans="1:106" ht="15" customHeight="1" thickBot="1">
      <c r="A500" s="1065"/>
      <c r="B500" s="1065"/>
      <c r="C500" s="1741" t="s">
        <v>648</v>
      </c>
      <c r="D500" s="1742" t="s">
        <v>649</v>
      </c>
      <c r="E500" s="1742"/>
      <c r="F500" s="1742"/>
      <c r="G500" s="1742"/>
      <c r="H500" s="1759" t="s">
        <v>650</v>
      </c>
      <c r="I500" s="1759"/>
      <c r="J500" s="1743" t="s">
        <v>651</v>
      </c>
      <c r="K500" s="1743"/>
      <c r="L500" s="1743"/>
      <c r="M500" s="1743" t="s">
        <v>652</v>
      </c>
      <c r="N500" s="1743"/>
      <c r="O500" s="1743"/>
      <c r="P500" s="1743"/>
      <c r="Q500" s="1743"/>
      <c r="R500" s="1743"/>
      <c r="S500" s="1743" t="s">
        <v>6</v>
      </c>
      <c r="T500" s="1744" t="s">
        <v>653</v>
      </c>
      <c r="U500" s="1772" t="s">
        <v>654</v>
      </c>
      <c r="V500" s="1065"/>
      <c r="W500" s="1065"/>
      <c r="X500" s="1065"/>
      <c r="Y500" s="1065"/>
      <c r="Z500" s="1065"/>
      <c r="AA500" s="1065"/>
      <c r="AB500" s="1065"/>
      <c r="AC500" s="1065"/>
      <c r="AD500" s="1065"/>
      <c r="AE500" s="1065"/>
      <c r="AF500" s="1065"/>
      <c r="AG500" s="1065"/>
      <c r="AH500" s="1065"/>
      <c r="AI500" s="1065"/>
      <c r="AJ500" s="1065"/>
      <c r="AK500" s="1065"/>
      <c r="AL500" s="1065"/>
      <c r="AM500" s="1065"/>
      <c r="AN500" s="1065"/>
      <c r="AO500" s="1065"/>
      <c r="AP500" s="1065"/>
      <c r="AQ500" s="1065"/>
      <c r="AR500" s="1065"/>
      <c r="AS500" s="1065"/>
      <c r="AT500" s="1065"/>
      <c r="AU500" s="1065"/>
      <c r="AV500" s="1065"/>
      <c r="AW500" s="1065"/>
      <c r="AX500" s="1065"/>
      <c r="AY500" s="1065"/>
      <c r="AZ500" s="1065"/>
      <c r="BA500" s="1065"/>
      <c r="BB500" s="1065"/>
      <c r="BC500" s="1065"/>
      <c r="BD500" s="1065"/>
      <c r="BE500" s="1065"/>
      <c r="BF500" s="1065"/>
      <c r="BG500" s="1065"/>
      <c r="BH500" s="1065"/>
      <c r="BI500" s="1065"/>
      <c r="BJ500" s="1065"/>
      <c r="BK500" s="1065"/>
      <c r="BL500" s="1065"/>
      <c r="BM500" s="1065"/>
      <c r="BN500" s="1065"/>
      <c r="BO500" s="1065"/>
      <c r="BP500" s="1065"/>
      <c r="BQ500" s="1065"/>
      <c r="BR500" s="1065"/>
      <c r="BS500" s="1065"/>
      <c r="BT500" s="1065"/>
      <c r="BU500" s="1065"/>
      <c r="BV500" s="1065"/>
      <c r="BW500" s="1065"/>
      <c r="BX500" s="1065"/>
      <c r="BY500" s="1065"/>
      <c r="BZ500" s="1065"/>
      <c r="CA500" s="1065"/>
      <c r="CB500" s="1065"/>
      <c r="CC500" s="1065"/>
      <c r="CD500" s="1065"/>
      <c r="CE500" s="1065"/>
      <c r="CF500" s="1065"/>
      <c r="CG500" s="1065"/>
      <c r="CH500" s="1065"/>
      <c r="CI500" s="1065"/>
      <c r="CJ500" s="1065"/>
      <c r="CK500" s="1065"/>
      <c r="CL500" s="1065"/>
      <c r="CM500" s="1065"/>
      <c r="CN500" s="1065"/>
      <c r="CO500" s="1065"/>
      <c r="CP500" s="1065"/>
      <c r="CQ500" s="1065"/>
      <c r="CR500" s="1065"/>
      <c r="CS500" s="1065"/>
      <c r="CT500" s="1065"/>
      <c r="CU500" s="1065"/>
      <c r="CV500" s="1065"/>
      <c r="CW500" s="1065"/>
      <c r="CX500" s="1065"/>
      <c r="CY500" s="1065"/>
      <c r="CZ500" s="1065"/>
      <c r="DA500" s="1065"/>
      <c r="DB500" s="1065"/>
    </row>
    <row r="501" spans="1:106" ht="15" customHeight="1" thickBot="1">
      <c r="A501" s="1065"/>
      <c r="B501" s="1065"/>
      <c r="C501" s="1741"/>
      <c r="D501" s="1742"/>
      <c r="E501" s="1742"/>
      <c r="F501" s="1742"/>
      <c r="G501" s="1742"/>
      <c r="H501" s="1759"/>
      <c r="I501" s="1759"/>
      <c r="J501" s="1743"/>
      <c r="K501" s="1743"/>
      <c r="L501" s="1743"/>
      <c r="M501" s="1743"/>
      <c r="N501" s="1743"/>
      <c r="O501" s="1743"/>
      <c r="P501" s="1743"/>
      <c r="Q501" s="1743"/>
      <c r="R501" s="1743"/>
      <c r="S501" s="1743"/>
      <c r="T501" s="1744"/>
      <c r="U501" s="1772"/>
      <c r="V501" s="1065"/>
      <c r="W501" s="1065"/>
      <c r="X501" s="1065"/>
      <c r="Y501" s="1065"/>
      <c r="Z501" s="1065"/>
      <c r="AA501" s="1065"/>
      <c r="AB501" s="1065"/>
      <c r="AC501" s="1065"/>
      <c r="AD501" s="1065"/>
      <c r="AE501" s="1065"/>
      <c r="AF501" s="1065"/>
      <c r="AG501" s="1065"/>
      <c r="AH501" s="1065"/>
      <c r="AI501" s="1065"/>
      <c r="AJ501" s="1065"/>
      <c r="AK501" s="1065"/>
      <c r="AL501" s="1065"/>
      <c r="AM501" s="1065"/>
      <c r="AN501" s="1065"/>
      <c r="AO501" s="1065"/>
      <c r="AP501" s="1065"/>
      <c r="AQ501" s="1065"/>
      <c r="AR501" s="1065"/>
      <c r="AS501" s="1065"/>
      <c r="AT501" s="1065"/>
      <c r="AU501" s="1065"/>
      <c r="AV501" s="1065"/>
      <c r="AW501" s="1065"/>
      <c r="AX501" s="1065"/>
      <c r="AY501" s="1065"/>
      <c r="AZ501" s="1065"/>
      <c r="BA501" s="1065"/>
      <c r="BB501" s="1065"/>
      <c r="BC501" s="1065"/>
      <c r="BD501" s="1065"/>
      <c r="BE501" s="1065"/>
      <c r="BF501" s="1065"/>
      <c r="BG501" s="1065"/>
      <c r="BH501" s="1065"/>
      <c r="BI501" s="1065"/>
      <c r="BJ501" s="1065"/>
      <c r="BK501" s="1065"/>
      <c r="BL501" s="1065"/>
      <c r="BM501" s="1065"/>
      <c r="BN501" s="1065"/>
      <c r="BO501" s="1065"/>
      <c r="BP501" s="1065"/>
      <c r="BQ501" s="1065"/>
      <c r="BR501" s="1065"/>
      <c r="BS501" s="1065"/>
      <c r="BT501" s="1065"/>
      <c r="BU501" s="1065"/>
      <c r="BV501" s="1065"/>
      <c r="BW501" s="1065"/>
      <c r="BX501" s="1065"/>
      <c r="BY501" s="1065"/>
      <c r="BZ501" s="1065"/>
      <c r="CA501" s="1065"/>
      <c r="CB501" s="1065"/>
      <c r="CC501" s="1065"/>
      <c r="CD501" s="1065"/>
      <c r="CE501" s="1065"/>
      <c r="CF501" s="1065"/>
      <c r="CG501" s="1065"/>
      <c r="CH501" s="1065"/>
      <c r="CI501" s="1065"/>
      <c r="CJ501" s="1065"/>
      <c r="CK501" s="1065"/>
      <c r="CL501" s="1065"/>
      <c r="CM501" s="1065"/>
      <c r="CN501" s="1065"/>
      <c r="CO501" s="1065"/>
      <c r="CP501" s="1065"/>
      <c r="CQ501" s="1065"/>
      <c r="CR501" s="1065"/>
      <c r="CS501" s="1065"/>
      <c r="CT501" s="1065"/>
      <c r="CU501" s="1065"/>
      <c r="CV501" s="1065"/>
      <c r="CW501" s="1065"/>
      <c r="CX501" s="1065"/>
      <c r="CY501" s="1065"/>
      <c r="CZ501" s="1065"/>
      <c r="DA501" s="1065"/>
      <c r="DB501" s="1065"/>
    </row>
    <row r="502" spans="1:106" ht="15" customHeight="1" thickBot="1">
      <c r="A502" s="1065"/>
      <c r="B502" s="1065"/>
      <c r="C502" s="1194" t="s">
        <v>669</v>
      </c>
      <c r="D502" s="1765" t="s">
        <v>837</v>
      </c>
      <c r="E502" s="1765"/>
      <c r="F502" s="1765"/>
      <c r="G502" s="1765"/>
      <c r="H502" s="1681" t="s">
        <v>657</v>
      </c>
      <c r="I502" s="1681"/>
      <c r="J502" s="1132" t="s">
        <v>867</v>
      </c>
      <c r="K502" s="1133"/>
      <c r="L502" s="1134"/>
      <c r="M502" s="1756" t="s">
        <v>868</v>
      </c>
      <c r="N502" s="1756"/>
      <c r="O502" s="1756"/>
      <c r="P502" s="1756"/>
      <c r="Q502" s="1756"/>
      <c r="R502" s="1756"/>
      <c r="S502" s="1067">
        <v>1800</v>
      </c>
      <c r="T502" s="1769">
        <f>SUM(S502:S525)</f>
        <v>110590</v>
      </c>
      <c r="U502" s="1770">
        <f>SUM(T502:T525)</f>
        <v>110590</v>
      </c>
      <c r="V502" s="1065"/>
      <c r="W502" s="1065"/>
      <c r="X502" s="1065"/>
      <c r="Y502" s="1065"/>
      <c r="Z502" s="1065"/>
      <c r="AA502" s="1065"/>
      <c r="AB502" s="1065"/>
      <c r="AC502" s="1065"/>
      <c r="AD502" s="1065"/>
      <c r="AE502" s="1065"/>
      <c r="AF502" s="1065"/>
      <c r="AG502" s="1065"/>
      <c r="AH502" s="1065"/>
      <c r="AI502" s="1065"/>
      <c r="AJ502" s="1065"/>
      <c r="AK502" s="1065"/>
      <c r="AL502" s="1065"/>
      <c r="AM502" s="1065"/>
      <c r="AN502" s="1065"/>
      <c r="AO502" s="1065"/>
      <c r="AP502" s="1065"/>
      <c r="AQ502" s="1065"/>
      <c r="AR502" s="1065"/>
      <c r="AS502" s="1065"/>
      <c r="AT502" s="1065"/>
      <c r="AU502" s="1065"/>
      <c r="AV502" s="1065"/>
      <c r="AW502" s="1065"/>
      <c r="AX502" s="1065"/>
      <c r="AY502" s="1065"/>
      <c r="AZ502" s="1065"/>
      <c r="BA502" s="1065"/>
      <c r="BB502" s="1065"/>
      <c r="BC502" s="1065"/>
      <c r="BD502" s="1065"/>
      <c r="BE502" s="1065"/>
      <c r="BF502" s="1065"/>
      <c r="BG502" s="1065"/>
      <c r="BH502" s="1065"/>
      <c r="BI502" s="1065"/>
      <c r="BJ502" s="1065"/>
      <c r="BK502" s="1065"/>
      <c r="BL502" s="1065"/>
      <c r="BM502" s="1065"/>
      <c r="BN502" s="1065"/>
      <c r="BO502" s="1065"/>
      <c r="BP502" s="1065"/>
      <c r="BQ502" s="1065"/>
      <c r="BR502" s="1065"/>
      <c r="BS502" s="1065"/>
      <c r="BT502" s="1065"/>
      <c r="BU502" s="1065"/>
      <c r="BV502" s="1065"/>
      <c r="BW502" s="1065"/>
      <c r="BX502" s="1065"/>
      <c r="BY502" s="1065"/>
      <c r="BZ502" s="1065"/>
      <c r="CA502" s="1065"/>
      <c r="CB502" s="1065"/>
      <c r="CC502" s="1065"/>
      <c r="CD502" s="1065"/>
      <c r="CE502" s="1065"/>
      <c r="CF502" s="1065"/>
      <c r="CG502" s="1065"/>
      <c r="CH502" s="1065"/>
      <c r="CI502" s="1065"/>
      <c r="CJ502" s="1065"/>
      <c r="CK502" s="1065"/>
      <c r="CL502" s="1065"/>
      <c r="CM502" s="1065"/>
      <c r="CN502" s="1065"/>
      <c r="CO502" s="1065"/>
      <c r="CP502" s="1065"/>
      <c r="CQ502" s="1065"/>
      <c r="CR502" s="1065"/>
      <c r="CS502" s="1065"/>
      <c r="CT502" s="1065"/>
      <c r="CU502" s="1065"/>
      <c r="CV502" s="1065"/>
      <c r="CW502" s="1065"/>
      <c r="CX502" s="1065"/>
      <c r="CY502" s="1065"/>
      <c r="CZ502" s="1065"/>
      <c r="DA502" s="1065"/>
      <c r="DB502" s="1065"/>
    </row>
    <row r="503" spans="1:106" ht="15" customHeight="1" thickBot="1">
      <c r="A503" s="1065"/>
      <c r="B503" s="1065"/>
      <c r="C503" s="1195" t="s">
        <v>666</v>
      </c>
      <c r="D503" s="1771" t="s">
        <v>837</v>
      </c>
      <c r="E503" s="1771"/>
      <c r="F503" s="1771"/>
      <c r="G503" s="1771"/>
      <c r="H503" s="1196" t="s">
        <v>657</v>
      </c>
      <c r="I503" s="1196"/>
      <c r="J503" s="1132" t="s">
        <v>867</v>
      </c>
      <c r="K503" s="1133"/>
      <c r="L503" s="1134"/>
      <c r="M503" s="1694" t="s">
        <v>869</v>
      </c>
      <c r="N503" s="1694"/>
      <c r="O503" s="1694"/>
      <c r="P503" s="1694"/>
      <c r="Q503" s="1694"/>
      <c r="R503" s="1694"/>
      <c r="S503" s="1067">
        <v>2500</v>
      </c>
      <c r="T503" s="1769"/>
      <c r="U503" s="1770"/>
      <c r="V503" s="1065"/>
      <c r="W503" s="1065"/>
      <c r="X503" s="1065"/>
      <c r="Y503" s="1065"/>
      <c r="Z503" s="1065"/>
      <c r="AA503" s="1065"/>
      <c r="AB503" s="1065"/>
      <c r="AC503" s="1065"/>
      <c r="AD503" s="1065"/>
      <c r="AE503" s="1065"/>
      <c r="AF503" s="1065"/>
      <c r="AG503" s="1065"/>
      <c r="AH503" s="1065"/>
      <c r="AI503" s="1065"/>
      <c r="AJ503" s="1065"/>
      <c r="AK503" s="1065"/>
      <c r="AL503" s="1065"/>
      <c r="AM503" s="1065"/>
      <c r="AN503" s="1065"/>
      <c r="AO503" s="1065"/>
      <c r="AP503" s="1065"/>
      <c r="AQ503" s="1065"/>
      <c r="AR503" s="1065"/>
      <c r="AS503" s="1065"/>
      <c r="AT503" s="1065"/>
      <c r="AU503" s="1065"/>
      <c r="AV503" s="1065"/>
      <c r="AW503" s="1065"/>
      <c r="AX503" s="1065"/>
      <c r="AY503" s="1065"/>
      <c r="AZ503" s="1065"/>
      <c r="BA503" s="1065"/>
      <c r="BB503" s="1065"/>
      <c r="BC503" s="1065"/>
      <c r="BD503" s="1065"/>
      <c r="BE503" s="1065"/>
      <c r="BF503" s="1065"/>
      <c r="BG503" s="1065"/>
      <c r="BH503" s="1065"/>
      <c r="BI503" s="1065"/>
      <c r="BJ503" s="1065"/>
      <c r="BK503" s="1065"/>
      <c r="BL503" s="1065"/>
      <c r="BM503" s="1065"/>
      <c r="BN503" s="1065"/>
      <c r="BO503" s="1065"/>
      <c r="BP503" s="1065"/>
      <c r="BQ503" s="1065"/>
      <c r="BR503" s="1065"/>
      <c r="BS503" s="1065"/>
      <c r="BT503" s="1065"/>
      <c r="BU503" s="1065"/>
      <c r="BV503" s="1065"/>
      <c r="BW503" s="1065"/>
      <c r="BX503" s="1065"/>
      <c r="BY503" s="1065"/>
      <c r="BZ503" s="1065"/>
      <c r="CA503" s="1065"/>
      <c r="CB503" s="1065"/>
      <c r="CC503" s="1065"/>
      <c r="CD503" s="1065"/>
      <c r="CE503" s="1065"/>
      <c r="CF503" s="1065"/>
      <c r="CG503" s="1065"/>
      <c r="CH503" s="1065"/>
      <c r="CI503" s="1065"/>
      <c r="CJ503" s="1065"/>
      <c r="CK503" s="1065"/>
      <c r="CL503" s="1065"/>
      <c r="CM503" s="1065"/>
      <c r="CN503" s="1065"/>
      <c r="CO503" s="1065"/>
      <c r="CP503" s="1065"/>
      <c r="CQ503" s="1065"/>
      <c r="CR503" s="1065"/>
      <c r="CS503" s="1065"/>
      <c r="CT503" s="1065"/>
      <c r="CU503" s="1065"/>
      <c r="CV503" s="1065"/>
      <c r="CW503" s="1065"/>
      <c r="CX503" s="1065"/>
      <c r="CY503" s="1065"/>
      <c r="CZ503" s="1065"/>
      <c r="DA503" s="1065"/>
      <c r="DB503" s="1065"/>
    </row>
    <row r="504" spans="1:106" ht="15" customHeight="1" thickBot="1">
      <c r="A504" s="1065"/>
      <c r="B504" s="1065"/>
      <c r="C504" s="1195" t="s">
        <v>108</v>
      </c>
      <c r="D504" s="1771" t="s">
        <v>837</v>
      </c>
      <c r="E504" s="1771"/>
      <c r="F504" s="1771"/>
      <c r="G504" s="1771"/>
      <c r="H504" s="1196" t="s">
        <v>657</v>
      </c>
      <c r="I504" s="1196"/>
      <c r="J504" s="1756" t="s">
        <v>854</v>
      </c>
      <c r="K504" s="1756"/>
      <c r="L504" s="1756"/>
      <c r="M504" s="1694" t="s">
        <v>869</v>
      </c>
      <c r="N504" s="1694"/>
      <c r="O504" s="1694"/>
      <c r="P504" s="1694"/>
      <c r="Q504" s="1694"/>
      <c r="R504" s="1694"/>
      <c r="S504" s="1067">
        <v>1800</v>
      </c>
      <c r="T504" s="1769"/>
      <c r="U504" s="1770"/>
      <c r="V504" s="1065"/>
      <c r="W504" s="1065"/>
      <c r="X504" s="1065"/>
      <c r="Y504" s="1065"/>
      <c r="Z504" s="1065"/>
      <c r="AA504" s="1065"/>
      <c r="AB504" s="1065"/>
      <c r="AC504" s="1065"/>
      <c r="AD504" s="1065"/>
      <c r="AE504" s="1065"/>
      <c r="AF504" s="1065"/>
      <c r="AG504" s="1065"/>
      <c r="AH504" s="1065"/>
      <c r="AI504" s="1065"/>
      <c r="AJ504" s="1065"/>
      <c r="AK504" s="1065"/>
      <c r="AL504" s="1065"/>
      <c r="AM504" s="1065"/>
      <c r="AN504" s="1065"/>
      <c r="AO504" s="1065"/>
      <c r="AP504" s="1065"/>
      <c r="AQ504" s="1065"/>
      <c r="AR504" s="1065"/>
      <c r="AS504" s="1065"/>
      <c r="AT504" s="1065"/>
      <c r="AU504" s="1065"/>
      <c r="AV504" s="1065"/>
      <c r="AW504" s="1065"/>
      <c r="AX504" s="1065"/>
      <c r="AY504" s="1065"/>
      <c r="AZ504" s="1065"/>
      <c r="BA504" s="1065"/>
      <c r="BB504" s="1065"/>
      <c r="BC504" s="1065"/>
      <c r="BD504" s="1065"/>
      <c r="BE504" s="1065"/>
      <c r="BF504" s="1065"/>
      <c r="BG504" s="1065"/>
      <c r="BH504" s="1065"/>
      <c r="BI504" s="1065"/>
      <c r="BJ504" s="1065"/>
      <c r="BK504" s="1065"/>
      <c r="BL504" s="1065"/>
      <c r="BM504" s="1065"/>
      <c r="BN504" s="1065"/>
      <c r="BO504" s="1065"/>
      <c r="BP504" s="1065"/>
      <c r="BQ504" s="1065"/>
      <c r="BR504" s="1065"/>
      <c r="BS504" s="1065"/>
      <c r="BT504" s="1065"/>
      <c r="BU504" s="1065"/>
      <c r="BV504" s="1065"/>
      <c r="BW504" s="1065"/>
      <c r="BX504" s="1065"/>
      <c r="BY504" s="1065"/>
      <c r="BZ504" s="1065"/>
      <c r="CA504" s="1065"/>
      <c r="CB504" s="1065"/>
      <c r="CC504" s="1065"/>
      <c r="CD504" s="1065"/>
      <c r="CE504" s="1065"/>
      <c r="CF504" s="1065"/>
      <c r="CG504" s="1065"/>
      <c r="CH504" s="1065"/>
      <c r="CI504" s="1065"/>
      <c r="CJ504" s="1065"/>
      <c r="CK504" s="1065"/>
      <c r="CL504" s="1065"/>
      <c r="CM504" s="1065"/>
      <c r="CN504" s="1065"/>
      <c r="CO504" s="1065"/>
      <c r="CP504" s="1065"/>
      <c r="CQ504" s="1065"/>
      <c r="CR504" s="1065"/>
      <c r="CS504" s="1065"/>
      <c r="CT504" s="1065"/>
      <c r="CU504" s="1065"/>
      <c r="CV504" s="1065"/>
      <c r="CW504" s="1065"/>
      <c r="CX504" s="1065"/>
      <c r="CY504" s="1065"/>
      <c r="CZ504" s="1065"/>
      <c r="DA504" s="1065"/>
      <c r="DB504" s="1065"/>
    </row>
    <row r="505" spans="1:106" ht="15" customHeight="1" thickBot="1">
      <c r="A505" s="1065"/>
      <c r="B505" s="1065"/>
      <c r="C505" s="1194" t="s">
        <v>686</v>
      </c>
      <c r="D505" s="1765" t="s">
        <v>837</v>
      </c>
      <c r="E505" s="1765"/>
      <c r="F505" s="1765"/>
      <c r="G505" s="1765"/>
      <c r="H505" s="1681" t="s">
        <v>657</v>
      </c>
      <c r="I505" s="1681"/>
      <c r="J505" s="1756" t="s">
        <v>854</v>
      </c>
      <c r="K505" s="1756"/>
      <c r="L505" s="1756"/>
      <c r="M505" s="1694" t="s">
        <v>869</v>
      </c>
      <c r="N505" s="1694"/>
      <c r="O505" s="1694"/>
      <c r="P505" s="1694"/>
      <c r="Q505" s="1694"/>
      <c r="R505" s="1694"/>
      <c r="S505" s="1067">
        <v>1800</v>
      </c>
      <c r="T505" s="1769"/>
      <c r="U505" s="1770"/>
      <c r="V505" s="1065"/>
      <c r="W505" s="1065"/>
      <c r="X505" s="1065"/>
      <c r="Y505" s="1065"/>
      <c r="Z505" s="1065"/>
      <c r="AA505" s="1065"/>
      <c r="AB505" s="1065"/>
      <c r="AC505" s="1065"/>
      <c r="AD505" s="1065"/>
      <c r="AE505" s="1065"/>
      <c r="AF505" s="1065"/>
      <c r="AG505" s="1065"/>
      <c r="AH505" s="1065"/>
      <c r="AI505" s="1065"/>
      <c r="AJ505" s="1065"/>
      <c r="AK505" s="1065"/>
      <c r="AL505" s="1065"/>
      <c r="AM505" s="1065"/>
      <c r="AN505" s="1065"/>
      <c r="AO505" s="1065"/>
      <c r="AP505" s="1065"/>
      <c r="AQ505" s="1065"/>
      <c r="AR505" s="1065"/>
      <c r="AS505" s="1065"/>
      <c r="AT505" s="1065"/>
      <c r="AU505" s="1065"/>
      <c r="AV505" s="1065"/>
      <c r="AW505" s="1065"/>
      <c r="AX505" s="1065"/>
      <c r="AY505" s="1065"/>
      <c r="AZ505" s="1065"/>
      <c r="BA505" s="1065"/>
      <c r="BB505" s="1065"/>
      <c r="BC505" s="1065"/>
      <c r="BD505" s="1065"/>
      <c r="BE505" s="1065"/>
      <c r="BF505" s="1065"/>
      <c r="BG505" s="1065"/>
      <c r="BH505" s="1065"/>
      <c r="BI505" s="1065"/>
      <c r="BJ505" s="1065"/>
      <c r="BK505" s="1065"/>
      <c r="BL505" s="1065"/>
      <c r="BM505" s="1065"/>
      <c r="BN505" s="1065"/>
      <c r="BO505" s="1065"/>
      <c r="BP505" s="1065"/>
      <c r="BQ505" s="1065"/>
      <c r="BR505" s="1065"/>
      <c r="BS505" s="1065"/>
      <c r="BT505" s="1065"/>
      <c r="BU505" s="1065"/>
      <c r="BV505" s="1065"/>
      <c r="BW505" s="1065"/>
      <c r="BX505" s="1065"/>
      <c r="BY505" s="1065"/>
      <c r="BZ505" s="1065"/>
      <c r="CA505" s="1065"/>
      <c r="CB505" s="1065"/>
      <c r="CC505" s="1065"/>
      <c r="CD505" s="1065"/>
      <c r="CE505" s="1065"/>
      <c r="CF505" s="1065"/>
      <c r="CG505" s="1065"/>
      <c r="CH505" s="1065"/>
      <c r="CI505" s="1065"/>
      <c r="CJ505" s="1065"/>
      <c r="CK505" s="1065"/>
      <c r="CL505" s="1065"/>
      <c r="CM505" s="1065"/>
      <c r="CN505" s="1065"/>
      <c r="CO505" s="1065"/>
      <c r="CP505" s="1065"/>
      <c r="CQ505" s="1065"/>
      <c r="CR505" s="1065"/>
      <c r="CS505" s="1065"/>
      <c r="CT505" s="1065"/>
      <c r="CU505" s="1065"/>
      <c r="CV505" s="1065"/>
      <c r="CW505" s="1065"/>
      <c r="CX505" s="1065"/>
      <c r="CY505" s="1065"/>
      <c r="CZ505" s="1065"/>
      <c r="DA505" s="1065"/>
      <c r="DB505" s="1065"/>
    </row>
    <row r="506" spans="1:106" ht="15" customHeight="1" thickBot="1">
      <c r="A506" s="1065"/>
      <c r="B506" s="1065"/>
      <c r="C506" s="1194" t="s">
        <v>665</v>
      </c>
      <c r="D506" s="1766" t="s">
        <v>870</v>
      </c>
      <c r="E506" s="1766"/>
      <c r="F506" s="1766"/>
      <c r="G506" s="1766"/>
      <c r="H506" s="1681" t="s">
        <v>657</v>
      </c>
      <c r="I506" s="1681"/>
      <c r="J506" s="1756" t="s">
        <v>871</v>
      </c>
      <c r="K506" s="1756"/>
      <c r="L506" s="1756"/>
      <c r="M506" s="1694" t="s">
        <v>872</v>
      </c>
      <c r="N506" s="1694"/>
      <c r="O506" s="1694"/>
      <c r="P506" s="1694"/>
      <c r="Q506" s="1694"/>
      <c r="R506" s="1694"/>
      <c r="S506" s="1067">
        <v>43000</v>
      </c>
      <c r="T506" s="1769"/>
      <c r="U506" s="1770"/>
      <c r="V506" s="1065"/>
      <c r="W506" s="1065"/>
      <c r="X506" s="1065"/>
      <c r="Y506" s="1065"/>
      <c r="Z506" s="1065"/>
      <c r="AA506" s="1065"/>
      <c r="AB506" s="1065"/>
      <c r="AC506" s="1065"/>
      <c r="AD506" s="1065"/>
      <c r="AE506" s="1065"/>
      <c r="AF506" s="1065"/>
      <c r="AG506" s="1065"/>
      <c r="AH506" s="1065"/>
      <c r="AI506" s="1065"/>
      <c r="AJ506" s="1065"/>
      <c r="AK506" s="1065"/>
      <c r="AL506" s="1065"/>
      <c r="AM506" s="1065"/>
      <c r="AN506" s="1065"/>
      <c r="AO506" s="1065"/>
      <c r="AP506" s="1065"/>
      <c r="AQ506" s="1065"/>
      <c r="AR506" s="1065"/>
      <c r="AS506" s="1065"/>
      <c r="AT506" s="1065"/>
      <c r="AU506" s="1065"/>
      <c r="AV506" s="1065"/>
      <c r="AW506" s="1065"/>
      <c r="AX506" s="1065"/>
      <c r="AY506" s="1065"/>
      <c r="AZ506" s="1065"/>
      <c r="BA506" s="1065"/>
      <c r="BB506" s="1065"/>
      <c r="BC506" s="1065"/>
      <c r="BD506" s="1065"/>
      <c r="BE506" s="1065"/>
      <c r="BF506" s="1065"/>
      <c r="BG506" s="1065"/>
      <c r="BH506" s="1065"/>
      <c r="BI506" s="1065"/>
      <c r="BJ506" s="1065"/>
      <c r="BK506" s="1065"/>
      <c r="BL506" s="1065"/>
      <c r="BM506" s="1065"/>
      <c r="BN506" s="1065"/>
      <c r="BO506" s="1065"/>
      <c r="BP506" s="1065"/>
      <c r="BQ506" s="1065"/>
      <c r="BR506" s="1065"/>
      <c r="BS506" s="1065"/>
      <c r="BT506" s="1065"/>
      <c r="BU506" s="1065"/>
      <c r="BV506" s="1065"/>
      <c r="BW506" s="1065"/>
      <c r="BX506" s="1065"/>
      <c r="BY506" s="1065"/>
      <c r="BZ506" s="1065"/>
      <c r="CA506" s="1065"/>
      <c r="CB506" s="1065"/>
      <c r="CC506" s="1065"/>
      <c r="CD506" s="1065"/>
      <c r="CE506" s="1065"/>
      <c r="CF506" s="1065"/>
      <c r="CG506" s="1065"/>
      <c r="CH506" s="1065"/>
      <c r="CI506" s="1065"/>
      <c r="CJ506" s="1065"/>
      <c r="CK506" s="1065"/>
      <c r="CL506" s="1065"/>
      <c r="CM506" s="1065"/>
      <c r="CN506" s="1065"/>
      <c r="CO506" s="1065"/>
      <c r="CP506" s="1065"/>
      <c r="CQ506" s="1065"/>
      <c r="CR506" s="1065"/>
      <c r="CS506" s="1065"/>
      <c r="CT506" s="1065"/>
      <c r="CU506" s="1065"/>
      <c r="CV506" s="1065"/>
      <c r="CW506" s="1065"/>
      <c r="CX506" s="1065"/>
      <c r="CY506" s="1065"/>
      <c r="CZ506" s="1065"/>
      <c r="DA506" s="1065"/>
      <c r="DB506" s="1065"/>
    </row>
    <row r="507" spans="1:106" ht="15" customHeight="1" thickBot="1">
      <c r="A507" s="1065"/>
      <c r="B507" s="1065"/>
      <c r="C507" s="1194" t="s">
        <v>873</v>
      </c>
      <c r="D507" s="1197" t="s">
        <v>874</v>
      </c>
      <c r="E507" s="1198"/>
      <c r="F507" s="1198"/>
      <c r="G507" s="1199"/>
      <c r="H507" s="1196" t="s">
        <v>657</v>
      </c>
      <c r="I507" s="1196"/>
      <c r="J507" s="1756" t="s">
        <v>875</v>
      </c>
      <c r="K507" s="1756"/>
      <c r="L507" s="1756"/>
      <c r="M507" s="1129" t="s">
        <v>876</v>
      </c>
      <c r="N507" s="1200"/>
      <c r="O507" s="1200"/>
      <c r="P507" s="1201"/>
      <c r="Q507" s="1201"/>
      <c r="R507" s="1202"/>
      <c r="S507" s="1067">
        <v>5200</v>
      </c>
      <c r="T507" s="1769"/>
      <c r="U507" s="1770"/>
      <c r="V507" s="1065"/>
      <c r="W507" s="1065"/>
      <c r="X507" s="1065"/>
      <c r="Y507" s="1065"/>
      <c r="Z507" s="1065"/>
      <c r="AA507" s="1065"/>
      <c r="AB507" s="1065"/>
      <c r="AC507" s="1065"/>
      <c r="AD507" s="1065"/>
      <c r="AE507" s="1065"/>
      <c r="AF507" s="1065"/>
      <c r="AG507" s="1065"/>
      <c r="AH507" s="1065"/>
      <c r="AI507" s="1065"/>
      <c r="AJ507" s="1065"/>
      <c r="AK507" s="1065"/>
      <c r="AL507" s="1065"/>
      <c r="AM507" s="1065"/>
      <c r="AN507" s="1065"/>
      <c r="AO507" s="1065"/>
      <c r="AP507" s="1065"/>
      <c r="AQ507" s="1065"/>
      <c r="AR507" s="1065"/>
      <c r="AS507" s="1065"/>
      <c r="AT507" s="1065"/>
      <c r="AU507" s="1065"/>
      <c r="AV507" s="1065"/>
      <c r="AW507" s="1065"/>
      <c r="AX507" s="1065"/>
      <c r="AY507" s="1065"/>
      <c r="AZ507" s="1065"/>
      <c r="BA507" s="1065"/>
      <c r="BB507" s="1065"/>
      <c r="BC507" s="1065"/>
      <c r="BD507" s="1065"/>
      <c r="BE507" s="1065"/>
      <c r="BF507" s="1065"/>
      <c r="BG507" s="1065"/>
      <c r="BH507" s="1065"/>
      <c r="BI507" s="1065"/>
      <c r="BJ507" s="1065"/>
      <c r="BK507" s="1065"/>
      <c r="BL507" s="1065"/>
      <c r="BM507" s="1065"/>
      <c r="BN507" s="1065"/>
      <c r="BO507" s="1065"/>
      <c r="BP507" s="1065"/>
      <c r="BQ507" s="1065"/>
      <c r="BR507" s="1065"/>
      <c r="BS507" s="1065"/>
      <c r="BT507" s="1065"/>
      <c r="BU507" s="1065"/>
      <c r="BV507" s="1065"/>
      <c r="BW507" s="1065"/>
      <c r="BX507" s="1065"/>
      <c r="BY507" s="1065"/>
      <c r="BZ507" s="1065"/>
      <c r="CA507" s="1065"/>
      <c r="CB507" s="1065"/>
      <c r="CC507" s="1065"/>
      <c r="CD507" s="1065"/>
      <c r="CE507" s="1065"/>
      <c r="CF507" s="1065"/>
      <c r="CG507" s="1065"/>
      <c r="CH507" s="1065"/>
      <c r="CI507" s="1065"/>
      <c r="CJ507" s="1065"/>
      <c r="CK507" s="1065"/>
      <c r="CL507" s="1065"/>
      <c r="CM507" s="1065"/>
      <c r="CN507" s="1065"/>
      <c r="CO507" s="1065"/>
      <c r="CP507" s="1065"/>
      <c r="CQ507" s="1065"/>
      <c r="CR507" s="1065"/>
      <c r="CS507" s="1065"/>
      <c r="CT507" s="1065"/>
      <c r="CU507" s="1065"/>
      <c r="CV507" s="1065"/>
      <c r="CW507" s="1065"/>
      <c r="CX507" s="1065"/>
      <c r="CY507" s="1065"/>
      <c r="CZ507" s="1065"/>
      <c r="DA507" s="1065"/>
      <c r="DB507" s="1065"/>
    </row>
    <row r="508" spans="1:106" ht="15" customHeight="1" thickBot="1">
      <c r="A508" s="1065"/>
      <c r="B508" s="1065"/>
      <c r="C508" s="1203" t="s">
        <v>108</v>
      </c>
      <c r="D508" s="1681" t="s">
        <v>837</v>
      </c>
      <c r="E508" s="1681"/>
      <c r="F508" s="1681"/>
      <c r="G508" s="1681"/>
      <c r="H508" s="1681" t="s">
        <v>657</v>
      </c>
      <c r="I508" s="1681"/>
      <c r="J508" s="1204" t="s">
        <v>838</v>
      </c>
      <c r="K508" s="1205"/>
      <c r="L508" s="1206"/>
      <c r="M508" s="1694" t="s">
        <v>869</v>
      </c>
      <c r="N508" s="1694"/>
      <c r="O508" s="1694"/>
      <c r="P508" s="1694"/>
      <c r="Q508" s="1694"/>
      <c r="R508" s="1694"/>
      <c r="S508" s="1067">
        <v>1800</v>
      </c>
      <c r="T508" s="1769"/>
      <c r="U508" s="1770"/>
      <c r="V508" s="1065"/>
      <c r="W508" s="1065"/>
      <c r="X508" s="1065"/>
      <c r="Y508" s="1065"/>
      <c r="Z508" s="1065"/>
      <c r="AA508" s="1065"/>
      <c r="AB508" s="1065"/>
      <c r="AC508" s="1065"/>
      <c r="AD508" s="1065"/>
      <c r="AE508" s="1065"/>
      <c r="AF508" s="1065"/>
      <c r="AG508" s="1065"/>
      <c r="AH508" s="1065"/>
      <c r="AI508" s="1065"/>
      <c r="AJ508" s="1065"/>
      <c r="AK508" s="1065"/>
      <c r="AL508" s="1065"/>
      <c r="AM508" s="1065"/>
      <c r="AN508" s="1065"/>
      <c r="AO508" s="1065"/>
      <c r="AP508" s="1065"/>
      <c r="AQ508" s="1065"/>
      <c r="AR508" s="1065"/>
      <c r="AS508" s="1065"/>
      <c r="AT508" s="1065"/>
      <c r="AU508" s="1065"/>
      <c r="AV508" s="1065"/>
      <c r="AW508" s="1065"/>
      <c r="AX508" s="1065"/>
      <c r="AY508" s="1065"/>
      <c r="AZ508" s="1065"/>
      <c r="BA508" s="1065"/>
      <c r="BB508" s="1065"/>
      <c r="BC508" s="1065"/>
      <c r="BD508" s="1065"/>
      <c r="BE508" s="1065"/>
      <c r="BF508" s="1065"/>
      <c r="BG508" s="1065"/>
      <c r="BH508" s="1065"/>
      <c r="BI508" s="1065"/>
      <c r="BJ508" s="1065"/>
      <c r="BK508" s="1065"/>
      <c r="BL508" s="1065"/>
      <c r="BM508" s="1065"/>
      <c r="BN508" s="1065"/>
      <c r="BO508" s="1065"/>
      <c r="BP508" s="1065"/>
      <c r="BQ508" s="1065"/>
      <c r="BR508" s="1065"/>
      <c r="BS508" s="1065"/>
      <c r="BT508" s="1065"/>
      <c r="BU508" s="1065"/>
      <c r="BV508" s="1065"/>
      <c r="BW508" s="1065"/>
      <c r="BX508" s="1065"/>
      <c r="BY508" s="1065"/>
      <c r="BZ508" s="1065"/>
      <c r="CA508" s="1065"/>
      <c r="CB508" s="1065"/>
      <c r="CC508" s="1065"/>
      <c r="CD508" s="1065"/>
      <c r="CE508" s="1065"/>
      <c r="CF508" s="1065"/>
      <c r="CG508" s="1065"/>
      <c r="CH508" s="1065"/>
      <c r="CI508" s="1065"/>
      <c r="CJ508" s="1065"/>
      <c r="CK508" s="1065"/>
      <c r="CL508" s="1065"/>
      <c r="CM508" s="1065"/>
      <c r="CN508" s="1065"/>
      <c r="CO508" s="1065"/>
      <c r="CP508" s="1065"/>
      <c r="CQ508" s="1065"/>
      <c r="CR508" s="1065"/>
      <c r="CS508" s="1065"/>
      <c r="CT508" s="1065"/>
      <c r="CU508" s="1065"/>
      <c r="CV508" s="1065"/>
      <c r="CW508" s="1065"/>
      <c r="CX508" s="1065"/>
      <c r="CY508" s="1065"/>
      <c r="CZ508" s="1065"/>
      <c r="DA508" s="1065"/>
      <c r="DB508" s="1065"/>
    </row>
    <row r="509" spans="1:106" ht="15" customHeight="1" thickBot="1">
      <c r="A509" s="1065"/>
      <c r="B509" s="1065"/>
      <c r="C509" s="1203" t="s">
        <v>686</v>
      </c>
      <c r="D509" s="1681" t="s">
        <v>837</v>
      </c>
      <c r="E509" s="1681"/>
      <c r="F509" s="1681"/>
      <c r="G509" s="1681"/>
      <c r="H509" s="1681" t="s">
        <v>657</v>
      </c>
      <c r="I509" s="1681"/>
      <c r="J509" s="1204" t="s">
        <v>838</v>
      </c>
      <c r="K509" s="1205"/>
      <c r="L509" s="1206"/>
      <c r="M509" s="1694" t="s">
        <v>869</v>
      </c>
      <c r="N509" s="1694"/>
      <c r="O509" s="1694"/>
      <c r="P509" s="1694"/>
      <c r="Q509" s="1694"/>
      <c r="R509" s="1694"/>
      <c r="S509" s="1067">
        <v>1800</v>
      </c>
      <c r="T509" s="1769"/>
      <c r="U509" s="1770"/>
      <c r="V509" s="1065"/>
      <c r="W509" s="1065"/>
      <c r="X509" s="1065"/>
      <c r="Y509" s="1065"/>
      <c r="Z509" s="1065"/>
      <c r="AA509" s="1065"/>
      <c r="AB509" s="1065"/>
      <c r="AC509" s="1065"/>
      <c r="AD509" s="1065"/>
      <c r="AE509" s="1065"/>
      <c r="AF509" s="1065"/>
      <c r="AG509" s="1065"/>
      <c r="AH509" s="1065"/>
      <c r="AI509" s="1065"/>
      <c r="AJ509" s="1065"/>
      <c r="AK509" s="1065"/>
      <c r="AL509" s="1065"/>
      <c r="AM509" s="1065"/>
      <c r="AN509" s="1065"/>
      <c r="AO509" s="1065"/>
      <c r="AP509" s="1065"/>
      <c r="AQ509" s="1065"/>
      <c r="AR509" s="1065"/>
      <c r="AS509" s="1065"/>
      <c r="AT509" s="1065"/>
      <c r="AU509" s="1065"/>
      <c r="AV509" s="1065"/>
      <c r="AW509" s="1065"/>
      <c r="AX509" s="1065"/>
      <c r="AY509" s="1065"/>
      <c r="AZ509" s="1065"/>
      <c r="BA509" s="1065"/>
      <c r="BB509" s="1065"/>
      <c r="BC509" s="1065"/>
      <c r="BD509" s="1065"/>
      <c r="BE509" s="1065"/>
      <c r="BF509" s="1065"/>
      <c r="BG509" s="1065"/>
      <c r="BH509" s="1065"/>
      <c r="BI509" s="1065"/>
      <c r="BJ509" s="1065"/>
      <c r="BK509" s="1065"/>
      <c r="BL509" s="1065"/>
      <c r="BM509" s="1065"/>
      <c r="BN509" s="1065"/>
      <c r="BO509" s="1065"/>
      <c r="BP509" s="1065"/>
      <c r="BQ509" s="1065"/>
      <c r="BR509" s="1065"/>
      <c r="BS509" s="1065"/>
      <c r="BT509" s="1065"/>
      <c r="BU509" s="1065"/>
      <c r="BV509" s="1065"/>
      <c r="BW509" s="1065"/>
      <c r="BX509" s="1065"/>
      <c r="BY509" s="1065"/>
      <c r="BZ509" s="1065"/>
      <c r="CA509" s="1065"/>
      <c r="CB509" s="1065"/>
      <c r="CC509" s="1065"/>
      <c r="CD509" s="1065"/>
      <c r="CE509" s="1065"/>
      <c r="CF509" s="1065"/>
      <c r="CG509" s="1065"/>
      <c r="CH509" s="1065"/>
      <c r="CI509" s="1065"/>
      <c r="CJ509" s="1065"/>
      <c r="CK509" s="1065"/>
      <c r="CL509" s="1065"/>
      <c r="CM509" s="1065"/>
      <c r="CN509" s="1065"/>
      <c r="CO509" s="1065"/>
      <c r="CP509" s="1065"/>
      <c r="CQ509" s="1065"/>
      <c r="CR509" s="1065"/>
      <c r="CS509" s="1065"/>
      <c r="CT509" s="1065"/>
      <c r="CU509" s="1065"/>
      <c r="CV509" s="1065"/>
      <c r="CW509" s="1065"/>
      <c r="CX509" s="1065"/>
      <c r="CY509" s="1065"/>
      <c r="CZ509" s="1065"/>
      <c r="DA509" s="1065"/>
      <c r="DB509" s="1065"/>
    </row>
    <row r="510" spans="1:106" ht="15" customHeight="1" thickBot="1">
      <c r="A510" s="1065"/>
      <c r="B510" s="1065"/>
      <c r="C510" s="1096" t="s">
        <v>669</v>
      </c>
      <c r="D510" s="1756" t="s">
        <v>837</v>
      </c>
      <c r="E510" s="1756"/>
      <c r="F510" s="1756"/>
      <c r="G510" s="1756"/>
      <c r="H510" s="1196" t="s">
        <v>657</v>
      </c>
      <c r="I510" s="1196"/>
      <c r="J510" s="1756" t="s">
        <v>838</v>
      </c>
      <c r="K510" s="1756"/>
      <c r="L510" s="1756"/>
      <c r="M510" s="1756" t="s">
        <v>868</v>
      </c>
      <c r="N510" s="1756"/>
      <c r="O510" s="1756"/>
      <c r="P510" s="1756"/>
      <c r="Q510" s="1756"/>
      <c r="R510" s="1756"/>
      <c r="S510" s="1074">
        <f>1800*2</f>
        <v>3600</v>
      </c>
      <c r="T510" s="1769"/>
      <c r="U510" s="1770"/>
      <c r="V510" s="1065"/>
      <c r="W510" s="1065"/>
      <c r="X510" s="1065"/>
      <c r="Y510" s="1065"/>
      <c r="Z510" s="1065"/>
      <c r="AA510" s="1065"/>
      <c r="AB510" s="1065"/>
      <c r="AC510" s="1065"/>
      <c r="AD510" s="1065"/>
      <c r="AE510" s="1065"/>
      <c r="AF510" s="1065"/>
      <c r="AG510" s="1065"/>
      <c r="AH510" s="1065"/>
      <c r="AI510" s="1065"/>
      <c r="AJ510" s="1065"/>
      <c r="AK510" s="1065"/>
      <c r="AL510" s="1065"/>
      <c r="AM510" s="1065"/>
      <c r="AN510" s="1065"/>
      <c r="AO510" s="1065"/>
      <c r="AP510" s="1065"/>
      <c r="AQ510" s="1065"/>
      <c r="AR510" s="1065"/>
      <c r="AS510" s="1065"/>
      <c r="AT510" s="1065"/>
      <c r="AU510" s="1065"/>
      <c r="AV510" s="1065"/>
      <c r="AW510" s="1065"/>
      <c r="AX510" s="1065"/>
      <c r="AY510" s="1065"/>
      <c r="AZ510" s="1065"/>
      <c r="BA510" s="1065"/>
      <c r="BB510" s="1065"/>
      <c r="BC510" s="1065"/>
      <c r="BD510" s="1065"/>
      <c r="BE510" s="1065"/>
      <c r="BF510" s="1065"/>
      <c r="BG510" s="1065"/>
      <c r="BH510" s="1065"/>
      <c r="BI510" s="1065"/>
      <c r="BJ510" s="1065"/>
      <c r="BK510" s="1065"/>
      <c r="BL510" s="1065"/>
      <c r="BM510" s="1065"/>
      <c r="BN510" s="1065"/>
      <c r="BO510" s="1065"/>
      <c r="BP510" s="1065"/>
      <c r="BQ510" s="1065"/>
      <c r="BR510" s="1065"/>
      <c r="BS510" s="1065"/>
      <c r="BT510" s="1065"/>
      <c r="BU510" s="1065"/>
      <c r="BV510" s="1065"/>
      <c r="BW510" s="1065"/>
      <c r="BX510" s="1065"/>
      <c r="BY510" s="1065"/>
      <c r="BZ510" s="1065"/>
      <c r="CA510" s="1065"/>
      <c r="CB510" s="1065"/>
      <c r="CC510" s="1065"/>
      <c r="CD510" s="1065"/>
      <c r="CE510" s="1065"/>
      <c r="CF510" s="1065"/>
      <c r="CG510" s="1065"/>
      <c r="CH510" s="1065"/>
      <c r="CI510" s="1065"/>
      <c r="CJ510" s="1065"/>
      <c r="CK510" s="1065"/>
      <c r="CL510" s="1065"/>
      <c r="CM510" s="1065"/>
      <c r="CN510" s="1065"/>
      <c r="CO510" s="1065"/>
      <c r="CP510" s="1065"/>
      <c r="CQ510" s="1065"/>
      <c r="CR510" s="1065"/>
      <c r="CS510" s="1065"/>
      <c r="CT510" s="1065"/>
      <c r="CU510" s="1065"/>
      <c r="CV510" s="1065"/>
      <c r="CW510" s="1065"/>
      <c r="CX510" s="1065"/>
      <c r="CY510" s="1065"/>
      <c r="CZ510" s="1065"/>
      <c r="DA510" s="1065"/>
      <c r="DB510" s="1065"/>
    </row>
    <row r="511" spans="1:106" ht="15" customHeight="1" thickBot="1">
      <c r="A511" s="1065"/>
      <c r="B511" s="1065"/>
      <c r="C511" s="1094" t="s">
        <v>665</v>
      </c>
      <c r="D511" s="1767" t="s">
        <v>877</v>
      </c>
      <c r="E511" s="1767"/>
      <c r="F511" s="1767"/>
      <c r="G511" s="1767"/>
      <c r="H511" s="1748" t="s">
        <v>657</v>
      </c>
      <c r="I511" s="1748"/>
      <c r="J511" s="1748" t="s">
        <v>878</v>
      </c>
      <c r="K511" s="1748"/>
      <c r="L511" s="1748"/>
      <c r="M511" s="1731" t="s">
        <v>879</v>
      </c>
      <c r="N511" s="1731"/>
      <c r="O511" s="1731"/>
      <c r="P511" s="1731"/>
      <c r="Q511" s="1731"/>
      <c r="R511" s="1731"/>
      <c r="S511" s="1074">
        <v>0</v>
      </c>
      <c r="T511" s="1769"/>
      <c r="U511" s="1770"/>
      <c r="V511" s="1065"/>
      <c r="W511" s="1065"/>
      <c r="X511" s="1065"/>
      <c r="Y511" s="1065"/>
      <c r="Z511" s="1065"/>
      <c r="AA511" s="1065"/>
      <c r="AB511" s="1065"/>
      <c r="AC511" s="1065"/>
      <c r="AD511" s="1065"/>
      <c r="AE511" s="1065"/>
      <c r="AF511" s="1065"/>
      <c r="AG511" s="1065"/>
      <c r="AH511" s="1065"/>
      <c r="AI511" s="1065"/>
      <c r="AJ511" s="1065"/>
      <c r="AK511" s="1065"/>
      <c r="AL511" s="1065"/>
      <c r="AM511" s="1065"/>
      <c r="AN511" s="1065"/>
      <c r="AO511" s="1065"/>
      <c r="AP511" s="1065"/>
      <c r="AQ511" s="1065"/>
      <c r="AR511" s="1065"/>
      <c r="AS511" s="1065"/>
      <c r="AT511" s="1065"/>
      <c r="AU511" s="1065"/>
      <c r="AV511" s="1065"/>
      <c r="AW511" s="1065"/>
      <c r="AX511" s="1065"/>
      <c r="AY511" s="1065"/>
      <c r="AZ511" s="1065"/>
      <c r="BA511" s="1065"/>
      <c r="BB511" s="1065"/>
      <c r="BC511" s="1065"/>
      <c r="BD511" s="1065"/>
      <c r="BE511" s="1065"/>
      <c r="BF511" s="1065"/>
      <c r="BG511" s="1065"/>
      <c r="BH511" s="1065"/>
      <c r="BI511" s="1065"/>
      <c r="BJ511" s="1065"/>
      <c r="BK511" s="1065"/>
      <c r="BL511" s="1065"/>
      <c r="BM511" s="1065"/>
      <c r="BN511" s="1065"/>
      <c r="BO511" s="1065"/>
      <c r="BP511" s="1065"/>
      <c r="BQ511" s="1065"/>
      <c r="BR511" s="1065"/>
      <c r="BS511" s="1065"/>
      <c r="BT511" s="1065"/>
      <c r="BU511" s="1065"/>
      <c r="BV511" s="1065"/>
      <c r="BW511" s="1065"/>
      <c r="BX511" s="1065"/>
      <c r="BY511" s="1065"/>
      <c r="BZ511" s="1065"/>
      <c r="CA511" s="1065"/>
      <c r="CB511" s="1065"/>
      <c r="CC511" s="1065"/>
      <c r="CD511" s="1065"/>
      <c r="CE511" s="1065"/>
      <c r="CF511" s="1065"/>
      <c r="CG511" s="1065"/>
      <c r="CH511" s="1065"/>
      <c r="CI511" s="1065"/>
      <c r="CJ511" s="1065"/>
      <c r="CK511" s="1065"/>
      <c r="CL511" s="1065"/>
      <c r="CM511" s="1065"/>
      <c r="CN511" s="1065"/>
      <c r="CO511" s="1065"/>
      <c r="CP511" s="1065"/>
      <c r="CQ511" s="1065"/>
      <c r="CR511" s="1065"/>
      <c r="CS511" s="1065"/>
      <c r="CT511" s="1065"/>
      <c r="CU511" s="1065"/>
      <c r="CV511" s="1065"/>
      <c r="CW511" s="1065"/>
      <c r="CX511" s="1065"/>
      <c r="CY511" s="1065"/>
      <c r="CZ511" s="1065"/>
      <c r="DA511" s="1065"/>
      <c r="DB511" s="1065"/>
    </row>
    <row r="512" spans="1:106" ht="15" customHeight="1" thickBot="1">
      <c r="A512" s="1065"/>
      <c r="B512" s="1065"/>
      <c r="C512" s="1094" t="s">
        <v>858</v>
      </c>
      <c r="D512" s="1767" t="s">
        <v>837</v>
      </c>
      <c r="E512" s="1767"/>
      <c r="F512" s="1767"/>
      <c r="G512" s="1767"/>
      <c r="H512" s="1748" t="s">
        <v>657</v>
      </c>
      <c r="I512" s="1748"/>
      <c r="J512" s="1748" t="s">
        <v>880</v>
      </c>
      <c r="K512" s="1748"/>
      <c r="L512" s="1748"/>
      <c r="M512" s="1731" t="s">
        <v>881</v>
      </c>
      <c r="N512" s="1731"/>
      <c r="O512" s="1731"/>
      <c r="P512" s="1731"/>
      <c r="Q512" s="1731"/>
      <c r="R512" s="1731"/>
      <c r="S512" s="1074">
        <v>1800</v>
      </c>
      <c r="T512" s="1769"/>
      <c r="U512" s="1770"/>
      <c r="V512" s="1065"/>
      <c r="W512" s="1065"/>
      <c r="X512" s="1065"/>
      <c r="Y512" s="1065"/>
      <c r="Z512" s="1065"/>
      <c r="AA512" s="1065"/>
      <c r="AB512" s="1065"/>
      <c r="AC512" s="1065"/>
      <c r="AD512" s="1065"/>
      <c r="AE512" s="1065"/>
      <c r="AF512" s="1065"/>
      <c r="AG512" s="1065"/>
      <c r="AH512" s="1065"/>
      <c r="AI512" s="1065"/>
      <c r="AJ512" s="1065"/>
      <c r="AK512" s="1065"/>
      <c r="AL512" s="1065"/>
      <c r="AM512" s="1065"/>
      <c r="AN512" s="1065"/>
      <c r="AO512" s="1065"/>
      <c r="AP512" s="1065"/>
      <c r="AQ512" s="1065"/>
      <c r="AR512" s="1065"/>
      <c r="AS512" s="1065"/>
      <c r="AT512" s="1065"/>
      <c r="AU512" s="1065"/>
      <c r="AV512" s="1065"/>
      <c r="AW512" s="1065"/>
      <c r="AX512" s="1065"/>
      <c r="AY512" s="1065"/>
      <c r="AZ512" s="1065"/>
      <c r="BA512" s="1065"/>
      <c r="BB512" s="1065"/>
      <c r="BC512" s="1065"/>
      <c r="BD512" s="1065"/>
      <c r="BE512" s="1065"/>
      <c r="BF512" s="1065"/>
      <c r="BG512" s="1065"/>
      <c r="BH512" s="1065"/>
      <c r="BI512" s="1065"/>
      <c r="BJ512" s="1065"/>
      <c r="BK512" s="1065"/>
      <c r="BL512" s="1065"/>
      <c r="BM512" s="1065"/>
      <c r="BN512" s="1065"/>
      <c r="BO512" s="1065"/>
      <c r="BP512" s="1065"/>
      <c r="BQ512" s="1065"/>
      <c r="BR512" s="1065"/>
      <c r="BS512" s="1065"/>
      <c r="BT512" s="1065"/>
      <c r="BU512" s="1065"/>
      <c r="BV512" s="1065"/>
      <c r="BW512" s="1065"/>
      <c r="BX512" s="1065"/>
      <c r="BY512" s="1065"/>
      <c r="BZ512" s="1065"/>
      <c r="CA512" s="1065"/>
      <c r="CB512" s="1065"/>
      <c r="CC512" s="1065"/>
      <c r="CD512" s="1065"/>
      <c r="CE512" s="1065"/>
      <c r="CF512" s="1065"/>
      <c r="CG512" s="1065"/>
      <c r="CH512" s="1065"/>
      <c r="CI512" s="1065"/>
      <c r="CJ512" s="1065"/>
      <c r="CK512" s="1065"/>
      <c r="CL512" s="1065"/>
      <c r="CM512" s="1065"/>
      <c r="CN512" s="1065"/>
      <c r="CO512" s="1065"/>
      <c r="CP512" s="1065"/>
      <c r="CQ512" s="1065"/>
      <c r="CR512" s="1065"/>
      <c r="CS512" s="1065"/>
      <c r="CT512" s="1065"/>
      <c r="CU512" s="1065"/>
      <c r="CV512" s="1065"/>
      <c r="CW512" s="1065"/>
      <c r="CX512" s="1065"/>
      <c r="CY512" s="1065"/>
      <c r="CZ512" s="1065"/>
      <c r="DA512" s="1065"/>
      <c r="DB512" s="1065"/>
    </row>
    <row r="513" spans="1:106" ht="15" customHeight="1" thickBot="1">
      <c r="A513" s="1065"/>
      <c r="B513" s="1065"/>
      <c r="C513" s="1203" t="s">
        <v>661</v>
      </c>
      <c r="D513" s="1768" t="s">
        <v>837</v>
      </c>
      <c r="E513" s="1768"/>
      <c r="F513" s="1768"/>
      <c r="G513" s="1768"/>
      <c r="H513" s="1748" t="s">
        <v>657</v>
      </c>
      <c r="I513" s="1748"/>
      <c r="J513" s="1748" t="s">
        <v>856</v>
      </c>
      <c r="K513" s="1748"/>
      <c r="L513" s="1748"/>
      <c r="M513" s="1731" t="s">
        <v>868</v>
      </c>
      <c r="N513" s="1731"/>
      <c r="O513" s="1731"/>
      <c r="P513" s="1731"/>
      <c r="Q513" s="1731"/>
      <c r="R513" s="1731"/>
      <c r="S513" s="1067">
        <v>1800</v>
      </c>
      <c r="T513" s="1769"/>
      <c r="U513" s="1770"/>
      <c r="V513" s="1065"/>
      <c r="W513" s="1065"/>
      <c r="X513" s="1065"/>
      <c r="Y513" s="1065"/>
      <c r="Z513" s="1065"/>
      <c r="AA513" s="1065"/>
      <c r="AB513" s="1065"/>
      <c r="AC513" s="1065"/>
      <c r="AD513" s="1065"/>
      <c r="AE513" s="1065"/>
      <c r="AF513" s="1065"/>
      <c r="AG513" s="1065"/>
      <c r="AH513" s="1065"/>
      <c r="AI513" s="1065"/>
      <c r="AJ513" s="1065"/>
      <c r="AK513" s="1065"/>
      <c r="AL513" s="1065"/>
      <c r="AM513" s="1065"/>
      <c r="AN513" s="1065"/>
      <c r="AO513" s="1065"/>
      <c r="AP513" s="1065"/>
      <c r="AQ513" s="1065"/>
      <c r="AR513" s="1065"/>
      <c r="AS513" s="1065"/>
      <c r="AT513" s="1065"/>
      <c r="AU513" s="1065"/>
      <c r="AV513" s="1065"/>
      <c r="AW513" s="1065"/>
      <c r="AX513" s="1065"/>
      <c r="AY513" s="1065"/>
      <c r="AZ513" s="1065"/>
      <c r="BA513" s="1065"/>
      <c r="BB513" s="1065"/>
      <c r="BC513" s="1065"/>
      <c r="BD513" s="1065"/>
      <c r="BE513" s="1065"/>
      <c r="BF513" s="1065"/>
      <c r="BG513" s="1065"/>
      <c r="BH513" s="1065"/>
      <c r="BI513" s="1065"/>
      <c r="BJ513" s="1065"/>
      <c r="BK513" s="1065"/>
      <c r="BL513" s="1065"/>
      <c r="BM513" s="1065"/>
      <c r="BN513" s="1065"/>
      <c r="BO513" s="1065"/>
      <c r="BP513" s="1065"/>
      <c r="BQ513" s="1065"/>
      <c r="BR513" s="1065"/>
      <c r="BS513" s="1065"/>
      <c r="BT513" s="1065"/>
      <c r="BU513" s="1065"/>
      <c r="BV513" s="1065"/>
      <c r="BW513" s="1065"/>
      <c r="BX513" s="1065"/>
      <c r="BY513" s="1065"/>
      <c r="BZ513" s="1065"/>
      <c r="CA513" s="1065"/>
      <c r="CB513" s="1065"/>
      <c r="CC513" s="1065"/>
      <c r="CD513" s="1065"/>
      <c r="CE513" s="1065"/>
      <c r="CF513" s="1065"/>
      <c r="CG513" s="1065"/>
      <c r="CH513" s="1065"/>
      <c r="CI513" s="1065"/>
      <c r="CJ513" s="1065"/>
      <c r="CK513" s="1065"/>
      <c r="CL513" s="1065"/>
      <c r="CM513" s="1065"/>
      <c r="CN513" s="1065"/>
      <c r="CO513" s="1065"/>
      <c r="CP513" s="1065"/>
      <c r="CQ513" s="1065"/>
      <c r="CR513" s="1065"/>
      <c r="CS513" s="1065"/>
      <c r="CT513" s="1065"/>
      <c r="CU513" s="1065"/>
      <c r="CV513" s="1065"/>
      <c r="CW513" s="1065"/>
      <c r="CX513" s="1065"/>
      <c r="CY513" s="1065"/>
      <c r="CZ513" s="1065"/>
      <c r="DA513" s="1065"/>
      <c r="DB513" s="1065"/>
    </row>
    <row r="514" spans="1:106" ht="15" customHeight="1" thickBot="1">
      <c r="A514" s="1065"/>
      <c r="B514" s="1065"/>
      <c r="C514" s="1203" t="s">
        <v>686</v>
      </c>
      <c r="D514" s="1681" t="s">
        <v>837</v>
      </c>
      <c r="E514" s="1681"/>
      <c r="F514" s="1681"/>
      <c r="G514" s="1681"/>
      <c r="H514" s="1681" t="s">
        <v>657</v>
      </c>
      <c r="I514" s="1681"/>
      <c r="J514" s="1748" t="s">
        <v>856</v>
      </c>
      <c r="K514" s="1748"/>
      <c r="L514" s="1748"/>
      <c r="M514" s="1750" t="s">
        <v>868</v>
      </c>
      <c r="N514" s="1750"/>
      <c r="O514" s="1750"/>
      <c r="P514" s="1750"/>
      <c r="Q514" s="1750"/>
      <c r="R514" s="1750"/>
      <c r="S514" s="1067">
        <v>1800</v>
      </c>
      <c r="T514" s="1769"/>
      <c r="U514" s="1770"/>
      <c r="V514" s="1065"/>
      <c r="W514" s="1065"/>
      <c r="X514" s="1065"/>
      <c r="Y514" s="1065"/>
      <c r="Z514" s="1065"/>
      <c r="AA514" s="1065"/>
      <c r="AB514" s="1065"/>
      <c r="AC514" s="1065"/>
      <c r="AD514" s="1065"/>
      <c r="AE514" s="1065"/>
      <c r="AF514" s="1065"/>
      <c r="AG514" s="1065"/>
      <c r="AH514" s="1065"/>
      <c r="AI514" s="1065"/>
      <c r="AJ514" s="1065"/>
      <c r="AK514" s="1065"/>
      <c r="AL514" s="1065"/>
      <c r="AM514" s="1065"/>
      <c r="AN514" s="1065"/>
      <c r="AO514" s="1065"/>
      <c r="AP514" s="1065"/>
      <c r="AQ514" s="1065"/>
      <c r="AR514" s="1065"/>
      <c r="AS514" s="1065"/>
      <c r="AT514" s="1065"/>
      <c r="AU514" s="1065"/>
      <c r="AV514" s="1065"/>
      <c r="AW514" s="1065"/>
      <c r="AX514" s="1065"/>
      <c r="AY514" s="1065"/>
      <c r="AZ514" s="1065"/>
      <c r="BA514" s="1065"/>
      <c r="BB514" s="1065"/>
      <c r="BC514" s="1065"/>
      <c r="BD514" s="1065"/>
      <c r="BE514" s="1065"/>
      <c r="BF514" s="1065"/>
      <c r="BG514" s="1065"/>
      <c r="BH514" s="1065"/>
      <c r="BI514" s="1065"/>
      <c r="BJ514" s="1065"/>
      <c r="BK514" s="1065"/>
      <c r="BL514" s="1065"/>
      <c r="BM514" s="1065"/>
      <c r="BN514" s="1065"/>
      <c r="BO514" s="1065"/>
      <c r="BP514" s="1065"/>
      <c r="BQ514" s="1065"/>
      <c r="BR514" s="1065"/>
      <c r="BS514" s="1065"/>
      <c r="BT514" s="1065"/>
      <c r="BU514" s="1065"/>
      <c r="BV514" s="1065"/>
      <c r="BW514" s="1065"/>
      <c r="BX514" s="1065"/>
      <c r="BY514" s="1065"/>
      <c r="BZ514" s="1065"/>
      <c r="CA514" s="1065"/>
      <c r="CB514" s="1065"/>
      <c r="CC514" s="1065"/>
      <c r="CD514" s="1065"/>
      <c r="CE514" s="1065"/>
      <c r="CF514" s="1065"/>
      <c r="CG514" s="1065"/>
      <c r="CH514" s="1065"/>
      <c r="CI514" s="1065"/>
      <c r="CJ514" s="1065"/>
      <c r="CK514" s="1065"/>
      <c r="CL514" s="1065"/>
      <c r="CM514" s="1065"/>
      <c r="CN514" s="1065"/>
      <c r="CO514" s="1065"/>
      <c r="CP514" s="1065"/>
      <c r="CQ514" s="1065"/>
      <c r="CR514" s="1065"/>
      <c r="CS514" s="1065"/>
      <c r="CT514" s="1065"/>
      <c r="CU514" s="1065"/>
      <c r="CV514" s="1065"/>
      <c r="CW514" s="1065"/>
      <c r="CX514" s="1065"/>
      <c r="CY514" s="1065"/>
      <c r="CZ514" s="1065"/>
      <c r="DA514" s="1065"/>
      <c r="DB514" s="1065"/>
    </row>
    <row r="515" spans="1:106" ht="15" customHeight="1" thickBot="1">
      <c r="A515" s="1065"/>
      <c r="B515" s="1065"/>
      <c r="C515" s="1207" t="s">
        <v>669</v>
      </c>
      <c r="D515" s="1681" t="s">
        <v>837</v>
      </c>
      <c r="E515" s="1681"/>
      <c r="F515" s="1681"/>
      <c r="G515" s="1681"/>
      <c r="H515" s="1681" t="s">
        <v>657</v>
      </c>
      <c r="I515" s="1681"/>
      <c r="J515" s="1747" t="s">
        <v>882</v>
      </c>
      <c r="K515" s="1747"/>
      <c r="L515" s="1747"/>
      <c r="M515" s="1750" t="s">
        <v>868</v>
      </c>
      <c r="N515" s="1750"/>
      <c r="O515" s="1750"/>
      <c r="P515" s="1750"/>
      <c r="Q515" s="1750"/>
      <c r="R515" s="1750"/>
      <c r="S515" s="1067">
        <v>1800</v>
      </c>
      <c r="T515" s="1769"/>
      <c r="U515" s="1770"/>
      <c r="V515" s="1065"/>
      <c r="W515" s="1065"/>
      <c r="X515" s="1065"/>
      <c r="Y515" s="1065"/>
      <c r="Z515" s="1065"/>
      <c r="AA515" s="1065"/>
      <c r="AB515" s="1065"/>
      <c r="AC515" s="1065"/>
      <c r="AD515" s="1065"/>
      <c r="AE515" s="1065"/>
      <c r="AF515" s="1065"/>
      <c r="AG515" s="1065"/>
      <c r="AH515" s="1065"/>
      <c r="AI515" s="1065"/>
      <c r="AJ515" s="1065"/>
      <c r="AK515" s="1065"/>
      <c r="AL515" s="1065"/>
      <c r="AM515" s="1065"/>
      <c r="AN515" s="1065"/>
      <c r="AO515" s="1065"/>
      <c r="AP515" s="1065"/>
      <c r="AQ515" s="1065"/>
      <c r="AR515" s="1065"/>
      <c r="AS515" s="1065"/>
      <c r="AT515" s="1065"/>
      <c r="AU515" s="1065"/>
      <c r="AV515" s="1065"/>
      <c r="AW515" s="1065"/>
      <c r="AX515" s="1065"/>
      <c r="AY515" s="1065"/>
      <c r="AZ515" s="1065"/>
      <c r="BA515" s="1065"/>
      <c r="BB515" s="1065"/>
      <c r="BC515" s="1065"/>
      <c r="BD515" s="1065"/>
      <c r="BE515" s="1065"/>
      <c r="BF515" s="1065"/>
      <c r="BG515" s="1065"/>
      <c r="BH515" s="1065"/>
      <c r="BI515" s="1065"/>
      <c r="BJ515" s="1065"/>
      <c r="BK515" s="1065"/>
      <c r="BL515" s="1065"/>
      <c r="BM515" s="1065"/>
      <c r="BN515" s="1065"/>
      <c r="BO515" s="1065"/>
      <c r="BP515" s="1065"/>
      <c r="BQ515" s="1065"/>
      <c r="BR515" s="1065"/>
      <c r="BS515" s="1065"/>
      <c r="BT515" s="1065"/>
      <c r="BU515" s="1065"/>
      <c r="BV515" s="1065"/>
      <c r="BW515" s="1065"/>
      <c r="BX515" s="1065"/>
      <c r="BY515" s="1065"/>
      <c r="BZ515" s="1065"/>
      <c r="CA515" s="1065"/>
      <c r="CB515" s="1065"/>
      <c r="CC515" s="1065"/>
      <c r="CD515" s="1065"/>
      <c r="CE515" s="1065"/>
      <c r="CF515" s="1065"/>
      <c r="CG515" s="1065"/>
      <c r="CH515" s="1065"/>
      <c r="CI515" s="1065"/>
      <c r="CJ515" s="1065"/>
      <c r="CK515" s="1065"/>
      <c r="CL515" s="1065"/>
      <c r="CM515" s="1065"/>
      <c r="CN515" s="1065"/>
      <c r="CO515" s="1065"/>
      <c r="CP515" s="1065"/>
      <c r="CQ515" s="1065"/>
      <c r="CR515" s="1065"/>
      <c r="CS515" s="1065"/>
      <c r="CT515" s="1065"/>
      <c r="CU515" s="1065"/>
      <c r="CV515" s="1065"/>
      <c r="CW515" s="1065"/>
      <c r="CX515" s="1065"/>
      <c r="CY515" s="1065"/>
      <c r="CZ515" s="1065"/>
      <c r="DA515" s="1065"/>
      <c r="DB515" s="1065"/>
    </row>
    <row r="516" spans="1:106" ht="15" customHeight="1" thickBot="1">
      <c r="A516" s="1065"/>
      <c r="B516" s="1065"/>
      <c r="C516" s="1203" t="s">
        <v>665</v>
      </c>
      <c r="D516" s="1681" t="s">
        <v>883</v>
      </c>
      <c r="E516" s="1681"/>
      <c r="F516" s="1681"/>
      <c r="G516" s="1681"/>
      <c r="H516" s="1681" t="s">
        <v>657</v>
      </c>
      <c r="I516" s="1681"/>
      <c r="J516" s="1748" t="s">
        <v>884</v>
      </c>
      <c r="K516" s="1748"/>
      <c r="L516" s="1748"/>
      <c r="M516" s="1750" t="s">
        <v>869</v>
      </c>
      <c r="N516" s="1750"/>
      <c r="O516" s="1750"/>
      <c r="P516" s="1750"/>
      <c r="Q516" s="1750"/>
      <c r="R516" s="1750"/>
      <c r="S516" s="1067">
        <v>1900</v>
      </c>
      <c r="T516" s="1769"/>
      <c r="U516" s="1770"/>
      <c r="V516" s="1065"/>
      <c r="W516" s="1065"/>
      <c r="X516" s="1065"/>
      <c r="Y516" s="1065"/>
      <c r="Z516" s="1065"/>
      <c r="AA516" s="1065"/>
      <c r="AB516" s="1065"/>
      <c r="AC516" s="1065"/>
      <c r="AD516" s="1065"/>
      <c r="AE516" s="1065"/>
      <c r="AF516" s="1065"/>
      <c r="AG516" s="1065"/>
      <c r="AH516" s="1065"/>
      <c r="AI516" s="1065"/>
      <c r="AJ516" s="1065"/>
      <c r="AK516" s="1065"/>
      <c r="AL516" s="1065"/>
      <c r="AM516" s="1065"/>
      <c r="AN516" s="1065"/>
      <c r="AO516" s="1065"/>
      <c r="AP516" s="1065"/>
      <c r="AQ516" s="1065"/>
      <c r="AR516" s="1065"/>
      <c r="AS516" s="1065"/>
      <c r="AT516" s="1065"/>
      <c r="AU516" s="1065"/>
      <c r="AV516" s="1065"/>
      <c r="AW516" s="1065"/>
      <c r="AX516" s="1065"/>
      <c r="AY516" s="1065"/>
      <c r="AZ516" s="1065"/>
      <c r="BA516" s="1065"/>
      <c r="BB516" s="1065"/>
      <c r="BC516" s="1065"/>
      <c r="BD516" s="1065"/>
      <c r="BE516" s="1065"/>
      <c r="BF516" s="1065"/>
      <c r="BG516" s="1065"/>
      <c r="BH516" s="1065"/>
      <c r="BI516" s="1065"/>
      <c r="BJ516" s="1065"/>
      <c r="BK516" s="1065"/>
      <c r="BL516" s="1065"/>
      <c r="BM516" s="1065"/>
      <c r="BN516" s="1065"/>
      <c r="BO516" s="1065"/>
      <c r="BP516" s="1065"/>
      <c r="BQ516" s="1065"/>
      <c r="BR516" s="1065"/>
      <c r="BS516" s="1065"/>
      <c r="BT516" s="1065"/>
      <c r="BU516" s="1065"/>
      <c r="BV516" s="1065"/>
      <c r="BW516" s="1065"/>
      <c r="BX516" s="1065"/>
      <c r="BY516" s="1065"/>
      <c r="BZ516" s="1065"/>
      <c r="CA516" s="1065"/>
      <c r="CB516" s="1065"/>
      <c r="CC516" s="1065"/>
      <c r="CD516" s="1065"/>
      <c r="CE516" s="1065"/>
      <c r="CF516" s="1065"/>
      <c r="CG516" s="1065"/>
      <c r="CH516" s="1065"/>
      <c r="CI516" s="1065"/>
      <c r="CJ516" s="1065"/>
      <c r="CK516" s="1065"/>
      <c r="CL516" s="1065"/>
      <c r="CM516" s="1065"/>
      <c r="CN516" s="1065"/>
      <c r="CO516" s="1065"/>
      <c r="CP516" s="1065"/>
      <c r="CQ516" s="1065"/>
      <c r="CR516" s="1065"/>
      <c r="CS516" s="1065"/>
      <c r="CT516" s="1065"/>
      <c r="CU516" s="1065"/>
      <c r="CV516" s="1065"/>
      <c r="CW516" s="1065"/>
      <c r="CX516" s="1065"/>
      <c r="CY516" s="1065"/>
      <c r="CZ516" s="1065"/>
      <c r="DA516" s="1065"/>
      <c r="DB516" s="1065"/>
    </row>
    <row r="517" spans="1:106" ht="15" customHeight="1" thickBot="1">
      <c r="A517" s="1065"/>
      <c r="B517" s="1065"/>
      <c r="C517" s="1203" t="s">
        <v>665</v>
      </c>
      <c r="D517" s="1681" t="s">
        <v>885</v>
      </c>
      <c r="E517" s="1681"/>
      <c r="F517" s="1681"/>
      <c r="G517" s="1681"/>
      <c r="H517" s="1681" t="s">
        <v>657</v>
      </c>
      <c r="I517" s="1681"/>
      <c r="J517" s="1681" t="s">
        <v>886</v>
      </c>
      <c r="K517" s="1681"/>
      <c r="L517" s="1681"/>
      <c r="M517" s="1750" t="s">
        <v>887</v>
      </c>
      <c r="N517" s="1750"/>
      <c r="O517" s="1750"/>
      <c r="P517" s="1750"/>
      <c r="Q517" s="1750"/>
      <c r="R517" s="1750"/>
      <c r="S517" s="1067">
        <v>1550</v>
      </c>
      <c r="T517" s="1769"/>
      <c r="U517" s="1770"/>
      <c r="V517" s="1065"/>
      <c r="W517" s="1065"/>
      <c r="X517" s="1065"/>
      <c r="Y517" s="1065"/>
      <c r="Z517" s="1065"/>
      <c r="AA517" s="1065"/>
      <c r="AB517" s="1065"/>
      <c r="AC517" s="1065"/>
      <c r="AD517" s="1065"/>
      <c r="AE517" s="1065"/>
      <c r="AF517" s="1065"/>
      <c r="AG517" s="1065"/>
      <c r="AH517" s="1065"/>
      <c r="AI517" s="1065"/>
      <c r="AJ517" s="1065"/>
      <c r="AK517" s="1065"/>
      <c r="AL517" s="1065"/>
      <c r="AM517" s="1065"/>
      <c r="AN517" s="1065"/>
      <c r="AO517" s="1065"/>
      <c r="AP517" s="1065"/>
      <c r="AQ517" s="1065"/>
      <c r="AR517" s="1065"/>
      <c r="AS517" s="1065"/>
      <c r="AT517" s="1065"/>
      <c r="AU517" s="1065"/>
      <c r="AV517" s="1065"/>
      <c r="AW517" s="1065"/>
      <c r="AX517" s="1065"/>
      <c r="AY517" s="1065"/>
      <c r="AZ517" s="1065"/>
      <c r="BA517" s="1065"/>
      <c r="BB517" s="1065"/>
      <c r="BC517" s="1065"/>
      <c r="BD517" s="1065"/>
      <c r="BE517" s="1065"/>
      <c r="BF517" s="1065"/>
      <c r="BG517" s="1065"/>
      <c r="BH517" s="1065"/>
      <c r="BI517" s="1065"/>
      <c r="BJ517" s="1065"/>
      <c r="BK517" s="1065"/>
      <c r="BL517" s="1065"/>
      <c r="BM517" s="1065"/>
      <c r="BN517" s="1065"/>
      <c r="BO517" s="1065"/>
      <c r="BP517" s="1065"/>
      <c r="BQ517" s="1065"/>
      <c r="BR517" s="1065"/>
      <c r="BS517" s="1065"/>
      <c r="BT517" s="1065"/>
      <c r="BU517" s="1065"/>
      <c r="BV517" s="1065"/>
      <c r="BW517" s="1065"/>
      <c r="BX517" s="1065"/>
      <c r="BY517" s="1065"/>
      <c r="BZ517" s="1065"/>
      <c r="CA517" s="1065"/>
      <c r="CB517" s="1065"/>
      <c r="CC517" s="1065"/>
      <c r="CD517" s="1065"/>
      <c r="CE517" s="1065"/>
      <c r="CF517" s="1065"/>
      <c r="CG517" s="1065"/>
      <c r="CH517" s="1065"/>
      <c r="CI517" s="1065"/>
      <c r="CJ517" s="1065"/>
      <c r="CK517" s="1065"/>
      <c r="CL517" s="1065"/>
      <c r="CM517" s="1065"/>
      <c r="CN517" s="1065"/>
      <c r="CO517" s="1065"/>
      <c r="CP517" s="1065"/>
      <c r="CQ517" s="1065"/>
      <c r="CR517" s="1065"/>
      <c r="CS517" s="1065"/>
      <c r="CT517" s="1065"/>
      <c r="CU517" s="1065"/>
      <c r="CV517" s="1065"/>
      <c r="CW517" s="1065"/>
      <c r="CX517" s="1065"/>
      <c r="CY517" s="1065"/>
      <c r="CZ517" s="1065"/>
      <c r="DA517" s="1065"/>
      <c r="DB517" s="1065"/>
    </row>
    <row r="518" spans="1:106" ht="15" customHeight="1" thickBot="1">
      <c r="A518" s="1065"/>
      <c r="B518" s="1065"/>
      <c r="C518" s="1203" t="s">
        <v>679</v>
      </c>
      <c r="D518" s="1681" t="s">
        <v>837</v>
      </c>
      <c r="E518" s="1681"/>
      <c r="F518" s="1681"/>
      <c r="G518" s="1681"/>
      <c r="H518" s="1681" t="s">
        <v>671</v>
      </c>
      <c r="I518" s="1681"/>
      <c r="J518" s="1681" t="s">
        <v>888</v>
      </c>
      <c r="K518" s="1681"/>
      <c r="L518" s="1681"/>
      <c r="M518" s="1731" t="s">
        <v>868</v>
      </c>
      <c r="N518" s="1731"/>
      <c r="O518" s="1731"/>
      <c r="P518" s="1731"/>
      <c r="Q518" s="1731"/>
      <c r="R518" s="1731"/>
      <c r="S518" s="1067">
        <v>12300</v>
      </c>
      <c r="T518" s="1769"/>
      <c r="U518" s="1770"/>
      <c r="V518" s="1065"/>
      <c r="W518" s="1065"/>
      <c r="X518" s="1065"/>
      <c r="Y518" s="1065"/>
      <c r="Z518" s="1065"/>
      <c r="AA518" s="1065"/>
      <c r="AB518" s="1065"/>
      <c r="AC518" s="1065"/>
      <c r="AD518" s="1065"/>
      <c r="AE518" s="1065"/>
      <c r="AF518" s="1065"/>
      <c r="AG518" s="1065"/>
      <c r="AH518" s="1065"/>
      <c r="AI518" s="1065"/>
      <c r="AJ518" s="1065"/>
      <c r="AK518" s="1065"/>
      <c r="AL518" s="1065"/>
      <c r="AM518" s="1065"/>
      <c r="AN518" s="1065"/>
      <c r="AO518" s="1065"/>
      <c r="AP518" s="1065"/>
      <c r="AQ518" s="1065"/>
      <c r="AR518" s="1065"/>
      <c r="AS518" s="1065"/>
      <c r="AT518" s="1065"/>
      <c r="AU518" s="1065"/>
      <c r="AV518" s="1065"/>
      <c r="AW518" s="1065"/>
      <c r="AX518" s="1065"/>
      <c r="AY518" s="1065"/>
      <c r="AZ518" s="1065"/>
      <c r="BA518" s="1065"/>
      <c r="BB518" s="1065"/>
      <c r="BC518" s="1065"/>
      <c r="BD518" s="1065"/>
      <c r="BE518" s="1065"/>
      <c r="BF518" s="1065"/>
      <c r="BG518" s="1065"/>
      <c r="BH518" s="1065"/>
      <c r="BI518" s="1065"/>
      <c r="BJ518" s="1065"/>
      <c r="BK518" s="1065"/>
      <c r="BL518" s="1065"/>
      <c r="BM518" s="1065"/>
      <c r="BN518" s="1065"/>
      <c r="BO518" s="1065"/>
      <c r="BP518" s="1065"/>
      <c r="BQ518" s="1065"/>
      <c r="BR518" s="1065"/>
      <c r="BS518" s="1065"/>
      <c r="BT518" s="1065"/>
      <c r="BU518" s="1065"/>
      <c r="BV518" s="1065"/>
      <c r="BW518" s="1065"/>
      <c r="BX518" s="1065"/>
      <c r="BY518" s="1065"/>
      <c r="BZ518" s="1065"/>
      <c r="CA518" s="1065"/>
      <c r="CB518" s="1065"/>
      <c r="CC518" s="1065"/>
      <c r="CD518" s="1065"/>
      <c r="CE518" s="1065"/>
      <c r="CF518" s="1065"/>
      <c r="CG518" s="1065"/>
      <c r="CH518" s="1065"/>
      <c r="CI518" s="1065"/>
      <c r="CJ518" s="1065"/>
      <c r="CK518" s="1065"/>
      <c r="CL518" s="1065"/>
      <c r="CM518" s="1065"/>
      <c r="CN518" s="1065"/>
      <c r="CO518" s="1065"/>
      <c r="CP518" s="1065"/>
      <c r="CQ518" s="1065"/>
      <c r="CR518" s="1065"/>
      <c r="CS518" s="1065"/>
      <c r="CT518" s="1065"/>
      <c r="CU518" s="1065"/>
      <c r="CV518" s="1065"/>
      <c r="CW518" s="1065"/>
      <c r="CX518" s="1065"/>
      <c r="CY518" s="1065"/>
      <c r="CZ518" s="1065"/>
      <c r="DA518" s="1065"/>
      <c r="DB518" s="1065"/>
    </row>
    <row r="519" spans="1:106" ht="15" customHeight="1" thickBot="1">
      <c r="A519" s="1065"/>
      <c r="B519" s="1065"/>
      <c r="C519" s="1203" t="s">
        <v>679</v>
      </c>
      <c r="D519" s="1681" t="s">
        <v>837</v>
      </c>
      <c r="E519" s="1681"/>
      <c r="F519" s="1681"/>
      <c r="G519" s="1681"/>
      <c r="H519" s="1681" t="s">
        <v>671</v>
      </c>
      <c r="I519" s="1681"/>
      <c r="J519" s="1681" t="s">
        <v>889</v>
      </c>
      <c r="K519" s="1681"/>
      <c r="L519" s="1681"/>
      <c r="M519" s="1731" t="s">
        <v>868</v>
      </c>
      <c r="N519" s="1731"/>
      <c r="O519" s="1731"/>
      <c r="P519" s="1731"/>
      <c r="Q519" s="1731"/>
      <c r="R519" s="1731"/>
      <c r="S519" s="1067">
        <v>11740</v>
      </c>
      <c r="T519" s="1769"/>
      <c r="U519" s="1770"/>
      <c r="V519" s="1065"/>
      <c r="W519" s="1065"/>
      <c r="X519" s="1065"/>
      <c r="Y519" s="1065"/>
      <c r="Z519" s="1065"/>
      <c r="AA519" s="1065"/>
      <c r="AB519" s="1065"/>
      <c r="AC519" s="1065"/>
      <c r="AD519" s="1065"/>
      <c r="AE519" s="1065"/>
      <c r="AF519" s="1065"/>
      <c r="AG519" s="1065"/>
      <c r="AH519" s="1065"/>
      <c r="AI519" s="1065"/>
      <c r="AJ519" s="1065"/>
      <c r="AK519" s="1065"/>
      <c r="AL519" s="1065"/>
      <c r="AM519" s="1065"/>
      <c r="AN519" s="1065"/>
      <c r="AO519" s="1065"/>
      <c r="AP519" s="1065"/>
      <c r="AQ519" s="1065"/>
      <c r="AR519" s="1065"/>
      <c r="AS519" s="1065"/>
      <c r="AT519" s="1065"/>
      <c r="AU519" s="1065"/>
      <c r="AV519" s="1065"/>
      <c r="AW519" s="1065"/>
      <c r="AX519" s="1065"/>
      <c r="AY519" s="1065"/>
      <c r="AZ519" s="1065"/>
      <c r="BA519" s="1065"/>
      <c r="BB519" s="1065"/>
      <c r="BC519" s="1065"/>
      <c r="BD519" s="1065"/>
      <c r="BE519" s="1065"/>
      <c r="BF519" s="1065"/>
      <c r="BG519" s="1065"/>
      <c r="BH519" s="1065"/>
      <c r="BI519" s="1065"/>
      <c r="BJ519" s="1065"/>
      <c r="BK519" s="1065"/>
      <c r="BL519" s="1065"/>
      <c r="BM519" s="1065"/>
      <c r="BN519" s="1065"/>
      <c r="BO519" s="1065"/>
      <c r="BP519" s="1065"/>
      <c r="BQ519" s="1065"/>
      <c r="BR519" s="1065"/>
      <c r="BS519" s="1065"/>
      <c r="BT519" s="1065"/>
      <c r="BU519" s="1065"/>
      <c r="BV519" s="1065"/>
      <c r="BW519" s="1065"/>
      <c r="BX519" s="1065"/>
      <c r="BY519" s="1065"/>
      <c r="BZ519" s="1065"/>
      <c r="CA519" s="1065"/>
      <c r="CB519" s="1065"/>
      <c r="CC519" s="1065"/>
      <c r="CD519" s="1065"/>
      <c r="CE519" s="1065"/>
      <c r="CF519" s="1065"/>
      <c r="CG519" s="1065"/>
      <c r="CH519" s="1065"/>
      <c r="CI519" s="1065"/>
      <c r="CJ519" s="1065"/>
      <c r="CK519" s="1065"/>
      <c r="CL519" s="1065"/>
      <c r="CM519" s="1065"/>
      <c r="CN519" s="1065"/>
      <c r="CO519" s="1065"/>
      <c r="CP519" s="1065"/>
      <c r="CQ519" s="1065"/>
      <c r="CR519" s="1065"/>
      <c r="CS519" s="1065"/>
      <c r="CT519" s="1065"/>
      <c r="CU519" s="1065"/>
      <c r="CV519" s="1065"/>
      <c r="CW519" s="1065"/>
      <c r="CX519" s="1065"/>
      <c r="CY519" s="1065"/>
      <c r="CZ519" s="1065"/>
      <c r="DA519" s="1065"/>
      <c r="DB519" s="1065"/>
    </row>
    <row r="520" spans="1:106" ht="15" customHeight="1" thickBot="1">
      <c r="A520" s="1065"/>
      <c r="B520" s="1065"/>
      <c r="C520" s="1203" t="s">
        <v>496</v>
      </c>
      <c r="D520" s="1681" t="s">
        <v>837</v>
      </c>
      <c r="E520" s="1681"/>
      <c r="F520" s="1681"/>
      <c r="G520" s="1681"/>
      <c r="H520" s="1681" t="s">
        <v>657</v>
      </c>
      <c r="I520" s="1681"/>
      <c r="J520" s="1748" t="s">
        <v>842</v>
      </c>
      <c r="K520" s="1748"/>
      <c r="L520" s="1748"/>
      <c r="M520" s="1731" t="s">
        <v>868</v>
      </c>
      <c r="N520" s="1731"/>
      <c r="O520" s="1731"/>
      <c r="P520" s="1731"/>
      <c r="Q520" s="1731"/>
      <c r="R520" s="1731"/>
      <c r="S520" s="1067">
        <v>1800</v>
      </c>
      <c r="T520" s="1769"/>
      <c r="U520" s="1770"/>
      <c r="V520" s="1065"/>
      <c r="W520" s="1065"/>
      <c r="X520" s="1065"/>
      <c r="Y520" s="1065"/>
      <c r="Z520" s="1065"/>
      <c r="AA520" s="1065"/>
      <c r="AB520" s="1065"/>
      <c r="AC520" s="1065"/>
      <c r="AD520" s="1065"/>
      <c r="AE520" s="1065"/>
      <c r="AF520" s="1065"/>
      <c r="AG520" s="1065"/>
      <c r="AH520" s="1065"/>
      <c r="AI520" s="1065"/>
      <c r="AJ520" s="1065"/>
      <c r="AK520" s="1065"/>
      <c r="AL520" s="1065"/>
      <c r="AM520" s="1065"/>
      <c r="AN520" s="1065"/>
      <c r="AO520" s="1065"/>
      <c r="AP520" s="1065"/>
      <c r="AQ520" s="1065"/>
      <c r="AR520" s="1065"/>
      <c r="AS520" s="1065"/>
      <c r="AT520" s="1065"/>
      <c r="AU520" s="1065"/>
      <c r="AV520" s="1065"/>
      <c r="AW520" s="1065"/>
      <c r="AX520" s="1065"/>
      <c r="AY520" s="1065"/>
      <c r="AZ520" s="1065"/>
      <c r="BA520" s="1065"/>
      <c r="BB520" s="1065"/>
      <c r="BC520" s="1065"/>
      <c r="BD520" s="1065"/>
      <c r="BE520" s="1065"/>
      <c r="BF520" s="1065"/>
      <c r="BG520" s="1065"/>
      <c r="BH520" s="1065"/>
      <c r="BI520" s="1065"/>
      <c r="BJ520" s="1065"/>
      <c r="BK520" s="1065"/>
      <c r="BL520" s="1065"/>
      <c r="BM520" s="1065"/>
      <c r="BN520" s="1065"/>
      <c r="BO520" s="1065"/>
      <c r="BP520" s="1065"/>
      <c r="BQ520" s="1065"/>
      <c r="BR520" s="1065"/>
      <c r="BS520" s="1065"/>
      <c r="BT520" s="1065"/>
      <c r="BU520" s="1065"/>
      <c r="BV520" s="1065"/>
      <c r="BW520" s="1065"/>
      <c r="BX520" s="1065"/>
      <c r="BY520" s="1065"/>
      <c r="BZ520" s="1065"/>
      <c r="CA520" s="1065"/>
      <c r="CB520" s="1065"/>
      <c r="CC520" s="1065"/>
      <c r="CD520" s="1065"/>
      <c r="CE520" s="1065"/>
      <c r="CF520" s="1065"/>
      <c r="CG520" s="1065"/>
      <c r="CH520" s="1065"/>
      <c r="CI520" s="1065"/>
      <c r="CJ520" s="1065"/>
      <c r="CK520" s="1065"/>
      <c r="CL520" s="1065"/>
      <c r="CM520" s="1065"/>
      <c r="CN520" s="1065"/>
      <c r="CO520" s="1065"/>
      <c r="CP520" s="1065"/>
      <c r="CQ520" s="1065"/>
      <c r="CR520" s="1065"/>
      <c r="CS520" s="1065"/>
      <c r="CT520" s="1065"/>
      <c r="CU520" s="1065"/>
      <c r="CV520" s="1065"/>
      <c r="CW520" s="1065"/>
      <c r="CX520" s="1065"/>
      <c r="CY520" s="1065"/>
      <c r="CZ520" s="1065"/>
      <c r="DA520" s="1065"/>
      <c r="DB520" s="1065"/>
    </row>
    <row r="521" spans="1:106" ht="15" customHeight="1" thickBot="1">
      <c r="A521" s="1065"/>
      <c r="B521" s="1065"/>
      <c r="C521" s="1203" t="s">
        <v>662</v>
      </c>
      <c r="D521" s="1694" t="s">
        <v>837</v>
      </c>
      <c r="E521" s="1694"/>
      <c r="F521" s="1694"/>
      <c r="G521" s="1694"/>
      <c r="H521" s="1694" t="s">
        <v>657</v>
      </c>
      <c r="I521" s="1694"/>
      <c r="J521" s="1747" t="s">
        <v>882</v>
      </c>
      <c r="K521" s="1747"/>
      <c r="L521" s="1747"/>
      <c r="M521" s="1696" t="s">
        <v>869</v>
      </c>
      <c r="N521" s="1696"/>
      <c r="O521" s="1696"/>
      <c r="P521" s="1696"/>
      <c r="Q521" s="1696"/>
      <c r="R521" s="1696"/>
      <c r="S521" s="1067">
        <v>1800</v>
      </c>
      <c r="T521" s="1769"/>
      <c r="U521" s="1770"/>
      <c r="V521" s="1065"/>
      <c r="W521" s="1065"/>
      <c r="X521" s="1065"/>
      <c r="Y521" s="1065"/>
      <c r="Z521" s="1065"/>
      <c r="AA521" s="1065"/>
      <c r="AB521" s="1065"/>
      <c r="AC521" s="1065"/>
      <c r="AD521" s="1065"/>
      <c r="AE521" s="1065"/>
      <c r="AF521" s="1065"/>
      <c r="AG521" s="1065"/>
      <c r="AH521" s="1065"/>
      <c r="AI521" s="1065"/>
      <c r="AJ521" s="1065"/>
      <c r="AK521" s="1065"/>
      <c r="AL521" s="1065"/>
      <c r="AM521" s="1065"/>
      <c r="AN521" s="1065"/>
      <c r="AO521" s="1065"/>
      <c r="AP521" s="1065"/>
      <c r="AQ521" s="1065"/>
      <c r="AR521" s="1065"/>
      <c r="AS521" s="1065"/>
      <c r="AT521" s="1065"/>
      <c r="AU521" s="1065"/>
      <c r="AV521" s="1065"/>
      <c r="AW521" s="1065"/>
      <c r="AX521" s="1065"/>
      <c r="AY521" s="1065"/>
      <c r="AZ521" s="1065"/>
      <c r="BA521" s="1065"/>
      <c r="BB521" s="1065"/>
      <c r="BC521" s="1065"/>
      <c r="BD521" s="1065"/>
      <c r="BE521" s="1065"/>
      <c r="BF521" s="1065"/>
      <c r="BG521" s="1065"/>
      <c r="BH521" s="1065"/>
      <c r="BI521" s="1065"/>
      <c r="BJ521" s="1065"/>
      <c r="BK521" s="1065"/>
      <c r="BL521" s="1065"/>
      <c r="BM521" s="1065"/>
      <c r="BN521" s="1065"/>
      <c r="BO521" s="1065"/>
      <c r="BP521" s="1065"/>
      <c r="BQ521" s="1065"/>
      <c r="BR521" s="1065"/>
      <c r="BS521" s="1065"/>
      <c r="BT521" s="1065"/>
      <c r="BU521" s="1065"/>
      <c r="BV521" s="1065"/>
      <c r="BW521" s="1065"/>
      <c r="BX521" s="1065"/>
      <c r="BY521" s="1065"/>
      <c r="BZ521" s="1065"/>
      <c r="CA521" s="1065"/>
      <c r="CB521" s="1065"/>
      <c r="CC521" s="1065"/>
      <c r="CD521" s="1065"/>
      <c r="CE521" s="1065"/>
      <c r="CF521" s="1065"/>
      <c r="CG521" s="1065"/>
      <c r="CH521" s="1065"/>
      <c r="CI521" s="1065"/>
      <c r="CJ521" s="1065"/>
      <c r="CK521" s="1065"/>
      <c r="CL521" s="1065"/>
      <c r="CM521" s="1065"/>
      <c r="CN521" s="1065"/>
      <c r="CO521" s="1065"/>
      <c r="CP521" s="1065"/>
      <c r="CQ521" s="1065"/>
      <c r="CR521" s="1065"/>
      <c r="CS521" s="1065"/>
      <c r="CT521" s="1065"/>
      <c r="CU521" s="1065"/>
      <c r="CV521" s="1065"/>
      <c r="CW521" s="1065"/>
      <c r="CX521" s="1065"/>
      <c r="CY521" s="1065"/>
      <c r="CZ521" s="1065"/>
      <c r="DA521" s="1065"/>
      <c r="DB521" s="1065"/>
    </row>
    <row r="522" spans="1:106" ht="15" customHeight="1" thickBot="1">
      <c r="A522" s="1065"/>
      <c r="B522" s="1065"/>
      <c r="C522" s="1203" t="s">
        <v>663</v>
      </c>
      <c r="D522" s="1681" t="s">
        <v>837</v>
      </c>
      <c r="E522" s="1681"/>
      <c r="F522" s="1681"/>
      <c r="G522" s="1681"/>
      <c r="H522" s="1750" t="s">
        <v>671</v>
      </c>
      <c r="I522" s="1750"/>
      <c r="J522" s="1681" t="s">
        <v>852</v>
      </c>
      <c r="K522" s="1681"/>
      <c r="L522" s="1681"/>
      <c r="M522" s="1750" t="s">
        <v>868</v>
      </c>
      <c r="N522" s="1750"/>
      <c r="O522" s="1750"/>
      <c r="P522" s="1750"/>
      <c r="Q522" s="1750"/>
      <c r="R522" s="1750"/>
      <c r="S522" s="1067">
        <v>1800</v>
      </c>
      <c r="T522" s="1769"/>
      <c r="U522" s="1770"/>
      <c r="V522" s="1065"/>
      <c r="W522" s="1065"/>
      <c r="X522" s="1065"/>
      <c r="Y522" s="1065"/>
      <c r="Z522" s="1065"/>
      <c r="AA522" s="1065"/>
      <c r="AB522" s="1065"/>
      <c r="AC522" s="1065"/>
      <c r="AD522" s="1065"/>
      <c r="AE522" s="1065"/>
      <c r="AF522" s="1065"/>
      <c r="AG522" s="1065"/>
      <c r="AH522" s="1065"/>
      <c r="AI522" s="1065"/>
      <c r="AJ522" s="1065"/>
      <c r="AK522" s="1065"/>
      <c r="AL522" s="1065"/>
      <c r="AM522" s="1065"/>
      <c r="AN522" s="1065"/>
      <c r="AO522" s="1065"/>
      <c r="AP522" s="1065"/>
      <c r="AQ522" s="1065"/>
      <c r="AR522" s="1065"/>
      <c r="AS522" s="1065"/>
      <c r="AT522" s="1065"/>
      <c r="AU522" s="1065"/>
      <c r="AV522" s="1065"/>
      <c r="AW522" s="1065"/>
      <c r="AX522" s="1065"/>
      <c r="AY522" s="1065"/>
      <c r="AZ522" s="1065"/>
      <c r="BA522" s="1065"/>
      <c r="BB522" s="1065"/>
      <c r="BC522" s="1065"/>
      <c r="BD522" s="1065"/>
      <c r="BE522" s="1065"/>
      <c r="BF522" s="1065"/>
      <c r="BG522" s="1065"/>
      <c r="BH522" s="1065"/>
      <c r="BI522" s="1065"/>
      <c r="BJ522" s="1065"/>
      <c r="BK522" s="1065"/>
      <c r="BL522" s="1065"/>
      <c r="BM522" s="1065"/>
      <c r="BN522" s="1065"/>
      <c r="BO522" s="1065"/>
      <c r="BP522" s="1065"/>
      <c r="BQ522" s="1065"/>
      <c r="BR522" s="1065"/>
      <c r="BS522" s="1065"/>
      <c r="BT522" s="1065"/>
      <c r="BU522" s="1065"/>
      <c r="BV522" s="1065"/>
      <c r="BW522" s="1065"/>
      <c r="BX522" s="1065"/>
      <c r="BY522" s="1065"/>
      <c r="BZ522" s="1065"/>
      <c r="CA522" s="1065"/>
      <c r="CB522" s="1065"/>
      <c r="CC522" s="1065"/>
      <c r="CD522" s="1065"/>
      <c r="CE522" s="1065"/>
      <c r="CF522" s="1065"/>
      <c r="CG522" s="1065"/>
      <c r="CH522" s="1065"/>
      <c r="CI522" s="1065"/>
      <c r="CJ522" s="1065"/>
      <c r="CK522" s="1065"/>
      <c r="CL522" s="1065"/>
      <c r="CM522" s="1065"/>
      <c r="CN522" s="1065"/>
      <c r="CO522" s="1065"/>
      <c r="CP522" s="1065"/>
      <c r="CQ522" s="1065"/>
      <c r="CR522" s="1065"/>
      <c r="CS522" s="1065"/>
      <c r="CT522" s="1065"/>
      <c r="CU522" s="1065"/>
      <c r="CV522" s="1065"/>
      <c r="CW522" s="1065"/>
      <c r="CX522" s="1065"/>
      <c r="CY522" s="1065"/>
      <c r="CZ522" s="1065"/>
      <c r="DA522" s="1065"/>
      <c r="DB522" s="1065"/>
    </row>
    <row r="523" spans="1:106" ht="15" customHeight="1" thickBot="1">
      <c r="A523" s="1065"/>
      <c r="B523" s="1065"/>
      <c r="C523" s="1203" t="s">
        <v>664</v>
      </c>
      <c r="D523" s="1694" t="s">
        <v>837</v>
      </c>
      <c r="E523" s="1694"/>
      <c r="F523" s="1694"/>
      <c r="G523" s="1694"/>
      <c r="H523" s="1694" t="s">
        <v>657</v>
      </c>
      <c r="I523" s="1694"/>
      <c r="J523" s="1747" t="s">
        <v>882</v>
      </c>
      <c r="K523" s="1747"/>
      <c r="L523" s="1747"/>
      <c r="M523" s="1696" t="s">
        <v>869</v>
      </c>
      <c r="N523" s="1696"/>
      <c r="O523" s="1696"/>
      <c r="P523" s="1696"/>
      <c r="Q523" s="1696"/>
      <c r="R523" s="1696"/>
      <c r="S523" s="1067">
        <v>1800</v>
      </c>
      <c r="T523" s="1769"/>
      <c r="U523" s="1770"/>
      <c r="V523" s="1065"/>
      <c r="W523" s="1065"/>
      <c r="X523" s="1065"/>
      <c r="Y523" s="1065"/>
      <c r="Z523" s="1065"/>
      <c r="AA523" s="1065"/>
      <c r="AB523" s="1065"/>
      <c r="AC523" s="1065"/>
      <c r="AD523" s="1065"/>
      <c r="AE523" s="1065"/>
      <c r="AF523" s="1065"/>
      <c r="AG523" s="1065"/>
      <c r="AH523" s="1065"/>
      <c r="AI523" s="1065"/>
      <c r="AJ523" s="1065"/>
      <c r="AK523" s="1065"/>
      <c r="AL523" s="1065"/>
      <c r="AM523" s="1065"/>
      <c r="AN523" s="1065"/>
      <c r="AO523" s="1065"/>
      <c r="AP523" s="1065"/>
      <c r="AQ523" s="1065"/>
      <c r="AR523" s="1065"/>
      <c r="AS523" s="1065"/>
      <c r="AT523" s="1065"/>
      <c r="AU523" s="1065"/>
      <c r="AV523" s="1065"/>
      <c r="AW523" s="1065"/>
      <c r="AX523" s="1065"/>
      <c r="AY523" s="1065"/>
      <c r="AZ523" s="1065"/>
      <c r="BA523" s="1065"/>
      <c r="BB523" s="1065"/>
      <c r="BC523" s="1065"/>
      <c r="BD523" s="1065"/>
      <c r="BE523" s="1065"/>
      <c r="BF523" s="1065"/>
      <c r="BG523" s="1065"/>
      <c r="BH523" s="1065"/>
      <c r="BI523" s="1065"/>
      <c r="BJ523" s="1065"/>
      <c r="BK523" s="1065"/>
      <c r="BL523" s="1065"/>
      <c r="BM523" s="1065"/>
      <c r="BN523" s="1065"/>
      <c r="BO523" s="1065"/>
      <c r="BP523" s="1065"/>
      <c r="BQ523" s="1065"/>
      <c r="BR523" s="1065"/>
      <c r="BS523" s="1065"/>
      <c r="BT523" s="1065"/>
      <c r="BU523" s="1065"/>
      <c r="BV523" s="1065"/>
      <c r="BW523" s="1065"/>
      <c r="BX523" s="1065"/>
      <c r="BY523" s="1065"/>
      <c r="BZ523" s="1065"/>
      <c r="CA523" s="1065"/>
      <c r="CB523" s="1065"/>
      <c r="CC523" s="1065"/>
      <c r="CD523" s="1065"/>
      <c r="CE523" s="1065"/>
      <c r="CF523" s="1065"/>
      <c r="CG523" s="1065"/>
      <c r="CH523" s="1065"/>
      <c r="CI523" s="1065"/>
      <c r="CJ523" s="1065"/>
      <c r="CK523" s="1065"/>
      <c r="CL523" s="1065"/>
      <c r="CM523" s="1065"/>
      <c r="CN523" s="1065"/>
      <c r="CO523" s="1065"/>
      <c r="CP523" s="1065"/>
      <c r="CQ523" s="1065"/>
      <c r="CR523" s="1065"/>
      <c r="CS523" s="1065"/>
      <c r="CT523" s="1065"/>
      <c r="CU523" s="1065"/>
      <c r="CV523" s="1065"/>
      <c r="CW523" s="1065"/>
      <c r="CX523" s="1065"/>
      <c r="CY523" s="1065"/>
      <c r="CZ523" s="1065"/>
      <c r="DA523" s="1065"/>
      <c r="DB523" s="1065"/>
    </row>
    <row r="524" spans="1:106" ht="15" customHeight="1" thickBot="1">
      <c r="A524" s="1065"/>
      <c r="B524" s="1065"/>
      <c r="C524" s="1208" t="s">
        <v>301</v>
      </c>
      <c r="D524" s="1694" t="s">
        <v>837</v>
      </c>
      <c r="E524" s="1694"/>
      <c r="F524" s="1694"/>
      <c r="G524" s="1694"/>
      <c r="H524" s="1694" t="s">
        <v>657</v>
      </c>
      <c r="I524" s="1694"/>
      <c r="J524" s="1747" t="s">
        <v>882</v>
      </c>
      <c r="K524" s="1747"/>
      <c r="L524" s="1747"/>
      <c r="M524" s="1696" t="s">
        <v>869</v>
      </c>
      <c r="N524" s="1696"/>
      <c r="O524" s="1696"/>
      <c r="P524" s="1696"/>
      <c r="Q524" s="1696"/>
      <c r="R524" s="1696"/>
      <c r="S524" s="1067">
        <v>1800</v>
      </c>
      <c r="T524" s="1769"/>
      <c r="U524" s="1770"/>
      <c r="V524" s="1065"/>
      <c r="W524" s="1065"/>
      <c r="X524" s="1065"/>
      <c r="Y524" s="1065"/>
      <c r="Z524" s="1065"/>
      <c r="AA524" s="1065"/>
      <c r="AB524" s="1065"/>
      <c r="AC524" s="1065"/>
      <c r="AD524" s="1065"/>
      <c r="AE524" s="1065"/>
      <c r="AF524" s="1065"/>
      <c r="AG524" s="1065"/>
      <c r="AH524" s="1065"/>
      <c r="AI524" s="1065"/>
      <c r="AJ524" s="1065"/>
      <c r="AK524" s="1065"/>
      <c r="AL524" s="1065"/>
      <c r="AM524" s="1065"/>
      <c r="AN524" s="1065"/>
      <c r="AO524" s="1065"/>
      <c r="AP524" s="1065"/>
      <c r="AQ524" s="1065"/>
      <c r="AR524" s="1065"/>
      <c r="AS524" s="1065"/>
      <c r="AT524" s="1065"/>
      <c r="AU524" s="1065"/>
      <c r="AV524" s="1065"/>
      <c r="AW524" s="1065"/>
      <c r="AX524" s="1065"/>
      <c r="AY524" s="1065"/>
      <c r="AZ524" s="1065"/>
      <c r="BA524" s="1065"/>
      <c r="BB524" s="1065"/>
      <c r="BC524" s="1065"/>
      <c r="BD524" s="1065"/>
      <c r="BE524" s="1065"/>
      <c r="BF524" s="1065"/>
      <c r="BG524" s="1065"/>
      <c r="BH524" s="1065"/>
      <c r="BI524" s="1065"/>
      <c r="BJ524" s="1065"/>
      <c r="BK524" s="1065"/>
      <c r="BL524" s="1065"/>
      <c r="BM524" s="1065"/>
      <c r="BN524" s="1065"/>
      <c r="BO524" s="1065"/>
      <c r="BP524" s="1065"/>
      <c r="BQ524" s="1065"/>
      <c r="BR524" s="1065"/>
      <c r="BS524" s="1065"/>
      <c r="BT524" s="1065"/>
      <c r="BU524" s="1065"/>
      <c r="BV524" s="1065"/>
      <c r="BW524" s="1065"/>
      <c r="BX524" s="1065"/>
      <c r="BY524" s="1065"/>
      <c r="BZ524" s="1065"/>
      <c r="CA524" s="1065"/>
      <c r="CB524" s="1065"/>
      <c r="CC524" s="1065"/>
      <c r="CD524" s="1065"/>
      <c r="CE524" s="1065"/>
      <c r="CF524" s="1065"/>
      <c r="CG524" s="1065"/>
      <c r="CH524" s="1065"/>
      <c r="CI524" s="1065"/>
      <c r="CJ524" s="1065"/>
      <c r="CK524" s="1065"/>
      <c r="CL524" s="1065"/>
      <c r="CM524" s="1065"/>
      <c r="CN524" s="1065"/>
      <c r="CO524" s="1065"/>
      <c r="CP524" s="1065"/>
      <c r="CQ524" s="1065"/>
      <c r="CR524" s="1065"/>
      <c r="CS524" s="1065"/>
      <c r="CT524" s="1065"/>
      <c r="CU524" s="1065"/>
      <c r="CV524" s="1065"/>
      <c r="CW524" s="1065"/>
      <c r="CX524" s="1065"/>
      <c r="CY524" s="1065"/>
      <c r="CZ524" s="1065"/>
      <c r="DA524" s="1065"/>
      <c r="DB524" s="1065"/>
    </row>
    <row r="525" spans="1:106" ht="15" customHeight="1" thickBot="1">
      <c r="A525" s="1065"/>
      <c r="B525" s="1065"/>
      <c r="C525" s="1203" t="s">
        <v>679</v>
      </c>
      <c r="D525" s="1681" t="s">
        <v>837</v>
      </c>
      <c r="E525" s="1681"/>
      <c r="F525" s="1681"/>
      <c r="G525" s="1681"/>
      <c r="H525" s="1681" t="s">
        <v>671</v>
      </c>
      <c r="I525" s="1681"/>
      <c r="J525" s="1681" t="s">
        <v>890</v>
      </c>
      <c r="K525" s="1681"/>
      <c r="L525" s="1681"/>
      <c r="M525" s="1731" t="s">
        <v>868</v>
      </c>
      <c r="N525" s="1731"/>
      <c r="O525" s="1731"/>
      <c r="P525" s="1731"/>
      <c r="Q525" s="1731"/>
      <c r="R525" s="1731"/>
      <c r="S525" s="1067">
        <v>3600</v>
      </c>
      <c r="T525" s="1769"/>
      <c r="U525" s="1770"/>
      <c r="V525" s="1065"/>
      <c r="W525" s="1065"/>
      <c r="X525" s="1065"/>
      <c r="Y525" s="1065"/>
      <c r="Z525" s="1065"/>
      <c r="AA525" s="1065"/>
      <c r="AB525" s="1065"/>
      <c r="AC525" s="1065"/>
      <c r="AD525" s="1065"/>
      <c r="AE525" s="1065"/>
      <c r="AF525" s="1065"/>
      <c r="AG525" s="1065"/>
      <c r="AH525" s="1065"/>
      <c r="AI525" s="1065"/>
      <c r="AJ525" s="1065"/>
      <c r="AK525" s="1065"/>
      <c r="AL525" s="1065"/>
      <c r="AM525" s="1065"/>
      <c r="AN525" s="1065"/>
      <c r="AO525" s="1065"/>
      <c r="AP525" s="1065"/>
      <c r="AQ525" s="1065"/>
      <c r="AR525" s="1065"/>
      <c r="AS525" s="1065"/>
      <c r="AT525" s="1065"/>
      <c r="AU525" s="1065"/>
      <c r="AV525" s="1065"/>
      <c r="AW525" s="1065"/>
      <c r="AX525" s="1065"/>
      <c r="AY525" s="1065"/>
      <c r="AZ525" s="1065"/>
      <c r="BA525" s="1065"/>
      <c r="BB525" s="1065"/>
      <c r="BC525" s="1065"/>
      <c r="BD525" s="1065"/>
      <c r="BE525" s="1065"/>
      <c r="BF525" s="1065"/>
      <c r="BG525" s="1065"/>
      <c r="BH525" s="1065"/>
      <c r="BI525" s="1065"/>
      <c r="BJ525" s="1065"/>
      <c r="BK525" s="1065"/>
      <c r="BL525" s="1065"/>
      <c r="BM525" s="1065"/>
      <c r="BN525" s="1065"/>
      <c r="BO525" s="1065"/>
      <c r="BP525" s="1065"/>
      <c r="BQ525" s="1065"/>
      <c r="BR525" s="1065"/>
      <c r="BS525" s="1065"/>
      <c r="BT525" s="1065"/>
      <c r="BU525" s="1065"/>
      <c r="BV525" s="1065"/>
      <c r="BW525" s="1065"/>
      <c r="BX525" s="1065"/>
      <c r="BY525" s="1065"/>
      <c r="BZ525" s="1065"/>
      <c r="CA525" s="1065"/>
      <c r="CB525" s="1065"/>
      <c r="CC525" s="1065"/>
      <c r="CD525" s="1065"/>
      <c r="CE525" s="1065"/>
      <c r="CF525" s="1065"/>
      <c r="CG525" s="1065"/>
      <c r="CH525" s="1065"/>
      <c r="CI525" s="1065"/>
      <c r="CJ525" s="1065"/>
      <c r="CK525" s="1065"/>
      <c r="CL525" s="1065"/>
      <c r="CM525" s="1065"/>
      <c r="CN525" s="1065"/>
      <c r="CO525" s="1065"/>
      <c r="CP525" s="1065"/>
      <c r="CQ525" s="1065"/>
      <c r="CR525" s="1065"/>
      <c r="CS525" s="1065"/>
      <c r="CT525" s="1065"/>
      <c r="CU525" s="1065"/>
      <c r="CV525" s="1065"/>
      <c r="CW525" s="1065"/>
      <c r="CX525" s="1065"/>
      <c r="CY525" s="1065"/>
      <c r="CZ525" s="1065"/>
      <c r="DA525" s="1065"/>
      <c r="DB525" s="1065"/>
    </row>
    <row r="526" spans="1:106" ht="15" customHeight="1" thickBot="1">
      <c r="A526" s="1065"/>
      <c r="B526" s="1065"/>
      <c r="C526" s="1740" t="s">
        <v>891</v>
      </c>
      <c r="D526" s="1740"/>
      <c r="E526" s="1740"/>
      <c r="F526" s="1740"/>
      <c r="G526" s="1740"/>
      <c r="H526" s="1740"/>
      <c r="I526" s="1740"/>
      <c r="J526" s="1740"/>
      <c r="K526" s="1740"/>
      <c r="L526" s="1740"/>
      <c r="M526" s="1740"/>
      <c r="N526" s="1740"/>
      <c r="O526" s="1740"/>
      <c r="P526" s="1740"/>
      <c r="Q526" s="1740"/>
      <c r="R526" s="1740"/>
      <c r="S526" s="1740"/>
      <c r="T526" s="1740"/>
      <c r="U526" s="1740"/>
      <c r="V526" s="1065"/>
      <c r="W526" s="1065"/>
      <c r="X526" s="1065"/>
      <c r="Y526" s="1065"/>
      <c r="Z526" s="1065"/>
      <c r="AA526" s="1065"/>
      <c r="AB526" s="1065"/>
      <c r="AC526" s="1065"/>
      <c r="AD526" s="1065"/>
      <c r="AE526" s="1065"/>
      <c r="AF526" s="1065"/>
      <c r="AG526" s="1065"/>
      <c r="AH526" s="1065"/>
      <c r="AI526" s="1065"/>
      <c r="AJ526" s="1065"/>
      <c r="AK526" s="1065"/>
      <c r="AL526" s="1065"/>
      <c r="AM526" s="1065"/>
      <c r="AN526" s="1065"/>
      <c r="AO526" s="1065"/>
      <c r="AP526" s="1065"/>
      <c r="AQ526" s="1065"/>
      <c r="AR526" s="1065"/>
      <c r="AS526" s="1065"/>
      <c r="AT526" s="1065"/>
      <c r="AU526" s="1065"/>
      <c r="AV526" s="1065"/>
      <c r="AW526" s="1065"/>
      <c r="AX526" s="1065"/>
      <c r="AY526" s="1065"/>
      <c r="AZ526" s="1065"/>
      <c r="BA526" s="1065"/>
      <c r="BB526" s="1065"/>
      <c r="BC526" s="1065"/>
      <c r="BD526" s="1065"/>
      <c r="BE526" s="1065"/>
      <c r="BF526" s="1065"/>
      <c r="BG526" s="1065"/>
      <c r="BH526" s="1065"/>
      <c r="BI526" s="1065"/>
      <c r="BJ526" s="1065"/>
      <c r="BK526" s="1065"/>
      <c r="BL526" s="1065"/>
      <c r="BM526" s="1065"/>
      <c r="BN526" s="1065"/>
      <c r="BO526" s="1065"/>
      <c r="BP526" s="1065"/>
      <c r="BQ526" s="1065"/>
      <c r="BR526" s="1065"/>
      <c r="BS526" s="1065"/>
      <c r="BT526" s="1065"/>
      <c r="BU526" s="1065"/>
      <c r="BV526" s="1065"/>
      <c r="BW526" s="1065"/>
      <c r="BX526" s="1065"/>
      <c r="BY526" s="1065"/>
      <c r="BZ526" s="1065"/>
      <c r="CA526" s="1065"/>
      <c r="CB526" s="1065"/>
      <c r="CC526" s="1065"/>
      <c r="CD526" s="1065"/>
      <c r="CE526" s="1065"/>
      <c r="CF526" s="1065"/>
      <c r="CG526" s="1065"/>
      <c r="CH526" s="1065"/>
      <c r="CI526" s="1065"/>
      <c r="CJ526" s="1065"/>
      <c r="CK526" s="1065"/>
      <c r="CL526" s="1065"/>
      <c r="CM526" s="1065"/>
      <c r="CN526" s="1065"/>
      <c r="CO526" s="1065"/>
      <c r="CP526" s="1065"/>
      <c r="CQ526" s="1065"/>
      <c r="CR526" s="1065"/>
      <c r="CS526" s="1065"/>
      <c r="CT526" s="1065"/>
      <c r="CU526" s="1065"/>
      <c r="CV526" s="1065"/>
      <c r="CW526" s="1065"/>
      <c r="CX526" s="1065"/>
      <c r="CY526" s="1065"/>
      <c r="CZ526" s="1065"/>
      <c r="DA526" s="1065"/>
      <c r="DB526" s="1065"/>
    </row>
    <row r="527" spans="1:106" ht="15" customHeight="1" thickBot="1">
      <c r="A527" s="1065"/>
      <c r="B527" s="1065"/>
      <c r="C527" s="1741" t="s">
        <v>892</v>
      </c>
      <c r="D527" s="1741"/>
      <c r="E527" s="1741"/>
      <c r="F527" s="1741"/>
      <c r="G527" s="1741"/>
      <c r="H527" s="1741"/>
      <c r="I527" s="1741"/>
      <c r="J527" s="1741"/>
      <c r="K527" s="1741"/>
      <c r="L527" s="1741"/>
      <c r="M527" s="1743" t="s">
        <v>652</v>
      </c>
      <c r="N527" s="1743"/>
      <c r="O527" s="1743"/>
      <c r="P527" s="1743"/>
      <c r="Q527" s="1743"/>
      <c r="R527" s="1743"/>
      <c r="S527" s="1743" t="s">
        <v>6</v>
      </c>
      <c r="T527" s="1744" t="s">
        <v>653</v>
      </c>
      <c r="U527" s="1745" t="s">
        <v>654</v>
      </c>
      <c r="V527" s="1065"/>
      <c r="W527" s="1065"/>
      <c r="X527" s="1065"/>
      <c r="Y527" s="1065"/>
      <c r="Z527" s="1065"/>
      <c r="AA527" s="1065"/>
      <c r="AB527" s="1065"/>
      <c r="AC527" s="1065"/>
      <c r="AD527" s="1065"/>
      <c r="AE527" s="1065"/>
      <c r="AF527" s="1065"/>
      <c r="AG527" s="1065"/>
      <c r="AH527" s="1065"/>
      <c r="AI527" s="1065"/>
      <c r="AJ527" s="1065"/>
      <c r="AK527" s="1065"/>
      <c r="AL527" s="1065"/>
      <c r="AM527" s="1065"/>
      <c r="AN527" s="1065"/>
      <c r="AO527" s="1065"/>
      <c r="AP527" s="1065"/>
      <c r="AQ527" s="1065"/>
      <c r="AR527" s="1065"/>
      <c r="AS527" s="1065"/>
      <c r="AT527" s="1065"/>
      <c r="AU527" s="1065"/>
      <c r="AV527" s="1065"/>
      <c r="AW527" s="1065"/>
      <c r="AX527" s="1065"/>
      <c r="AY527" s="1065"/>
      <c r="AZ527" s="1065"/>
      <c r="BA527" s="1065"/>
      <c r="BB527" s="1065"/>
      <c r="BC527" s="1065"/>
      <c r="BD527" s="1065"/>
      <c r="BE527" s="1065"/>
      <c r="BF527" s="1065"/>
      <c r="BG527" s="1065"/>
      <c r="BH527" s="1065"/>
      <c r="BI527" s="1065"/>
      <c r="BJ527" s="1065"/>
      <c r="BK527" s="1065"/>
      <c r="BL527" s="1065"/>
      <c r="BM527" s="1065"/>
      <c r="BN527" s="1065"/>
      <c r="BO527" s="1065"/>
      <c r="BP527" s="1065"/>
      <c r="BQ527" s="1065"/>
      <c r="BR527" s="1065"/>
      <c r="BS527" s="1065"/>
      <c r="BT527" s="1065"/>
      <c r="BU527" s="1065"/>
      <c r="BV527" s="1065"/>
      <c r="BW527" s="1065"/>
      <c r="BX527" s="1065"/>
      <c r="BY527" s="1065"/>
      <c r="BZ527" s="1065"/>
      <c r="CA527" s="1065"/>
      <c r="CB527" s="1065"/>
      <c r="CC527" s="1065"/>
      <c r="CD527" s="1065"/>
      <c r="CE527" s="1065"/>
      <c r="CF527" s="1065"/>
      <c r="CG527" s="1065"/>
      <c r="CH527" s="1065"/>
      <c r="CI527" s="1065"/>
      <c r="CJ527" s="1065"/>
      <c r="CK527" s="1065"/>
      <c r="CL527" s="1065"/>
      <c r="CM527" s="1065"/>
      <c r="CN527" s="1065"/>
      <c r="CO527" s="1065"/>
      <c r="CP527" s="1065"/>
      <c r="CQ527" s="1065"/>
      <c r="CR527" s="1065"/>
      <c r="CS527" s="1065"/>
      <c r="CT527" s="1065"/>
      <c r="CU527" s="1065"/>
      <c r="CV527" s="1065"/>
      <c r="CW527" s="1065"/>
      <c r="CX527" s="1065"/>
      <c r="CY527" s="1065"/>
      <c r="CZ527" s="1065"/>
      <c r="DA527" s="1065"/>
      <c r="DB527" s="1065"/>
    </row>
    <row r="528" spans="1:106" ht="15" customHeight="1">
      <c r="A528" s="1065"/>
      <c r="B528" s="1065"/>
      <c r="C528" s="1741"/>
      <c r="D528" s="1741"/>
      <c r="E528" s="1741"/>
      <c r="F528" s="1741"/>
      <c r="G528" s="1741"/>
      <c r="H528" s="1741"/>
      <c r="I528" s="1741"/>
      <c r="J528" s="1741"/>
      <c r="K528" s="1741"/>
      <c r="L528" s="1741"/>
      <c r="M528" s="1743"/>
      <c r="N528" s="1743"/>
      <c r="O528" s="1743"/>
      <c r="P528" s="1743"/>
      <c r="Q528" s="1743"/>
      <c r="R528" s="1743"/>
      <c r="S528" s="1743"/>
      <c r="T528" s="1744"/>
      <c r="U528" s="1745"/>
      <c r="V528" s="1065"/>
      <c r="W528" s="1065"/>
      <c r="X528" s="1065"/>
      <c r="Y528" s="1065"/>
      <c r="Z528" s="1065"/>
      <c r="AA528" s="1065"/>
      <c r="AB528" s="1065"/>
      <c r="AC528" s="1065"/>
      <c r="AD528" s="1065"/>
      <c r="AE528" s="1065"/>
      <c r="AF528" s="1065"/>
      <c r="AG528" s="1065"/>
      <c r="AH528" s="1065"/>
      <c r="AI528" s="1065"/>
      <c r="AJ528" s="1065"/>
      <c r="AK528" s="1065"/>
      <c r="AL528" s="1065"/>
      <c r="AM528" s="1065"/>
      <c r="AN528" s="1065"/>
      <c r="AO528" s="1065"/>
      <c r="AP528" s="1065"/>
      <c r="AQ528" s="1065"/>
      <c r="AR528" s="1065"/>
      <c r="AS528" s="1065"/>
      <c r="AT528" s="1065"/>
      <c r="AU528" s="1065"/>
      <c r="AV528" s="1065"/>
      <c r="AW528" s="1065"/>
      <c r="AX528" s="1065"/>
      <c r="AY528" s="1065"/>
      <c r="AZ528" s="1065"/>
      <c r="BA528" s="1065"/>
      <c r="BB528" s="1065"/>
      <c r="BC528" s="1065"/>
      <c r="BD528" s="1065"/>
      <c r="BE528" s="1065"/>
      <c r="BF528" s="1065"/>
      <c r="BG528" s="1065"/>
      <c r="BH528" s="1065"/>
      <c r="BI528" s="1065"/>
      <c r="BJ528" s="1065"/>
      <c r="BK528" s="1065"/>
      <c r="BL528" s="1065"/>
      <c r="BM528" s="1065"/>
      <c r="BN528" s="1065"/>
      <c r="BO528" s="1065"/>
      <c r="BP528" s="1065"/>
      <c r="BQ528" s="1065"/>
      <c r="BR528" s="1065"/>
      <c r="BS528" s="1065"/>
      <c r="BT528" s="1065"/>
      <c r="BU528" s="1065"/>
      <c r="BV528" s="1065"/>
      <c r="BW528" s="1065"/>
      <c r="BX528" s="1065"/>
      <c r="BY528" s="1065"/>
      <c r="BZ528" s="1065"/>
      <c r="CA528" s="1065"/>
      <c r="CB528" s="1065"/>
      <c r="CC528" s="1065"/>
      <c r="CD528" s="1065"/>
      <c r="CE528" s="1065"/>
      <c r="CF528" s="1065"/>
      <c r="CG528" s="1065"/>
      <c r="CH528" s="1065"/>
      <c r="CI528" s="1065"/>
      <c r="CJ528" s="1065"/>
      <c r="CK528" s="1065"/>
      <c r="CL528" s="1065"/>
      <c r="CM528" s="1065"/>
      <c r="CN528" s="1065"/>
      <c r="CO528" s="1065"/>
      <c r="CP528" s="1065"/>
      <c r="CQ528" s="1065"/>
      <c r="CR528" s="1065"/>
      <c r="CS528" s="1065"/>
      <c r="CT528" s="1065"/>
      <c r="CU528" s="1065"/>
      <c r="CV528" s="1065"/>
      <c r="CW528" s="1065"/>
      <c r="CX528" s="1065"/>
      <c r="CY528" s="1065"/>
      <c r="CZ528" s="1065"/>
      <c r="DA528" s="1065"/>
      <c r="DB528" s="1065"/>
    </row>
    <row r="529" spans="1:106" ht="15" customHeight="1" thickBot="1">
      <c r="A529" s="1065"/>
      <c r="B529" s="1065"/>
      <c r="C529" s="1762" t="s">
        <v>893</v>
      </c>
      <c r="D529" s="1762"/>
      <c r="E529" s="1762"/>
      <c r="F529" s="1762"/>
      <c r="G529" s="1762"/>
      <c r="H529" s="1762"/>
      <c r="I529" s="1762"/>
      <c r="J529" s="1762"/>
      <c r="K529" s="1762"/>
      <c r="L529" s="1762"/>
      <c r="M529" s="1706"/>
      <c r="N529" s="1706"/>
      <c r="O529" s="1706"/>
      <c r="P529" s="1706"/>
      <c r="Q529" s="1706"/>
      <c r="R529" s="1706"/>
      <c r="S529" s="1095">
        <v>0</v>
      </c>
      <c r="T529" s="1738">
        <f>SUM(S529:S531)</f>
        <v>0</v>
      </c>
      <c r="U529" s="1739">
        <v>1200</v>
      </c>
      <c r="V529" s="1065"/>
      <c r="W529" s="1065"/>
      <c r="X529" s="1065"/>
      <c r="Y529" s="1065"/>
      <c r="Z529" s="1065"/>
      <c r="AA529" s="1065"/>
      <c r="AB529" s="1065"/>
      <c r="AC529" s="1065"/>
      <c r="AD529" s="1065"/>
      <c r="AE529" s="1065"/>
      <c r="AF529" s="1065"/>
      <c r="AG529" s="1065"/>
      <c r="AH529" s="1065"/>
      <c r="AI529" s="1065"/>
      <c r="AJ529" s="1065"/>
      <c r="AK529" s="1065"/>
      <c r="AL529" s="1065"/>
      <c r="AM529" s="1065"/>
      <c r="AN529" s="1065"/>
      <c r="AO529" s="1065"/>
      <c r="AP529" s="1065"/>
      <c r="AQ529" s="1065"/>
      <c r="AR529" s="1065"/>
      <c r="AS529" s="1065"/>
      <c r="AT529" s="1065"/>
      <c r="AU529" s="1065"/>
      <c r="AV529" s="1065"/>
      <c r="AW529" s="1065"/>
      <c r="AX529" s="1065"/>
      <c r="AY529" s="1065"/>
      <c r="AZ529" s="1065"/>
      <c r="BA529" s="1065"/>
      <c r="BB529" s="1065"/>
      <c r="BC529" s="1065"/>
      <c r="BD529" s="1065"/>
      <c r="BE529" s="1065"/>
      <c r="BF529" s="1065"/>
      <c r="BG529" s="1065"/>
      <c r="BH529" s="1065"/>
      <c r="BI529" s="1065"/>
      <c r="BJ529" s="1065"/>
      <c r="BK529" s="1065"/>
      <c r="BL529" s="1065"/>
      <c r="BM529" s="1065"/>
      <c r="BN529" s="1065"/>
      <c r="BO529" s="1065"/>
      <c r="BP529" s="1065"/>
      <c r="BQ529" s="1065"/>
      <c r="BR529" s="1065"/>
      <c r="BS529" s="1065"/>
      <c r="BT529" s="1065"/>
      <c r="BU529" s="1065"/>
      <c r="BV529" s="1065"/>
      <c r="BW529" s="1065"/>
      <c r="BX529" s="1065"/>
      <c r="BY529" s="1065"/>
      <c r="BZ529" s="1065"/>
      <c r="CA529" s="1065"/>
      <c r="CB529" s="1065"/>
      <c r="CC529" s="1065"/>
      <c r="CD529" s="1065"/>
      <c r="CE529" s="1065"/>
      <c r="CF529" s="1065"/>
      <c r="CG529" s="1065"/>
      <c r="CH529" s="1065"/>
      <c r="CI529" s="1065"/>
      <c r="CJ529" s="1065"/>
      <c r="CK529" s="1065"/>
      <c r="CL529" s="1065"/>
      <c r="CM529" s="1065"/>
      <c r="CN529" s="1065"/>
      <c r="CO529" s="1065"/>
      <c r="CP529" s="1065"/>
      <c r="CQ529" s="1065"/>
      <c r="CR529" s="1065"/>
      <c r="CS529" s="1065"/>
      <c r="CT529" s="1065"/>
      <c r="CU529" s="1065"/>
      <c r="CV529" s="1065"/>
      <c r="CW529" s="1065"/>
      <c r="CX529" s="1065"/>
      <c r="CY529" s="1065"/>
      <c r="CZ529" s="1065"/>
      <c r="DA529" s="1065"/>
      <c r="DB529" s="1065"/>
    </row>
    <row r="530" spans="1:106" ht="15" customHeight="1" thickBot="1">
      <c r="A530" s="1065"/>
      <c r="B530" s="1065"/>
      <c r="C530" s="1763" t="s">
        <v>894</v>
      </c>
      <c r="D530" s="1763"/>
      <c r="E530" s="1763"/>
      <c r="F530" s="1763"/>
      <c r="G530" s="1763"/>
      <c r="H530" s="1763"/>
      <c r="I530" s="1763"/>
      <c r="J530" s="1763"/>
      <c r="K530" s="1763"/>
      <c r="L530" s="1763"/>
      <c r="M530" s="1706"/>
      <c r="N530" s="1706"/>
      <c r="O530" s="1706"/>
      <c r="P530" s="1706"/>
      <c r="Q530" s="1706"/>
      <c r="R530" s="1706"/>
      <c r="S530" s="1067"/>
      <c r="T530" s="1738"/>
      <c r="U530" s="1739"/>
      <c r="V530" s="1065"/>
      <c r="W530" s="1065"/>
      <c r="X530" s="1065"/>
      <c r="Y530" s="1065"/>
      <c r="Z530" s="1065"/>
      <c r="AA530" s="1065"/>
      <c r="AB530" s="1065"/>
      <c r="AC530" s="1065"/>
      <c r="AD530" s="1065"/>
      <c r="AE530" s="1065"/>
      <c r="AF530" s="1065"/>
      <c r="AG530" s="1065"/>
      <c r="AH530" s="1065"/>
      <c r="AI530" s="1065"/>
      <c r="AJ530" s="1065"/>
      <c r="AK530" s="1065"/>
      <c r="AL530" s="1065"/>
      <c r="AM530" s="1065"/>
      <c r="AN530" s="1065"/>
      <c r="AO530" s="1065"/>
      <c r="AP530" s="1065"/>
      <c r="AQ530" s="1065"/>
      <c r="AR530" s="1065"/>
      <c r="AS530" s="1065"/>
      <c r="AT530" s="1065"/>
      <c r="AU530" s="1065"/>
      <c r="AV530" s="1065"/>
      <c r="AW530" s="1065"/>
      <c r="AX530" s="1065"/>
      <c r="AY530" s="1065"/>
      <c r="AZ530" s="1065"/>
      <c r="BA530" s="1065"/>
      <c r="BB530" s="1065"/>
      <c r="BC530" s="1065"/>
      <c r="BD530" s="1065"/>
      <c r="BE530" s="1065"/>
      <c r="BF530" s="1065"/>
      <c r="BG530" s="1065"/>
      <c r="BH530" s="1065"/>
      <c r="BI530" s="1065"/>
      <c r="BJ530" s="1065"/>
      <c r="BK530" s="1065"/>
      <c r="BL530" s="1065"/>
      <c r="BM530" s="1065"/>
      <c r="BN530" s="1065"/>
      <c r="BO530" s="1065"/>
      <c r="BP530" s="1065"/>
      <c r="BQ530" s="1065"/>
      <c r="BR530" s="1065"/>
      <c r="BS530" s="1065"/>
      <c r="BT530" s="1065"/>
      <c r="BU530" s="1065"/>
      <c r="BV530" s="1065"/>
      <c r="BW530" s="1065"/>
      <c r="BX530" s="1065"/>
      <c r="BY530" s="1065"/>
      <c r="BZ530" s="1065"/>
      <c r="CA530" s="1065"/>
      <c r="CB530" s="1065"/>
      <c r="CC530" s="1065"/>
      <c r="CD530" s="1065"/>
      <c r="CE530" s="1065"/>
      <c r="CF530" s="1065"/>
      <c r="CG530" s="1065"/>
      <c r="CH530" s="1065"/>
      <c r="CI530" s="1065"/>
      <c r="CJ530" s="1065"/>
      <c r="CK530" s="1065"/>
      <c r="CL530" s="1065"/>
      <c r="CM530" s="1065"/>
      <c r="CN530" s="1065"/>
      <c r="CO530" s="1065"/>
      <c r="CP530" s="1065"/>
      <c r="CQ530" s="1065"/>
      <c r="CR530" s="1065"/>
      <c r="CS530" s="1065"/>
      <c r="CT530" s="1065"/>
      <c r="CU530" s="1065"/>
      <c r="CV530" s="1065"/>
      <c r="CW530" s="1065"/>
      <c r="CX530" s="1065"/>
      <c r="CY530" s="1065"/>
      <c r="CZ530" s="1065"/>
      <c r="DA530" s="1065"/>
      <c r="DB530" s="1065"/>
    </row>
    <row r="531" spans="1:106" ht="15" customHeight="1" thickBot="1">
      <c r="A531" s="1065"/>
      <c r="B531" s="1065"/>
      <c r="C531" s="1764" t="s">
        <v>895</v>
      </c>
      <c r="D531" s="1764"/>
      <c r="E531" s="1764"/>
      <c r="F531" s="1764"/>
      <c r="G531" s="1764"/>
      <c r="H531" s="1764"/>
      <c r="I531" s="1764"/>
      <c r="J531" s="1764"/>
      <c r="K531" s="1764"/>
      <c r="L531" s="1764"/>
      <c r="M531" s="1706"/>
      <c r="N531" s="1706"/>
      <c r="O531" s="1706"/>
      <c r="P531" s="1706"/>
      <c r="Q531" s="1706"/>
      <c r="R531" s="1706"/>
      <c r="S531" s="1084"/>
      <c r="T531" s="1738"/>
      <c r="U531" s="1739"/>
      <c r="V531" s="1065"/>
      <c r="W531" s="1065"/>
      <c r="X531" s="1065"/>
      <c r="Y531" s="1065"/>
      <c r="Z531" s="1065"/>
      <c r="AA531" s="1065"/>
      <c r="AB531" s="1065"/>
      <c r="AC531" s="1065"/>
      <c r="AD531" s="1065"/>
      <c r="AE531" s="1065"/>
      <c r="AF531" s="1065"/>
      <c r="AG531" s="1065"/>
      <c r="AH531" s="1065"/>
      <c r="AI531" s="1065"/>
      <c r="AJ531" s="1065"/>
      <c r="AK531" s="1065"/>
      <c r="AL531" s="1065"/>
      <c r="AM531" s="1065"/>
      <c r="AN531" s="1065"/>
      <c r="AO531" s="1065"/>
      <c r="AP531" s="1065"/>
      <c r="AQ531" s="1065"/>
      <c r="AR531" s="1065"/>
      <c r="AS531" s="1065"/>
      <c r="AT531" s="1065"/>
      <c r="AU531" s="1065"/>
      <c r="AV531" s="1065"/>
      <c r="AW531" s="1065"/>
      <c r="AX531" s="1065"/>
      <c r="AY531" s="1065"/>
      <c r="AZ531" s="1065"/>
      <c r="BA531" s="1065"/>
      <c r="BB531" s="1065"/>
      <c r="BC531" s="1065"/>
      <c r="BD531" s="1065"/>
      <c r="BE531" s="1065"/>
      <c r="BF531" s="1065"/>
      <c r="BG531" s="1065"/>
      <c r="BH531" s="1065"/>
      <c r="BI531" s="1065"/>
      <c r="BJ531" s="1065"/>
      <c r="BK531" s="1065"/>
      <c r="BL531" s="1065"/>
      <c r="BM531" s="1065"/>
      <c r="BN531" s="1065"/>
      <c r="BO531" s="1065"/>
      <c r="BP531" s="1065"/>
      <c r="BQ531" s="1065"/>
      <c r="BR531" s="1065"/>
      <c r="BS531" s="1065"/>
      <c r="BT531" s="1065"/>
      <c r="BU531" s="1065"/>
      <c r="BV531" s="1065"/>
      <c r="BW531" s="1065"/>
      <c r="BX531" s="1065"/>
      <c r="BY531" s="1065"/>
      <c r="BZ531" s="1065"/>
      <c r="CA531" s="1065"/>
      <c r="CB531" s="1065"/>
      <c r="CC531" s="1065"/>
      <c r="CD531" s="1065"/>
      <c r="CE531" s="1065"/>
      <c r="CF531" s="1065"/>
      <c r="CG531" s="1065"/>
      <c r="CH531" s="1065"/>
      <c r="CI531" s="1065"/>
      <c r="CJ531" s="1065"/>
      <c r="CK531" s="1065"/>
      <c r="CL531" s="1065"/>
      <c r="CM531" s="1065"/>
      <c r="CN531" s="1065"/>
      <c r="CO531" s="1065"/>
      <c r="CP531" s="1065"/>
      <c r="CQ531" s="1065"/>
      <c r="CR531" s="1065"/>
      <c r="CS531" s="1065"/>
      <c r="CT531" s="1065"/>
      <c r="CU531" s="1065"/>
      <c r="CV531" s="1065"/>
      <c r="CW531" s="1065"/>
      <c r="CX531" s="1065"/>
      <c r="CY531" s="1065"/>
      <c r="CZ531" s="1065"/>
      <c r="DA531" s="1065"/>
      <c r="DB531" s="1065"/>
    </row>
    <row r="532" spans="1:106" ht="15" customHeight="1" thickBot="1">
      <c r="A532" s="1065"/>
      <c r="B532" s="1065"/>
      <c r="C532" s="1721"/>
      <c r="D532" s="1721"/>
      <c r="E532" s="1721"/>
      <c r="F532" s="1721"/>
      <c r="G532" s="1721"/>
      <c r="H532" s="1721"/>
      <c r="I532" s="1721"/>
      <c r="J532" s="1721"/>
      <c r="K532" s="1721"/>
      <c r="L532" s="1721"/>
      <c r="M532" s="1721"/>
      <c r="N532" s="1721"/>
      <c r="O532" s="1721"/>
      <c r="P532" s="1721"/>
      <c r="Q532" s="1721"/>
      <c r="R532" s="1721"/>
      <c r="S532" s="1721"/>
      <c r="T532" s="1721"/>
      <c r="U532" s="1721"/>
      <c r="V532" s="1065"/>
      <c r="W532" s="1065"/>
      <c r="X532" s="1065"/>
      <c r="Y532" s="1065"/>
      <c r="Z532" s="1065"/>
      <c r="AA532" s="1065"/>
      <c r="AB532" s="1065"/>
      <c r="AC532" s="1065"/>
      <c r="AD532" s="1065"/>
      <c r="AE532" s="1065"/>
      <c r="AF532" s="1065"/>
      <c r="AG532" s="1065"/>
      <c r="AH532" s="1065"/>
      <c r="AI532" s="1065"/>
      <c r="AJ532" s="1065"/>
      <c r="AK532" s="1065"/>
      <c r="AL532" s="1065"/>
      <c r="AM532" s="1065"/>
      <c r="AN532" s="1065"/>
      <c r="AO532" s="1065"/>
      <c r="AP532" s="1065"/>
      <c r="AQ532" s="1065"/>
      <c r="AR532" s="1065"/>
      <c r="AS532" s="1065"/>
      <c r="AT532" s="1065"/>
      <c r="AU532" s="1065"/>
      <c r="AV532" s="1065"/>
      <c r="AW532" s="1065"/>
      <c r="AX532" s="1065"/>
      <c r="AY532" s="1065"/>
      <c r="AZ532" s="1065"/>
      <c r="BA532" s="1065"/>
      <c r="BB532" s="1065"/>
      <c r="BC532" s="1065"/>
      <c r="BD532" s="1065"/>
      <c r="BE532" s="1065"/>
      <c r="BF532" s="1065"/>
      <c r="BG532" s="1065"/>
      <c r="BH532" s="1065"/>
      <c r="BI532" s="1065"/>
      <c r="BJ532" s="1065"/>
      <c r="BK532" s="1065"/>
      <c r="BL532" s="1065"/>
      <c r="BM532" s="1065"/>
      <c r="BN532" s="1065"/>
      <c r="BO532" s="1065"/>
      <c r="BP532" s="1065"/>
      <c r="BQ532" s="1065"/>
      <c r="BR532" s="1065"/>
      <c r="BS532" s="1065"/>
      <c r="BT532" s="1065"/>
      <c r="BU532" s="1065"/>
      <c r="BV532" s="1065"/>
      <c r="BW532" s="1065"/>
      <c r="BX532" s="1065"/>
      <c r="BY532" s="1065"/>
      <c r="BZ532" s="1065"/>
      <c r="CA532" s="1065"/>
      <c r="CB532" s="1065"/>
      <c r="CC532" s="1065"/>
      <c r="CD532" s="1065"/>
      <c r="CE532" s="1065"/>
      <c r="CF532" s="1065"/>
      <c r="CG532" s="1065"/>
      <c r="CH532" s="1065"/>
      <c r="CI532" s="1065"/>
      <c r="CJ532" s="1065"/>
      <c r="CK532" s="1065"/>
      <c r="CL532" s="1065"/>
      <c r="CM532" s="1065"/>
      <c r="CN532" s="1065"/>
      <c r="CO532" s="1065"/>
      <c r="CP532" s="1065"/>
      <c r="CQ532" s="1065"/>
      <c r="CR532" s="1065"/>
      <c r="CS532" s="1065"/>
      <c r="CT532" s="1065"/>
      <c r="CU532" s="1065"/>
      <c r="CV532" s="1065"/>
      <c r="CW532" s="1065"/>
      <c r="CX532" s="1065"/>
      <c r="CY532" s="1065"/>
      <c r="CZ532" s="1065"/>
      <c r="DA532" s="1065"/>
      <c r="DB532" s="1065"/>
    </row>
    <row r="533" spans="1:106" ht="15" customHeight="1" thickBot="1">
      <c r="A533" s="1065"/>
      <c r="B533" s="1065"/>
      <c r="C533" s="1740" t="s">
        <v>896</v>
      </c>
      <c r="D533" s="1740"/>
      <c r="E533" s="1740"/>
      <c r="F533" s="1740"/>
      <c r="G533" s="1740"/>
      <c r="H533" s="1740"/>
      <c r="I533" s="1740"/>
      <c r="J533" s="1740"/>
      <c r="K533" s="1740"/>
      <c r="L533" s="1740"/>
      <c r="M533" s="1740"/>
      <c r="N533" s="1740"/>
      <c r="O533" s="1740"/>
      <c r="P533" s="1740"/>
      <c r="Q533" s="1740"/>
      <c r="R533" s="1740"/>
      <c r="S533" s="1740"/>
      <c r="T533" s="1740"/>
      <c r="U533" s="1740"/>
      <c r="V533" s="1065"/>
      <c r="W533" s="1065"/>
      <c r="X533" s="1065"/>
      <c r="Y533" s="1065"/>
      <c r="Z533" s="1065"/>
      <c r="AA533" s="1065"/>
      <c r="AB533" s="1065"/>
      <c r="AC533" s="1065"/>
      <c r="AD533" s="1065"/>
      <c r="AE533" s="1065"/>
      <c r="AF533" s="1065"/>
      <c r="AG533" s="1065"/>
      <c r="AH533" s="1065"/>
      <c r="AI533" s="1065"/>
      <c r="AJ533" s="1065"/>
      <c r="AK533" s="1065"/>
      <c r="AL533" s="1065"/>
      <c r="AM533" s="1065"/>
      <c r="AN533" s="1065"/>
      <c r="AO533" s="1065"/>
      <c r="AP533" s="1065"/>
      <c r="AQ533" s="1065"/>
      <c r="AR533" s="1065"/>
      <c r="AS533" s="1065"/>
      <c r="AT533" s="1065"/>
      <c r="AU533" s="1065"/>
      <c r="AV533" s="1065"/>
      <c r="AW533" s="1065"/>
      <c r="AX533" s="1065"/>
      <c r="AY533" s="1065"/>
      <c r="AZ533" s="1065"/>
      <c r="BA533" s="1065"/>
      <c r="BB533" s="1065"/>
      <c r="BC533" s="1065"/>
      <c r="BD533" s="1065"/>
      <c r="BE533" s="1065"/>
      <c r="BF533" s="1065"/>
      <c r="BG533" s="1065"/>
      <c r="BH533" s="1065"/>
      <c r="BI533" s="1065"/>
      <c r="BJ533" s="1065"/>
      <c r="BK533" s="1065"/>
      <c r="BL533" s="1065"/>
      <c r="BM533" s="1065"/>
      <c r="BN533" s="1065"/>
      <c r="BO533" s="1065"/>
      <c r="BP533" s="1065"/>
      <c r="BQ533" s="1065"/>
      <c r="BR533" s="1065"/>
      <c r="BS533" s="1065"/>
      <c r="BT533" s="1065"/>
      <c r="BU533" s="1065"/>
      <c r="BV533" s="1065"/>
      <c r="BW533" s="1065"/>
      <c r="BX533" s="1065"/>
      <c r="BY533" s="1065"/>
      <c r="BZ533" s="1065"/>
      <c r="CA533" s="1065"/>
      <c r="CB533" s="1065"/>
      <c r="CC533" s="1065"/>
      <c r="CD533" s="1065"/>
      <c r="CE533" s="1065"/>
      <c r="CF533" s="1065"/>
      <c r="CG533" s="1065"/>
      <c r="CH533" s="1065"/>
      <c r="CI533" s="1065"/>
      <c r="CJ533" s="1065"/>
      <c r="CK533" s="1065"/>
      <c r="CL533" s="1065"/>
      <c r="CM533" s="1065"/>
      <c r="CN533" s="1065"/>
      <c r="CO533" s="1065"/>
      <c r="CP533" s="1065"/>
      <c r="CQ533" s="1065"/>
      <c r="CR533" s="1065"/>
      <c r="CS533" s="1065"/>
      <c r="CT533" s="1065"/>
      <c r="CU533" s="1065"/>
      <c r="CV533" s="1065"/>
      <c r="CW533" s="1065"/>
      <c r="CX533" s="1065"/>
      <c r="CY533" s="1065"/>
      <c r="CZ533" s="1065"/>
      <c r="DA533" s="1065"/>
      <c r="DB533" s="1065"/>
    </row>
    <row r="534" spans="1:106" ht="15" customHeight="1" thickBot="1">
      <c r="A534" s="1065"/>
      <c r="B534" s="1065"/>
      <c r="C534" s="1740" t="s">
        <v>897</v>
      </c>
      <c r="D534" s="1740"/>
      <c r="E534" s="1740"/>
      <c r="F534" s="1740"/>
      <c r="G534" s="1740"/>
      <c r="H534" s="1740"/>
      <c r="I534" s="1740"/>
      <c r="J534" s="1740"/>
      <c r="K534" s="1740"/>
      <c r="L534" s="1740"/>
      <c r="M534" s="1740"/>
      <c r="N534" s="1740"/>
      <c r="O534" s="1740"/>
      <c r="P534" s="1740"/>
      <c r="Q534" s="1740"/>
      <c r="R534" s="1740"/>
      <c r="S534" s="1740"/>
      <c r="T534" s="1740"/>
      <c r="U534" s="1740"/>
      <c r="V534" s="1065"/>
      <c r="W534" s="1065"/>
      <c r="X534" s="1065"/>
      <c r="Y534" s="1065"/>
      <c r="Z534" s="1065"/>
      <c r="AA534" s="1065"/>
      <c r="AB534" s="1065"/>
      <c r="AC534" s="1065"/>
      <c r="AD534" s="1065"/>
      <c r="AE534" s="1065"/>
      <c r="AF534" s="1065"/>
      <c r="AG534" s="1065"/>
      <c r="AH534" s="1065"/>
      <c r="AI534" s="1065"/>
      <c r="AJ534" s="1065"/>
      <c r="AK534" s="1065"/>
      <c r="AL534" s="1065"/>
      <c r="AM534" s="1065"/>
      <c r="AN534" s="1065"/>
      <c r="AO534" s="1065"/>
      <c r="AP534" s="1065"/>
      <c r="AQ534" s="1065"/>
      <c r="AR534" s="1065"/>
      <c r="AS534" s="1065"/>
      <c r="AT534" s="1065"/>
      <c r="AU534" s="1065"/>
      <c r="AV534" s="1065"/>
      <c r="AW534" s="1065"/>
      <c r="AX534" s="1065"/>
      <c r="AY534" s="1065"/>
      <c r="AZ534" s="1065"/>
      <c r="BA534" s="1065"/>
      <c r="BB534" s="1065"/>
      <c r="BC534" s="1065"/>
      <c r="BD534" s="1065"/>
      <c r="BE534" s="1065"/>
      <c r="BF534" s="1065"/>
      <c r="BG534" s="1065"/>
      <c r="BH534" s="1065"/>
      <c r="BI534" s="1065"/>
      <c r="BJ534" s="1065"/>
      <c r="BK534" s="1065"/>
      <c r="BL534" s="1065"/>
      <c r="BM534" s="1065"/>
      <c r="BN534" s="1065"/>
      <c r="BO534" s="1065"/>
      <c r="BP534" s="1065"/>
      <c r="BQ534" s="1065"/>
      <c r="BR534" s="1065"/>
      <c r="BS534" s="1065"/>
      <c r="BT534" s="1065"/>
      <c r="BU534" s="1065"/>
      <c r="BV534" s="1065"/>
      <c r="BW534" s="1065"/>
      <c r="BX534" s="1065"/>
      <c r="BY534" s="1065"/>
      <c r="BZ534" s="1065"/>
      <c r="CA534" s="1065"/>
      <c r="CB534" s="1065"/>
      <c r="CC534" s="1065"/>
      <c r="CD534" s="1065"/>
      <c r="CE534" s="1065"/>
      <c r="CF534" s="1065"/>
      <c r="CG534" s="1065"/>
      <c r="CH534" s="1065"/>
      <c r="CI534" s="1065"/>
      <c r="CJ534" s="1065"/>
      <c r="CK534" s="1065"/>
      <c r="CL534" s="1065"/>
      <c r="CM534" s="1065"/>
      <c r="CN534" s="1065"/>
      <c r="CO534" s="1065"/>
      <c r="CP534" s="1065"/>
      <c r="CQ534" s="1065"/>
      <c r="CR534" s="1065"/>
      <c r="CS534" s="1065"/>
      <c r="CT534" s="1065"/>
      <c r="CU534" s="1065"/>
      <c r="CV534" s="1065"/>
      <c r="CW534" s="1065"/>
      <c r="CX534" s="1065"/>
      <c r="CY534" s="1065"/>
      <c r="CZ534" s="1065"/>
      <c r="DA534" s="1065"/>
      <c r="DB534" s="1065"/>
    </row>
    <row r="535" spans="1:106" ht="15" customHeight="1" thickBot="1">
      <c r="A535" s="1065"/>
      <c r="B535" s="1065"/>
      <c r="C535" s="1741" t="s">
        <v>648</v>
      </c>
      <c r="D535" s="1742" t="s">
        <v>649</v>
      </c>
      <c r="E535" s="1742"/>
      <c r="F535" s="1742"/>
      <c r="G535" s="1742"/>
      <c r="H535" s="1759" t="s">
        <v>650</v>
      </c>
      <c r="I535" s="1759"/>
      <c r="J535" s="1743" t="s">
        <v>651</v>
      </c>
      <c r="K535" s="1743"/>
      <c r="L535" s="1743"/>
      <c r="M535" s="1743" t="s">
        <v>652</v>
      </c>
      <c r="N535" s="1743"/>
      <c r="O535" s="1743"/>
      <c r="P535" s="1743"/>
      <c r="Q535" s="1743"/>
      <c r="R535" s="1743"/>
      <c r="S535" s="1743" t="s">
        <v>6</v>
      </c>
      <c r="T535" s="1744" t="s">
        <v>653</v>
      </c>
      <c r="U535" s="1745" t="s">
        <v>654</v>
      </c>
      <c r="V535" s="1065"/>
      <c r="W535" s="1065"/>
      <c r="X535" s="1065"/>
      <c r="Y535" s="1065"/>
      <c r="Z535" s="1065"/>
      <c r="AA535" s="1065"/>
      <c r="AB535" s="1065"/>
      <c r="AC535" s="1065"/>
      <c r="AD535" s="1065"/>
      <c r="AE535" s="1065"/>
      <c r="AF535" s="1065"/>
      <c r="AG535" s="1065"/>
      <c r="AH535" s="1065"/>
      <c r="AI535" s="1065"/>
      <c r="AJ535" s="1065"/>
      <c r="AK535" s="1065"/>
      <c r="AL535" s="1065"/>
      <c r="AM535" s="1065"/>
      <c r="AN535" s="1065"/>
      <c r="AO535" s="1065"/>
      <c r="AP535" s="1065"/>
      <c r="AQ535" s="1065"/>
      <c r="AR535" s="1065"/>
      <c r="AS535" s="1065"/>
      <c r="AT535" s="1065"/>
      <c r="AU535" s="1065"/>
      <c r="AV535" s="1065"/>
      <c r="AW535" s="1065"/>
      <c r="AX535" s="1065"/>
      <c r="AY535" s="1065"/>
      <c r="AZ535" s="1065"/>
      <c r="BA535" s="1065"/>
      <c r="BB535" s="1065"/>
      <c r="BC535" s="1065"/>
      <c r="BD535" s="1065"/>
      <c r="BE535" s="1065"/>
      <c r="BF535" s="1065"/>
      <c r="BG535" s="1065"/>
      <c r="BH535" s="1065"/>
      <c r="BI535" s="1065"/>
      <c r="BJ535" s="1065"/>
      <c r="BK535" s="1065"/>
      <c r="BL535" s="1065"/>
      <c r="BM535" s="1065"/>
      <c r="BN535" s="1065"/>
      <c r="BO535" s="1065"/>
      <c r="BP535" s="1065"/>
      <c r="BQ535" s="1065"/>
      <c r="BR535" s="1065"/>
      <c r="BS535" s="1065"/>
      <c r="BT535" s="1065"/>
      <c r="BU535" s="1065"/>
      <c r="BV535" s="1065"/>
      <c r="BW535" s="1065"/>
      <c r="BX535" s="1065"/>
      <c r="BY535" s="1065"/>
      <c r="BZ535" s="1065"/>
      <c r="CA535" s="1065"/>
      <c r="CB535" s="1065"/>
      <c r="CC535" s="1065"/>
      <c r="CD535" s="1065"/>
      <c r="CE535" s="1065"/>
      <c r="CF535" s="1065"/>
      <c r="CG535" s="1065"/>
      <c r="CH535" s="1065"/>
      <c r="CI535" s="1065"/>
      <c r="CJ535" s="1065"/>
      <c r="CK535" s="1065"/>
      <c r="CL535" s="1065"/>
      <c r="CM535" s="1065"/>
      <c r="CN535" s="1065"/>
      <c r="CO535" s="1065"/>
      <c r="CP535" s="1065"/>
      <c r="CQ535" s="1065"/>
      <c r="CR535" s="1065"/>
      <c r="CS535" s="1065"/>
      <c r="CT535" s="1065"/>
      <c r="CU535" s="1065"/>
      <c r="CV535" s="1065"/>
      <c r="CW535" s="1065"/>
      <c r="CX535" s="1065"/>
      <c r="CY535" s="1065"/>
      <c r="CZ535" s="1065"/>
      <c r="DA535" s="1065"/>
      <c r="DB535" s="1065"/>
    </row>
    <row r="536" spans="1:106" ht="15" customHeight="1">
      <c r="A536" s="1065"/>
      <c r="B536" s="1065"/>
      <c r="C536" s="1741"/>
      <c r="D536" s="1742"/>
      <c r="E536" s="1742"/>
      <c r="F536" s="1742"/>
      <c r="G536" s="1742"/>
      <c r="H536" s="1759"/>
      <c r="I536" s="1759"/>
      <c r="J536" s="1743"/>
      <c r="K536" s="1743"/>
      <c r="L536" s="1743"/>
      <c r="M536" s="1743"/>
      <c r="N536" s="1743"/>
      <c r="O536" s="1743"/>
      <c r="P536" s="1743"/>
      <c r="Q536" s="1743"/>
      <c r="R536" s="1743"/>
      <c r="S536" s="1743"/>
      <c r="T536" s="1744"/>
      <c r="U536" s="1745"/>
      <c r="V536" s="1065"/>
      <c r="W536" s="1065"/>
      <c r="X536" s="1065"/>
      <c r="Y536" s="1065"/>
      <c r="Z536" s="1065"/>
      <c r="AA536" s="1065"/>
      <c r="AB536" s="1065"/>
      <c r="AC536" s="1065"/>
      <c r="AD536" s="1065"/>
      <c r="AE536" s="1065"/>
      <c r="AF536" s="1065"/>
      <c r="AG536" s="1065"/>
      <c r="AH536" s="1065"/>
      <c r="AI536" s="1065"/>
      <c r="AJ536" s="1065"/>
      <c r="AK536" s="1065"/>
      <c r="AL536" s="1065"/>
      <c r="AM536" s="1065"/>
      <c r="AN536" s="1065"/>
      <c r="AO536" s="1065"/>
      <c r="AP536" s="1065"/>
      <c r="AQ536" s="1065"/>
      <c r="AR536" s="1065"/>
      <c r="AS536" s="1065"/>
      <c r="AT536" s="1065"/>
      <c r="AU536" s="1065"/>
      <c r="AV536" s="1065"/>
      <c r="AW536" s="1065"/>
      <c r="AX536" s="1065"/>
      <c r="AY536" s="1065"/>
      <c r="AZ536" s="1065"/>
      <c r="BA536" s="1065"/>
      <c r="BB536" s="1065"/>
      <c r="BC536" s="1065"/>
      <c r="BD536" s="1065"/>
      <c r="BE536" s="1065"/>
      <c r="BF536" s="1065"/>
      <c r="BG536" s="1065"/>
      <c r="BH536" s="1065"/>
      <c r="BI536" s="1065"/>
      <c r="BJ536" s="1065"/>
      <c r="BK536" s="1065"/>
      <c r="BL536" s="1065"/>
      <c r="BM536" s="1065"/>
      <c r="BN536" s="1065"/>
      <c r="BO536" s="1065"/>
      <c r="BP536" s="1065"/>
      <c r="BQ536" s="1065"/>
      <c r="BR536" s="1065"/>
      <c r="BS536" s="1065"/>
      <c r="BT536" s="1065"/>
      <c r="BU536" s="1065"/>
      <c r="BV536" s="1065"/>
      <c r="BW536" s="1065"/>
      <c r="BX536" s="1065"/>
      <c r="BY536" s="1065"/>
      <c r="BZ536" s="1065"/>
      <c r="CA536" s="1065"/>
      <c r="CB536" s="1065"/>
      <c r="CC536" s="1065"/>
      <c r="CD536" s="1065"/>
      <c r="CE536" s="1065"/>
      <c r="CF536" s="1065"/>
      <c r="CG536" s="1065"/>
      <c r="CH536" s="1065"/>
      <c r="CI536" s="1065"/>
      <c r="CJ536" s="1065"/>
      <c r="CK536" s="1065"/>
      <c r="CL536" s="1065"/>
      <c r="CM536" s="1065"/>
      <c r="CN536" s="1065"/>
      <c r="CO536" s="1065"/>
      <c r="CP536" s="1065"/>
      <c r="CQ536" s="1065"/>
      <c r="CR536" s="1065"/>
      <c r="CS536" s="1065"/>
      <c r="CT536" s="1065"/>
      <c r="CU536" s="1065"/>
      <c r="CV536" s="1065"/>
      <c r="CW536" s="1065"/>
      <c r="CX536" s="1065"/>
      <c r="CY536" s="1065"/>
      <c r="CZ536" s="1065"/>
      <c r="DA536" s="1065"/>
      <c r="DB536" s="1065"/>
    </row>
    <row r="537" spans="1:106" ht="15" customHeight="1" thickBot="1">
      <c r="A537" s="1065"/>
      <c r="B537" s="1065"/>
      <c r="C537" s="1210" t="s">
        <v>300</v>
      </c>
      <c r="D537" s="1758" t="s">
        <v>898</v>
      </c>
      <c r="E537" s="1758"/>
      <c r="F537" s="1758"/>
      <c r="G537" s="1758"/>
      <c r="H537" s="1142" t="s">
        <v>657</v>
      </c>
      <c r="I537" s="1142"/>
      <c r="J537" s="1747" t="s">
        <v>899</v>
      </c>
      <c r="K537" s="1747"/>
      <c r="L537" s="1747"/>
      <c r="M537" s="1694" t="s">
        <v>900</v>
      </c>
      <c r="N537" s="1694"/>
      <c r="O537" s="1694"/>
      <c r="P537" s="1694"/>
      <c r="Q537" s="1694"/>
      <c r="R537" s="1694"/>
      <c r="S537" s="1067">
        <v>2500</v>
      </c>
      <c r="T537" s="1738">
        <f>SUM(S537:S583)</f>
        <v>387498.94</v>
      </c>
      <c r="U537" s="1739">
        <f>T537</f>
        <v>387498.94</v>
      </c>
      <c r="V537" s="1065"/>
      <c r="W537" s="1065"/>
      <c r="X537" s="1065"/>
      <c r="Y537" s="1065"/>
      <c r="Z537" s="1065"/>
      <c r="AA537" s="1065"/>
      <c r="AB537" s="1065"/>
      <c r="AC537" s="1065"/>
      <c r="AD537" s="1065"/>
      <c r="AE537" s="1065"/>
      <c r="AF537" s="1065"/>
      <c r="AG537" s="1065"/>
      <c r="AH537" s="1065"/>
      <c r="AI537" s="1065"/>
      <c r="AJ537" s="1065"/>
      <c r="AK537" s="1065"/>
      <c r="AL537" s="1065"/>
      <c r="AM537" s="1065"/>
      <c r="AN537" s="1065"/>
      <c r="AO537" s="1065"/>
      <c r="AP537" s="1065"/>
      <c r="AQ537" s="1065"/>
      <c r="AR537" s="1065"/>
      <c r="AS537" s="1065"/>
      <c r="AT537" s="1065"/>
      <c r="AU537" s="1065"/>
      <c r="AV537" s="1065"/>
      <c r="AW537" s="1065"/>
      <c r="AX537" s="1065"/>
      <c r="AY537" s="1065"/>
      <c r="AZ537" s="1065"/>
      <c r="BA537" s="1065"/>
      <c r="BB537" s="1065"/>
      <c r="BC537" s="1065"/>
      <c r="BD537" s="1065"/>
      <c r="BE537" s="1065"/>
      <c r="BF537" s="1065"/>
      <c r="BG537" s="1065"/>
      <c r="BH537" s="1065"/>
      <c r="BI537" s="1065"/>
      <c r="BJ537" s="1065"/>
      <c r="BK537" s="1065"/>
      <c r="BL537" s="1065"/>
      <c r="BM537" s="1065"/>
      <c r="BN537" s="1065"/>
      <c r="BO537" s="1065"/>
      <c r="BP537" s="1065"/>
      <c r="BQ537" s="1065"/>
      <c r="BR537" s="1065"/>
      <c r="BS537" s="1065"/>
      <c r="BT537" s="1065"/>
      <c r="BU537" s="1065"/>
      <c r="BV537" s="1065"/>
      <c r="BW537" s="1065"/>
      <c r="BX537" s="1065"/>
      <c r="BY537" s="1065"/>
      <c r="BZ537" s="1065"/>
      <c r="CA537" s="1065"/>
      <c r="CB537" s="1065"/>
      <c r="CC537" s="1065"/>
      <c r="CD537" s="1065"/>
      <c r="CE537" s="1065"/>
      <c r="CF537" s="1065"/>
      <c r="CG537" s="1065"/>
      <c r="CH537" s="1065"/>
      <c r="CI537" s="1065"/>
      <c r="CJ537" s="1065"/>
      <c r="CK537" s="1065"/>
      <c r="CL537" s="1065"/>
      <c r="CM537" s="1065"/>
      <c r="CN537" s="1065"/>
      <c r="CO537" s="1065"/>
      <c r="CP537" s="1065"/>
      <c r="CQ537" s="1065"/>
      <c r="CR537" s="1065"/>
      <c r="CS537" s="1065"/>
      <c r="CT537" s="1065"/>
      <c r="CU537" s="1065"/>
      <c r="CV537" s="1065"/>
      <c r="CW537" s="1065"/>
      <c r="CX537" s="1065"/>
      <c r="CY537" s="1065"/>
      <c r="CZ537" s="1065"/>
      <c r="DA537" s="1065"/>
      <c r="DB537" s="1065"/>
    </row>
    <row r="538" spans="1:106" ht="15" customHeight="1" thickBot="1">
      <c r="A538" s="1065"/>
      <c r="B538" s="1065"/>
      <c r="C538" s="1211" t="s">
        <v>692</v>
      </c>
      <c r="D538" s="1757" t="s">
        <v>901</v>
      </c>
      <c r="E538" s="1757"/>
      <c r="F538" s="1757"/>
      <c r="G538" s="1757"/>
      <c r="H538" s="1142" t="s">
        <v>657</v>
      </c>
      <c r="I538" s="1142"/>
      <c r="J538" s="1756" t="s">
        <v>902</v>
      </c>
      <c r="K538" s="1756"/>
      <c r="L538" s="1756"/>
      <c r="M538" s="1694" t="s">
        <v>903</v>
      </c>
      <c r="N538" s="1694"/>
      <c r="O538" s="1694"/>
      <c r="P538" s="1694"/>
      <c r="Q538" s="1694"/>
      <c r="R538" s="1694"/>
      <c r="S538" s="1067">
        <v>2880</v>
      </c>
      <c r="T538" s="1738"/>
      <c r="U538" s="1739"/>
      <c r="V538" s="1065"/>
      <c r="W538" s="1065"/>
      <c r="X538" s="1065"/>
      <c r="Y538" s="1065"/>
      <c r="Z538" s="1065"/>
      <c r="AA538" s="1065"/>
      <c r="AB538" s="1065"/>
      <c r="AC538" s="1065"/>
      <c r="AD538" s="1065"/>
      <c r="AE538" s="1065"/>
      <c r="AF538" s="1065"/>
      <c r="AG538" s="1065"/>
      <c r="AH538" s="1065"/>
      <c r="AI538" s="1065"/>
      <c r="AJ538" s="1065"/>
      <c r="AK538" s="1065"/>
      <c r="AL538" s="1065"/>
      <c r="AM538" s="1065"/>
      <c r="AN538" s="1065"/>
      <c r="AO538" s="1065"/>
      <c r="AP538" s="1065"/>
      <c r="AQ538" s="1065"/>
      <c r="AR538" s="1065"/>
      <c r="AS538" s="1065"/>
      <c r="AT538" s="1065"/>
      <c r="AU538" s="1065"/>
      <c r="AV538" s="1065"/>
      <c r="AW538" s="1065"/>
      <c r="AX538" s="1065"/>
      <c r="AY538" s="1065"/>
      <c r="AZ538" s="1065"/>
      <c r="BA538" s="1065"/>
      <c r="BB538" s="1065"/>
      <c r="BC538" s="1065"/>
      <c r="BD538" s="1065"/>
      <c r="BE538" s="1065"/>
      <c r="BF538" s="1065"/>
      <c r="BG538" s="1065"/>
      <c r="BH538" s="1065"/>
      <c r="BI538" s="1065"/>
      <c r="BJ538" s="1065"/>
      <c r="BK538" s="1065"/>
      <c r="BL538" s="1065"/>
      <c r="BM538" s="1065"/>
      <c r="BN538" s="1065"/>
      <c r="BO538" s="1065"/>
      <c r="BP538" s="1065"/>
      <c r="BQ538" s="1065"/>
      <c r="BR538" s="1065"/>
      <c r="BS538" s="1065"/>
      <c r="BT538" s="1065"/>
      <c r="BU538" s="1065"/>
      <c r="BV538" s="1065"/>
      <c r="BW538" s="1065"/>
      <c r="BX538" s="1065"/>
      <c r="BY538" s="1065"/>
      <c r="BZ538" s="1065"/>
      <c r="CA538" s="1065"/>
      <c r="CB538" s="1065"/>
      <c r="CC538" s="1065"/>
      <c r="CD538" s="1065"/>
      <c r="CE538" s="1065"/>
      <c r="CF538" s="1065"/>
      <c r="CG538" s="1065"/>
      <c r="CH538" s="1065"/>
      <c r="CI538" s="1065"/>
      <c r="CJ538" s="1065"/>
      <c r="CK538" s="1065"/>
      <c r="CL538" s="1065"/>
      <c r="CM538" s="1065"/>
      <c r="CN538" s="1065"/>
      <c r="CO538" s="1065"/>
      <c r="CP538" s="1065"/>
      <c r="CQ538" s="1065"/>
      <c r="CR538" s="1065"/>
      <c r="CS538" s="1065"/>
      <c r="CT538" s="1065"/>
      <c r="CU538" s="1065"/>
      <c r="CV538" s="1065"/>
      <c r="CW538" s="1065"/>
      <c r="CX538" s="1065"/>
      <c r="CY538" s="1065"/>
      <c r="CZ538" s="1065"/>
      <c r="DA538" s="1065"/>
      <c r="DB538" s="1065"/>
    </row>
    <row r="539" spans="1:106" ht="15" customHeight="1" thickBot="1">
      <c r="A539" s="1065"/>
      <c r="B539" s="1065"/>
      <c r="C539" s="1212" t="s">
        <v>678</v>
      </c>
      <c r="D539" s="1213" t="s">
        <v>901</v>
      </c>
      <c r="E539" s="1214"/>
      <c r="F539" s="1214"/>
      <c r="G539" s="1215"/>
      <c r="H539" s="1142" t="s">
        <v>657</v>
      </c>
      <c r="I539" s="1142"/>
      <c r="J539" s="1132" t="s">
        <v>904</v>
      </c>
      <c r="K539" s="1133"/>
      <c r="L539" s="1134"/>
      <c r="M539" s="1129" t="s">
        <v>903</v>
      </c>
      <c r="N539" s="1200"/>
      <c r="O539" s="1200"/>
      <c r="P539" s="1201"/>
      <c r="Q539" s="1201"/>
      <c r="R539" s="1202"/>
      <c r="S539" s="1067">
        <v>2880</v>
      </c>
      <c r="T539" s="1738"/>
      <c r="U539" s="1739"/>
      <c r="V539" s="1065"/>
      <c r="W539" s="1065"/>
      <c r="X539" s="1065"/>
      <c r="Y539" s="1065"/>
      <c r="Z539" s="1065"/>
      <c r="AA539" s="1065"/>
      <c r="AB539" s="1065"/>
      <c r="AC539" s="1065"/>
      <c r="AD539" s="1065"/>
      <c r="AE539" s="1065"/>
      <c r="AF539" s="1065"/>
      <c r="AG539" s="1065"/>
      <c r="AH539" s="1065"/>
      <c r="AI539" s="1065"/>
      <c r="AJ539" s="1065"/>
      <c r="AK539" s="1065"/>
      <c r="AL539" s="1065"/>
      <c r="AM539" s="1065"/>
      <c r="AN539" s="1065"/>
      <c r="AO539" s="1065"/>
      <c r="AP539" s="1065"/>
      <c r="AQ539" s="1065"/>
      <c r="AR539" s="1065"/>
      <c r="AS539" s="1065"/>
      <c r="AT539" s="1065"/>
      <c r="AU539" s="1065"/>
      <c r="AV539" s="1065"/>
      <c r="AW539" s="1065"/>
      <c r="AX539" s="1065"/>
      <c r="AY539" s="1065"/>
      <c r="AZ539" s="1065"/>
      <c r="BA539" s="1065"/>
      <c r="BB539" s="1065"/>
      <c r="BC539" s="1065"/>
      <c r="BD539" s="1065"/>
      <c r="BE539" s="1065"/>
      <c r="BF539" s="1065"/>
      <c r="BG539" s="1065"/>
      <c r="BH539" s="1065"/>
      <c r="BI539" s="1065"/>
      <c r="BJ539" s="1065"/>
      <c r="BK539" s="1065"/>
      <c r="BL539" s="1065"/>
      <c r="BM539" s="1065"/>
      <c r="BN539" s="1065"/>
      <c r="BO539" s="1065"/>
      <c r="BP539" s="1065"/>
      <c r="BQ539" s="1065"/>
      <c r="BR539" s="1065"/>
      <c r="BS539" s="1065"/>
      <c r="BT539" s="1065"/>
      <c r="BU539" s="1065"/>
      <c r="BV539" s="1065"/>
      <c r="BW539" s="1065"/>
      <c r="BX539" s="1065"/>
      <c r="BY539" s="1065"/>
      <c r="BZ539" s="1065"/>
      <c r="CA539" s="1065"/>
      <c r="CB539" s="1065"/>
      <c r="CC539" s="1065"/>
      <c r="CD539" s="1065"/>
      <c r="CE539" s="1065"/>
      <c r="CF539" s="1065"/>
      <c r="CG539" s="1065"/>
      <c r="CH539" s="1065"/>
      <c r="CI539" s="1065"/>
      <c r="CJ539" s="1065"/>
      <c r="CK539" s="1065"/>
      <c r="CL539" s="1065"/>
      <c r="CM539" s="1065"/>
      <c r="CN539" s="1065"/>
      <c r="CO539" s="1065"/>
      <c r="CP539" s="1065"/>
      <c r="CQ539" s="1065"/>
      <c r="CR539" s="1065"/>
      <c r="CS539" s="1065"/>
      <c r="CT539" s="1065"/>
      <c r="CU539" s="1065"/>
      <c r="CV539" s="1065"/>
      <c r="CW539" s="1065"/>
      <c r="CX539" s="1065"/>
      <c r="CY539" s="1065"/>
      <c r="CZ539" s="1065"/>
      <c r="DA539" s="1065"/>
      <c r="DB539" s="1065"/>
    </row>
    <row r="540" spans="1:106" ht="15" customHeight="1" thickBot="1">
      <c r="A540" s="1065"/>
      <c r="B540" s="1065"/>
      <c r="C540" s="1212" t="s">
        <v>905</v>
      </c>
      <c r="D540" s="1213" t="s">
        <v>906</v>
      </c>
      <c r="E540" s="1214"/>
      <c r="F540" s="1214"/>
      <c r="G540" s="1215"/>
      <c r="H540" s="1142" t="s">
        <v>657</v>
      </c>
      <c r="I540" s="1142"/>
      <c r="J540" s="1132" t="s">
        <v>907</v>
      </c>
      <c r="K540" s="1133"/>
      <c r="L540" s="1134"/>
      <c r="M540" s="1129" t="s">
        <v>908</v>
      </c>
      <c r="N540" s="1200"/>
      <c r="O540" s="1200"/>
      <c r="P540" s="1201"/>
      <c r="Q540" s="1201"/>
      <c r="R540" s="1202"/>
      <c r="S540" s="1067">
        <v>50460</v>
      </c>
      <c r="T540" s="1738"/>
      <c r="U540" s="1739"/>
      <c r="V540" s="1065"/>
      <c r="W540" s="1065"/>
      <c r="X540" s="1065"/>
      <c r="Y540" s="1065"/>
      <c r="Z540" s="1065"/>
      <c r="AA540" s="1065"/>
      <c r="AB540" s="1065"/>
      <c r="AC540" s="1065"/>
      <c r="AD540" s="1065"/>
      <c r="AE540" s="1065"/>
      <c r="AF540" s="1065"/>
      <c r="AG540" s="1065"/>
      <c r="AH540" s="1065"/>
      <c r="AI540" s="1065"/>
      <c r="AJ540" s="1065"/>
      <c r="AK540" s="1065"/>
      <c r="AL540" s="1065"/>
      <c r="AM540" s="1065"/>
      <c r="AN540" s="1065"/>
      <c r="AO540" s="1065"/>
      <c r="AP540" s="1065"/>
      <c r="AQ540" s="1065"/>
      <c r="AR540" s="1065"/>
      <c r="AS540" s="1065"/>
      <c r="AT540" s="1065"/>
      <c r="AU540" s="1065"/>
      <c r="AV540" s="1065"/>
      <c r="AW540" s="1065"/>
      <c r="AX540" s="1065"/>
      <c r="AY540" s="1065"/>
      <c r="AZ540" s="1065"/>
      <c r="BA540" s="1065"/>
      <c r="BB540" s="1065"/>
      <c r="BC540" s="1065"/>
      <c r="BD540" s="1065"/>
      <c r="BE540" s="1065"/>
      <c r="BF540" s="1065"/>
      <c r="BG540" s="1065"/>
      <c r="BH540" s="1065"/>
      <c r="BI540" s="1065"/>
      <c r="BJ540" s="1065"/>
      <c r="BK540" s="1065"/>
      <c r="BL540" s="1065"/>
      <c r="BM540" s="1065"/>
      <c r="BN540" s="1065"/>
      <c r="BO540" s="1065"/>
      <c r="BP540" s="1065"/>
      <c r="BQ540" s="1065"/>
      <c r="BR540" s="1065"/>
      <c r="BS540" s="1065"/>
      <c r="BT540" s="1065"/>
      <c r="BU540" s="1065"/>
      <c r="BV540" s="1065"/>
      <c r="BW540" s="1065"/>
      <c r="BX540" s="1065"/>
      <c r="BY540" s="1065"/>
      <c r="BZ540" s="1065"/>
      <c r="CA540" s="1065"/>
      <c r="CB540" s="1065"/>
      <c r="CC540" s="1065"/>
      <c r="CD540" s="1065"/>
      <c r="CE540" s="1065"/>
      <c r="CF540" s="1065"/>
      <c r="CG540" s="1065"/>
      <c r="CH540" s="1065"/>
      <c r="CI540" s="1065"/>
      <c r="CJ540" s="1065"/>
      <c r="CK540" s="1065"/>
      <c r="CL540" s="1065"/>
      <c r="CM540" s="1065"/>
      <c r="CN540" s="1065"/>
      <c r="CO540" s="1065"/>
      <c r="CP540" s="1065"/>
      <c r="CQ540" s="1065"/>
      <c r="CR540" s="1065"/>
      <c r="CS540" s="1065"/>
      <c r="CT540" s="1065"/>
      <c r="CU540" s="1065"/>
      <c r="CV540" s="1065"/>
      <c r="CW540" s="1065"/>
      <c r="CX540" s="1065"/>
      <c r="CY540" s="1065"/>
      <c r="CZ540" s="1065"/>
      <c r="DA540" s="1065"/>
      <c r="DB540" s="1065"/>
    </row>
    <row r="541" spans="1:106" ht="15" customHeight="1" thickBot="1">
      <c r="A541" s="1065"/>
      <c r="B541" s="1065"/>
      <c r="C541" s="1212" t="s">
        <v>909</v>
      </c>
      <c r="D541" s="1213" t="s">
        <v>910</v>
      </c>
      <c r="E541" s="1214"/>
      <c r="F541" s="1214"/>
      <c r="G541" s="1215"/>
      <c r="H541" s="1694" t="s">
        <v>671</v>
      </c>
      <c r="I541" s="1694"/>
      <c r="J541" s="1132" t="s">
        <v>911</v>
      </c>
      <c r="K541" s="1133"/>
      <c r="L541" s="1134"/>
      <c r="M541" s="1129" t="s">
        <v>912</v>
      </c>
      <c r="N541" s="1200"/>
      <c r="O541" s="1200"/>
      <c r="P541" s="1201"/>
      <c r="Q541" s="1201"/>
      <c r="R541" s="1202"/>
      <c r="S541" s="1108">
        <v>1700</v>
      </c>
      <c r="T541" s="1738"/>
      <c r="U541" s="1739"/>
      <c r="V541" s="1065"/>
      <c r="W541" s="1065"/>
      <c r="X541" s="1065"/>
      <c r="Y541" s="1065"/>
      <c r="Z541" s="1065"/>
      <c r="AA541" s="1065"/>
      <c r="AB541" s="1065"/>
      <c r="AC541" s="1065"/>
      <c r="AD541" s="1065"/>
      <c r="AE541" s="1065"/>
      <c r="AF541" s="1065"/>
      <c r="AG541" s="1065"/>
      <c r="AH541" s="1065"/>
      <c r="AI541" s="1065"/>
      <c r="AJ541" s="1065"/>
      <c r="AK541" s="1065"/>
      <c r="AL541" s="1065"/>
      <c r="AM541" s="1065"/>
      <c r="AN541" s="1065"/>
      <c r="AO541" s="1065"/>
      <c r="AP541" s="1065"/>
      <c r="AQ541" s="1065"/>
      <c r="AR541" s="1065"/>
      <c r="AS541" s="1065"/>
      <c r="AT541" s="1065"/>
      <c r="AU541" s="1065"/>
      <c r="AV541" s="1065"/>
      <c r="AW541" s="1065"/>
      <c r="AX541" s="1065"/>
      <c r="AY541" s="1065"/>
      <c r="AZ541" s="1065"/>
      <c r="BA541" s="1065"/>
      <c r="BB541" s="1065"/>
      <c r="BC541" s="1065"/>
      <c r="BD541" s="1065"/>
      <c r="BE541" s="1065"/>
      <c r="BF541" s="1065"/>
      <c r="BG541" s="1065"/>
      <c r="BH541" s="1065"/>
      <c r="BI541" s="1065"/>
      <c r="BJ541" s="1065"/>
      <c r="BK541" s="1065"/>
      <c r="BL541" s="1065"/>
      <c r="BM541" s="1065"/>
      <c r="BN541" s="1065"/>
      <c r="BO541" s="1065"/>
      <c r="BP541" s="1065"/>
      <c r="BQ541" s="1065"/>
      <c r="BR541" s="1065"/>
      <c r="BS541" s="1065"/>
      <c r="BT541" s="1065"/>
      <c r="BU541" s="1065"/>
      <c r="BV541" s="1065"/>
      <c r="BW541" s="1065"/>
      <c r="BX541" s="1065"/>
      <c r="BY541" s="1065"/>
      <c r="BZ541" s="1065"/>
      <c r="CA541" s="1065"/>
      <c r="CB541" s="1065"/>
      <c r="CC541" s="1065"/>
      <c r="CD541" s="1065"/>
      <c r="CE541" s="1065"/>
      <c r="CF541" s="1065"/>
      <c r="CG541" s="1065"/>
      <c r="CH541" s="1065"/>
      <c r="CI541" s="1065"/>
      <c r="CJ541" s="1065"/>
      <c r="CK541" s="1065"/>
      <c r="CL541" s="1065"/>
      <c r="CM541" s="1065"/>
      <c r="CN541" s="1065"/>
      <c r="CO541" s="1065"/>
      <c r="CP541" s="1065"/>
      <c r="CQ541" s="1065"/>
      <c r="CR541" s="1065"/>
      <c r="CS541" s="1065"/>
      <c r="CT541" s="1065"/>
      <c r="CU541" s="1065"/>
      <c r="CV541" s="1065"/>
      <c r="CW541" s="1065"/>
      <c r="CX541" s="1065"/>
      <c r="CY541" s="1065"/>
      <c r="CZ541" s="1065"/>
      <c r="DA541" s="1065"/>
      <c r="DB541" s="1065"/>
    </row>
    <row r="542" spans="1:106" ht="15" customHeight="1" thickBot="1">
      <c r="A542" s="1065"/>
      <c r="B542" s="1065"/>
      <c r="C542" s="1212" t="s">
        <v>114</v>
      </c>
      <c r="D542" s="1757" t="s">
        <v>913</v>
      </c>
      <c r="E542" s="1757"/>
      <c r="F542" s="1757"/>
      <c r="G542" s="1757"/>
      <c r="H542" s="1694" t="s">
        <v>671</v>
      </c>
      <c r="I542" s="1694"/>
      <c r="J542" s="1132" t="s">
        <v>914</v>
      </c>
      <c r="K542" s="1133"/>
      <c r="L542" s="1134"/>
      <c r="M542" s="1129" t="s">
        <v>915</v>
      </c>
      <c r="N542" s="1200"/>
      <c r="O542" s="1200"/>
      <c r="P542" s="1201"/>
      <c r="Q542" s="1201"/>
      <c r="R542" s="1202"/>
      <c r="S542" s="1108">
        <v>14160</v>
      </c>
      <c r="T542" s="1738"/>
      <c r="U542" s="1739"/>
      <c r="V542" s="1065"/>
      <c r="W542" s="1065"/>
      <c r="X542" s="1065"/>
      <c r="Y542" s="1065"/>
      <c r="Z542" s="1065"/>
      <c r="AA542" s="1065"/>
      <c r="AB542" s="1065"/>
      <c r="AC542" s="1065"/>
      <c r="AD542" s="1065"/>
      <c r="AE542" s="1065"/>
      <c r="AF542" s="1065"/>
      <c r="AG542" s="1065"/>
      <c r="AH542" s="1065"/>
      <c r="AI542" s="1065"/>
      <c r="AJ542" s="1065"/>
      <c r="AK542" s="1065"/>
      <c r="AL542" s="1065"/>
      <c r="AM542" s="1065"/>
      <c r="AN542" s="1065"/>
      <c r="AO542" s="1065"/>
      <c r="AP542" s="1065"/>
      <c r="AQ542" s="1065"/>
      <c r="AR542" s="1065"/>
      <c r="AS542" s="1065"/>
      <c r="AT542" s="1065"/>
      <c r="AU542" s="1065"/>
      <c r="AV542" s="1065"/>
      <c r="AW542" s="1065"/>
      <c r="AX542" s="1065"/>
      <c r="AY542" s="1065"/>
      <c r="AZ542" s="1065"/>
      <c r="BA542" s="1065"/>
      <c r="BB542" s="1065"/>
      <c r="BC542" s="1065"/>
      <c r="BD542" s="1065"/>
      <c r="BE542" s="1065"/>
      <c r="BF542" s="1065"/>
      <c r="BG542" s="1065"/>
      <c r="BH542" s="1065"/>
      <c r="BI542" s="1065"/>
      <c r="BJ542" s="1065"/>
      <c r="BK542" s="1065"/>
      <c r="BL542" s="1065"/>
      <c r="BM542" s="1065"/>
      <c r="BN542" s="1065"/>
      <c r="BO542" s="1065"/>
      <c r="BP542" s="1065"/>
      <c r="BQ542" s="1065"/>
      <c r="BR542" s="1065"/>
      <c r="BS542" s="1065"/>
      <c r="BT542" s="1065"/>
      <c r="BU542" s="1065"/>
      <c r="BV542" s="1065"/>
      <c r="BW542" s="1065"/>
      <c r="BX542" s="1065"/>
      <c r="BY542" s="1065"/>
      <c r="BZ542" s="1065"/>
      <c r="CA542" s="1065"/>
      <c r="CB542" s="1065"/>
      <c r="CC542" s="1065"/>
      <c r="CD542" s="1065"/>
      <c r="CE542" s="1065"/>
      <c r="CF542" s="1065"/>
      <c r="CG542" s="1065"/>
      <c r="CH542" s="1065"/>
      <c r="CI542" s="1065"/>
      <c r="CJ542" s="1065"/>
      <c r="CK542" s="1065"/>
      <c r="CL542" s="1065"/>
      <c r="CM542" s="1065"/>
      <c r="CN542" s="1065"/>
      <c r="CO542" s="1065"/>
      <c r="CP542" s="1065"/>
      <c r="CQ542" s="1065"/>
      <c r="CR542" s="1065"/>
      <c r="CS542" s="1065"/>
      <c r="CT542" s="1065"/>
      <c r="CU542" s="1065"/>
      <c r="CV542" s="1065"/>
      <c r="CW542" s="1065"/>
      <c r="CX542" s="1065"/>
      <c r="CY542" s="1065"/>
      <c r="CZ542" s="1065"/>
      <c r="DA542" s="1065"/>
      <c r="DB542" s="1065"/>
    </row>
    <row r="543" spans="1:106" ht="15" customHeight="1" thickBot="1">
      <c r="A543" s="1065"/>
      <c r="B543" s="1065"/>
      <c r="C543" s="1212" t="s">
        <v>113</v>
      </c>
      <c r="D543" s="1757" t="s">
        <v>913</v>
      </c>
      <c r="E543" s="1757"/>
      <c r="F543" s="1757"/>
      <c r="G543" s="1757"/>
      <c r="H543" s="1694" t="s">
        <v>657</v>
      </c>
      <c r="I543" s="1694"/>
      <c r="J543" s="1132" t="s">
        <v>916</v>
      </c>
      <c r="K543" s="1133"/>
      <c r="L543" s="1134"/>
      <c r="M543" s="1129" t="s">
        <v>917</v>
      </c>
      <c r="N543" s="1200"/>
      <c r="O543" s="1200"/>
      <c r="P543" s="1201"/>
      <c r="Q543" s="1201"/>
      <c r="R543" s="1202"/>
      <c r="S543" s="1108">
        <v>5520</v>
      </c>
      <c r="T543" s="1738"/>
      <c r="U543" s="1739"/>
      <c r="V543" s="1065"/>
      <c r="W543" s="1065"/>
      <c r="X543" s="1065"/>
      <c r="Y543" s="1065"/>
      <c r="Z543" s="1065"/>
      <c r="AA543" s="1065"/>
      <c r="AB543" s="1065"/>
      <c r="AC543" s="1065"/>
      <c r="AD543" s="1065"/>
      <c r="AE543" s="1065"/>
      <c r="AF543" s="1065"/>
      <c r="AG543" s="1065"/>
      <c r="AH543" s="1065"/>
      <c r="AI543" s="1065"/>
      <c r="AJ543" s="1065"/>
      <c r="AK543" s="1065"/>
      <c r="AL543" s="1065"/>
      <c r="AM543" s="1065"/>
      <c r="AN543" s="1065"/>
      <c r="AO543" s="1065"/>
      <c r="AP543" s="1065"/>
      <c r="AQ543" s="1065"/>
      <c r="AR543" s="1065"/>
      <c r="AS543" s="1065"/>
      <c r="AT543" s="1065"/>
      <c r="AU543" s="1065"/>
      <c r="AV543" s="1065"/>
      <c r="AW543" s="1065"/>
      <c r="AX543" s="1065"/>
      <c r="AY543" s="1065"/>
      <c r="AZ543" s="1065"/>
      <c r="BA543" s="1065"/>
      <c r="BB543" s="1065"/>
      <c r="BC543" s="1065"/>
      <c r="BD543" s="1065"/>
      <c r="BE543" s="1065"/>
      <c r="BF543" s="1065"/>
      <c r="BG543" s="1065"/>
      <c r="BH543" s="1065"/>
      <c r="BI543" s="1065"/>
      <c r="BJ543" s="1065"/>
      <c r="BK543" s="1065"/>
      <c r="BL543" s="1065"/>
      <c r="BM543" s="1065"/>
      <c r="BN543" s="1065"/>
      <c r="BO543" s="1065"/>
      <c r="BP543" s="1065"/>
      <c r="BQ543" s="1065"/>
      <c r="BR543" s="1065"/>
      <c r="BS543" s="1065"/>
      <c r="BT543" s="1065"/>
      <c r="BU543" s="1065"/>
      <c r="BV543" s="1065"/>
      <c r="BW543" s="1065"/>
      <c r="BX543" s="1065"/>
      <c r="BY543" s="1065"/>
      <c r="BZ543" s="1065"/>
      <c r="CA543" s="1065"/>
      <c r="CB543" s="1065"/>
      <c r="CC543" s="1065"/>
      <c r="CD543" s="1065"/>
      <c r="CE543" s="1065"/>
      <c r="CF543" s="1065"/>
      <c r="CG543" s="1065"/>
      <c r="CH543" s="1065"/>
      <c r="CI543" s="1065"/>
      <c r="CJ543" s="1065"/>
      <c r="CK543" s="1065"/>
      <c r="CL543" s="1065"/>
      <c r="CM543" s="1065"/>
      <c r="CN543" s="1065"/>
      <c r="CO543" s="1065"/>
      <c r="CP543" s="1065"/>
      <c r="CQ543" s="1065"/>
      <c r="CR543" s="1065"/>
      <c r="CS543" s="1065"/>
      <c r="CT543" s="1065"/>
      <c r="CU543" s="1065"/>
      <c r="CV543" s="1065"/>
      <c r="CW543" s="1065"/>
      <c r="CX543" s="1065"/>
      <c r="CY543" s="1065"/>
      <c r="CZ543" s="1065"/>
      <c r="DA543" s="1065"/>
      <c r="DB543" s="1065"/>
    </row>
    <row r="544" spans="1:106" ht="15" customHeight="1" thickBot="1">
      <c r="A544" s="1065"/>
      <c r="B544" s="1065"/>
      <c r="C544" s="1212" t="s">
        <v>110</v>
      </c>
      <c r="D544" s="1757" t="s">
        <v>913</v>
      </c>
      <c r="E544" s="1757"/>
      <c r="F544" s="1757"/>
      <c r="G544" s="1757"/>
      <c r="H544" s="1694" t="s">
        <v>671</v>
      </c>
      <c r="I544" s="1694"/>
      <c r="J544" s="1132" t="s">
        <v>918</v>
      </c>
      <c r="K544" s="1133"/>
      <c r="L544" s="1134"/>
      <c r="M544" s="1129" t="s">
        <v>919</v>
      </c>
      <c r="N544" s="1200"/>
      <c r="O544" s="1200"/>
      <c r="P544" s="1201"/>
      <c r="Q544" s="1201"/>
      <c r="R544" s="1202"/>
      <c r="S544" s="1108">
        <v>6180</v>
      </c>
      <c r="T544" s="1738"/>
      <c r="U544" s="1739"/>
      <c r="V544" s="1065"/>
      <c r="W544" s="1065"/>
      <c r="X544" s="1065"/>
      <c r="Y544" s="1065"/>
      <c r="Z544" s="1065"/>
      <c r="AA544" s="1065"/>
      <c r="AB544" s="1065"/>
      <c r="AC544" s="1065"/>
      <c r="AD544" s="1065"/>
      <c r="AE544" s="1065"/>
      <c r="AF544" s="1065"/>
      <c r="AG544" s="1065"/>
      <c r="AH544" s="1065"/>
      <c r="AI544" s="1065"/>
      <c r="AJ544" s="1065"/>
      <c r="AK544" s="1065"/>
      <c r="AL544" s="1065"/>
      <c r="AM544" s="1065"/>
      <c r="AN544" s="1065"/>
      <c r="AO544" s="1065"/>
      <c r="AP544" s="1065"/>
      <c r="AQ544" s="1065"/>
      <c r="AR544" s="1065"/>
      <c r="AS544" s="1065"/>
      <c r="AT544" s="1065"/>
      <c r="AU544" s="1065"/>
      <c r="AV544" s="1065"/>
      <c r="AW544" s="1065"/>
      <c r="AX544" s="1065"/>
      <c r="AY544" s="1065"/>
      <c r="AZ544" s="1065"/>
      <c r="BA544" s="1065"/>
      <c r="BB544" s="1065"/>
      <c r="BC544" s="1065"/>
      <c r="BD544" s="1065"/>
      <c r="BE544" s="1065"/>
      <c r="BF544" s="1065"/>
      <c r="BG544" s="1065"/>
      <c r="BH544" s="1065"/>
      <c r="BI544" s="1065"/>
      <c r="BJ544" s="1065"/>
      <c r="BK544" s="1065"/>
      <c r="BL544" s="1065"/>
      <c r="BM544" s="1065"/>
      <c r="BN544" s="1065"/>
      <c r="BO544" s="1065"/>
      <c r="BP544" s="1065"/>
      <c r="BQ544" s="1065"/>
      <c r="BR544" s="1065"/>
      <c r="BS544" s="1065"/>
      <c r="BT544" s="1065"/>
      <c r="BU544" s="1065"/>
      <c r="BV544" s="1065"/>
      <c r="BW544" s="1065"/>
      <c r="BX544" s="1065"/>
      <c r="BY544" s="1065"/>
      <c r="BZ544" s="1065"/>
      <c r="CA544" s="1065"/>
      <c r="CB544" s="1065"/>
      <c r="CC544" s="1065"/>
      <c r="CD544" s="1065"/>
      <c r="CE544" s="1065"/>
      <c r="CF544" s="1065"/>
      <c r="CG544" s="1065"/>
      <c r="CH544" s="1065"/>
      <c r="CI544" s="1065"/>
      <c r="CJ544" s="1065"/>
      <c r="CK544" s="1065"/>
      <c r="CL544" s="1065"/>
      <c r="CM544" s="1065"/>
      <c r="CN544" s="1065"/>
      <c r="CO544" s="1065"/>
      <c r="CP544" s="1065"/>
      <c r="CQ544" s="1065"/>
      <c r="CR544" s="1065"/>
      <c r="CS544" s="1065"/>
      <c r="CT544" s="1065"/>
      <c r="CU544" s="1065"/>
      <c r="CV544" s="1065"/>
      <c r="CW544" s="1065"/>
      <c r="CX544" s="1065"/>
      <c r="CY544" s="1065"/>
      <c r="CZ544" s="1065"/>
      <c r="DA544" s="1065"/>
      <c r="DB544" s="1065"/>
    </row>
    <row r="545" spans="1:106" ht="15" customHeight="1" thickBot="1">
      <c r="A545" s="1065"/>
      <c r="B545" s="1065"/>
      <c r="C545" s="1212" t="s">
        <v>529</v>
      </c>
      <c r="D545" s="1757" t="s">
        <v>920</v>
      </c>
      <c r="E545" s="1757"/>
      <c r="F545" s="1757"/>
      <c r="G545" s="1757"/>
      <c r="H545" s="1694" t="s">
        <v>657</v>
      </c>
      <c r="I545" s="1694"/>
      <c r="J545" s="1132" t="s">
        <v>921</v>
      </c>
      <c r="K545" s="1133"/>
      <c r="L545" s="1134"/>
      <c r="M545" s="1129" t="s">
        <v>922</v>
      </c>
      <c r="N545" s="1200"/>
      <c r="O545" s="1200"/>
      <c r="P545" s="1201"/>
      <c r="Q545" s="1201"/>
      <c r="R545" s="1202"/>
      <c r="S545" s="1108">
        <v>3739.92</v>
      </c>
      <c r="T545" s="1738"/>
      <c r="U545" s="1739"/>
      <c r="V545" s="1065"/>
      <c r="W545" s="1065"/>
      <c r="X545" s="1065"/>
      <c r="Y545" s="1065"/>
      <c r="Z545" s="1065"/>
      <c r="AA545" s="1065"/>
      <c r="AB545" s="1065"/>
      <c r="AC545" s="1065"/>
      <c r="AD545" s="1065"/>
      <c r="AE545" s="1065"/>
      <c r="AF545" s="1065"/>
      <c r="AG545" s="1065"/>
      <c r="AH545" s="1065"/>
      <c r="AI545" s="1065"/>
      <c r="AJ545" s="1065"/>
      <c r="AK545" s="1065"/>
      <c r="AL545" s="1065"/>
      <c r="AM545" s="1065"/>
      <c r="AN545" s="1065"/>
      <c r="AO545" s="1065"/>
      <c r="AP545" s="1065"/>
      <c r="AQ545" s="1065"/>
      <c r="AR545" s="1065"/>
      <c r="AS545" s="1065"/>
      <c r="AT545" s="1065"/>
      <c r="AU545" s="1065"/>
      <c r="AV545" s="1065"/>
      <c r="AW545" s="1065"/>
      <c r="AX545" s="1065"/>
      <c r="AY545" s="1065"/>
      <c r="AZ545" s="1065"/>
      <c r="BA545" s="1065"/>
      <c r="BB545" s="1065"/>
      <c r="BC545" s="1065"/>
      <c r="BD545" s="1065"/>
      <c r="BE545" s="1065"/>
      <c r="BF545" s="1065"/>
      <c r="BG545" s="1065"/>
      <c r="BH545" s="1065"/>
      <c r="BI545" s="1065"/>
      <c r="BJ545" s="1065"/>
      <c r="BK545" s="1065"/>
      <c r="BL545" s="1065"/>
      <c r="BM545" s="1065"/>
      <c r="BN545" s="1065"/>
      <c r="BO545" s="1065"/>
      <c r="BP545" s="1065"/>
      <c r="BQ545" s="1065"/>
      <c r="BR545" s="1065"/>
      <c r="BS545" s="1065"/>
      <c r="BT545" s="1065"/>
      <c r="BU545" s="1065"/>
      <c r="BV545" s="1065"/>
      <c r="BW545" s="1065"/>
      <c r="BX545" s="1065"/>
      <c r="BY545" s="1065"/>
      <c r="BZ545" s="1065"/>
      <c r="CA545" s="1065"/>
      <c r="CB545" s="1065"/>
      <c r="CC545" s="1065"/>
      <c r="CD545" s="1065"/>
      <c r="CE545" s="1065"/>
      <c r="CF545" s="1065"/>
      <c r="CG545" s="1065"/>
      <c r="CH545" s="1065"/>
      <c r="CI545" s="1065"/>
      <c r="CJ545" s="1065"/>
      <c r="CK545" s="1065"/>
      <c r="CL545" s="1065"/>
      <c r="CM545" s="1065"/>
      <c r="CN545" s="1065"/>
      <c r="CO545" s="1065"/>
      <c r="CP545" s="1065"/>
      <c r="CQ545" s="1065"/>
      <c r="CR545" s="1065"/>
      <c r="CS545" s="1065"/>
      <c r="CT545" s="1065"/>
      <c r="CU545" s="1065"/>
      <c r="CV545" s="1065"/>
      <c r="CW545" s="1065"/>
      <c r="CX545" s="1065"/>
      <c r="CY545" s="1065"/>
      <c r="CZ545" s="1065"/>
      <c r="DA545" s="1065"/>
      <c r="DB545" s="1065"/>
    </row>
    <row r="546" spans="1:106" ht="15" customHeight="1" thickBot="1">
      <c r="A546" s="1065"/>
      <c r="B546" s="1065"/>
      <c r="C546" s="1212" t="s">
        <v>669</v>
      </c>
      <c r="D546" s="1213" t="s">
        <v>913</v>
      </c>
      <c r="E546" s="1214"/>
      <c r="F546" s="1214"/>
      <c r="G546" s="1215"/>
      <c r="H546" s="1142" t="s">
        <v>657</v>
      </c>
      <c r="I546" s="1142"/>
      <c r="J546" s="1132" t="s">
        <v>923</v>
      </c>
      <c r="K546" s="1133"/>
      <c r="L546" s="1134"/>
      <c r="M546" s="1129" t="s">
        <v>924</v>
      </c>
      <c r="N546" s="1200"/>
      <c r="O546" s="1200"/>
      <c r="P546" s="1201"/>
      <c r="Q546" s="1201"/>
      <c r="R546" s="1202"/>
      <c r="S546" s="1108">
        <v>2640</v>
      </c>
      <c r="T546" s="1738"/>
      <c r="U546" s="1739"/>
      <c r="V546" s="1065"/>
      <c r="W546" s="1065"/>
      <c r="X546" s="1065"/>
      <c r="Y546" s="1065"/>
      <c r="Z546" s="1065"/>
      <c r="AA546" s="1065"/>
      <c r="AB546" s="1065"/>
      <c r="AC546" s="1065"/>
      <c r="AD546" s="1065"/>
      <c r="AE546" s="1065"/>
      <c r="AF546" s="1065"/>
      <c r="AG546" s="1065"/>
      <c r="AH546" s="1065"/>
      <c r="AI546" s="1065"/>
      <c r="AJ546" s="1065"/>
      <c r="AK546" s="1065"/>
      <c r="AL546" s="1065"/>
      <c r="AM546" s="1065"/>
      <c r="AN546" s="1065"/>
      <c r="AO546" s="1065"/>
      <c r="AP546" s="1065"/>
      <c r="AQ546" s="1065"/>
      <c r="AR546" s="1065"/>
      <c r="AS546" s="1065"/>
      <c r="AT546" s="1065"/>
      <c r="AU546" s="1065"/>
      <c r="AV546" s="1065"/>
      <c r="AW546" s="1065"/>
      <c r="AX546" s="1065"/>
      <c r="AY546" s="1065"/>
      <c r="AZ546" s="1065"/>
      <c r="BA546" s="1065"/>
      <c r="BB546" s="1065"/>
      <c r="BC546" s="1065"/>
      <c r="BD546" s="1065"/>
      <c r="BE546" s="1065"/>
      <c r="BF546" s="1065"/>
      <c r="BG546" s="1065"/>
      <c r="BH546" s="1065"/>
      <c r="BI546" s="1065"/>
      <c r="BJ546" s="1065"/>
      <c r="BK546" s="1065"/>
      <c r="BL546" s="1065"/>
      <c r="BM546" s="1065"/>
      <c r="BN546" s="1065"/>
      <c r="BO546" s="1065"/>
      <c r="BP546" s="1065"/>
      <c r="BQ546" s="1065"/>
      <c r="BR546" s="1065"/>
      <c r="BS546" s="1065"/>
      <c r="BT546" s="1065"/>
      <c r="BU546" s="1065"/>
      <c r="BV546" s="1065"/>
      <c r="BW546" s="1065"/>
      <c r="BX546" s="1065"/>
      <c r="BY546" s="1065"/>
      <c r="BZ546" s="1065"/>
      <c r="CA546" s="1065"/>
      <c r="CB546" s="1065"/>
      <c r="CC546" s="1065"/>
      <c r="CD546" s="1065"/>
      <c r="CE546" s="1065"/>
      <c r="CF546" s="1065"/>
      <c r="CG546" s="1065"/>
      <c r="CH546" s="1065"/>
      <c r="CI546" s="1065"/>
      <c r="CJ546" s="1065"/>
      <c r="CK546" s="1065"/>
      <c r="CL546" s="1065"/>
      <c r="CM546" s="1065"/>
      <c r="CN546" s="1065"/>
      <c r="CO546" s="1065"/>
      <c r="CP546" s="1065"/>
      <c r="CQ546" s="1065"/>
      <c r="CR546" s="1065"/>
      <c r="CS546" s="1065"/>
      <c r="CT546" s="1065"/>
      <c r="CU546" s="1065"/>
      <c r="CV546" s="1065"/>
      <c r="CW546" s="1065"/>
      <c r="CX546" s="1065"/>
      <c r="CY546" s="1065"/>
      <c r="CZ546" s="1065"/>
      <c r="DA546" s="1065"/>
      <c r="DB546" s="1065"/>
    </row>
    <row r="547" spans="1:106" ht="15" customHeight="1" thickBot="1">
      <c r="A547" s="1065"/>
      <c r="B547" s="1065"/>
      <c r="C547" s="1212" t="s">
        <v>660</v>
      </c>
      <c r="D547" s="1213" t="s">
        <v>913</v>
      </c>
      <c r="E547" s="1214"/>
      <c r="F547" s="1214"/>
      <c r="G547" s="1215"/>
      <c r="H547" s="1142" t="s">
        <v>657</v>
      </c>
      <c r="I547" s="1142"/>
      <c r="J547" s="1132" t="s">
        <v>925</v>
      </c>
      <c r="K547" s="1133"/>
      <c r="L547" s="1134"/>
      <c r="M547" s="1129" t="s">
        <v>924</v>
      </c>
      <c r="N547" s="1200"/>
      <c r="O547" s="1200"/>
      <c r="P547" s="1201"/>
      <c r="Q547" s="1201"/>
      <c r="R547" s="1202"/>
      <c r="S547" s="1108">
        <v>2640</v>
      </c>
      <c r="T547" s="1738"/>
      <c r="U547" s="1739"/>
      <c r="V547" s="1065"/>
      <c r="W547" s="1065"/>
      <c r="X547" s="1065"/>
      <c r="Y547" s="1065"/>
      <c r="Z547" s="1065"/>
      <c r="AA547" s="1065"/>
      <c r="AB547" s="1065"/>
      <c r="AC547" s="1065"/>
      <c r="AD547" s="1065"/>
      <c r="AE547" s="1065"/>
      <c r="AF547" s="1065"/>
      <c r="AG547" s="1065"/>
      <c r="AH547" s="1065"/>
      <c r="AI547" s="1065"/>
      <c r="AJ547" s="1065"/>
      <c r="AK547" s="1065"/>
      <c r="AL547" s="1065"/>
      <c r="AM547" s="1065"/>
      <c r="AN547" s="1065"/>
      <c r="AO547" s="1065"/>
      <c r="AP547" s="1065"/>
      <c r="AQ547" s="1065"/>
      <c r="AR547" s="1065"/>
      <c r="AS547" s="1065"/>
      <c r="AT547" s="1065"/>
      <c r="AU547" s="1065"/>
      <c r="AV547" s="1065"/>
      <c r="AW547" s="1065"/>
      <c r="AX547" s="1065"/>
      <c r="AY547" s="1065"/>
      <c r="AZ547" s="1065"/>
      <c r="BA547" s="1065"/>
      <c r="BB547" s="1065"/>
      <c r="BC547" s="1065"/>
      <c r="BD547" s="1065"/>
      <c r="BE547" s="1065"/>
      <c r="BF547" s="1065"/>
      <c r="BG547" s="1065"/>
      <c r="BH547" s="1065"/>
      <c r="BI547" s="1065"/>
      <c r="BJ547" s="1065"/>
      <c r="BK547" s="1065"/>
      <c r="BL547" s="1065"/>
      <c r="BM547" s="1065"/>
      <c r="BN547" s="1065"/>
      <c r="BO547" s="1065"/>
      <c r="BP547" s="1065"/>
      <c r="BQ547" s="1065"/>
      <c r="BR547" s="1065"/>
      <c r="BS547" s="1065"/>
      <c r="BT547" s="1065"/>
      <c r="BU547" s="1065"/>
      <c r="BV547" s="1065"/>
      <c r="BW547" s="1065"/>
      <c r="BX547" s="1065"/>
      <c r="BY547" s="1065"/>
      <c r="BZ547" s="1065"/>
      <c r="CA547" s="1065"/>
      <c r="CB547" s="1065"/>
      <c r="CC547" s="1065"/>
      <c r="CD547" s="1065"/>
      <c r="CE547" s="1065"/>
      <c r="CF547" s="1065"/>
      <c r="CG547" s="1065"/>
      <c r="CH547" s="1065"/>
      <c r="CI547" s="1065"/>
      <c r="CJ547" s="1065"/>
      <c r="CK547" s="1065"/>
      <c r="CL547" s="1065"/>
      <c r="CM547" s="1065"/>
      <c r="CN547" s="1065"/>
      <c r="CO547" s="1065"/>
      <c r="CP547" s="1065"/>
      <c r="CQ547" s="1065"/>
      <c r="CR547" s="1065"/>
      <c r="CS547" s="1065"/>
      <c r="CT547" s="1065"/>
      <c r="CU547" s="1065"/>
      <c r="CV547" s="1065"/>
      <c r="CW547" s="1065"/>
      <c r="CX547" s="1065"/>
      <c r="CY547" s="1065"/>
      <c r="CZ547" s="1065"/>
      <c r="DA547" s="1065"/>
      <c r="DB547" s="1065"/>
    </row>
    <row r="548" spans="1:106" ht="15" customHeight="1" thickBot="1">
      <c r="A548" s="1065"/>
      <c r="B548" s="1065"/>
      <c r="C548" s="1212" t="s">
        <v>676</v>
      </c>
      <c r="D548" s="1213" t="s">
        <v>913</v>
      </c>
      <c r="E548" s="1214"/>
      <c r="F548" s="1214"/>
      <c r="G548" s="1215"/>
      <c r="H548" s="1142" t="s">
        <v>657</v>
      </c>
      <c r="I548" s="1142"/>
      <c r="J548" s="1132" t="s">
        <v>926</v>
      </c>
      <c r="K548" s="1133"/>
      <c r="L548" s="1134"/>
      <c r="M548" s="1129" t="s">
        <v>927</v>
      </c>
      <c r="N548" s="1200"/>
      <c r="O548" s="1200"/>
      <c r="P548" s="1201"/>
      <c r="Q548" s="1201"/>
      <c r="R548" s="1202"/>
      <c r="S548" s="1108">
        <v>3720</v>
      </c>
      <c r="T548" s="1738"/>
      <c r="U548" s="1739"/>
      <c r="V548" s="1065"/>
      <c r="W548" s="1065"/>
      <c r="X548" s="1065"/>
      <c r="Y548" s="1065"/>
      <c r="Z548" s="1065"/>
      <c r="AA548" s="1065"/>
      <c r="AB548" s="1065"/>
      <c r="AC548" s="1065"/>
      <c r="AD548" s="1065"/>
      <c r="AE548" s="1065"/>
      <c r="AF548" s="1065"/>
      <c r="AG548" s="1065"/>
      <c r="AH548" s="1065"/>
      <c r="AI548" s="1065"/>
      <c r="AJ548" s="1065"/>
      <c r="AK548" s="1065"/>
      <c r="AL548" s="1065"/>
      <c r="AM548" s="1065"/>
      <c r="AN548" s="1065"/>
      <c r="AO548" s="1065"/>
      <c r="AP548" s="1065"/>
      <c r="AQ548" s="1065"/>
      <c r="AR548" s="1065"/>
      <c r="AS548" s="1065"/>
      <c r="AT548" s="1065"/>
      <c r="AU548" s="1065"/>
      <c r="AV548" s="1065"/>
      <c r="AW548" s="1065"/>
      <c r="AX548" s="1065"/>
      <c r="AY548" s="1065"/>
      <c r="AZ548" s="1065"/>
      <c r="BA548" s="1065"/>
      <c r="BB548" s="1065"/>
      <c r="BC548" s="1065"/>
      <c r="BD548" s="1065"/>
      <c r="BE548" s="1065"/>
      <c r="BF548" s="1065"/>
      <c r="BG548" s="1065"/>
      <c r="BH548" s="1065"/>
      <c r="BI548" s="1065"/>
      <c r="BJ548" s="1065"/>
      <c r="BK548" s="1065"/>
      <c r="BL548" s="1065"/>
      <c r="BM548" s="1065"/>
      <c r="BN548" s="1065"/>
      <c r="BO548" s="1065"/>
      <c r="BP548" s="1065"/>
      <c r="BQ548" s="1065"/>
      <c r="BR548" s="1065"/>
      <c r="BS548" s="1065"/>
      <c r="BT548" s="1065"/>
      <c r="BU548" s="1065"/>
      <c r="BV548" s="1065"/>
      <c r="BW548" s="1065"/>
      <c r="BX548" s="1065"/>
      <c r="BY548" s="1065"/>
      <c r="BZ548" s="1065"/>
      <c r="CA548" s="1065"/>
      <c r="CB548" s="1065"/>
      <c r="CC548" s="1065"/>
      <c r="CD548" s="1065"/>
      <c r="CE548" s="1065"/>
      <c r="CF548" s="1065"/>
      <c r="CG548" s="1065"/>
      <c r="CH548" s="1065"/>
      <c r="CI548" s="1065"/>
      <c r="CJ548" s="1065"/>
      <c r="CK548" s="1065"/>
      <c r="CL548" s="1065"/>
      <c r="CM548" s="1065"/>
      <c r="CN548" s="1065"/>
      <c r="CO548" s="1065"/>
      <c r="CP548" s="1065"/>
      <c r="CQ548" s="1065"/>
      <c r="CR548" s="1065"/>
      <c r="CS548" s="1065"/>
      <c r="CT548" s="1065"/>
      <c r="CU548" s="1065"/>
      <c r="CV548" s="1065"/>
      <c r="CW548" s="1065"/>
      <c r="CX548" s="1065"/>
      <c r="CY548" s="1065"/>
      <c r="CZ548" s="1065"/>
      <c r="DA548" s="1065"/>
      <c r="DB548" s="1065"/>
    </row>
    <row r="549" spans="1:106" ht="15" customHeight="1" thickBot="1">
      <c r="A549" s="1065"/>
      <c r="B549" s="1065"/>
      <c r="C549" s="1212" t="s">
        <v>669</v>
      </c>
      <c r="D549" s="1213" t="s">
        <v>928</v>
      </c>
      <c r="E549" s="1214"/>
      <c r="F549" s="1214"/>
      <c r="G549" s="1215"/>
      <c r="H549" s="1142" t="s">
        <v>657</v>
      </c>
      <c r="I549" s="1142"/>
      <c r="J549" s="1132" t="s">
        <v>929</v>
      </c>
      <c r="K549" s="1133"/>
      <c r="L549" s="1134"/>
      <c r="M549" s="1129" t="s">
        <v>930</v>
      </c>
      <c r="N549" s="1200"/>
      <c r="O549" s="1200"/>
      <c r="P549" s="1201"/>
      <c r="Q549" s="1201"/>
      <c r="R549" s="1202"/>
      <c r="S549" s="1108">
        <v>3370</v>
      </c>
      <c r="T549" s="1738"/>
      <c r="U549" s="1739"/>
      <c r="V549" s="1065"/>
      <c r="W549" s="1065"/>
      <c r="X549" s="1065"/>
      <c r="Y549" s="1065"/>
      <c r="Z549" s="1065"/>
      <c r="AA549" s="1065"/>
      <c r="AB549" s="1065"/>
      <c r="AC549" s="1065"/>
      <c r="AD549" s="1065"/>
      <c r="AE549" s="1065"/>
      <c r="AF549" s="1065"/>
      <c r="AG549" s="1065"/>
      <c r="AH549" s="1065"/>
      <c r="AI549" s="1065"/>
      <c r="AJ549" s="1065"/>
      <c r="AK549" s="1065"/>
      <c r="AL549" s="1065"/>
      <c r="AM549" s="1065"/>
      <c r="AN549" s="1065"/>
      <c r="AO549" s="1065"/>
      <c r="AP549" s="1065"/>
      <c r="AQ549" s="1065"/>
      <c r="AR549" s="1065"/>
      <c r="AS549" s="1065"/>
      <c r="AT549" s="1065"/>
      <c r="AU549" s="1065"/>
      <c r="AV549" s="1065"/>
      <c r="AW549" s="1065"/>
      <c r="AX549" s="1065"/>
      <c r="AY549" s="1065"/>
      <c r="AZ549" s="1065"/>
      <c r="BA549" s="1065"/>
      <c r="BB549" s="1065"/>
      <c r="BC549" s="1065"/>
      <c r="BD549" s="1065"/>
      <c r="BE549" s="1065"/>
      <c r="BF549" s="1065"/>
      <c r="BG549" s="1065"/>
      <c r="BH549" s="1065"/>
      <c r="BI549" s="1065"/>
      <c r="BJ549" s="1065"/>
      <c r="BK549" s="1065"/>
      <c r="BL549" s="1065"/>
      <c r="BM549" s="1065"/>
      <c r="BN549" s="1065"/>
      <c r="BO549" s="1065"/>
      <c r="BP549" s="1065"/>
      <c r="BQ549" s="1065"/>
      <c r="BR549" s="1065"/>
      <c r="BS549" s="1065"/>
      <c r="BT549" s="1065"/>
      <c r="BU549" s="1065"/>
      <c r="BV549" s="1065"/>
      <c r="BW549" s="1065"/>
      <c r="BX549" s="1065"/>
      <c r="BY549" s="1065"/>
      <c r="BZ549" s="1065"/>
      <c r="CA549" s="1065"/>
      <c r="CB549" s="1065"/>
      <c r="CC549" s="1065"/>
      <c r="CD549" s="1065"/>
      <c r="CE549" s="1065"/>
      <c r="CF549" s="1065"/>
      <c r="CG549" s="1065"/>
      <c r="CH549" s="1065"/>
      <c r="CI549" s="1065"/>
      <c r="CJ549" s="1065"/>
      <c r="CK549" s="1065"/>
      <c r="CL549" s="1065"/>
      <c r="CM549" s="1065"/>
      <c r="CN549" s="1065"/>
      <c r="CO549" s="1065"/>
      <c r="CP549" s="1065"/>
      <c r="CQ549" s="1065"/>
      <c r="CR549" s="1065"/>
      <c r="CS549" s="1065"/>
      <c r="CT549" s="1065"/>
      <c r="CU549" s="1065"/>
      <c r="CV549" s="1065"/>
      <c r="CW549" s="1065"/>
      <c r="CX549" s="1065"/>
      <c r="CY549" s="1065"/>
      <c r="CZ549" s="1065"/>
      <c r="DA549" s="1065"/>
      <c r="DB549" s="1065"/>
    </row>
    <row r="550" spans="1:106" ht="15" customHeight="1" thickBot="1">
      <c r="A550" s="1065"/>
      <c r="B550" s="1065"/>
      <c r="C550" s="1212" t="s">
        <v>669</v>
      </c>
      <c r="D550" s="1213" t="s">
        <v>931</v>
      </c>
      <c r="E550" s="1214"/>
      <c r="F550" s="1214"/>
      <c r="G550" s="1215"/>
      <c r="H550" s="1142" t="s">
        <v>657</v>
      </c>
      <c r="I550" s="1142"/>
      <c r="J550" s="1132" t="s">
        <v>932</v>
      </c>
      <c r="K550" s="1133"/>
      <c r="L550" s="1134"/>
      <c r="M550" s="1129" t="s">
        <v>933</v>
      </c>
      <c r="N550" s="1200"/>
      <c r="O550" s="1200"/>
      <c r="P550" s="1201"/>
      <c r="Q550" s="1201"/>
      <c r="R550" s="1202"/>
      <c r="S550" s="1108">
        <v>7676</v>
      </c>
      <c r="T550" s="1738"/>
      <c r="U550" s="1739"/>
      <c r="V550" s="1065"/>
      <c r="W550" s="1065"/>
      <c r="X550" s="1065"/>
      <c r="Y550" s="1065"/>
      <c r="Z550" s="1065"/>
      <c r="AA550" s="1065"/>
      <c r="AB550" s="1065"/>
      <c r="AC550" s="1065"/>
      <c r="AD550" s="1065"/>
      <c r="AE550" s="1065"/>
      <c r="AF550" s="1065"/>
      <c r="AG550" s="1065"/>
      <c r="AH550" s="1065"/>
      <c r="AI550" s="1065"/>
      <c r="AJ550" s="1065"/>
      <c r="AK550" s="1065"/>
      <c r="AL550" s="1065"/>
      <c r="AM550" s="1065"/>
      <c r="AN550" s="1065"/>
      <c r="AO550" s="1065"/>
      <c r="AP550" s="1065"/>
      <c r="AQ550" s="1065"/>
      <c r="AR550" s="1065"/>
      <c r="AS550" s="1065"/>
      <c r="AT550" s="1065"/>
      <c r="AU550" s="1065"/>
      <c r="AV550" s="1065"/>
      <c r="AW550" s="1065"/>
      <c r="AX550" s="1065"/>
      <c r="AY550" s="1065"/>
      <c r="AZ550" s="1065"/>
      <c r="BA550" s="1065"/>
      <c r="BB550" s="1065"/>
      <c r="BC550" s="1065"/>
      <c r="BD550" s="1065"/>
      <c r="BE550" s="1065"/>
      <c r="BF550" s="1065"/>
      <c r="BG550" s="1065"/>
      <c r="BH550" s="1065"/>
      <c r="BI550" s="1065"/>
      <c r="BJ550" s="1065"/>
      <c r="BK550" s="1065"/>
      <c r="BL550" s="1065"/>
      <c r="BM550" s="1065"/>
      <c r="BN550" s="1065"/>
      <c r="BO550" s="1065"/>
      <c r="BP550" s="1065"/>
      <c r="BQ550" s="1065"/>
      <c r="BR550" s="1065"/>
      <c r="BS550" s="1065"/>
      <c r="BT550" s="1065"/>
      <c r="BU550" s="1065"/>
      <c r="BV550" s="1065"/>
      <c r="BW550" s="1065"/>
      <c r="BX550" s="1065"/>
      <c r="BY550" s="1065"/>
      <c r="BZ550" s="1065"/>
      <c r="CA550" s="1065"/>
      <c r="CB550" s="1065"/>
      <c r="CC550" s="1065"/>
      <c r="CD550" s="1065"/>
      <c r="CE550" s="1065"/>
      <c r="CF550" s="1065"/>
      <c r="CG550" s="1065"/>
      <c r="CH550" s="1065"/>
      <c r="CI550" s="1065"/>
      <c r="CJ550" s="1065"/>
      <c r="CK550" s="1065"/>
      <c r="CL550" s="1065"/>
      <c r="CM550" s="1065"/>
      <c r="CN550" s="1065"/>
      <c r="CO550" s="1065"/>
      <c r="CP550" s="1065"/>
      <c r="CQ550" s="1065"/>
      <c r="CR550" s="1065"/>
      <c r="CS550" s="1065"/>
      <c r="CT550" s="1065"/>
      <c r="CU550" s="1065"/>
      <c r="CV550" s="1065"/>
      <c r="CW550" s="1065"/>
      <c r="CX550" s="1065"/>
      <c r="CY550" s="1065"/>
      <c r="CZ550" s="1065"/>
      <c r="DA550" s="1065"/>
      <c r="DB550" s="1065"/>
    </row>
    <row r="551" spans="1:106" ht="15" customHeight="1" thickBot="1">
      <c r="A551" s="1065"/>
      <c r="B551" s="1065"/>
      <c r="C551" s="1212" t="s">
        <v>674</v>
      </c>
      <c r="D551" s="1213" t="s">
        <v>898</v>
      </c>
      <c r="E551" s="1214"/>
      <c r="F551" s="1214"/>
      <c r="G551" s="1215"/>
      <c r="H551" s="1142" t="s">
        <v>671</v>
      </c>
      <c r="I551" s="1142"/>
      <c r="J551" s="1132" t="s">
        <v>934</v>
      </c>
      <c r="K551" s="1133"/>
      <c r="L551" s="1134"/>
      <c r="M551" s="1129" t="s">
        <v>935</v>
      </c>
      <c r="N551" s="1200"/>
      <c r="O551" s="1200"/>
      <c r="P551" s="1201"/>
      <c r="Q551" s="1201"/>
      <c r="R551" s="1202"/>
      <c r="S551" s="1108">
        <v>1790.27</v>
      </c>
      <c r="T551" s="1738"/>
      <c r="U551" s="1739"/>
      <c r="V551" s="1065"/>
      <c r="W551" s="1065"/>
      <c r="X551" s="1065"/>
      <c r="Y551" s="1065"/>
      <c r="Z551" s="1065"/>
      <c r="AA551" s="1065"/>
      <c r="AB551" s="1065"/>
      <c r="AC551" s="1065"/>
      <c r="AD551" s="1065"/>
      <c r="AE551" s="1065"/>
      <c r="AF551" s="1065"/>
      <c r="AG551" s="1065"/>
      <c r="AH551" s="1065"/>
      <c r="AI551" s="1065"/>
      <c r="AJ551" s="1065"/>
      <c r="AK551" s="1065"/>
      <c r="AL551" s="1065"/>
      <c r="AM551" s="1065"/>
      <c r="AN551" s="1065"/>
      <c r="AO551" s="1065"/>
      <c r="AP551" s="1065"/>
      <c r="AQ551" s="1065"/>
      <c r="AR551" s="1065"/>
      <c r="AS551" s="1065"/>
      <c r="AT551" s="1065"/>
      <c r="AU551" s="1065"/>
      <c r="AV551" s="1065"/>
      <c r="AW551" s="1065"/>
      <c r="AX551" s="1065"/>
      <c r="AY551" s="1065"/>
      <c r="AZ551" s="1065"/>
      <c r="BA551" s="1065"/>
      <c r="BB551" s="1065"/>
      <c r="BC551" s="1065"/>
      <c r="BD551" s="1065"/>
      <c r="BE551" s="1065"/>
      <c r="BF551" s="1065"/>
      <c r="BG551" s="1065"/>
      <c r="BH551" s="1065"/>
      <c r="BI551" s="1065"/>
      <c r="BJ551" s="1065"/>
      <c r="BK551" s="1065"/>
      <c r="BL551" s="1065"/>
      <c r="BM551" s="1065"/>
      <c r="BN551" s="1065"/>
      <c r="BO551" s="1065"/>
      <c r="BP551" s="1065"/>
      <c r="BQ551" s="1065"/>
      <c r="BR551" s="1065"/>
      <c r="BS551" s="1065"/>
      <c r="BT551" s="1065"/>
      <c r="BU551" s="1065"/>
      <c r="BV551" s="1065"/>
      <c r="BW551" s="1065"/>
      <c r="BX551" s="1065"/>
      <c r="BY551" s="1065"/>
      <c r="BZ551" s="1065"/>
      <c r="CA551" s="1065"/>
      <c r="CB551" s="1065"/>
      <c r="CC551" s="1065"/>
      <c r="CD551" s="1065"/>
      <c r="CE551" s="1065"/>
      <c r="CF551" s="1065"/>
      <c r="CG551" s="1065"/>
      <c r="CH551" s="1065"/>
      <c r="CI551" s="1065"/>
      <c r="CJ551" s="1065"/>
      <c r="CK551" s="1065"/>
      <c r="CL551" s="1065"/>
      <c r="CM551" s="1065"/>
      <c r="CN551" s="1065"/>
      <c r="CO551" s="1065"/>
      <c r="CP551" s="1065"/>
      <c r="CQ551" s="1065"/>
      <c r="CR551" s="1065"/>
      <c r="CS551" s="1065"/>
      <c r="CT551" s="1065"/>
      <c r="CU551" s="1065"/>
      <c r="CV551" s="1065"/>
      <c r="CW551" s="1065"/>
      <c r="CX551" s="1065"/>
      <c r="CY551" s="1065"/>
      <c r="CZ551" s="1065"/>
      <c r="DA551" s="1065"/>
      <c r="DB551" s="1065"/>
    </row>
    <row r="552" spans="1:106" ht="15" customHeight="1" thickBot="1">
      <c r="A552" s="1065"/>
      <c r="B552" s="1065"/>
      <c r="C552" s="1212" t="s">
        <v>300</v>
      </c>
      <c r="D552" s="1213" t="s">
        <v>898</v>
      </c>
      <c r="E552" s="1214"/>
      <c r="F552" s="1214"/>
      <c r="G552" s="1215"/>
      <c r="H552" s="1142" t="s">
        <v>671</v>
      </c>
      <c r="I552" s="1142"/>
      <c r="J552" s="1132" t="s">
        <v>936</v>
      </c>
      <c r="K552" s="1133"/>
      <c r="L552" s="1134"/>
      <c r="M552" s="1129" t="s">
        <v>937</v>
      </c>
      <c r="N552" s="1200"/>
      <c r="O552" s="1200"/>
      <c r="P552" s="1201"/>
      <c r="Q552" s="1201"/>
      <c r="R552" s="1202"/>
      <c r="S552" s="1108">
        <v>2500</v>
      </c>
      <c r="T552" s="1738"/>
      <c r="U552" s="1739"/>
      <c r="V552" s="1065"/>
      <c r="W552" s="1065"/>
      <c r="X552" s="1065"/>
      <c r="Y552" s="1065"/>
      <c r="Z552" s="1065"/>
      <c r="AA552" s="1065"/>
      <c r="AB552" s="1065"/>
      <c r="AC552" s="1065"/>
      <c r="AD552" s="1065"/>
      <c r="AE552" s="1065"/>
      <c r="AF552" s="1065"/>
      <c r="AG552" s="1065"/>
      <c r="AH552" s="1065"/>
      <c r="AI552" s="1065"/>
      <c r="AJ552" s="1065"/>
      <c r="AK552" s="1065"/>
      <c r="AL552" s="1065"/>
      <c r="AM552" s="1065"/>
      <c r="AN552" s="1065"/>
      <c r="AO552" s="1065"/>
      <c r="AP552" s="1065"/>
      <c r="AQ552" s="1065"/>
      <c r="AR552" s="1065"/>
      <c r="AS552" s="1065"/>
      <c r="AT552" s="1065"/>
      <c r="AU552" s="1065"/>
      <c r="AV552" s="1065"/>
      <c r="AW552" s="1065"/>
      <c r="AX552" s="1065"/>
      <c r="AY552" s="1065"/>
      <c r="AZ552" s="1065"/>
      <c r="BA552" s="1065"/>
      <c r="BB552" s="1065"/>
      <c r="BC552" s="1065"/>
      <c r="BD552" s="1065"/>
      <c r="BE552" s="1065"/>
      <c r="BF552" s="1065"/>
      <c r="BG552" s="1065"/>
      <c r="BH552" s="1065"/>
      <c r="BI552" s="1065"/>
      <c r="BJ552" s="1065"/>
      <c r="BK552" s="1065"/>
      <c r="BL552" s="1065"/>
      <c r="BM552" s="1065"/>
      <c r="BN552" s="1065"/>
      <c r="BO552" s="1065"/>
      <c r="BP552" s="1065"/>
      <c r="BQ552" s="1065"/>
      <c r="BR552" s="1065"/>
      <c r="BS552" s="1065"/>
      <c r="BT552" s="1065"/>
      <c r="BU552" s="1065"/>
      <c r="BV552" s="1065"/>
      <c r="BW552" s="1065"/>
      <c r="BX552" s="1065"/>
      <c r="BY552" s="1065"/>
      <c r="BZ552" s="1065"/>
      <c r="CA552" s="1065"/>
      <c r="CB552" s="1065"/>
      <c r="CC552" s="1065"/>
      <c r="CD552" s="1065"/>
      <c r="CE552" s="1065"/>
      <c r="CF552" s="1065"/>
      <c r="CG552" s="1065"/>
      <c r="CH552" s="1065"/>
      <c r="CI552" s="1065"/>
      <c r="CJ552" s="1065"/>
      <c r="CK552" s="1065"/>
      <c r="CL552" s="1065"/>
      <c r="CM552" s="1065"/>
      <c r="CN552" s="1065"/>
      <c r="CO552" s="1065"/>
      <c r="CP552" s="1065"/>
      <c r="CQ552" s="1065"/>
      <c r="CR552" s="1065"/>
      <c r="CS552" s="1065"/>
      <c r="CT552" s="1065"/>
      <c r="CU552" s="1065"/>
      <c r="CV552" s="1065"/>
      <c r="CW552" s="1065"/>
      <c r="CX552" s="1065"/>
      <c r="CY552" s="1065"/>
      <c r="CZ552" s="1065"/>
      <c r="DA552" s="1065"/>
      <c r="DB552" s="1065"/>
    </row>
    <row r="553" spans="1:106" ht="15" customHeight="1" thickBot="1">
      <c r="A553" s="1065"/>
      <c r="B553" s="1065"/>
      <c r="C553" s="1149" t="s">
        <v>679</v>
      </c>
      <c r="D553" s="1761" t="s">
        <v>938</v>
      </c>
      <c r="E553" s="1761"/>
      <c r="F553" s="1761"/>
      <c r="G553" s="1761"/>
      <c r="H553" s="1756" t="s">
        <v>671</v>
      </c>
      <c r="I553" s="1756"/>
      <c r="J553" s="1694" t="s">
        <v>939</v>
      </c>
      <c r="K553" s="1694"/>
      <c r="L553" s="1694"/>
      <c r="M553" s="1694" t="s">
        <v>940</v>
      </c>
      <c r="N553" s="1694"/>
      <c r="O553" s="1694"/>
      <c r="P553" s="1694"/>
      <c r="Q553" s="1694"/>
      <c r="R553" s="1694"/>
      <c r="S553" s="1112">
        <v>8500</v>
      </c>
      <c r="T553" s="1738"/>
      <c r="U553" s="1739"/>
      <c r="V553" s="1065"/>
      <c r="W553" s="1065"/>
      <c r="X553" s="1065"/>
      <c r="Y553" s="1065"/>
      <c r="Z553" s="1065"/>
      <c r="AA553" s="1065"/>
      <c r="AB553" s="1065"/>
      <c r="AC553" s="1065"/>
      <c r="AD553" s="1065"/>
      <c r="AE553" s="1065"/>
      <c r="AF553" s="1065"/>
      <c r="AG553" s="1065"/>
      <c r="AH553" s="1065"/>
      <c r="AI553" s="1065"/>
      <c r="AJ553" s="1065"/>
      <c r="AK553" s="1065"/>
      <c r="AL553" s="1065"/>
      <c r="AM553" s="1065"/>
      <c r="AN553" s="1065"/>
      <c r="AO553" s="1065"/>
      <c r="AP553" s="1065"/>
      <c r="AQ553" s="1065"/>
      <c r="AR553" s="1065"/>
      <c r="AS553" s="1065"/>
      <c r="AT553" s="1065"/>
      <c r="AU553" s="1065"/>
      <c r="AV553" s="1065"/>
      <c r="AW553" s="1065"/>
      <c r="AX553" s="1065"/>
      <c r="AY553" s="1065"/>
      <c r="AZ553" s="1065"/>
      <c r="BA553" s="1065"/>
      <c r="BB553" s="1065"/>
      <c r="BC553" s="1065"/>
      <c r="BD553" s="1065"/>
      <c r="BE553" s="1065"/>
      <c r="BF553" s="1065"/>
      <c r="BG553" s="1065"/>
      <c r="BH553" s="1065"/>
      <c r="BI553" s="1065"/>
      <c r="BJ553" s="1065"/>
      <c r="BK553" s="1065"/>
      <c r="BL553" s="1065"/>
      <c r="BM553" s="1065"/>
      <c r="BN553" s="1065"/>
      <c r="BO553" s="1065"/>
      <c r="BP553" s="1065"/>
      <c r="BQ553" s="1065"/>
      <c r="BR553" s="1065"/>
      <c r="BS553" s="1065"/>
      <c r="BT553" s="1065"/>
      <c r="BU553" s="1065"/>
      <c r="BV553" s="1065"/>
      <c r="BW553" s="1065"/>
      <c r="BX553" s="1065"/>
      <c r="BY553" s="1065"/>
      <c r="BZ553" s="1065"/>
      <c r="CA553" s="1065"/>
      <c r="CB553" s="1065"/>
      <c r="CC553" s="1065"/>
      <c r="CD553" s="1065"/>
      <c r="CE553" s="1065"/>
      <c r="CF553" s="1065"/>
      <c r="CG553" s="1065"/>
      <c r="CH553" s="1065"/>
      <c r="CI553" s="1065"/>
      <c r="CJ553" s="1065"/>
      <c r="CK553" s="1065"/>
      <c r="CL553" s="1065"/>
      <c r="CM553" s="1065"/>
      <c r="CN553" s="1065"/>
      <c r="CO553" s="1065"/>
      <c r="CP553" s="1065"/>
      <c r="CQ553" s="1065"/>
      <c r="CR553" s="1065"/>
      <c r="CS553" s="1065"/>
      <c r="CT553" s="1065"/>
      <c r="CU553" s="1065"/>
      <c r="CV553" s="1065"/>
      <c r="CW553" s="1065"/>
      <c r="CX553" s="1065"/>
      <c r="CY553" s="1065"/>
      <c r="CZ553" s="1065"/>
      <c r="DA553" s="1065"/>
      <c r="DB553" s="1065"/>
    </row>
    <row r="554" spans="1:106" ht="24" customHeight="1" thickBot="1">
      <c r="A554" s="1065"/>
      <c r="B554" s="1065"/>
      <c r="C554" s="1216" t="s">
        <v>108</v>
      </c>
      <c r="D554" s="1755" t="s">
        <v>941</v>
      </c>
      <c r="E554" s="1755"/>
      <c r="F554" s="1755"/>
      <c r="G554" s="1755"/>
      <c r="H554" s="1694" t="s">
        <v>657</v>
      </c>
      <c r="I554" s="1694"/>
      <c r="J554" s="1760" t="s">
        <v>942</v>
      </c>
      <c r="K554" s="1760"/>
      <c r="L554" s="1760"/>
      <c r="M554" s="1694" t="s">
        <v>943</v>
      </c>
      <c r="N554" s="1694"/>
      <c r="O554" s="1694"/>
      <c r="P554" s="1694"/>
      <c r="Q554" s="1694"/>
      <c r="R554" s="1694"/>
      <c r="S554" s="1067">
        <v>4464</v>
      </c>
      <c r="T554" s="1738"/>
      <c r="U554" s="1739"/>
      <c r="V554" s="1065"/>
      <c r="W554" s="1065"/>
      <c r="X554" s="1065"/>
      <c r="Y554" s="1065"/>
      <c r="Z554" s="1065"/>
      <c r="AA554" s="1065"/>
      <c r="AB554" s="1065"/>
      <c r="AC554" s="1065"/>
      <c r="AD554" s="1065"/>
      <c r="AE554" s="1065"/>
      <c r="AF554" s="1065"/>
      <c r="AG554" s="1065"/>
      <c r="AH554" s="1065"/>
      <c r="AI554" s="1065"/>
      <c r="AJ554" s="1065"/>
      <c r="AK554" s="1065"/>
      <c r="AL554" s="1065"/>
      <c r="AM554" s="1065"/>
      <c r="AN554" s="1065"/>
      <c r="AO554" s="1065"/>
      <c r="AP554" s="1065"/>
      <c r="AQ554" s="1065"/>
      <c r="AR554" s="1065"/>
      <c r="AS554" s="1065"/>
      <c r="AT554" s="1065"/>
      <c r="AU554" s="1065"/>
      <c r="AV554" s="1065"/>
      <c r="AW554" s="1065"/>
      <c r="AX554" s="1065"/>
      <c r="AY554" s="1065"/>
      <c r="AZ554" s="1065"/>
      <c r="BA554" s="1065"/>
      <c r="BB554" s="1065"/>
      <c r="BC554" s="1065"/>
      <c r="BD554" s="1065"/>
      <c r="BE554" s="1065"/>
      <c r="BF554" s="1065"/>
      <c r="BG554" s="1065"/>
      <c r="BH554" s="1065"/>
      <c r="BI554" s="1065"/>
      <c r="BJ554" s="1065"/>
      <c r="BK554" s="1065"/>
      <c r="BL554" s="1065"/>
      <c r="BM554" s="1065"/>
      <c r="BN554" s="1065"/>
      <c r="BO554" s="1065"/>
      <c r="BP554" s="1065"/>
      <c r="BQ554" s="1065"/>
      <c r="BR554" s="1065"/>
      <c r="BS554" s="1065"/>
      <c r="BT554" s="1065"/>
      <c r="BU554" s="1065"/>
      <c r="BV554" s="1065"/>
      <c r="BW554" s="1065"/>
      <c r="BX554" s="1065"/>
      <c r="BY554" s="1065"/>
      <c r="BZ554" s="1065"/>
      <c r="CA554" s="1065"/>
      <c r="CB554" s="1065"/>
      <c r="CC554" s="1065"/>
      <c r="CD554" s="1065"/>
      <c r="CE554" s="1065"/>
      <c r="CF554" s="1065"/>
      <c r="CG554" s="1065"/>
      <c r="CH554" s="1065"/>
      <c r="CI554" s="1065"/>
      <c r="CJ554" s="1065"/>
      <c r="CK554" s="1065"/>
      <c r="CL554" s="1065"/>
      <c r="CM554" s="1065"/>
      <c r="CN554" s="1065"/>
      <c r="CO554" s="1065"/>
      <c r="CP554" s="1065"/>
      <c r="CQ554" s="1065"/>
      <c r="CR554" s="1065"/>
      <c r="CS554" s="1065"/>
      <c r="CT554" s="1065"/>
      <c r="CU554" s="1065"/>
      <c r="CV554" s="1065"/>
      <c r="CW554" s="1065"/>
      <c r="CX554" s="1065"/>
      <c r="CY554" s="1065"/>
      <c r="CZ554" s="1065"/>
      <c r="DA554" s="1065"/>
      <c r="DB554" s="1065"/>
    </row>
    <row r="555" spans="1:106" ht="15" customHeight="1" thickBot="1">
      <c r="A555" s="1065"/>
      <c r="B555" s="1065"/>
      <c r="C555" s="1217" t="s">
        <v>679</v>
      </c>
      <c r="D555" s="1753" t="s">
        <v>944</v>
      </c>
      <c r="E555" s="1753"/>
      <c r="F555" s="1753"/>
      <c r="G555" s="1753"/>
      <c r="H555" s="1756" t="s">
        <v>671</v>
      </c>
      <c r="I555" s="1756"/>
      <c r="J555" s="1694" t="s">
        <v>945</v>
      </c>
      <c r="K555" s="1694"/>
      <c r="L555" s="1694"/>
      <c r="M555" s="1694" t="s">
        <v>946</v>
      </c>
      <c r="N555" s="1694"/>
      <c r="O555" s="1694"/>
      <c r="P555" s="1694"/>
      <c r="Q555" s="1694"/>
      <c r="R555" s="1694"/>
      <c r="S555" s="1112">
        <v>17868</v>
      </c>
      <c r="T555" s="1738"/>
      <c r="U555" s="1739"/>
      <c r="V555" s="1065"/>
      <c r="W555" s="1065"/>
      <c r="X555" s="1065"/>
      <c r="Y555" s="1065"/>
      <c r="Z555" s="1065"/>
      <c r="AA555" s="1065"/>
      <c r="AB555" s="1065"/>
      <c r="AC555" s="1065"/>
      <c r="AD555" s="1065"/>
      <c r="AE555" s="1065"/>
      <c r="AF555" s="1065"/>
      <c r="AG555" s="1065"/>
      <c r="AH555" s="1065"/>
      <c r="AI555" s="1065"/>
      <c r="AJ555" s="1065"/>
      <c r="AK555" s="1065"/>
      <c r="AL555" s="1065"/>
      <c r="AM555" s="1065"/>
      <c r="AN555" s="1065"/>
      <c r="AO555" s="1065"/>
      <c r="AP555" s="1065"/>
      <c r="AQ555" s="1065"/>
      <c r="AR555" s="1065"/>
      <c r="AS555" s="1065"/>
      <c r="AT555" s="1065"/>
      <c r="AU555" s="1065"/>
      <c r="AV555" s="1065"/>
      <c r="AW555" s="1065"/>
      <c r="AX555" s="1065"/>
      <c r="AY555" s="1065"/>
      <c r="AZ555" s="1065"/>
      <c r="BA555" s="1065"/>
      <c r="BB555" s="1065"/>
      <c r="BC555" s="1065"/>
      <c r="BD555" s="1065"/>
      <c r="BE555" s="1065"/>
      <c r="BF555" s="1065"/>
      <c r="BG555" s="1065"/>
      <c r="BH555" s="1065"/>
      <c r="BI555" s="1065"/>
      <c r="BJ555" s="1065"/>
      <c r="BK555" s="1065"/>
      <c r="BL555" s="1065"/>
      <c r="BM555" s="1065"/>
      <c r="BN555" s="1065"/>
      <c r="BO555" s="1065"/>
      <c r="BP555" s="1065"/>
      <c r="BQ555" s="1065"/>
      <c r="BR555" s="1065"/>
      <c r="BS555" s="1065"/>
      <c r="BT555" s="1065"/>
      <c r="BU555" s="1065"/>
      <c r="BV555" s="1065"/>
      <c r="BW555" s="1065"/>
      <c r="BX555" s="1065"/>
      <c r="BY555" s="1065"/>
      <c r="BZ555" s="1065"/>
      <c r="CA555" s="1065"/>
      <c r="CB555" s="1065"/>
      <c r="CC555" s="1065"/>
      <c r="CD555" s="1065"/>
      <c r="CE555" s="1065"/>
      <c r="CF555" s="1065"/>
      <c r="CG555" s="1065"/>
      <c r="CH555" s="1065"/>
      <c r="CI555" s="1065"/>
      <c r="CJ555" s="1065"/>
      <c r="CK555" s="1065"/>
      <c r="CL555" s="1065"/>
      <c r="CM555" s="1065"/>
      <c r="CN555" s="1065"/>
      <c r="CO555" s="1065"/>
      <c r="CP555" s="1065"/>
      <c r="CQ555" s="1065"/>
      <c r="CR555" s="1065"/>
      <c r="CS555" s="1065"/>
      <c r="CT555" s="1065"/>
      <c r="CU555" s="1065"/>
      <c r="CV555" s="1065"/>
      <c r="CW555" s="1065"/>
      <c r="CX555" s="1065"/>
      <c r="CY555" s="1065"/>
      <c r="CZ555" s="1065"/>
      <c r="DA555" s="1065"/>
      <c r="DB555" s="1065"/>
    </row>
    <row r="556" spans="1:106" ht="25.5" customHeight="1" thickBot="1">
      <c r="A556" s="1065"/>
      <c r="B556" s="1065"/>
      <c r="C556" s="1218" t="s">
        <v>665</v>
      </c>
      <c r="D556" s="1753" t="s">
        <v>947</v>
      </c>
      <c r="E556" s="1753"/>
      <c r="F556" s="1753"/>
      <c r="G556" s="1753"/>
      <c r="H556" s="1681" t="s">
        <v>657</v>
      </c>
      <c r="I556" s="1681"/>
      <c r="J556" s="1754" t="s">
        <v>948</v>
      </c>
      <c r="K556" s="1754"/>
      <c r="L556" s="1754"/>
      <c r="M556" s="1694" t="s">
        <v>949</v>
      </c>
      <c r="N556" s="1694"/>
      <c r="O556" s="1694"/>
      <c r="P556" s="1694"/>
      <c r="Q556" s="1694"/>
      <c r="R556" s="1694"/>
      <c r="S556" s="1112">
        <v>24457.15</v>
      </c>
      <c r="T556" s="1738"/>
      <c r="U556" s="1739"/>
      <c r="V556" s="1065"/>
      <c r="W556" s="1065"/>
      <c r="X556" s="1065"/>
      <c r="Y556" s="1065"/>
      <c r="Z556" s="1065"/>
      <c r="AA556" s="1065"/>
      <c r="AB556" s="1065"/>
      <c r="AC556" s="1065"/>
      <c r="AD556" s="1065"/>
      <c r="AE556" s="1065"/>
      <c r="AF556" s="1065"/>
      <c r="AG556" s="1065"/>
      <c r="AH556" s="1065"/>
      <c r="AI556" s="1065"/>
      <c r="AJ556" s="1065"/>
      <c r="AK556" s="1065"/>
      <c r="AL556" s="1065"/>
      <c r="AM556" s="1065"/>
      <c r="AN556" s="1065"/>
      <c r="AO556" s="1065"/>
      <c r="AP556" s="1065"/>
      <c r="AQ556" s="1065"/>
      <c r="AR556" s="1065"/>
      <c r="AS556" s="1065"/>
      <c r="AT556" s="1065"/>
      <c r="AU556" s="1065"/>
      <c r="AV556" s="1065"/>
      <c r="AW556" s="1065"/>
      <c r="AX556" s="1065"/>
      <c r="AY556" s="1065"/>
      <c r="AZ556" s="1065"/>
      <c r="BA556" s="1065"/>
      <c r="BB556" s="1065"/>
      <c r="BC556" s="1065"/>
      <c r="BD556" s="1065"/>
      <c r="BE556" s="1065"/>
      <c r="BF556" s="1065"/>
      <c r="BG556" s="1065"/>
      <c r="BH556" s="1065"/>
      <c r="BI556" s="1065"/>
      <c r="BJ556" s="1065"/>
      <c r="BK556" s="1065"/>
      <c r="BL556" s="1065"/>
      <c r="BM556" s="1065"/>
      <c r="BN556" s="1065"/>
      <c r="BO556" s="1065"/>
      <c r="BP556" s="1065"/>
      <c r="BQ556" s="1065"/>
      <c r="BR556" s="1065"/>
      <c r="BS556" s="1065"/>
      <c r="BT556" s="1065"/>
      <c r="BU556" s="1065"/>
      <c r="BV556" s="1065"/>
      <c r="BW556" s="1065"/>
      <c r="BX556" s="1065"/>
      <c r="BY556" s="1065"/>
      <c r="BZ556" s="1065"/>
      <c r="CA556" s="1065"/>
      <c r="CB556" s="1065"/>
      <c r="CC556" s="1065"/>
      <c r="CD556" s="1065"/>
      <c r="CE556" s="1065"/>
      <c r="CF556" s="1065"/>
      <c r="CG556" s="1065"/>
      <c r="CH556" s="1065"/>
      <c r="CI556" s="1065"/>
      <c r="CJ556" s="1065"/>
      <c r="CK556" s="1065"/>
      <c r="CL556" s="1065"/>
      <c r="CM556" s="1065"/>
      <c r="CN556" s="1065"/>
      <c r="CO556" s="1065"/>
      <c r="CP556" s="1065"/>
      <c r="CQ556" s="1065"/>
      <c r="CR556" s="1065"/>
      <c r="CS556" s="1065"/>
      <c r="CT556" s="1065"/>
      <c r="CU556" s="1065"/>
      <c r="CV556" s="1065"/>
      <c r="CW556" s="1065"/>
      <c r="CX556" s="1065"/>
      <c r="CY556" s="1065"/>
      <c r="CZ556" s="1065"/>
      <c r="DA556" s="1065"/>
      <c r="DB556" s="1065"/>
    </row>
    <row r="557" spans="1:106" ht="15" customHeight="1" thickBot="1">
      <c r="A557" s="1065"/>
      <c r="B557" s="1065"/>
      <c r="C557" s="1218" t="s">
        <v>679</v>
      </c>
      <c r="D557" s="1753" t="s">
        <v>950</v>
      </c>
      <c r="E557" s="1753"/>
      <c r="F557" s="1753"/>
      <c r="G557" s="1753"/>
      <c r="H557" s="1756" t="s">
        <v>671</v>
      </c>
      <c r="I557" s="1756"/>
      <c r="J557" s="1694" t="s">
        <v>951</v>
      </c>
      <c r="K557" s="1694"/>
      <c r="L557" s="1694"/>
      <c r="M557" s="1694" t="s">
        <v>952</v>
      </c>
      <c r="N557" s="1694"/>
      <c r="O557" s="1694"/>
      <c r="P557" s="1694"/>
      <c r="Q557" s="1694"/>
      <c r="R557" s="1694"/>
      <c r="S557" s="1112">
        <v>3600</v>
      </c>
      <c r="T557" s="1738"/>
      <c r="U557" s="1739"/>
      <c r="V557" s="1065"/>
      <c r="W557" s="1065"/>
      <c r="X557" s="1065"/>
      <c r="Y557" s="1065"/>
      <c r="Z557" s="1065"/>
      <c r="AA557" s="1065"/>
      <c r="AB557" s="1065"/>
      <c r="AC557" s="1065"/>
      <c r="AD557" s="1065"/>
      <c r="AE557" s="1065"/>
      <c r="AF557" s="1065"/>
      <c r="AG557" s="1065"/>
      <c r="AH557" s="1065"/>
      <c r="AI557" s="1065"/>
      <c r="AJ557" s="1065"/>
      <c r="AK557" s="1065"/>
      <c r="AL557" s="1065"/>
      <c r="AM557" s="1065"/>
      <c r="AN557" s="1065"/>
      <c r="AO557" s="1065"/>
      <c r="AP557" s="1065"/>
      <c r="AQ557" s="1065"/>
      <c r="AR557" s="1065"/>
      <c r="AS557" s="1065"/>
      <c r="AT557" s="1065"/>
      <c r="AU557" s="1065"/>
      <c r="AV557" s="1065"/>
      <c r="AW557" s="1065"/>
      <c r="AX557" s="1065"/>
      <c r="AY557" s="1065"/>
      <c r="AZ557" s="1065"/>
      <c r="BA557" s="1065"/>
      <c r="BB557" s="1065"/>
      <c r="BC557" s="1065"/>
      <c r="BD557" s="1065"/>
      <c r="BE557" s="1065"/>
      <c r="BF557" s="1065"/>
      <c r="BG557" s="1065"/>
      <c r="BH557" s="1065"/>
      <c r="BI557" s="1065"/>
      <c r="BJ557" s="1065"/>
      <c r="BK557" s="1065"/>
      <c r="BL557" s="1065"/>
      <c r="BM557" s="1065"/>
      <c r="BN557" s="1065"/>
      <c r="BO557" s="1065"/>
      <c r="BP557" s="1065"/>
      <c r="BQ557" s="1065"/>
      <c r="BR557" s="1065"/>
      <c r="BS557" s="1065"/>
      <c r="BT557" s="1065"/>
      <c r="BU557" s="1065"/>
      <c r="BV557" s="1065"/>
      <c r="BW557" s="1065"/>
      <c r="BX557" s="1065"/>
      <c r="BY557" s="1065"/>
      <c r="BZ557" s="1065"/>
      <c r="CA557" s="1065"/>
      <c r="CB557" s="1065"/>
      <c r="CC557" s="1065"/>
      <c r="CD557" s="1065"/>
      <c r="CE557" s="1065"/>
      <c r="CF557" s="1065"/>
      <c r="CG557" s="1065"/>
      <c r="CH557" s="1065"/>
      <c r="CI557" s="1065"/>
      <c r="CJ557" s="1065"/>
      <c r="CK557" s="1065"/>
      <c r="CL557" s="1065"/>
      <c r="CM557" s="1065"/>
      <c r="CN557" s="1065"/>
      <c r="CO557" s="1065"/>
      <c r="CP557" s="1065"/>
      <c r="CQ557" s="1065"/>
      <c r="CR557" s="1065"/>
      <c r="CS557" s="1065"/>
      <c r="CT557" s="1065"/>
      <c r="CU557" s="1065"/>
      <c r="CV557" s="1065"/>
      <c r="CW557" s="1065"/>
      <c r="CX557" s="1065"/>
      <c r="CY557" s="1065"/>
      <c r="CZ557" s="1065"/>
      <c r="DA557" s="1065"/>
      <c r="DB557" s="1065"/>
    </row>
    <row r="558" spans="1:106" ht="15" customHeight="1" thickBot="1">
      <c r="A558" s="1065"/>
      <c r="B558" s="1065"/>
      <c r="C558" s="1218" t="s">
        <v>679</v>
      </c>
      <c r="D558" s="1753" t="s">
        <v>950</v>
      </c>
      <c r="E558" s="1753"/>
      <c r="F558" s="1753"/>
      <c r="G558" s="1753"/>
      <c r="H558" s="1756" t="s">
        <v>671</v>
      </c>
      <c r="I558" s="1756"/>
      <c r="J558" s="1694" t="s">
        <v>953</v>
      </c>
      <c r="K558" s="1694"/>
      <c r="L558" s="1694"/>
      <c r="M558" s="1694" t="s">
        <v>954</v>
      </c>
      <c r="N558" s="1694"/>
      <c r="O558" s="1694"/>
      <c r="P558" s="1694"/>
      <c r="Q558" s="1694"/>
      <c r="R558" s="1694"/>
      <c r="S558" s="1112">
        <v>17748</v>
      </c>
      <c r="T558" s="1738"/>
      <c r="U558" s="1739"/>
      <c r="V558" s="1065"/>
      <c r="W558" s="1065"/>
      <c r="X558" s="1065"/>
      <c r="Y558" s="1065"/>
      <c r="Z558" s="1065"/>
      <c r="AA558" s="1065"/>
      <c r="AB558" s="1065"/>
      <c r="AC558" s="1065"/>
      <c r="AD558" s="1065"/>
      <c r="AE558" s="1065"/>
      <c r="AF558" s="1065"/>
      <c r="AG558" s="1065"/>
      <c r="AH558" s="1065"/>
      <c r="AI558" s="1065"/>
      <c r="AJ558" s="1065"/>
      <c r="AK558" s="1065"/>
      <c r="AL558" s="1065"/>
      <c r="AM558" s="1065"/>
      <c r="AN558" s="1065"/>
      <c r="AO558" s="1065"/>
      <c r="AP558" s="1065"/>
      <c r="AQ558" s="1065"/>
      <c r="AR558" s="1065"/>
      <c r="AS558" s="1065"/>
      <c r="AT558" s="1065"/>
      <c r="AU558" s="1065"/>
      <c r="AV558" s="1065"/>
      <c r="AW558" s="1065"/>
      <c r="AX558" s="1065"/>
      <c r="AY558" s="1065"/>
      <c r="AZ558" s="1065"/>
      <c r="BA558" s="1065"/>
      <c r="BB558" s="1065"/>
      <c r="BC558" s="1065"/>
      <c r="BD558" s="1065"/>
      <c r="BE558" s="1065"/>
      <c r="BF558" s="1065"/>
      <c r="BG558" s="1065"/>
      <c r="BH558" s="1065"/>
      <c r="BI558" s="1065"/>
      <c r="BJ558" s="1065"/>
      <c r="BK558" s="1065"/>
      <c r="BL558" s="1065"/>
      <c r="BM558" s="1065"/>
      <c r="BN558" s="1065"/>
      <c r="BO558" s="1065"/>
      <c r="BP558" s="1065"/>
      <c r="BQ558" s="1065"/>
      <c r="BR558" s="1065"/>
      <c r="BS558" s="1065"/>
      <c r="BT558" s="1065"/>
      <c r="BU558" s="1065"/>
      <c r="BV558" s="1065"/>
      <c r="BW558" s="1065"/>
      <c r="BX558" s="1065"/>
      <c r="BY558" s="1065"/>
      <c r="BZ558" s="1065"/>
      <c r="CA558" s="1065"/>
      <c r="CB558" s="1065"/>
      <c r="CC558" s="1065"/>
      <c r="CD558" s="1065"/>
      <c r="CE558" s="1065"/>
      <c r="CF558" s="1065"/>
      <c r="CG558" s="1065"/>
      <c r="CH558" s="1065"/>
      <c r="CI558" s="1065"/>
      <c r="CJ558" s="1065"/>
      <c r="CK558" s="1065"/>
      <c r="CL558" s="1065"/>
      <c r="CM558" s="1065"/>
      <c r="CN558" s="1065"/>
      <c r="CO558" s="1065"/>
      <c r="CP558" s="1065"/>
      <c r="CQ558" s="1065"/>
      <c r="CR558" s="1065"/>
      <c r="CS558" s="1065"/>
      <c r="CT558" s="1065"/>
      <c r="CU558" s="1065"/>
      <c r="CV558" s="1065"/>
      <c r="CW558" s="1065"/>
      <c r="CX558" s="1065"/>
      <c r="CY558" s="1065"/>
      <c r="CZ558" s="1065"/>
      <c r="DA558" s="1065"/>
      <c r="DB558" s="1065"/>
    </row>
    <row r="559" spans="1:106" ht="15" customHeight="1" thickBot="1">
      <c r="A559" s="1065"/>
      <c r="B559" s="1065"/>
      <c r="C559" s="1218" t="s">
        <v>669</v>
      </c>
      <c r="D559" s="1753" t="s">
        <v>955</v>
      </c>
      <c r="E559" s="1753"/>
      <c r="F559" s="1753"/>
      <c r="G559" s="1753"/>
      <c r="H559" s="1756" t="s">
        <v>657</v>
      </c>
      <c r="I559" s="1756"/>
      <c r="J559" s="1694" t="s">
        <v>956</v>
      </c>
      <c r="K559" s="1694"/>
      <c r="L559" s="1694"/>
      <c r="M559" s="1694" t="s">
        <v>957</v>
      </c>
      <c r="N559" s="1694"/>
      <c r="O559" s="1694"/>
      <c r="P559" s="1694"/>
      <c r="Q559" s="1694"/>
      <c r="R559" s="1694"/>
      <c r="S559" s="1112">
        <v>2362.1999999999998</v>
      </c>
      <c r="T559" s="1738"/>
      <c r="U559" s="1739"/>
      <c r="V559" s="1065"/>
      <c r="W559" s="1065"/>
      <c r="X559" s="1065"/>
      <c r="Y559" s="1065"/>
      <c r="Z559" s="1065"/>
      <c r="AA559" s="1065"/>
      <c r="AB559" s="1065"/>
      <c r="AC559" s="1065"/>
      <c r="AD559" s="1065"/>
      <c r="AE559" s="1065"/>
      <c r="AF559" s="1065"/>
      <c r="AG559" s="1065"/>
      <c r="AH559" s="1065"/>
      <c r="AI559" s="1065"/>
      <c r="AJ559" s="1065"/>
      <c r="AK559" s="1065"/>
      <c r="AL559" s="1065"/>
      <c r="AM559" s="1065"/>
      <c r="AN559" s="1065"/>
      <c r="AO559" s="1065"/>
      <c r="AP559" s="1065"/>
      <c r="AQ559" s="1065"/>
      <c r="AR559" s="1065"/>
      <c r="AS559" s="1065"/>
      <c r="AT559" s="1065"/>
      <c r="AU559" s="1065"/>
      <c r="AV559" s="1065"/>
      <c r="AW559" s="1065"/>
      <c r="AX559" s="1065"/>
      <c r="AY559" s="1065"/>
      <c r="AZ559" s="1065"/>
      <c r="BA559" s="1065"/>
      <c r="BB559" s="1065"/>
      <c r="BC559" s="1065"/>
      <c r="BD559" s="1065"/>
      <c r="BE559" s="1065"/>
      <c r="BF559" s="1065"/>
      <c r="BG559" s="1065"/>
      <c r="BH559" s="1065"/>
      <c r="BI559" s="1065"/>
      <c r="BJ559" s="1065"/>
      <c r="BK559" s="1065"/>
      <c r="BL559" s="1065"/>
      <c r="BM559" s="1065"/>
      <c r="BN559" s="1065"/>
      <c r="BO559" s="1065"/>
      <c r="BP559" s="1065"/>
      <c r="BQ559" s="1065"/>
      <c r="BR559" s="1065"/>
      <c r="BS559" s="1065"/>
      <c r="BT559" s="1065"/>
      <c r="BU559" s="1065"/>
      <c r="BV559" s="1065"/>
      <c r="BW559" s="1065"/>
      <c r="BX559" s="1065"/>
      <c r="BY559" s="1065"/>
      <c r="BZ559" s="1065"/>
      <c r="CA559" s="1065"/>
      <c r="CB559" s="1065"/>
      <c r="CC559" s="1065"/>
      <c r="CD559" s="1065"/>
      <c r="CE559" s="1065"/>
      <c r="CF559" s="1065"/>
      <c r="CG559" s="1065"/>
      <c r="CH559" s="1065"/>
      <c r="CI559" s="1065"/>
      <c r="CJ559" s="1065"/>
      <c r="CK559" s="1065"/>
      <c r="CL559" s="1065"/>
      <c r="CM559" s="1065"/>
      <c r="CN559" s="1065"/>
      <c r="CO559" s="1065"/>
      <c r="CP559" s="1065"/>
      <c r="CQ559" s="1065"/>
      <c r="CR559" s="1065"/>
      <c r="CS559" s="1065"/>
      <c r="CT559" s="1065"/>
      <c r="CU559" s="1065"/>
      <c r="CV559" s="1065"/>
      <c r="CW559" s="1065"/>
      <c r="CX559" s="1065"/>
      <c r="CY559" s="1065"/>
      <c r="CZ559" s="1065"/>
      <c r="DA559" s="1065"/>
      <c r="DB559" s="1065"/>
    </row>
    <row r="560" spans="1:106" ht="15" customHeight="1" thickBot="1">
      <c r="A560" s="1065"/>
      <c r="B560" s="1065"/>
      <c r="C560" s="1217" t="s">
        <v>679</v>
      </c>
      <c r="D560" s="1755" t="s">
        <v>958</v>
      </c>
      <c r="E560" s="1755"/>
      <c r="F560" s="1755"/>
      <c r="G560" s="1755"/>
      <c r="H560" s="1756" t="s">
        <v>671</v>
      </c>
      <c r="I560" s="1756"/>
      <c r="J560" s="1747" t="s">
        <v>959</v>
      </c>
      <c r="K560" s="1747"/>
      <c r="L560" s="1747"/>
      <c r="M560" s="1694" t="s">
        <v>960</v>
      </c>
      <c r="N560" s="1694"/>
      <c r="O560" s="1694"/>
      <c r="P560" s="1694"/>
      <c r="Q560" s="1694"/>
      <c r="R560" s="1694"/>
      <c r="S560" s="1112">
        <v>671.98</v>
      </c>
      <c r="T560" s="1738"/>
      <c r="U560" s="1739"/>
      <c r="V560" s="1065"/>
      <c r="W560" s="1065"/>
      <c r="X560" s="1065"/>
      <c r="Y560" s="1065"/>
      <c r="Z560" s="1065"/>
      <c r="AA560" s="1065"/>
      <c r="AB560" s="1065"/>
      <c r="AC560" s="1065"/>
      <c r="AD560" s="1065"/>
      <c r="AE560" s="1065"/>
      <c r="AF560" s="1065"/>
      <c r="AG560" s="1065"/>
      <c r="AH560" s="1065"/>
      <c r="AI560" s="1065"/>
      <c r="AJ560" s="1065"/>
      <c r="AK560" s="1065"/>
      <c r="AL560" s="1065"/>
      <c r="AM560" s="1065"/>
      <c r="AN560" s="1065"/>
      <c r="AO560" s="1065"/>
      <c r="AP560" s="1065"/>
      <c r="AQ560" s="1065"/>
      <c r="AR560" s="1065"/>
      <c r="AS560" s="1065"/>
      <c r="AT560" s="1065"/>
      <c r="AU560" s="1065"/>
      <c r="AV560" s="1065"/>
      <c r="AW560" s="1065"/>
      <c r="AX560" s="1065"/>
      <c r="AY560" s="1065"/>
      <c r="AZ560" s="1065"/>
      <c r="BA560" s="1065"/>
      <c r="BB560" s="1065"/>
      <c r="BC560" s="1065"/>
      <c r="BD560" s="1065"/>
      <c r="BE560" s="1065"/>
      <c r="BF560" s="1065"/>
      <c r="BG560" s="1065"/>
      <c r="BH560" s="1065"/>
      <c r="BI560" s="1065"/>
      <c r="BJ560" s="1065"/>
      <c r="BK560" s="1065"/>
      <c r="BL560" s="1065"/>
      <c r="BM560" s="1065"/>
      <c r="BN560" s="1065"/>
      <c r="BO560" s="1065"/>
      <c r="BP560" s="1065"/>
      <c r="BQ560" s="1065"/>
      <c r="BR560" s="1065"/>
      <c r="BS560" s="1065"/>
      <c r="BT560" s="1065"/>
      <c r="BU560" s="1065"/>
      <c r="BV560" s="1065"/>
      <c r="BW560" s="1065"/>
      <c r="BX560" s="1065"/>
      <c r="BY560" s="1065"/>
      <c r="BZ560" s="1065"/>
      <c r="CA560" s="1065"/>
      <c r="CB560" s="1065"/>
      <c r="CC560" s="1065"/>
      <c r="CD560" s="1065"/>
      <c r="CE560" s="1065"/>
      <c r="CF560" s="1065"/>
      <c r="CG560" s="1065"/>
      <c r="CH560" s="1065"/>
      <c r="CI560" s="1065"/>
      <c r="CJ560" s="1065"/>
      <c r="CK560" s="1065"/>
      <c r="CL560" s="1065"/>
      <c r="CM560" s="1065"/>
      <c r="CN560" s="1065"/>
      <c r="CO560" s="1065"/>
      <c r="CP560" s="1065"/>
      <c r="CQ560" s="1065"/>
      <c r="CR560" s="1065"/>
      <c r="CS560" s="1065"/>
      <c r="CT560" s="1065"/>
      <c r="CU560" s="1065"/>
      <c r="CV560" s="1065"/>
      <c r="CW560" s="1065"/>
      <c r="CX560" s="1065"/>
      <c r="CY560" s="1065"/>
      <c r="CZ560" s="1065"/>
      <c r="DA560" s="1065"/>
      <c r="DB560" s="1065"/>
    </row>
    <row r="561" spans="1:106" ht="15" customHeight="1" thickBot="1">
      <c r="A561" s="1065"/>
      <c r="B561" s="1065"/>
      <c r="C561" s="1217" t="s">
        <v>665</v>
      </c>
      <c r="D561" s="1753" t="s">
        <v>913</v>
      </c>
      <c r="E561" s="1753"/>
      <c r="F561" s="1753"/>
      <c r="G561" s="1753"/>
      <c r="H561" s="1681" t="s">
        <v>657</v>
      </c>
      <c r="I561" s="1681"/>
      <c r="J561" s="1694" t="s">
        <v>961</v>
      </c>
      <c r="K561" s="1694"/>
      <c r="L561" s="1694"/>
      <c r="M561" s="1694" t="s">
        <v>962</v>
      </c>
      <c r="N561" s="1694"/>
      <c r="O561" s="1694"/>
      <c r="P561" s="1694"/>
      <c r="Q561" s="1694"/>
      <c r="R561" s="1694"/>
      <c r="S561" s="1112">
        <v>36661.199999999997</v>
      </c>
      <c r="T561" s="1738"/>
      <c r="U561" s="1739"/>
      <c r="V561" s="1065"/>
      <c r="W561" s="1065"/>
      <c r="X561" s="1065"/>
      <c r="Y561" s="1065"/>
      <c r="Z561" s="1065"/>
      <c r="AA561" s="1065"/>
      <c r="AB561" s="1065"/>
      <c r="AC561" s="1065"/>
      <c r="AD561" s="1065"/>
      <c r="AE561" s="1065"/>
      <c r="AF561" s="1065"/>
      <c r="AG561" s="1065"/>
      <c r="AH561" s="1065"/>
      <c r="AI561" s="1065"/>
      <c r="AJ561" s="1065"/>
      <c r="AK561" s="1065"/>
      <c r="AL561" s="1065"/>
      <c r="AM561" s="1065"/>
      <c r="AN561" s="1065"/>
      <c r="AO561" s="1065"/>
      <c r="AP561" s="1065"/>
      <c r="AQ561" s="1065"/>
      <c r="AR561" s="1065"/>
      <c r="AS561" s="1065"/>
      <c r="AT561" s="1065"/>
      <c r="AU561" s="1065"/>
      <c r="AV561" s="1065"/>
      <c r="AW561" s="1065"/>
      <c r="AX561" s="1065"/>
      <c r="AY561" s="1065"/>
      <c r="AZ561" s="1065"/>
      <c r="BA561" s="1065"/>
      <c r="BB561" s="1065"/>
      <c r="BC561" s="1065"/>
      <c r="BD561" s="1065"/>
      <c r="BE561" s="1065"/>
      <c r="BF561" s="1065"/>
      <c r="BG561" s="1065"/>
      <c r="BH561" s="1065"/>
      <c r="BI561" s="1065"/>
      <c r="BJ561" s="1065"/>
      <c r="BK561" s="1065"/>
      <c r="BL561" s="1065"/>
      <c r="BM561" s="1065"/>
      <c r="BN561" s="1065"/>
      <c r="BO561" s="1065"/>
      <c r="BP561" s="1065"/>
      <c r="BQ561" s="1065"/>
      <c r="BR561" s="1065"/>
      <c r="BS561" s="1065"/>
      <c r="BT561" s="1065"/>
      <c r="BU561" s="1065"/>
      <c r="BV561" s="1065"/>
      <c r="BW561" s="1065"/>
      <c r="BX561" s="1065"/>
      <c r="BY561" s="1065"/>
      <c r="BZ561" s="1065"/>
      <c r="CA561" s="1065"/>
      <c r="CB561" s="1065"/>
      <c r="CC561" s="1065"/>
      <c r="CD561" s="1065"/>
      <c r="CE561" s="1065"/>
      <c r="CF561" s="1065"/>
      <c r="CG561" s="1065"/>
      <c r="CH561" s="1065"/>
      <c r="CI561" s="1065"/>
      <c r="CJ561" s="1065"/>
      <c r="CK561" s="1065"/>
      <c r="CL561" s="1065"/>
      <c r="CM561" s="1065"/>
      <c r="CN561" s="1065"/>
      <c r="CO561" s="1065"/>
      <c r="CP561" s="1065"/>
      <c r="CQ561" s="1065"/>
      <c r="CR561" s="1065"/>
      <c r="CS561" s="1065"/>
      <c r="CT561" s="1065"/>
      <c r="CU561" s="1065"/>
      <c r="CV561" s="1065"/>
      <c r="CW561" s="1065"/>
      <c r="CX561" s="1065"/>
      <c r="CY561" s="1065"/>
      <c r="CZ561" s="1065"/>
      <c r="DA561" s="1065"/>
      <c r="DB561" s="1065"/>
    </row>
    <row r="562" spans="1:106" ht="15" customHeight="1" thickBot="1">
      <c r="A562" s="1065"/>
      <c r="B562" s="1065"/>
      <c r="C562" s="1217" t="s">
        <v>963</v>
      </c>
      <c r="D562" s="1753" t="s">
        <v>964</v>
      </c>
      <c r="E562" s="1753"/>
      <c r="F562" s="1753"/>
      <c r="G562" s="1753"/>
      <c r="H562" s="1756" t="s">
        <v>671</v>
      </c>
      <c r="I562" s="1756"/>
      <c r="J562" s="1694" t="s">
        <v>965</v>
      </c>
      <c r="K562" s="1694"/>
      <c r="L562" s="1694"/>
      <c r="M562" s="1694" t="s">
        <v>966</v>
      </c>
      <c r="N562" s="1694"/>
      <c r="O562" s="1694"/>
      <c r="P562" s="1694"/>
      <c r="Q562" s="1694"/>
      <c r="R562" s="1694"/>
      <c r="S562" s="1112">
        <v>3406</v>
      </c>
      <c r="T562" s="1738"/>
      <c r="U562" s="1739"/>
      <c r="V562" s="1065"/>
      <c r="W562" s="1065"/>
      <c r="X562" s="1065"/>
      <c r="Y562" s="1065"/>
      <c r="Z562" s="1065"/>
      <c r="AA562" s="1065"/>
      <c r="AB562" s="1065"/>
      <c r="AC562" s="1065"/>
      <c r="AD562" s="1065"/>
      <c r="AE562" s="1065"/>
      <c r="AF562" s="1065"/>
      <c r="AG562" s="1065"/>
      <c r="AH562" s="1065"/>
      <c r="AI562" s="1065"/>
      <c r="AJ562" s="1065"/>
      <c r="AK562" s="1065"/>
      <c r="AL562" s="1065"/>
      <c r="AM562" s="1065"/>
      <c r="AN562" s="1065"/>
      <c r="AO562" s="1065"/>
      <c r="AP562" s="1065"/>
      <c r="AQ562" s="1065"/>
      <c r="AR562" s="1065"/>
      <c r="AS562" s="1065"/>
      <c r="AT562" s="1065"/>
      <c r="AU562" s="1065"/>
      <c r="AV562" s="1065"/>
      <c r="AW562" s="1065"/>
      <c r="AX562" s="1065"/>
      <c r="AY562" s="1065"/>
      <c r="AZ562" s="1065"/>
      <c r="BA562" s="1065"/>
      <c r="BB562" s="1065"/>
      <c r="BC562" s="1065"/>
      <c r="BD562" s="1065"/>
      <c r="BE562" s="1065"/>
      <c r="BF562" s="1065"/>
      <c r="BG562" s="1065"/>
      <c r="BH562" s="1065"/>
      <c r="BI562" s="1065"/>
      <c r="BJ562" s="1065"/>
      <c r="BK562" s="1065"/>
      <c r="BL562" s="1065"/>
      <c r="BM562" s="1065"/>
      <c r="BN562" s="1065"/>
      <c r="BO562" s="1065"/>
      <c r="BP562" s="1065"/>
      <c r="BQ562" s="1065"/>
      <c r="BR562" s="1065"/>
      <c r="BS562" s="1065"/>
      <c r="BT562" s="1065"/>
      <c r="BU562" s="1065"/>
      <c r="BV562" s="1065"/>
      <c r="BW562" s="1065"/>
      <c r="BX562" s="1065"/>
      <c r="BY562" s="1065"/>
      <c r="BZ562" s="1065"/>
      <c r="CA562" s="1065"/>
      <c r="CB562" s="1065"/>
      <c r="CC562" s="1065"/>
      <c r="CD562" s="1065"/>
      <c r="CE562" s="1065"/>
      <c r="CF562" s="1065"/>
      <c r="CG562" s="1065"/>
      <c r="CH562" s="1065"/>
      <c r="CI562" s="1065"/>
      <c r="CJ562" s="1065"/>
      <c r="CK562" s="1065"/>
      <c r="CL562" s="1065"/>
      <c r="CM562" s="1065"/>
      <c r="CN562" s="1065"/>
      <c r="CO562" s="1065"/>
      <c r="CP562" s="1065"/>
      <c r="CQ562" s="1065"/>
      <c r="CR562" s="1065"/>
      <c r="CS562" s="1065"/>
      <c r="CT562" s="1065"/>
      <c r="CU562" s="1065"/>
      <c r="CV562" s="1065"/>
      <c r="CW562" s="1065"/>
      <c r="CX562" s="1065"/>
      <c r="CY562" s="1065"/>
      <c r="CZ562" s="1065"/>
      <c r="DA562" s="1065"/>
      <c r="DB562" s="1065"/>
    </row>
    <row r="563" spans="1:106" ht="15" customHeight="1" thickBot="1">
      <c r="A563" s="1065"/>
      <c r="B563" s="1065"/>
      <c r="C563" s="1217" t="s">
        <v>967</v>
      </c>
      <c r="D563" s="1755" t="s">
        <v>968</v>
      </c>
      <c r="E563" s="1755"/>
      <c r="F563" s="1755"/>
      <c r="G563" s="1755"/>
      <c r="H563" s="1694" t="s">
        <v>671</v>
      </c>
      <c r="I563" s="1694"/>
      <c r="J563" s="1747" t="s">
        <v>969</v>
      </c>
      <c r="K563" s="1747"/>
      <c r="L563" s="1747"/>
      <c r="M563" s="1694" t="s">
        <v>970</v>
      </c>
      <c r="N563" s="1694"/>
      <c r="O563" s="1694"/>
      <c r="P563" s="1694"/>
      <c r="Q563" s="1694"/>
      <c r="R563" s="1694"/>
      <c r="S563" s="1112">
        <v>5580</v>
      </c>
      <c r="T563" s="1738"/>
      <c r="U563" s="1739"/>
      <c r="V563" s="1065"/>
      <c r="W563" s="1065"/>
      <c r="X563" s="1065"/>
      <c r="Y563" s="1065"/>
      <c r="Z563" s="1065"/>
      <c r="AA563" s="1065"/>
      <c r="AB563" s="1065"/>
      <c r="AC563" s="1065"/>
      <c r="AD563" s="1065"/>
      <c r="AE563" s="1065"/>
      <c r="AF563" s="1065"/>
      <c r="AG563" s="1065"/>
      <c r="AH563" s="1065"/>
      <c r="AI563" s="1065"/>
      <c r="AJ563" s="1065"/>
      <c r="AK563" s="1065"/>
      <c r="AL563" s="1065"/>
      <c r="AM563" s="1065"/>
      <c r="AN563" s="1065"/>
      <c r="AO563" s="1065"/>
      <c r="AP563" s="1065"/>
      <c r="AQ563" s="1065"/>
      <c r="AR563" s="1065"/>
      <c r="AS563" s="1065"/>
      <c r="AT563" s="1065"/>
      <c r="AU563" s="1065"/>
      <c r="AV563" s="1065"/>
      <c r="AW563" s="1065"/>
      <c r="AX563" s="1065"/>
      <c r="AY563" s="1065"/>
      <c r="AZ563" s="1065"/>
      <c r="BA563" s="1065"/>
      <c r="BB563" s="1065"/>
      <c r="BC563" s="1065"/>
      <c r="BD563" s="1065"/>
      <c r="BE563" s="1065"/>
      <c r="BF563" s="1065"/>
      <c r="BG563" s="1065"/>
      <c r="BH563" s="1065"/>
      <c r="BI563" s="1065"/>
      <c r="BJ563" s="1065"/>
      <c r="BK563" s="1065"/>
      <c r="BL563" s="1065"/>
      <c r="BM563" s="1065"/>
      <c r="BN563" s="1065"/>
      <c r="BO563" s="1065"/>
      <c r="BP563" s="1065"/>
      <c r="BQ563" s="1065"/>
      <c r="BR563" s="1065"/>
      <c r="BS563" s="1065"/>
      <c r="BT563" s="1065"/>
      <c r="BU563" s="1065"/>
      <c r="BV563" s="1065"/>
      <c r="BW563" s="1065"/>
      <c r="BX563" s="1065"/>
      <c r="BY563" s="1065"/>
      <c r="BZ563" s="1065"/>
      <c r="CA563" s="1065"/>
      <c r="CB563" s="1065"/>
      <c r="CC563" s="1065"/>
      <c r="CD563" s="1065"/>
      <c r="CE563" s="1065"/>
      <c r="CF563" s="1065"/>
      <c r="CG563" s="1065"/>
      <c r="CH563" s="1065"/>
      <c r="CI563" s="1065"/>
      <c r="CJ563" s="1065"/>
      <c r="CK563" s="1065"/>
      <c r="CL563" s="1065"/>
      <c r="CM563" s="1065"/>
      <c r="CN563" s="1065"/>
      <c r="CO563" s="1065"/>
      <c r="CP563" s="1065"/>
      <c r="CQ563" s="1065"/>
      <c r="CR563" s="1065"/>
      <c r="CS563" s="1065"/>
      <c r="CT563" s="1065"/>
      <c r="CU563" s="1065"/>
      <c r="CV563" s="1065"/>
      <c r="CW563" s="1065"/>
      <c r="CX563" s="1065"/>
      <c r="CY563" s="1065"/>
      <c r="CZ563" s="1065"/>
      <c r="DA563" s="1065"/>
      <c r="DB563" s="1065"/>
    </row>
    <row r="564" spans="1:106" ht="24.75" customHeight="1" thickBot="1">
      <c r="A564" s="1065"/>
      <c r="B564" s="1065"/>
      <c r="C564" s="1217" t="s">
        <v>679</v>
      </c>
      <c r="D564" s="1753" t="s">
        <v>971</v>
      </c>
      <c r="E564" s="1753"/>
      <c r="F564" s="1753"/>
      <c r="G564" s="1753"/>
      <c r="H564" s="1694" t="s">
        <v>671</v>
      </c>
      <c r="I564" s="1694"/>
      <c r="J564" s="1694" t="s">
        <v>972</v>
      </c>
      <c r="K564" s="1694"/>
      <c r="L564" s="1694"/>
      <c r="M564" s="1754" t="s">
        <v>973</v>
      </c>
      <c r="N564" s="1754"/>
      <c r="O564" s="1754"/>
      <c r="P564" s="1754"/>
      <c r="Q564" s="1754"/>
      <c r="R564" s="1754"/>
      <c r="S564" s="1112">
        <v>13920</v>
      </c>
      <c r="T564" s="1738"/>
      <c r="U564" s="1739"/>
      <c r="V564" s="1065"/>
      <c r="W564" s="1065"/>
      <c r="X564" s="1065"/>
      <c r="Y564" s="1065"/>
      <c r="Z564" s="1065"/>
      <c r="AA564" s="1065"/>
      <c r="AB564" s="1065"/>
      <c r="AC564" s="1065"/>
      <c r="AD564" s="1065"/>
      <c r="AE564" s="1065"/>
      <c r="AF564" s="1065"/>
      <c r="AG564" s="1065"/>
      <c r="AH564" s="1065"/>
      <c r="AI564" s="1065"/>
      <c r="AJ564" s="1065"/>
      <c r="AK564" s="1065"/>
      <c r="AL564" s="1065"/>
      <c r="AM564" s="1065"/>
      <c r="AN564" s="1065"/>
      <c r="AO564" s="1065"/>
      <c r="AP564" s="1065"/>
      <c r="AQ564" s="1065"/>
      <c r="AR564" s="1065"/>
      <c r="AS564" s="1065"/>
      <c r="AT564" s="1065"/>
      <c r="AU564" s="1065"/>
      <c r="AV564" s="1065"/>
      <c r="AW564" s="1065"/>
      <c r="AX564" s="1065"/>
      <c r="AY564" s="1065"/>
      <c r="AZ564" s="1065"/>
      <c r="BA564" s="1065"/>
      <c r="BB564" s="1065"/>
      <c r="BC564" s="1065"/>
      <c r="BD564" s="1065"/>
      <c r="BE564" s="1065"/>
      <c r="BF564" s="1065"/>
      <c r="BG564" s="1065"/>
      <c r="BH564" s="1065"/>
      <c r="BI564" s="1065"/>
      <c r="BJ564" s="1065"/>
      <c r="BK564" s="1065"/>
      <c r="BL564" s="1065"/>
      <c r="BM564" s="1065"/>
      <c r="BN564" s="1065"/>
      <c r="BO564" s="1065"/>
      <c r="BP564" s="1065"/>
      <c r="BQ564" s="1065"/>
      <c r="BR564" s="1065"/>
      <c r="BS564" s="1065"/>
      <c r="BT564" s="1065"/>
      <c r="BU564" s="1065"/>
      <c r="BV564" s="1065"/>
      <c r="BW564" s="1065"/>
      <c r="BX564" s="1065"/>
      <c r="BY564" s="1065"/>
      <c r="BZ564" s="1065"/>
      <c r="CA564" s="1065"/>
      <c r="CB564" s="1065"/>
      <c r="CC564" s="1065"/>
      <c r="CD564" s="1065"/>
      <c r="CE564" s="1065"/>
      <c r="CF564" s="1065"/>
      <c r="CG564" s="1065"/>
      <c r="CH564" s="1065"/>
      <c r="CI564" s="1065"/>
      <c r="CJ564" s="1065"/>
      <c r="CK564" s="1065"/>
      <c r="CL564" s="1065"/>
      <c r="CM564" s="1065"/>
      <c r="CN564" s="1065"/>
      <c r="CO564" s="1065"/>
      <c r="CP564" s="1065"/>
      <c r="CQ564" s="1065"/>
      <c r="CR564" s="1065"/>
      <c r="CS564" s="1065"/>
      <c r="CT564" s="1065"/>
      <c r="CU564" s="1065"/>
      <c r="CV564" s="1065"/>
      <c r="CW564" s="1065"/>
      <c r="CX564" s="1065"/>
      <c r="CY564" s="1065"/>
      <c r="CZ564" s="1065"/>
      <c r="DA564" s="1065"/>
      <c r="DB564" s="1065"/>
    </row>
    <row r="565" spans="1:106" ht="18" customHeight="1" thickBot="1">
      <c r="A565" s="1065"/>
      <c r="B565" s="1065"/>
      <c r="C565" s="1217" t="s">
        <v>679</v>
      </c>
      <c r="D565" s="1753" t="s">
        <v>971</v>
      </c>
      <c r="E565" s="1753"/>
      <c r="F565" s="1753"/>
      <c r="G565" s="1753"/>
      <c r="H565" s="1694" t="s">
        <v>671</v>
      </c>
      <c r="I565" s="1694"/>
      <c r="J565" s="1694" t="s">
        <v>974</v>
      </c>
      <c r="K565" s="1694"/>
      <c r="L565" s="1694"/>
      <c r="M565" s="1754" t="s">
        <v>975</v>
      </c>
      <c r="N565" s="1754"/>
      <c r="O565" s="1754"/>
      <c r="P565" s="1754"/>
      <c r="Q565" s="1754"/>
      <c r="R565" s="1754"/>
      <c r="S565" s="1112">
        <v>3020</v>
      </c>
      <c r="T565" s="1738"/>
      <c r="U565" s="1739"/>
      <c r="V565" s="1065"/>
      <c r="W565" s="1065"/>
      <c r="X565" s="1065"/>
      <c r="Y565" s="1065"/>
      <c r="Z565" s="1065"/>
      <c r="AA565" s="1065"/>
      <c r="AB565" s="1065"/>
      <c r="AC565" s="1065"/>
      <c r="AD565" s="1065"/>
      <c r="AE565" s="1065"/>
      <c r="AF565" s="1065"/>
      <c r="AG565" s="1065"/>
      <c r="AH565" s="1065"/>
      <c r="AI565" s="1065"/>
      <c r="AJ565" s="1065"/>
      <c r="AK565" s="1065"/>
      <c r="AL565" s="1065"/>
      <c r="AM565" s="1065"/>
      <c r="AN565" s="1065"/>
      <c r="AO565" s="1065"/>
      <c r="AP565" s="1065"/>
      <c r="AQ565" s="1065"/>
      <c r="AR565" s="1065"/>
      <c r="AS565" s="1065"/>
      <c r="AT565" s="1065"/>
      <c r="AU565" s="1065"/>
      <c r="AV565" s="1065"/>
      <c r="AW565" s="1065"/>
      <c r="AX565" s="1065"/>
      <c r="AY565" s="1065"/>
      <c r="AZ565" s="1065"/>
      <c r="BA565" s="1065"/>
      <c r="BB565" s="1065"/>
      <c r="BC565" s="1065"/>
      <c r="BD565" s="1065"/>
      <c r="BE565" s="1065"/>
      <c r="BF565" s="1065"/>
      <c r="BG565" s="1065"/>
      <c r="BH565" s="1065"/>
      <c r="BI565" s="1065"/>
      <c r="BJ565" s="1065"/>
      <c r="BK565" s="1065"/>
      <c r="BL565" s="1065"/>
      <c r="BM565" s="1065"/>
      <c r="BN565" s="1065"/>
      <c r="BO565" s="1065"/>
      <c r="BP565" s="1065"/>
      <c r="BQ565" s="1065"/>
      <c r="BR565" s="1065"/>
      <c r="BS565" s="1065"/>
      <c r="BT565" s="1065"/>
      <c r="BU565" s="1065"/>
      <c r="BV565" s="1065"/>
      <c r="BW565" s="1065"/>
      <c r="BX565" s="1065"/>
      <c r="BY565" s="1065"/>
      <c r="BZ565" s="1065"/>
      <c r="CA565" s="1065"/>
      <c r="CB565" s="1065"/>
      <c r="CC565" s="1065"/>
      <c r="CD565" s="1065"/>
      <c r="CE565" s="1065"/>
      <c r="CF565" s="1065"/>
      <c r="CG565" s="1065"/>
      <c r="CH565" s="1065"/>
      <c r="CI565" s="1065"/>
      <c r="CJ565" s="1065"/>
      <c r="CK565" s="1065"/>
      <c r="CL565" s="1065"/>
      <c r="CM565" s="1065"/>
      <c r="CN565" s="1065"/>
      <c r="CO565" s="1065"/>
      <c r="CP565" s="1065"/>
      <c r="CQ565" s="1065"/>
      <c r="CR565" s="1065"/>
      <c r="CS565" s="1065"/>
      <c r="CT565" s="1065"/>
      <c r="CU565" s="1065"/>
      <c r="CV565" s="1065"/>
      <c r="CW565" s="1065"/>
      <c r="CX565" s="1065"/>
      <c r="CY565" s="1065"/>
      <c r="CZ565" s="1065"/>
      <c r="DA565" s="1065"/>
      <c r="DB565" s="1065"/>
    </row>
    <row r="566" spans="1:106" ht="15" customHeight="1" thickBot="1">
      <c r="A566" s="1065"/>
      <c r="B566" s="1065"/>
      <c r="C566" s="1217" t="s">
        <v>692</v>
      </c>
      <c r="D566" s="1755" t="s">
        <v>898</v>
      </c>
      <c r="E566" s="1755"/>
      <c r="F566" s="1755"/>
      <c r="G566" s="1755"/>
      <c r="H566" s="1694" t="s">
        <v>657</v>
      </c>
      <c r="I566" s="1694"/>
      <c r="J566" s="1747" t="s">
        <v>976</v>
      </c>
      <c r="K566" s="1747"/>
      <c r="L566" s="1747"/>
      <c r="M566" s="1694" t="s">
        <v>900</v>
      </c>
      <c r="N566" s="1694"/>
      <c r="O566" s="1694"/>
      <c r="P566" s="1694"/>
      <c r="Q566" s="1694"/>
      <c r="R566" s="1694"/>
      <c r="S566" s="1112">
        <v>15975</v>
      </c>
      <c r="T566" s="1738"/>
      <c r="U566" s="1739"/>
      <c r="V566" s="1065"/>
      <c r="W566" s="1065"/>
      <c r="X566" s="1065"/>
      <c r="Y566" s="1065"/>
      <c r="Z566" s="1065"/>
      <c r="AA566" s="1065"/>
      <c r="AB566" s="1065"/>
      <c r="AC566" s="1065"/>
      <c r="AD566" s="1065"/>
      <c r="AE566" s="1065"/>
      <c r="AF566" s="1065"/>
      <c r="AG566" s="1065"/>
      <c r="AH566" s="1065"/>
      <c r="AI566" s="1065"/>
      <c r="AJ566" s="1065"/>
      <c r="AK566" s="1065"/>
      <c r="AL566" s="1065"/>
      <c r="AM566" s="1065"/>
      <c r="AN566" s="1065"/>
      <c r="AO566" s="1065"/>
      <c r="AP566" s="1065"/>
      <c r="AQ566" s="1065"/>
      <c r="AR566" s="1065"/>
      <c r="AS566" s="1065"/>
      <c r="AT566" s="1065"/>
      <c r="AU566" s="1065"/>
      <c r="AV566" s="1065"/>
      <c r="AW566" s="1065"/>
      <c r="AX566" s="1065"/>
      <c r="AY566" s="1065"/>
      <c r="AZ566" s="1065"/>
      <c r="BA566" s="1065"/>
      <c r="BB566" s="1065"/>
      <c r="BC566" s="1065"/>
      <c r="BD566" s="1065"/>
      <c r="BE566" s="1065"/>
      <c r="BF566" s="1065"/>
      <c r="BG566" s="1065"/>
      <c r="BH566" s="1065"/>
      <c r="BI566" s="1065"/>
      <c r="BJ566" s="1065"/>
      <c r="BK566" s="1065"/>
      <c r="BL566" s="1065"/>
      <c r="BM566" s="1065"/>
      <c r="BN566" s="1065"/>
      <c r="BO566" s="1065"/>
      <c r="BP566" s="1065"/>
      <c r="BQ566" s="1065"/>
      <c r="BR566" s="1065"/>
      <c r="BS566" s="1065"/>
      <c r="BT566" s="1065"/>
      <c r="BU566" s="1065"/>
      <c r="BV566" s="1065"/>
      <c r="BW566" s="1065"/>
      <c r="BX566" s="1065"/>
      <c r="BY566" s="1065"/>
      <c r="BZ566" s="1065"/>
      <c r="CA566" s="1065"/>
      <c r="CB566" s="1065"/>
      <c r="CC566" s="1065"/>
      <c r="CD566" s="1065"/>
      <c r="CE566" s="1065"/>
      <c r="CF566" s="1065"/>
      <c r="CG566" s="1065"/>
      <c r="CH566" s="1065"/>
      <c r="CI566" s="1065"/>
      <c r="CJ566" s="1065"/>
      <c r="CK566" s="1065"/>
      <c r="CL566" s="1065"/>
      <c r="CM566" s="1065"/>
      <c r="CN566" s="1065"/>
      <c r="CO566" s="1065"/>
      <c r="CP566" s="1065"/>
      <c r="CQ566" s="1065"/>
      <c r="CR566" s="1065"/>
      <c r="CS566" s="1065"/>
      <c r="CT566" s="1065"/>
      <c r="CU566" s="1065"/>
      <c r="CV566" s="1065"/>
      <c r="CW566" s="1065"/>
      <c r="CX566" s="1065"/>
      <c r="CY566" s="1065"/>
      <c r="CZ566" s="1065"/>
      <c r="DA566" s="1065"/>
      <c r="DB566" s="1065"/>
    </row>
    <row r="567" spans="1:106" ht="15" customHeight="1" thickBot="1">
      <c r="A567" s="1065"/>
      <c r="B567" s="1065"/>
      <c r="C567" s="1217" t="s">
        <v>662</v>
      </c>
      <c r="D567" s="1753" t="s">
        <v>913</v>
      </c>
      <c r="E567" s="1753"/>
      <c r="F567" s="1753"/>
      <c r="G567" s="1753"/>
      <c r="H567" s="1681" t="s">
        <v>657</v>
      </c>
      <c r="I567" s="1681"/>
      <c r="J567" s="1694" t="s">
        <v>977</v>
      </c>
      <c r="K567" s="1694"/>
      <c r="L567" s="1694"/>
      <c r="M567" s="1694" t="s">
        <v>978</v>
      </c>
      <c r="N567" s="1694"/>
      <c r="O567" s="1694"/>
      <c r="P567" s="1694"/>
      <c r="Q567" s="1694"/>
      <c r="R567" s="1694"/>
      <c r="S567" s="1112">
        <v>6480</v>
      </c>
      <c r="T567" s="1738"/>
      <c r="U567" s="1739"/>
      <c r="V567" s="1065"/>
      <c r="W567" s="1065"/>
      <c r="X567" s="1065"/>
      <c r="Y567" s="1065"/>
      <c r="Z567" s="1065"/>
      <c r="AA567" s="1065"/>
      <c r="AB567" s="1065"/>
      <c r="AC567" s="1065"/>
      <c r="AD567" s="1065"/>
      <c r="AE567" s="1065"/>
      <c r="AF567" s="1065"/>
      <c r="AG567" s="1065"/>
      <c r="AH567" s="1065"/>
      <c r="AI567" s="1065"/>
      <c r="AJ567" s="1065"/>
      <c r="AK567" s="1065"/>
      <c r="AL567" s="1065"/>
      <c r="AM567" s="1065"/>
      <c r="AN567" s="1065"/>
      <c r="AO567" s="1065"/>
      <c r="AP567" s="1065"/>
      <c r="AQ567" s="1065"/>
      <c r="AR567" s="1065"/>
      <c r="AS567" s="1065"/>
      <c r="AT567" s="1065"/>
      <c r="AU567" s="1065"/>
      <c r="AV567" s="1065"/>
      <c r="AW567" s="1065"/>
      <c r="AX567" s="1065"/>
      <c r="AY567" s="1065"/>
      <c r="AZ567" s="1065"/>
      <c r="BA567" s="1065"/>
      <c r="BB567" s="1065"/>
      <c r="BC567" s="1065"/>
      <c r="BD567" s="1065"/>
      <c r="BE567" s="1065"/>
      <c r="BF567" s="1065"/>
      <c r="BG567" s="1065"/>
      <c r="BH567" s="1065"/>
      <c r="BI567" s="1065"/>
      <c r="BJ567" s="1065"/>
      <c r="BK567" s="1065"/>
      <c r="BL567" s="1065"/>
      <c r="BM567" s="1065"/>
      <c r="BN567" s="1065"/>
      <c r="BO567" s="1065"/>
      <c r="BP567" s="1065"/>
      <c r="BQ567" s="1065"/>
      <c r="BR567" s="1065"/>
      <c r="BS567" s="1065"/>
      <c r="BT567" s="1065"/>
      <c r="BU567" s="1065"/>
      <c r="BV567" s="1065"/>
      <c r="BW567" s="1065"/>
      <c r="BX567" s="1065"/>
      <c r="BY567" s="1065"/>
      <c r="BZ567" s="1065"/>
      <c r="CA567" s="1065"/>
      <c r="CB567" s="1065"/>
      <c r="CC567" s="1065"/>
      <c r="CD567" s="1065"/>
      <c r="CE567" s="1065"/>
      <c r="CF567" s="1065"/>
      <c r="CG567" s="1065"/>
      <c r="CH567" s="1065"/>
      <c r="CI567" s="1065"/>
      <c r="CJ567" s="1065"/>
      <c r="CK567" s="1065"/>
      <c r="CL567" s="1065"/>
      <c r="CM567" s="1065"/>
      <c r="CN567" s="1065"/>
      <c r="CO567" s="1065"/>
      <c r="CP567" s="1065"/>
      <c r="CQ567" s="1065"/>
      <c r="CR567" s="1065"/>
      <c r="CS567" s="1065"/>
      <c r="CT567" s="1065"/>
      <c r="CU567" s="1065"/>
      <c r="CV567" s="1065"/>
      <c r="CW567" s="1065"/>
      <c r="CX567" s="1065"/>
      <c r="CY567" s="1065"/>
      <c r="CZ567" s="1065"/>
      <c r="DA567" s="1065"/>
      <c r="DB567" s="1065"/>
    </row>
    <row r="568" spans="1:106" ht="15" customHeight="1" thickBot="1">
      <c r="A568" s="1065"/>
      <c r="B568" s="1065"/>
      <c r="C568" s="1217" t="s">
        <v>665</v>
      </c>
      <c r="D568" s="1753" t="s">
        <v>913</v>
      </c>
      <c r="E568" s="1753"/>
      <c r="F568" s="1753"/>
      <c r="G568" s="1753"/>
      <c r="H568" s="1681" t="s">
        <v>657</v>
      </c>
      <c r="I568" s="1681"/>
      <c r="J568" s="1694" t="s">
        <v>979</v>
      </c>
      <c r="K568" s="1694"/>
      <c r="L568" s="1694"/>
      <c r="M568" s="1694" t="s">
        <v>980</v>
      </c>
      <c r="N568" s="1694"/>
      <c r="O568" s="1694"/>
      <c r="P568" s="1694"/>
      <c r="Q568" s="1694"/>
      <c r="R568" s="1694"/>
      <c r="S568" s="1112">
        <v>21605.78</v>
      </c>
      <c r="T568" s="1738"/>
      <c r="U568" s="1739"/>
      <c r="V568" s="1065"/>
      <c r="W568" s="1065"/>
      <c r="X568" s="1065"/>
      <c r="Y568" s="1065"/>
      <c r="Z568" s="1065"/>
      <c r="AA568" s="1065"/>
      <c r="AB568" s="1065"/>
      <c r="AC568" s="1065"/>
      <c r="AD568" s="1065"/>
      <c r="AE568" s="1065"/>
      <c r="AF568" s="1065"/>
      <c r="AG568" s="1065"/>
      <c r="AH568" s="1065"/>
      <c r="AI568" s="1065"/>
      <c r="AJ568" s="1065"/>
      <c r="AK568" s="1065"/>
      <c r="AL568" s="1065"/>
      <c r="AM568" s="1065"/>
      <c r="AN568" s="1065"/>
      <c r="AO568" s="1065"/>
      <c r="AP568" s="1065"/>
      <c r="AQ568" s="1065"/>
      <c r="AR568" s="1065"/>
      <c r="AS568" s="1065"/>
      <c r="AT568" s="1065"/>
      <c r="AU568" s="1065"/>
      <c r="AV568" s="1065"/>
      <c r="AW568" s="1065"/>
      <c r="AX568" s="1065"/>
      <c r="AY568" s="1065"/>
      <c r="AZ568" s="1065"/>
      <c r="BA568" s="1065"/>
      <c r="BB568" s="1065"/>
      <c r="BC568" s="1065"/>
      <c r="BD568" s="1065"/>
      <c r="BE568" s="1065"/>
      <c r="BF568" s="1065"/>
      <c r="BG568" s="1065"/>
      <c r="BH568" s="1065"/>
      <c r="BI568" s="1065"/>
      <c r="BJ568" s="1065"/>
      <c r="BK568" s="1065"/>
      <c r="BL568" s="1065"/>
      <c r="BM568" s="1065"/>
      <c r="BN568" s="1065"/>
      <c r="BO568" s="1065"/>
      <c r="BP568" s="1065"/>
      <c r="BQ568" s="1065"/>
      <c r="BR568" s="1065"/>
      <c r="BS568" s="1065"/>
      <c r="BT568" s="1065"/>
      <c r="BU568" s="1065"/>
      <c r="BV568" s="1065"/>
      <c r="BW568" s="1065"/>
      <c r="BX568" s="1065"/>
      <c r="BY568" s="1065"/>
      <c r="BZ568" s="1065"/>
      <c r="CA568" s="1065"/>
      <c r="CB568" s="1065"/>
      <c r="CC568" s="1065"/>
      <c r="CD568" s="1065"/>
      <c r="CE568" s="1065"/>
      <c r="CF568" s="1065"/>
      <c r="CG568" s="1065"/>
      <c r="CH568" s="1065"/>
      <c r="CI568" s="1065"/>
      <c r="CJ568" s="1065"/>
      <c r="CK568" s="1065"/>
      <c r="CL568" s="1065"/>
      <c r="CM568" s="1065"/>
      <c r="CN568" s="1065"/>
      <c r="CO568" s="1065"/>
      <c r="CP568" s="1065"/>
      <c r="CQ568" s="1065"/>
      <c r="CR568" s="1065"/>
      <c r="CS568" s="1065"/>
      <c r="CT568" s="1065"/>
      <c r="CU568" s="1065"/>
      <c r="CV568" s="1065"/>
      <c r="CW568" s="1065"/>
      <c r="CX568" s="1065"/>
      <c r="CY568" s="1065"/>
      <c r="CZ568" s="1065"/>
      <c r="DA568" s="1065"/>
      <c r="DB568" s="1065"/>
    </row>
    <row r="569" spans="1:106" ht="15" customHeight="1" thickBot="1">
      <c r="A569" s="1065"/>
      <c r="B569" s="1065"/>
      <c r="C569" s="1217" t="s">
        <v>666</v>
      </c>
      <c r="D569" s="1753" t="s">
        <v>913</v>
      </c>
      <c r="E569" s="1753"/>
      <c r="F569" s="1753"/>
      <c r="G569" s="1753"/>
      <c r="H569" s="1681" t="s">
        <v>657</v>
      </c>
      <c r="I569" s="1681"/>
      <c r="J569" s="1694" t="s">
        <v>981</v>
      </c>
      <c r="K569" s="1694"/>
      <c r="L569" s="1694"/>
      <c r="M569" s="1694" t="s">
        <v>982</v>
      </c>
      <c r="N569" s="1694"/>
      <c r="O569" s="1694"/>
      <c r="P569" s="1694"/>
      <c r="Q569" s="1694"/>
      <c r="R569" s="1694"/>
      <c r="S569" s="1112">
        <v>6073.44</v>
      </c>
      <c r="T569" s="1738"/>
      <c r="U569" s="1739"/>
      <c r="V569" s="1065"/>
      <c r="W569" s="1065"/>
      <c r="X569" s="1065"/>
      <c r="Y569" s="1065"/>
      <c r="Z569" s="1065"/>
      <c r="AA569" s="1065"/>
      <c r="AB569" s="1065"/>
      <c r="AC569" s="1065"/>
      <c r="AD569" s="1065"/>
      <c r="AE569" s="1065"/>
      <c r="AF569" s="1065"/>
      <c r="AG569" s="1065"/>
      <c r="AH569" s="1065"/>
      <c r="AI569" s="1065"/>
      <c r="AJ569" s="1065"/>
      <c r="AK569" s="1065"/>
      <c r="AL569" s="1065"/>
      <c r="AM569" s="1065"/>
      <c r="AN569" s="1065"/>
      <c r="AO569" s="1065"/>
      <c r="AP569" s="1065"/>
      <c r="AQ569" s="1065"/>
      <c r="AR569" s="1065"/>
      <c r="AS569" s="1065"/>
      <c r="AT569" s="1065"/>
      <c r="AU569" s="1065"/>
      <c r="AV569" s="1065"/>
      <c r="AW569" s="1065"/>
      <c r="AX569" s="1065"/>
      <c r="AY569" s="1065"/>
      <c r="AZ569" s="1065"/>
      <c r="BA569" s="1065"/>
      <c r="BB569" s="1065"/>
      <c r="BC569" s="1065"/>
      <c r="BD569" s="1065"/>
      <c r="BE569" s="1065"/>
      <c r="BF569" s="1065"/>
      <c r="BG569" s="1065"/>
      <c r="BH569" s="1065"/>
      <c r="BI569" s="1065"/>
      <c r="BJ569" s="1065"/>
      <c r="BK569" s="1065"/>
      <c r="BL569" s="1065"/>
      <c r="BM569" s="1065"/>
      <c r="BN569" s="1065"/>
      <c r="BO569" s="1065"/>
      <c r="BP569" s="1065"/>
      <c r="BQ569" s="1065"/>
      <c r="BR569" s="1065"/>
      <c r="BS569" s="1065"/>
      <c r="BT569" s="1065"/>
      <c r="BU569" s="1065"/>
      <c r="BV569" s="1065"/>
      <c r="BW569" s="1065"/>
      <c r="BX569" s="1065"/>
      <c r="BY569" s="1065"/>
      <c r="BZ569" s="1065"/>
      <c r="CA569" s="1065"/>
      <c r="CB569" s="1065"/>
      <c r="CC569" s="1065"/>
      <c r="CD569" s="1065"/>
      <c r="CE569" s="1065"/>
      <c r="CF569" s="1065"/>
      <c r="CG569" s="1065"/>
      <c r="CH569" s="1065"/>
      <c r="CI569" s="1065"/>
      <c r="CJ569" s="1065"/>
      <c r="CK569" s="1065"/>
      <c r="CL569" s="1065"/>
      <c r="CM569" s="1065"/>
      <c r="CN569" s="1065"/>
      <c r="CO569" s="1065"/>
      <c r="CP569" s="1065"/>
      <c r="CQ569" s="1065"/>
      <c r="CR569" s="1065"/>
      <c r="CS569" s="1065"/>
      <c r="CT569" s="1065"/>
      <c r="CU569" s="1065"/>
      <c r="CV569" s="1065"/>
      <c r="CW569" s="1065"/>
      <c r="CX569" s="1065"/>
      <c r="CY569" s="1065"/>
      <c r="CZ569" s="1065"/>
      <c r="DA569" s="1065"/>
      <c r="DB569" s="1065"/>
    </row>
    <row r="570" spans="1:106" ht="15" customHeight="1" thickBot="1">
      <c r="A570" s="1065"/>
      <c r="B570" s="1065"/>
      <c r="C570" s="1217" t="s">
        <v>662</v>
      </c>
      <c r="D570" s="1753" t="s">
        <v>913</v>
      </c>
      <c r="E570" s="1753"/>
      <c r="F570" s="1753"/>
      <c r="G570" s="1753"/>
      <c r="H570" s="1681" t="s">
        <v>657</v>
      </c>
      <c r="I570" s="1681"/>
      <c r="J570" s="1694" t="s">
        <v>983</v>
      </c>
      <c r="K570" s="1694"/>
      <c r="L570" s="1694"/>
      <c r="M570" s="1694" t="s">
        <v>984</v>
      </c>
      <c r="N570" s="1694"/>
      <c r="O570" s="1694"/>
      <c r="P570" s="1694"/>
      <c r="Q570" s="1694"/>
      <c r="R570" s="1694"/>
      <c r="S570" s="1112">
        <v>5340</v>
      </c>
      <c r="T570" s="1738"/>
      <c r="U570" s="1739"/>
      <c r="V570" s="1065"/>
      <c r="W570" s="1065"/>
      <c r="X570" s="1065"/>
      <c r="Y570" s="1065"/>
      <c r="Z570" s="1065"/>
      <c r="AA570" s="1065"/>
      <c r="AB570" s="1065"/>
      <c r="AC570" s="1065"/>
      <c r="AD570" s="1065"/>
      <c r="AE570" s="1065"/>
      <c r="AF570" s="1065"/>
      <c r="AG570" s="1065"/>
      <c r="AH570" s="1065"/>
      <c r="AI570" s="1065"/>
      <c r="AJ570" s="1065"/>
      <c r="AK570" s="1065"/>
      <c r="AL570" s="1065"/>
      <c r="AM570" s="1065"/>
      <c r="AN570" s="1065"/>
      <c r="AO570" s="1065"/>
      <c r="AP570" s="1065"/>
      <c r="AQ570" s="1065"/>
      <c r="AR570" s="1065"/>
      <c r="AS570" s="1065"/>
      <c r="AT570" s="1065"/>
      <c r="AU570" s="1065"/>
      <c r="AV570" s="1065"/>
      <c r="AW570" s="1065"/>
      <c r="AX570" s="1065"/>
      <c r="AY570" s="1065"/>
      <c r="AZ570" s="1065"/>
      <c r="BA570" s="1065"/>
      <c r="BB570" s="1065"/>
      <c r="BC570" s="1065"/>
      <c r="BD570" s="1065"/>
      <c r="BE570" s="1065"/>
      <c r="BF570" s="1065"/>
      <c r="BG570" s="1065"/>
      <c r="BH570" s="1065"/>
      <c r="BI570" s="1065"/>
      <c r="BJ570" s="1065"/>
      <c r="BK570" s="1065"/>
      <c r="BL570" s="1065"/>
      <c r="BM570" s="1065"/>
      <c r="BN570" s="1065"/>
      <c r="BO570" s="1065"/>
      <c r="BP570" s="1065"/>
      <c r="BQ570" s="1065"/>
      <c r="BR570" s="1065"/>
      <c r="BS570" s="1065"/>
      <c r="BT570" s="1065"/>
      <c r="BU570" s="1065"/>
      <c r="BV570" s="1065"/>
      <c r="BW570" s="1065"/>
      <c r="BX570" s="1065"/>
      <c r="BY570" s="1065"/>
      <c r="BZ570" s="1065"/>
      <c r="CA570" s="1065"/>
      <c r="CB570" s="1065"/>
      <c r="CC570" s="1065"/>
      <c r="CD570" s="1065"/>
      <c r="CE570" s="1065"/>
      <c r="CF570" s="1065"/>
      <c r="CG570" s="1065"/>
      <c r="CH570" s="1065"/>
      <c r="CI570" s="1065"/>
      <c r="CJ570" s="1065"/>
      <c r="CK570" s="1065"/>
      <c r="CL570" s="1065"/>
      <c r="CM570" s="1065"/>
      <c r="CN570" s="1065"/>
      <c r="CO570" s="1065"/>
      <c r="CP570" s="1065"/>
      <c r="CQ570" s="1065"/>
      <c r="CR570" s="1065"/>
      <c r="CS570" s="1065"/>
      <c r="CT570" s="1065"/>
      <c r="CU570" s="1065"/>
      <c r="CV570" s="1065"/>
      <c r="CW570" s="1065"/>
      <c r="CX570" s="1065"/>
      <c r="CY570" s="1065"/>
      <c r="CZ570" s="1065"/>
      <c r="DA570" s="1065"/>
      <c r="DB570" s="1065"/>
    </row>
    <row r="571" spans="1:106" ht="15" customHeight="1" thickBot="1">
      <c r="A571" s="1065"/>
      <c r="B571" s="1065"/>
      <c r="C571" s="1217" t="s">
        <v>662</v>
      </c>
      <c r="D571" s="1753" t="s">
        <v>913</v>
      </c>
      <c r="E571" s="1753"/>
      <c r="F571" s="1753"/>
      <c r="G571" s="1753"/>
      <c r="H571" s="1681" t="s">
        <v>657</v>
      </c>
      <c r="I571" s="1681"/>
      <c r="J571" s="1694" t="s">
        <v>983</v>
      </c>
      <c r="K571" s="1694"/>
      <c r="L571" s="1694"/>
      <c r="M571" s="1694" t="s">
        <v>985</v>
      </c>
      <c r="N571" s="1694"/>
      <c r="O571" s="1694"/>
      <c r="P571" s="1694"/>
      <c r="Q571" s="1694"/>
      <c r="R571" s="1694"/>
      <c r="S571" s="1112">
        <v>8640</v>
      </c>
      <c r="T571" s="1738"/>
      <c r="U571" s="1739"/>
      <c r="V571" s="1065"/>
      <c r="W571" s="1065"/>
      <c r="X571" s="1065"/>
      <c r="Y571" s="1065"/>
      <c r="Z571" s="1065"/>
      <c r="AA571" s="1065"/>
      <c r="AB571" s="1065"/>
      <c r="AC571" s="1065"/>
      <c r="AD571" s="1065"/>
      <c r="AE571" s="1065"/>
      <c r="AF571" s="1065"/>
      <c r="AG571" s="1065"/>
      <c r="AH571" s="1065"/>
      <c r="AI571" s="1065"/>
      <c r="AJ571" s="1065"/>
      <c r="AK571" s="1065"/>
      <c r="AL571" s="1065"/>
      <c r="AM571" s="1065"/>
      <c r="AN571" s="1065"/>
      <c r="AO571" s="1065"/>
      <c r="AP571" s="1065"/>
      <c r="AQ571" s="1065"/>
      <c r="AR571" s="1065"/>
      <c r="AS571" s="1065"/>
      <c r="AT571" s="1065"/>
      <c r="AU571" s="1065"/>
      <c r="AV571" s="1065"/>
      <c r="AW571" s="1065"/>
      <c r="AX571" s="1065"/>
      <c r="AY571" s="1065"/>
      <c r="AZ571" s="1065"/>
      <c r="BA571" s="1065"/>
      <c r="BB571" s="1065"/>
      <c r="BC571" s="1065"/>
      <c r="BD571" s="1065"/>
      <c r="BE571" s="1065"/>
      <c r="BF571" s="1065"/>
      <c r="BG571" s="1065"/>
      <c r="BH571" s="1065"/>
      <c r="BI571" s="1065"/>
      <c r="BJ571" s="1065"/>
      <c r="BK571" s="1065"/>
      <c r="BL571" s="1065"/>
      <c r="BM571" s="1065"/>
      <c r="BN571" s="1065"/>
      <c r="BO571" s="1065"/>
      <c r="BP571" s="1065"/>
      <c r="BQ571" s="1065"/>
      <c r="BR571" s="1065"/>
      <c r="BS571" s="1065"/>
      <c r="BT571" s="1065"/>
      <c r="BU571" s="1065"/>
      <c r="BV571" s="1065"/>
      <c r="BW571" s="1065"/>
      <c r="BX571" s="1065"/>
      <c r="BY571" s="1065"/>
      <c r="BZ571" s="1065"/>
      <c r="CA571" s="1065"/>
      <c r="CB571" s="1065"/>
      <c r="CC571" s="1065"/>
      <c r="CD571" s="1065"/>
      <c r="CE571" s="1065"/>
      <c r="CF571" s="1065"/>
      <c r="CG571" s="1065"/>
      <c r="CH571" s="1065"/>
      <c r="CI571" s="1065"/>
      <c r="CJ571" s="1065"/>
      <c r="CK571" s="1065"/>
      <c r="CL571" s="1065"/>
      <c r="CM571" s="1065"/>
      <c r="CN571" s="1065"/>
      <c r="CO571" s="1065"/>
      <c r="CP571" s="1065"/>
      <c r="CQ571" s="1065"/>
      <c r="CR571" s="1065"/>
      <c r="CS571" s="1065"/>
      <c r="CT571" s="1065"/>
      <c r="CU571" s="1065"/>
      <c r="CV571" s="1065"/>
      <c r="CW571" s="1065"/>
      <c r="CX571" s="1065"/>
      <c r="CY571" s="1065"/>
      <c r="CZ571" s="1065"/>
      <c r="DA571" s="1065"/>
      <c r="DB571" s="1065"/>
    </row>
    <row r="572" spans="1:106" ht="15" customHeight="1" thickBot="1">
      <c r="A572" s="1065"/>
      <c r="B572" s="1065"/>
      <c r="C572" s="1217" t="s">
        <v>301</v>
      </c>
      <c r="D572" s="1753" t="s">
        <v>913</v>
      </c>
      <c r="E572" s="1753"/>
      <c r="F572" s="1753"/>
      <c r="G572" s="1753"/>
      <c r="H572" s="1681" t="s">
        <v>657</v>
      </c>
      <c r="I572" s="1681"/>
      <c r="J572" s="1694" t="s">
        <v>986</v>
      </c>
      <c r="K572" s="1694"/>
      <c r="L572" s="1694"/>
      <c r="M572" s="1694" t="s">
        <v>987</v>
      </c>
      <c r="N572" s="1694"/>
      <c r="O572" s="1694"/>
      <c r="P572" s="1694"/>
      <c r="Q572" s="1694"/>
      <c r="R572" s="1694"/>
      <c r="S572" s="1112">
        <v>6480</v>
      </c>
      <c r="T572" s="1738"/>
      <c r="U572" s="1739"/>
      <c r="V572" s="1065"/>
      <c r="W572" s="1065"/>
      <c r="X572" s="1065"/>
      <c r="Y572" s="1065"/>
      <c r="Z572" s="1065"/>
      <c r="AA572" s="1065"/>
      <c r="AB572" s="1065"/>
      <c r="AC572" s="1065"/>
      <c r="AD572" s="1065"/>
      <c r="AE572" s="1065"/>
      <c r="AF572" s="1065"/>
      <c r="AG572" s="1065"/>
      <c r="AH572" s="1065"/>
      <c r="AI572" s="1065"/>
      <c r="AJ572" s="1065"/>
      <c r="AK572" s="1065"/>
      <c r="AL572" s="1065"/>
      <c r="AM572" s="1065"/>
      <c r="AN572" s="1065"/>
      <c r="AO572" s="1065"/>
      <c r="AP572" s="1065"/>
      <c r="AQ572" s="1065"/>
      <c r="AR572" s="1065"/>
      <c r="AS572" s="1065"/>
      <c r="AT572" s="1065"/>
      <c r="AU572" s="1065"/>
      <c r="AV572" s="1065"/>
      <c r="AW572" s="1065"/>
      <c r="AX572" s="1065"/>
      <c r="AY572" s="1065"/>
      <c r="AZ572" s="1065"/>
      <c r="BA572" s="1065"/>
      <c r="BB572" s="1065"/>
      <c r="BC572" s="1065"/>
      <c r="BD572" s="1065"/>
      <c r="BE572" s="1065"/>
      <c r="BF572" s="1065"/>
      <c r="BG572" s="1065"/>
      <c r="BH572" s="1065"/>
      <c r="BI572" s="1065"/>
      <c r="BJ572" s="1065"/>
      <c r="BK572" s="1065"/>
      <c r="BL572" s="1065"/>
      <c r="BM572" s="1065"/>
      <c r="BN572" s="1065"/>
      <c r="BO572" s="1065"/>
      <c r="BP572" s="1065"/>
      <c r="BQ572" s="1065"/>
      <c r="BR572" s="1065"/>
      <c r="BS572" s="1065"/>
      <c r="BT572" s="1065"/>
      <c r="BU572" s="1065"/>
      <c r="BV572" s="1065"/>
      <c r="BW572" s="1065"/>
      <c r="BX572" s="1065"/>
      <c r="BY572" s="1065"/>
      <c r="BZ572" s="1065"/>
      <c r="CA572" s="1065"/>
      <c r="CB572" s="1065"/>
      <c r="CC572" s="1065"/>
      <c r="CD572" s="1065"/>
      <c r="CE572" s="1065"/>
      <c r="CF572" s="1065"/>
      <c r="CG572" s="1065"/>
      <c r="CH572" s="1065"/>
      <c r="CI572" s="1065"/>
      <c r="CJ572" s="1065"/>
      <c r="CK572" s="1065"/>
      <c r="CL572" s="1065"/>
      <c r="CM572" s="1065"/>
      <c r="CN572" s="1065"/>
      <c r="CO572" s="1065"/>
      <c r="CP572" s="1065"/>
      <c r="CQ572" s="1065"/>
      <c r="CR572" s="1065"/>
      <c r="CS572" s="1065"/>
      <c r="CT572" s="1065"/>
      <c r="CU572" s="1065"/>
      <c r="CV572" s="1065"/>
      <c r="CW572" s="1065"/>
      <c r="CX572" s="1065"/>
      <c r="CY572" s="1065"/>
      <c r="CZ572" s="1065"/>
      <c r="DA572" s="1065"/>
      <c r="DB572" s="1065"/>
    </row>
    <row r="573" spans="1:106" ht="15" customHeight="1" thickBot="1">
      <c r="A573" s="1065"/>
      <c r="B573" s="1065"/>
      <c r="C573" s="1217" t="s">
        <v>316</v>
      </c>
      <c r="D573" s="1753" t="s">
        <v>913</v>
      </c>
      <c r="E573" s="1753"/>
      <c r="F573" s="1753"/>
      <c r="G573" s="1753"/>
      <c r="H573" s="1681" t="s">
        <v>671</v>
      </c>
      <c r="I573" s="1681"/>
      <c r="J573" s="1694" t="s">
        <v>988</v>
      </c>
      <c r="K573" s="1694"/>
      <c r="L573" s="1694"/>
      <c r="M573" s="1694" t="s">
        <v>987</v>
      </c>
      <c r="N573" s="1694"/>
      <c r="O573" s="1694"/>
      <c r="P573" s="1694"/>
      <c r="Q573" s="1694"/>
      <c r="R573" s="1694"/>
      <c r="S573" s="1112">
        <v>5880</v>
      </c>
      <c r="T573" s="1738"/>
      <c r="U573" s="1739"/>
      <c r="V573" s="1065"/>
      <c r="W573" s="1065"/>
      <c r="X573" s="1065"/>
      <c r="Y573" s="1065"/>
      <c r="Z573" s="1065"/>
      <c r="AA573" s="1065"/>
      <c r="AB573" s="1065"/>
      <c r="AC573" s="1065"/>
      <c r="AD573" s="1065"/>
      <c r="AE573" s="1065"/>
      <c r="AF573" s="1065"/>
      <c r="AG573" s="1065"/>
      <c r="AH573" s="1065"/>
      <c r="AI573" s="1065"/>
      <c r="AJ573" s="1065"/>
      <c r="AK573" s="1065"/>
      <c r="AL573" s="1065"/>
      <c r="AM573" s="1065"/>
      <c r="AN573" s="1065"/>
      <c r="AO573" s="1065"/>
      <c r="AP573" s="1065"/>
      <c r="AQ573" s="1065"/>
      <c r="AR573" s="1065"/>
      <c r="AS573" s="1065"/>
      <c r="AT573" s="1065"/>
      <c r="AU573" s="1065"/>
      <c r="AV573" s="1065"/>
      <c r="AW573" s="1065"/>
      <c r="AX573" s="1065"/>
      <c r="AY573" s="1065"/>
      <c r="AZ573" s="1065"/>
      <c r="BA573" s="1065"/>
      <c r="BB573" s="1065"/>
      <c r="BC573" s="1065"/>
      <c r="BD573" s="1065"/>
      <c r="BE573" s="1065"/>
      <c r="BF573" s="1065"/>
      <c r="BG573" s="1065"/>
      <c r="BH573" s="1065"/>
      <c r="BI573" s="1065"/>
      <c r="BJ573" s="1065"/>
      <c r="BK573" s="1065"/>
      <c r="BL573" s="1065"/>
      <c r="BM573" s="1065"/>
      <c r="BN573" s="1065"/>
      <c r="BO573" s="1065"/>
      <c r="BP573" s="1065"/>
      <c r="BQ573" s="1065"/>
      <c r="BR573" s="1065"/>
      <c r="BS573" s="1065"/>
      <c r="BT573" s="1065"/>
      <c r="BU573" s="1065"/>
      <c r="BV573" s="1065"/>
      <c r="BW573" s="1065"/>
      <c r="BX573" s="1065"/>
      <c r="BY573" s="1065"/>
      <c r="BZ573" s="1065"/>
      <c r="CA573" s="1065"/>
      <c r="CB573" s="1065"/>
      <c r="CC573" s="1065"/>
      <c r="CD573" s="1065"/>
      <c r="CE573" s="1065"/>
      <c r="CF573" s="1065"/>
      <c r="CG573" s="1065"/>
      <c r="CH573" s="1065"/>
      <c r="CI573" s="1065"/>
      <c r="CJ573" s="1065"/>
      <c r="CK573" s="1065"/>
      <c r="CL573" s="1065"/>
      <c r="CM573" s="1065"/>
      <c r="CN573" s="1065"/>
      <c r="CO573" s="1065"/>
      <c r="CP573" s="1065"/>
      <c r="CQ573" s="1065"/>
      <c r="CR573" s="1065"/>
      <c r="CS573" s="1065"/>
      <c r="CT573" s="1065"/>
      <c r="CU573" s="1065"/>
      <c r="CV573" s="1065"/>
      <c r="CW573" s="1065"/>
      <c r="CX573" s="1065"/>
      <c r="CY573" s="1065"/>
      <c r="CZ573" s="1065"/>
      <c r="DA573" s="1065"/>
      <c r="DB573" s="1065"/>
    </row>
    <row r="574" spans="1:106" ht="15" customHeight="1" thickBot="1">
      <c r="A574" s="1065"/>
      <c r="B574" s="1065"/>
      <c r="C574" s="1217" t="s">
        <v>680</v>
      </c>
      <c r="D574" s="1753" t="s">
        <v>913</v>
      </c>
      <c r="E574" s="1753"/>
      <c r="F574" s="1753"/>
      <c r="G574" s="1753"/>
      <c r="H574" s="1681" t="s">
        <v>671</v>
      </c>
      <c r="I574" s="1681"/>
      <c r="J574" s="1694" t="s">
        <v>989</v>
      </c>
      <c r="K574" s="1694"/>
      <c r="L574" s="1694"/>
      <c r="M574" s="1694" t="s">
        <v>987</v>
      </c>
      <c r="N574" s="1694"/>
      <c r="O574" s="1694"/>
      <c r="P574" s="1694"/>
      <c r="Q574" s="1694"/>
      <c r="R574" s="1694"/>
      <c r="S574" s="1112">
        <v>9720</v>
      </c>
      <c r="T574" s="1738"/>
      <c r="U574" s="1739"/>
      <c r="V574" s="1065"/>
      <c r="W574" s="1065"/>
      <c r="X574" s="1065"/>
      <c r="Y574" s="1065"/>
      <c r="Z574" s="1065"/>
      <c r="AA574" s="1065"/>
      <c r="AB574" s="1065"/>
      <c r="AC574" s="1065"/>
      <c r="AD574" s="1065"/>
      <c r="AE574" s="1065"/>
      <c r="AF574" s="1065"/>
      <c r="AG574" s="1065"/>
      <c r="AH574" s="1065"/>
      <c r="AI574" s="1065"/>
      <c r="AJ574" s="1065"/>
      <c r="AK574" s="1065"/>
      <c r="AL574" s="1065"/>
      <c r="AM574" s="1065"/>
      <c r="AN574" s="1065"/>
      <c r="AO574" s="1065"/>
      <c r="AP574" s="1065"/>
      <c r="AQ574" s="1065"/>
      <c r="AR574" s="1065"/>
      <c r="AS574" s="1065"/>
      <c r="AT574" s="1065"/>
      <c r="AU574" s="1065"/>
      <c r="AV574" s="1065"/>
      <c r="AW574" s="1065"/>
      <c r="AX574" s="1065"/>
      <c r="AY574" s="1065"/>
      <c r="AZ574" s="1065"/>
      <c r="BA574" s="1065"/>
      <c r="BB574" s="1065"/>
      <c r="BC574" s="1065"/>
      <c r="BD574" s="1065"/>
      <c r="BE574" s="1065"/>
      <c r="BF574" s="1065"/>
      <c r="BG574" s="1065"/>
      <c r="BH574" s="1065"/>
      <c r="BI574" s="1065"/>
      <c r="BJ574" s="1065"/>
      <c r="BK574" s="1065"/>
      <c r="BL574" s="1065"/>
      <c r="BM574" s="1065"/>
      <c r="BN574" s="1065"/>
      <c r="BO574" s="1065"/>
      <c r="BP574" s="1065"/>
      <c r="BQ574" s="1065"/>
      <c r="BR574" s="1065"/>
      <c r="BS574" s="1065"/>
      <c r="BT574" s="1065"/>
      <c r="BU574" s="1065"/>
      <c r="BV574" s="1065"/>
      <c r="BW574" s="1065"/>
      <c r="BX574" s="1065"/>
      <c r="BY574" s="1065"/>
      <c r="BZ574" s="1065"/>
      <c r="CA574" s="1065"/>
      <c r="CB574" s="1065"/>
      <c r="CC574" s="1065"/>
      <c r="CD574" s="1065"/>
      <c r="CE574" s="1065"/>
      <c r="CF574" s="1065"/>
      <c r="CG574" s="1065"/>
      <c r="CH574" s="1065"/>
      <c r="CI574" s="1065"/>
      <c r="CJ574" s="1065"/>
      <c r="CK574" s="1065"/>
      <c r="CL574" s="1065"/>
      <c r="CM574" s="1065"/>
      <c r="CN574" s="1065"/>
      <c r="CO574" s="1065"/>
      <c r="CP574" s="1065"/>
      <c r="CQ574" s="1065"/>
      <c r="CR574" s="1065"/>
      <c r="CS574" s="1065"/>
      <c r="CT574" s="1065"/>
      <c r="CU574" s="1065"/>
      <c r="CV574" s="1065"/>
      <c r="CW574" s="1065"/>
      <c r="CX574" s="1065"/>
      <c r="CY574" s="1065"/>
      <c r="CZ574" s="1065"/>
      <c r="DA574" s="1065"/>
      <c r="DB574" s="1065"/>
    </row>
    <row r="575" spans="1:106" ht="15" customHeight="1" thickBot="1">
      <c r="A575" s="1065"/>
      <c r="B575" s="1065"/>
      <c r="C575" s="1217" t="s">
        <v>665</v>
      </c>
      <c r="D575" s="1753" t="s">
        <v>990</v>
      </c>
      <c r="E575" s="1753"/>
      <c r="F575" s="1753"/>
      <c r="G575" s="1753"/>
      <c r="H575" s="1681" t="s">
        <v>657</v>
      </c>
      <c r="I575" s="1681"/>
      <c r="J575" s="1694" t="s">
        <v>991</v>
      </c>
      <c r="K575" s="1694"/>
      <c r="L575" s="1694"/>
      <c r="M575" s="1694" t="s">
        <v>992</v>
      </c>
      <c r="N575" s="1694"/>
      <c r="O575" s="1694"/>
      <c r="P575" s="1694"/>
      <c r="Q575" s="1694"/>
      <c r="R575" s="1694"/>
      <c r="S575" s="1112">
        <v>1600</v>
      </c>
      <c r="T575" s="1738"/>
      <c r="U575" s="1739"/>
      <c r="V575" s="1065"/>
      <c r="W575" s="1065"/>
      <c r="X575" s="1065"/>
      <c r="Y575" s="1065"/>
      <c r="Z575" s="1065"/>
      <c r="AA575" s="1065"/>
      <c r="AB575" s="1065"/>
      <c r="AC575" s="1065"/>
      <c r="AD575" s="1065"/>
      <c r="AE575" s="1065"/>
      <c r="AF575" s="1065"/>
      <c r="AG575" s="1065"/>
      <c r="AH575" s="1065"/>
      <c r="AI575" s="1065"/>
      <c r="AJ575" s="1065"/>
      <c r="AK575" s="1065"/>
      <c r="AL575" s="1065"/>
      <c r="AM575" s="1065"/>
      <c r="AN575" s="1065"/>
      <c r="AO575" s="1065"/>
      <c r="AP575" s="1065"/>
      <c r="AQ575" s="1065"/>
      <c r="AR575" s="1065"/>
      <c r="AS575" s="1065"/>
      <c r="AT575" s="1065"/>
      <c r="AU575" s="1065"/>
      <c r="AV575" s="1065"/>
      <c r="AW575" s="1065"/>
      <c r="AX575" s="1065"/>
      <c r="AY575" s="1065"/>
      <c r="AZ575" s="1065"/>
      <c r="BA575" s="1065"/>
      <c r="BB575" s="1065"/>
      <c r="BC575" s="1065"/>
      <c r="BD575" s="1065"/>
      <c r="BE575" s="1065"/>
      <c r="BF575" s="1065"/>
      <c r="BG575" s="1065"/>
      <c r="BH575" s="1065"/>
      <c r="BI575" s="1065"/>
      <c r="BJ575" s="1065"/>
      <c r="BK575" s="1065"/>
      <c r="BL575" s="1065"/>
      <c r="BM575" s="1065"/>
      <c r="BN575" s="1065"/>
      <c r="BO575" s="1065"/>
      <c r="BP575" s="1065"/>
      <c r="BQ575" s="1065"/>
      <c r="BR575" s="1065"/>
      <c r="BS575" s="1065"/>
      <c r="BT575" s="1065"/>
      <c r="BU575" s="1065"/>
      <c r="BV575" s="1065"/>
      <c r="BW575" s="1065"/>
      <c r="BX575" s="1065"/>
      <c r="BY575" s="1065"/>
      <c r="BZ575" s="1065"/>
      <c r="CA575" s="1065"/>
      <c r="CB575" s="1065"/>
      <c r="CC575" s="1065"/>
      <c r="CD575" s="1065"/>
      <c r="CE575" s="1065"/>
      <c r="CF575" s="1065"/>
      <c r="CG575" s="1065"/>
      <c r="CH575" s="1065"/>
      <c r="CI575" s="1065"/>
      <c r="CJ575" s="1065"/>
      <c r="CK575" s="1065"/>
      <c r="CL575" s="1065"/>
      <c r="CM575" s="1065"/>
      <c r="CN575" s="1065"/>
      <c r="CO575" s="1065"/>
      <c r="CP575" s="1065"/>
      <c r="CQ575" s="1065"/>
      <c r="CR575" s="1065"/>
      <c r="CS575" s="1065"/>
      <c r="CT575" s="1065"/>
      <c r="CU575" s="1065"/>
      <c r="CV575" s="1065"/>
      <c r="CW575" s="1065"/>
      <c r="CX575" s="1065"/>
      <c r="CY575" s="1065"/>
      <c r="CZ575" s="1065"/>
      <c r="DA575" s="1065"/>
      <c r="DB575" s="1065"/>
    </row>
    <row r="576" spans="1:106" ht="15" customHeight="1" thickBot="1">
      <c r="A576" s="1065"/>
      <c r="B576" s="1065"/>
      <c r="C576" s="1217" t="s">
        <v>670</v>
      </c>
      <c r="D576" s="1753" t="s">
        <v>990</v>
      </c>
      <c r="E576" s="1753"/>
      <c r="F576" s="1753"/>
      <c r="G576" s="1753"/>
      <c r="H576" s="1681" t="s">
        <v>657</v>
      </c>
      <c r="I576" s="1681"/>
      <c r="J576" s="1754" t="s">
        <v>991</v>
      </c>
      <c r="K576" s="1754"/>
      <c r="L576" s="1754"/>
      <c r="M576" s="1694" t="s">
        <v>992</v>
      </c>
      <c r="N576" s="1694"/>
      <c r="O576" s="1694"/>
      <c r="P576" s="1694"/>
      <c r="Q576" s="1694"/>
      <c r="R576" s="1694"/>
      <c r="S576" s="1112">
        <v>1920</v>
      </c>
      <c r="T576" s="1738"/>
      <c r="U576" s="1739"/>
      <c r="V576" s="1065"/>
      <c r="W576" s="1065"/>
      <c r="X576" s="1065"/>
      <c r="Y576" s="1065"/>
      <c r="Z576" s="1065"/>
      <c r="AA576" s="1065"/>
      <c r="AB576" s="1065"/>
      <c r="AC576" s="1065"/>
      <c r="AD576" s="1065"/>
      <c r="AE576" s="1065"/>
      <c r="AF576" s="1065"/>
      <c r="AG576" s="1065"/>
      <c r="AH576" s="1065"/>
      <c r="AI576" s="1065"/>
      <c r="AJ576" s="1065"/>
      <c r="AK576" s="1065"/>
      <c r="AL576" s="1065"/>
      <c r="AM576" s="1065"/>
      <c r="AN576" s="1065"/>
      <c r="AO576" s="1065"/>
      <c r="AP576" s="1065"/>
      <c r="AQ576" s="1065"/>
      <c r="AR576" s="1065"/>
      <c r="AS576" s="1065"/>
      <c r="AT576" s="1065"/>
      <c r="AU576" s="1065"/>
      <c r="AV576" s="1065"/>
      <c r="AW576" s="1065"/>
      <c r="AX576" s="1065"/>
      <c r="AY576" s="1065"/>
      <c r="AZ576" s="1065"/>
      <c r="BA576" s="1065"/>
      <c r="BB576" s="1065"/>
      <c r="BC576" s="1065"/>
      <c r="BD576" s="1065"/>
      <c r="BE576" s="1065"/>
      <c r="BF576" s="1065"/>
      <c r="BG576" s="1065"/>
      <c r="BH576" s="1065"/>
      <c r="BI576" s="1065"/>
      <c r="BJ576" s="1065"/>
      <c r="BK576" s="1065"/>
      <c r="BL576" s="1065"/>
      <c r="BM576" s="1065"/>
      <c r="BN576" s="1065"/>
      <c r="BO576" s="1065"/>
      <c r="BP576" s="1065"/>
      <c r="BQ576" s="1065"/>
      <c r="BR576" s="1065"/>
      <c r="BS576" s="1065"/>
      <c r="BT576" s="1065"/>
      <c r="BU576" s="1065"/>
      <c r="BV576" s="1065"/>
      <c r="BW576" s="1065"/>
      <c r="BX576" s="1065"/>
      <c r="BY576" s="1065"/>
      <c r="BZ576" s="1065"/>
      <c r="CA576" s="1065"/>
      <c r="CB576" s="1065"/>
      <c r="CC576" s="1065"/>
      <c r="CD576" s="1065"/>
      <c r="CE576" s="1065"/>
      <c r="CF576" s="1065"/>
      <c r="CG576" s="1065"/>
      <c r="CH576" s="1065"/>
      <c r="CI576" s="1065"/>
      <c r="CJ576" s="1065"/>
      <c r="CK576" s="1065"/>
      <c r="CL576" s="1065"/>
      <c r="CM576" s="1065"/>
      <c r="CN576" s="1065"/>
      <c r="CO576" s="1065"/>
      <c r="CP576" s="1065"/>
      <c r="CQ576" s="1065"/>
      <c r="CR576" s="1065"/>
      <c r="CS576" s="1065"/>
      <c r="CT576" s="1065"/>
      <c r="CU576" s="1065"/>
      <c r="CV576" s="1065"/>
      <c r="CW576" s="1065"/>
      <c r="CX576" s="1065"/>
      <c r="CY576" s="1065"/>
      <c r="CZ576" s="1065"/>
      <c r="DA576" s="1065"/>
      <c r="DB576" s="1065"/>
    </row>
    <row r="577" spans="1:106" ht="15" customHeight="1" thickBot="1">
      <c r="A577" s="1065"/>
      <c r="B577" s="1065"/>
      <c r="C577" s="1217" t="s">
        <v>679</v>
      </c>
      <c r="D577" s="1753" t="s">
        <v>993</v>
      </c>
      <c r="E577" s="1753"/>
      <c r="F577" s="1753"/>
      <c r="G577" s="1753"/>
      <c r="H577" s="1681" t="s">
        <v>671</v>
      </c>
      <c r="I577" s="1681"/>
      <c r="J577" s="1754" t="s">
        <v>994</v>
      </c>
      <c r="K577" s="1754"/>
      <c r="L577" s="1754"/>
      <c r="M577" s="1694" t="s">
        <v>995</v>
      </c>
      <c r="N577" s="1694"/>
      <c r="O577" s="1694"/>
      <c r="P577" s="1694"/>
      <c r="Q577" s="1694"/>
      <c r="R577" s="1694"/>
      <c r="S577" s="1112">
        <v>652</v>
      </c>
      <c r="T577" s="1738"/>
      <c r="U577" s="1739"/>
      <c r="V577" s="1065"/>
      <c r="W577" s="1065"/>
      <c r="X577" s="1065"/>
      <c r="Y577" s="1065"/>
      <c r="Z577" s="1065"/>
      <c r="AA577" s="1065"/>
      <c r="AB577" s="1065"/>
      <c r="AC577" s="1065"/>
      <c r="AD577" s="1065"/>
      <c r="AE577" s="1065"/>
      <c r="AF577" s="1065"/>
      <c r="AG577" s="1065"/>
      <c r="AH577" s="1065"/>
      <c r="AI577" s="1065"/>
      <c r="AJ577" s="1065"/>
      <c r="AK577" s="1065"/>
      <c r="AL577" s="1065"/>
      <c r="AM577" s="1065"/>
      <c r="AN577" s="1065"/>
      <c r="AO577" s="1065"/>
      <c r="AP577" s="1065"/>
      <c r="AQ577" s="1065"/>
      <c r="AR577" s="1065"/>
      <c r="AS577" s="1065"/>
      <c r="AT577" s="1065"/>
      <c r="AU577" s="1065"/>
      <c r="AV577" s="1065"/>
      <c r="AW577" s="1065"/>
      <c r="AX577" s="1065"/>
      <c r="AY577" s="1065"/>
      <c r="AZ577" s="1065"/>
      <c r="BA577" s="1065"/>
      <c r="BB577" s="1065"/>
      <c r="BC577" s="1065"/>
      <c r="BD577" s="1065"/>
      <c r="BE577" s="1065"/>
      <c r="BF577" s="1065"/>
      <c r="BG577" s="1065"/>
      <c r="BH577" s="1065"/>
      <c r="BI577" s="1065"/>
      <c r="BJ577" s="1065"/>
      <c r="BK577" s="1065"/>
      <c r="BL577" s="1065"/>
      <c r="BM577" s="1065"/>
      <c r="BN577" s="1065"/>
      <c r="BO577" s="1065"/>
      <c r="BP577" s="1065"/>
      <c r="BQ577" s="1065"/>
      <c r="BR577" s="1065"/>
      <c r="BS577" s="1065"/>
      <c r="BT577" s="1065"/>
      <c r="BU577" s="1065"/>
      <c r="BV577" s="1065"/>
      <c r="BW577" s="1065"/>
      <c r="BX577" s="1065"/>
      <c r="BY577" s="1065"/>
      <c r="BZ577" s="1065"/>
      <c r="CA577" s="1065"/>
      <c r="CB577" s="1065"/>
      <c r="CC577" s="1065"/>
      <c r="CD577" s="1065"/>
      <c r="CE577" s="1065"/>
      <c r="CF577" s="1065"/>
      <c r="CG577" s="1065"/>
      <c r="CH577" s="1065"/>
      <c r="CI577" s="1065"/>
      <c r="CJ577" s="1065"/>
      <c r="CK577" s="1065"/>
      <c r="CL577" s="1065"/>
      <c r="CM577" s="1065"/>
      <c r="CN577" s="1065"/>
      <c r="CO577" s="1065"/>
      <c r="CP577" s="1065"/>
      <c r="CQ577" s="1065"/>
      <c r="CR577" s="1065"/>
      <c r="CS577" s="1065"/>
      <c r="CT577" s="1065"/>
      <c r="CU577" s="1065"/>
      <c r="CV577" s="1065"/>
      <c r="CW577" s="1065"/>
      <c r="CX577" s="1065"/>
      <c r="CY577" s="1065"/>
      <c r="CZ577" s="1065"/>
      <c r="DA577" s="1065"/>
      <c r="DB577" s="1065"/>
    </row>
    <row r="578" spans="1:106" ht="15" customHeight="1" thickBot="1">
      <c r="A578" s="1065"/>
      <c r="B578" s="1065"/>
      <c r="C578" s="1217" t="s">
        <v>996</v>
      </c>
      <c r="D578" s="1753" t="s">
        <v>913</v>
      </c>
      <c r="E578" s="1753"/>
      <c r="F578" s="1753"/>
      <c r="G578" s="1753"/>
      <c r="H578" s="1681" t="s">
        <v>657</v>
      </c>
      <c r="I578" s="1681"/>
      <c r="J578" s="1694" t="s">
        <v>997</v>
      </c>
      <c r="K578" s="1694"/>
      <c r="L578" s="1694"/>
      <c r="M578" s="1694" t="s">
        <v>998</v>
      </c>
      <c r="N578" s="1694"/>
      <c r="O578" s="1694"/>
      <c r="P578" s="1694"/>
      <c r="Q578" s="1694"/>
      <c r="R578" s="1694"/>
      <c r="S578" s="1112">
        <v>10044</v>
      </c>
      <c r="T578" s="1738"/>
      <c r="U578" s="1739"/>
      <c r="V578" s="1065"/>
      <c r="W578" s="1065"/>
      <c r="X578" s="1065"/>
      <c r="Y578" s="1065"/>
      <c r="Z578" s="1065"/>
      <c r="AA578" s="1065"/>
      <c r="AB578" s="1065"/>
      <c r="AC578" s="1065"/>
      <c r="AD578" s="1065"/>
      <c r="AE578" s="1065"/>
      <c r="AF578" s="1065"/>
      <c r="AG578" s="1065"/>
      <c r="AH578" s="1065"/>
      <c r="AI578" s="1065"/>
      <c r="AJ578" s="1065"/>
      <c r="AK578" s="1065"/>
      <c r="AL578" s="1065"/>
      <c r="AM578" s="1065"/>
      <c r="AN578" s="1065"/>
      <c r="AO578" s="1065"/>
      <c r="AP578" s="1065"/>
      <c r="AQ578" s="1065"/>
      <c r="AR578" s="1065"/>
      <c r="AS578" s="1065"/>
      <c r="AT578" s="1065"/>
      <c r="AU578" s="1065"/>
      <c r="AV578" s="1065"/>
      <c r="AW578" s="1065"/>
      <c r="AX578" s="1065"/>
      <c r="AY578" s="1065"/>
      <c r="AZ578" s="1065"/>
      <c r="BA578" s="1065"/>
      <c r="BB578" s="1065"/>
      <c r="BC578" s="1065"/>
      <c r="BD578" s="1065"/>
      <c r="BE578" s="1065"/>
      <c r="BF578" s="1065"/>
      <c r="BG578" s="1065"/>
      <c r="BH578" s="1065"/>
      <c r="BI578" s="1065"/>
      <c r="BJ578" s="1065"/>
      <c r="BK578" s="1065"/>
      <c r="BL578" s="1065"/>
      <c r="BM578" s="1065"/>
      <c r="BN578" s="1065"/>
      <c r="BO578" s="1065"/>
      <c r="BP578" s="1065"/>
      <c r="BQ578" s="1065"/>
      <c r="BR578" s="1065"/>
      <c r="BS578" s="1065"/>
      <c r="BT578" s="1065"/>
      <c r="BU578" s="1065"/>
      <c r="BV578" s="1065"/>
      <c r="BW578" s="1065"/>
      <c r="BX578" s="1065"/>
      <c r="BY578" s="1065"/>
      <c r="BZ578" s="1065"/>
      <c r="CA578" s="1065"/>
      <c r="CB578" s="1065"/>
      <c r="CC578" s="1065"/>
      <c r="CD578" s="1065"/>
      <c r="CE578" s="1065"/>
      <c r="CF578" s="1065"/>
      <c r="CG578" s="1065"/>
      <c r="CH578" s="1065"/>
      <c r="CI578" s="1065"/>
      <c r="CJ578" s="1065"/>
      <c r="CK578" s="1065"/>
      <c r="CL578" s="1065"/>
      <c r="CM578" s="1065"/>
      <c r="CN578" s="1065"/>
      <c r="CO578" s="1065"/>
      <c r="CP578" s="1065"/>
      <c r="CQ578" s="1065"/>
      <c r="CR578" s="1065"/>
      <c r="CS578" s="1065"/>
      <c r="CT578" s="1065"/>
      <c r="CU578" s="1065"/>
      <c r="CV578" s="1065"/>
      <c r="CW578" s="1065"/>
      <c r="CX578" s="1065"/>
      <c r="CY578" s="1065"/>
      <c r="CZ578" s="1065"/>
      <c r="DA578" s="1065"/>
      <c r="DB578" s="1065"/>
    </row>
    <row r="579" spans="1:106" ht="15" customHeight="1" thickBot="1">
      <c r="A579" s="1065"/>
      <c r="B579" s="1065"/>
      <c r="C579" s="1217" t="s">
        <v>996</v>
      </c>
      <c r="D579" s="1753" t="s">
        <v>913</v>
      </c>
      <c r="E579" s="1753"/>
      <c r="F579" s="1753"/>
      <c r="G579" s="1753"/>
      <c r="H579" s="1681" t="s">
        <v>657</v>
      </c>
      <c r="I579" s="1681"/>
      <c r="J579" s="1694" t="s">
        <v>999</v>
      </c>
      <c r="K579" s="1694"/>
      <c r="L579" s="1694"/>
      <c r="M579" s="1694" t="s">
        <v>1000</v>
      </c>
      <c r="N579" s="1694"/>
      <c r="O579" s="1694"/>
      <c r="P579" s="1694"/>
      <c r="Q579" s="1694"/>
      <c r="R579" s="1694"/>
      <c r="S579" s="1112">
        <v>27732</v>
      </c>
      <c r="T579" s="1738"/>
      <c r="U579" s="1739"/>
      <c r="V579" s="1065"/>
      <c r="W579" s="1065"/>
      <c r="X579" s="1065"/>
      <c r="Y579" s="1065"/>
      <c r="Z579" s="1065"/>
      <c r="AA579" s="1065"/>
      <c r="AB579" s="1065"/>
      <c r="AC579" s="1065"/>
      <c r="AD579" s="1065"/>
      <c r="AE579" s="1065"/>
      <c r="AF579" s="1065"/>
      <c r="AG579" s="1065"/>
      <c r="AH579" s="1065"/>
      <c r="AI579" s="1065"/>
      <c r="AJ579" s="1065"/>
      <c r="AK579" s="1065"/>
      <c r="AL579" s="1065"/>
      <c r="AM579" s="1065"/>
      <c r="AN579" s="1065"/>
      <c r="AO579" s="1065"/>
      <c r="AP579" s="1065"/>
      <c r="AQ579" s="1065"/>
      <c r="AR579" s="1065"/>
      <c r="AS579" s="1065"/>
      <c r="AT579" s="1065"/>
      <c r="AU579" s="1065"/>
      <c r="AV579" s="1065"/>
      <c r="AW579" s="1065"/>
      <c r="AX579" s="1065"/>
      <c r="AY579" s="1065"/>
      <c r="AZ579" s="1065"/>
      <c r="BA579" s="1065"/>
      <c r="BB579" s="1065"/>
      <c r="BC579" s="1065"/>
      <c r="BD579" s="1065"/>
      <c r="BE579" s="1065"/>
      <c r="BF579" s="1065"/>
      <c r="BG579" s="1065"/>
      <c r="BH579" s="1065"/>
      <c r="BI579" s="1065"/>
      <c r="BJ579" s="1065"/>
      <c r="BK579" s="1065"/>
      <c r="BL579" s="1065"/>
      <c r="BM579" s="1065"/>
      <c r="BN579" s="1065"/>
      <c r="BO579" s="1065"/>
      <c r="BP579" s="1065"/>
      <c r="BQ579" s="1065"/>
      <c r="BR579" s="1065"/>
      <c r="BS579" s="1065"/>
      <c r="BT579" s="1065"/>
      <c r="BU579" s="1065"/>
      <c r="BV579" s="1065"/>
      <c r="BW579" s="1065"/>
      <c r="BX579" s="1065"/>
      <c r="BY579" s="1065"/>
      <c r="BZ579" s="1065"/>
      <c r="CA579" s="1065"/>
      <c r="CB579" s="1065"/>
      <c r="CC579" s="1065"/>
      <c r="CD579" s="1065"/>
      <c r="CE579" s="1065"/>
      <c r="CF579" s="1065"/>
      <c r="CG579" s="1065"/>
      <c r="CH579" s="1065"/>
      <c r="CI579" s="1065"/>
      <c r="CJ579" s="1065"/>
      <c r="CK579" s="1065"/>
      <c r="CL579" s="1065"/>
      <c r="CM579" s="1065"/>
      <c r="CN579" s="1065"/>
      <c r="CO579" s="1065"/>
      <c r="CP579" s="1065"/>
      <c r="CQ579" s="1065"/>
      <c r="CR579" s="1065"/>
      <c r="CS579" s="1065"/>
      <c r="CT579" s="1065"/>
      <c r="CU579" s="1065"/>
      <c r="CV579" s="1065"/>
      <c r="CW579" s="1065"/>
      <c r="CX579" s="1065"/>
      <c r="CY579" s="1065"/>
      <c r="CZ579" s="1065"/>
      <c r="DA579" s="1065"/>
      <c r="DB579" s="1065"/>
    </row>
    <row r="580" spans="1:106" ht="15" customHeight="1" thickBot="1">
      <c r="A580" s="1065"/>
      <c r="B580" s="1065"/>
      <c r="C580" s="1217" t="s">
        <v>1001</v>
      </c>
      <c r="D580" s="1753" t="s">
        <v>913</v>
      </c>
      <c r="E580" s="1753"/>
      <c r="F580" s="1753"/>
      <c r="G580" s="1753"/>
      <c r="H580" s="1681" t="s">
        <v>657</v>
      </c>
      <c r="I580" s="1681"/>
      <c r="J580" s="1694" t="s">
        <v>1002</v>
      </c>
      <c r="K580" s="1694"/>
      <c r="L580" s="1694"/>
      <c r="M580" s="1694" t="s">
        <v>1003</v>
      </c>
      <c r="N580" s="1694"/>
      <c r="O580" s="1694"/>
      <c r="P580" s="1694"/>
      <c r="Q580" s="1694"/>
      <c r="R580" s="1694"/>
      <c r="S580" s="1112">
        <f>1.2*1050</f>
        <v>1260</v>
      </c>
      <c r="T580" s="1738"/>
      <c r="U580" s="1739"/>
      <c r="V580" s="1065"/>
      <c r="W580" s="1065"/>
      <c r="X580" s="1065"/>
      <c r="Y580" s="1065"/>
      <c r="Z580" s="1065"/>
      <c r="AA580" s="1065"/>
      <c r="AB580" s="1065"/>
      <c r="AC580" s="1065"/>
      <c r="AD580" s="1065"/>
      <c r="AE580" s="1065"/>
      <c r="AF580" s="1065"/>
      <c r="AG580" s="1065"/>
      <c r="AH580" s="1065"/>
      <c r="AI580" s="1065"/>
      <c r="AJ580" s="1065"/>
      <c r="AK580" s="1065"/>
      <c r="AL580" s="1065"/>
      <c r="AM580" s="1065"/>
      <c r="AN580" s="1065"/>
      <c r="AO580" s="1065"/>
      <c r="AP580" s="1065"/>
      <c r="AQ580" s="1065"/>
      <c r="AR580" s="1065"/>
      <c r="AS580" s="1065"/>
      <c r="AT580" s="1065"/>
      <c r="AU580" s="1065"/>
      <c r="AV580" s="1065"/>
      <c r="AW580" s="1065"/>
      <c r="AX580" s="1065"/>
      <c r="AY580" s="1065"/>
      <c r="AZ580" s="1065"/>
      <c r="BA580" s="1065"/>
      <c r="BB580" s="1065"/>
      <c r="BC580" s="1065"/>
      <c r="BD580" s="1065"/>
      <c r="BE580" s="1065"/>
      <c r="BF580" s="1065"/>
      <c r="BG580" s="1065"/>
      <c r="BH580" s="1065"/>
      <c r="BI580" s="1065"/>
      <c r="BJ580" s="1065"/>
      <c r="BK580" s="1065"/>
      <c r="BL580" s="1065"/>
      <c r="BM580" s="1065"/>
      <c r="BN580" s="1065"/>
      <c r="BO580" s="1065"/>
      <c r="BP580" s="1065"/>
      <c r="BQ580" s="1065"/>
      <c r="BR580" s="1065"/>
      <c r="BS580" s="1065"/>
      <c r="BT580" s="1065"/>
      <c r="BU580" s="1065"/>
      <c r="BV580" s="1065"/>
      <c r="BW580" s="1065"/>
      <c r="BX580" s="1065"/>
      <c r="BY580" s="1065"/>
      <c r="BZ580" s="1065"/>
      <c r="CA580" s="1065"/>
      <c r="CB580" s="1065"/>
      <c r="CC580" s="1065"/>
      <c r="CD580" s="1065"/>
      <c r="CE580" s="1065"/>
      <c r="CF580" s="1065"/>
      <c r="CG580" s="1065"/>
      <c r="CH580" s="1065"/>
      <c r="CI580" s="1065"/>
      <c r="CJ580" s="1065"/>
      <c r="CK580" s="1065"/>
      <c r="CL580" s="1065"/>
      <c r="CM580" s="1065"/>
      <c r="CN580" s="1065"/>
      <c r="CO580" s="1065"/>
      <c r="CP580" s="1065"/>
      <c r="CQ580" s="1065"/>
      <c r="CR580" s="1065"/>
      <c r="CS580" s="1065"/>
      <c r="CT580" s="1065"/>
      <c r="CU580" s="1065"/>
      <c r="CV580" s="1065"/>
      <c r="CW580" s="1065"/>
      <c r="CX580" s="1065"/>
      <c r="CY580" s="1065"/>
      <c r="CZ580" s="1065"/>
      <c r="DA580" s="1065"/>
      <c r="DB580" s="1065"/>
    </row>
    <row r="581" spans="1:106" ht="15" customHeight="1" thickBot="1">
      <c r="A581" s="1065"/>
      <c r="B581" s="1065"/>
      <c r="C581" s="1217" t="s">
        <v>300</v>
      </c>
      <c r="D581" s="1753" t="s">
        <v>1004</v>
      </c>
      <c r="E581" s="1753"/>
      <c r="F581" s="1753"/>
      <c r="G581" s="1753"/>
      <c r="H581" s="1681" t="s">
        <v>657</v>
      </c>
      <c r="I581" s="1681"/>
      <c r="J581" s="1694" t="s">
        <v>1005</v>
      </c>
      <c r="K581" s="1694"/>
      <c r="L581" s="1694"/>
      <c r="M581" s="1694" t="s">
        <v>1006</v>
      </c>
      <c r="N581" s="1694"/>
      <c r="O581" s="1694"/>
      <c r="P581" s="1694"/>
      <c r="Q581" s="1694"/>
      <c r="R581" s="1694"/>
      <c r="S581" s="1112">
        <v>1482</v>
      </c>
      <c r="T581" s="1738"/>
      <c r="U581" s="1739"/>
      <c r="V581" s="1065"/>
      <c r="W581" s="1065"/>
      <c r="X581" s="1065"/>
      <c r="Y581" s="1065"/>
      <c r="Z581" s="1065"/>
      <c r="AA581" s="1065"/>
      <c r="AB581" s="1065"/>
      <c r="AC581" s="1065"/>
      <c r="AD581" s="1065"/>
      <c r="AE581" s="1065"/>
      <c r="AF581" s="1065"/>
      <c r="AG581" s="1065"/>
      <c r="AH581" s="1065"/>
      <c r="AI581" s="1065"/>
      <c r="AJ581" s="1065"/>
      <c r="AK581" s="1065"/>
      <c r="AL581" s="1065"/>
      <c r="AM581" s="1065"/>
      <c r="AN581" s="1065"/>
      <c r="AO581" s="1065"/>
      <c r="AP581" s="1065"/>
      <c r="AQ581" s="1065"/>
      <c r="AR581" s="1065"/>
      <c r="AS581" s="1065"/>
      <c r="AT581" s="1065"/>
      <c r="AU581" s="1065"/>
      <c r="AV581" s="1065"/>
      <c r="AW581" s="1065"/>
      <c r="AX581" s="1065"/>
      <c r="AY581" s="1065"/>
      <c r="AZ581" s="1065"/>
      <c r="BA581" s="1065"/>
      <c r="BB581" s="1065"/>
      <c r="BC581" s="1065"/>
      <c r="BD581" s="1065"/>
      <c r="BE581" s="1065"/>
      <c r="BF581" s="1065"/>
      <c r="BG581" s="1065"/>
      <c r="BH581" s="1065"/>
      <c r="BI581" s="1065"/>
      <c r="BJ581" s="1065"/>
      <c r="BK581" s="1065"/>
      <c r="BL581" s="1065"/>
      <c r="BM581" s="1065"/>
      <c r="BN581" s="1065"/>
      <c r="BO581" s="1065"/>
      <c r="BP581" s="1065"/>
      <c r="BQ581" s="1065"/>
      <c r="BR581" s="1065"/>
      <c r="BS581" s="1065"/>
      <c r="BT581" s="1065"/>
      <c r="BU581" s="1065"/>
      <c r="BV581" s="1065"/>
      <c r="BW581" s="1065"/>
      <c r="BX581" s="1065"/>
      <c r="BY581" s="1065"/>
      <c r="BZ581" s="1065"/>
      <c r="CA581" s="1065"/>
      <c r="CB581" s="1065"/>
      <c r="CC581" s="1065"/>
      <c r="CD581" s="1065"/>
      <c r="CE581" s="1065"/>
      <c r="CF581" s="1065"/>
      <c r="CG581" s="1065"/>
      <c r="CH581" s="1065"/>
      <c r="CI581" s="1065"/>
      <c r="CJ581" s="1065"/>
      <c r="CK581" s="1065"/>
      <c r="CL581" s="1065"/>
      <c r="CM581" s="1065"/>
      <c r="CN581" s="1065"/>
      <c r="CO581" s="1065"/>
      <c r="CP581" s="1065"/>
      <c r="CQ581" s="1065"/>
      <c r="CR581" s="1065"/>
      <c r="CS581" s="1065"/>
      <c r="CT581" s="1065"/>
      <c r="CU581" s="1065"/>
      <c r="CV581" s="1065"/>
      <c r="CW581" s="1065"/>
      <c r="CX581" s="1065"/>
      <c r="CY581" s="1065"/>
      <c r="CZ581" s="1065"/>
      <c r="DA581" s="1065"/>
      <c r="DB581" s="1065"/>
    </row>
    <row r="582" spans="1:106" ht="15" customHeight="1" thickBot="1">
      <c r="A582" s="1065"/>
      <c r="B582" s="1065"/>
      <c r="C582" s="1149"/>
      <c r="D582" s="1749"/>
      <c r="E582" s="1749"/>
      <c r="F582" s="1749"/>
      <c r="G582" s="1749"/>
      <c r="H582" s="1750"/>
      <c r="I582" s="1750"/>
      <c r="J582" s="1696"/>
      <c r="K582" s="1696"/>
      <c r="L582" s="1696"/>
      <c r="M582" s="1696"/>
      <c r="N582" s="1696"/>
      <c r="O582" s="1696"/>
      <c r="P582" s="1696"/>
      <c r="Q582" s="1696"/>
      <c r="R582" s="1696"/>
      <c r="S582" s="1112"/>
      <c r="T582" s="1738"/>
      <c r="U582" s="1739"/>
      <c r="V582" s="1065"/>
      <c r="W582" s="1065"/>
      <c r="X582" s="1065"/>
      <c r="Y582" s="1065"/>
      <c r="Z582" s="1065"/>
      <c r="AA582" s="1065"/>
      <c r="AB582" s="1065"/>
      <c r="AC582" s="1065"/>
      <c r="AD582" s="1065"/>
      <c r="AE582" s="1065"/>
      <c r="AF582" s="1065"/>
      <c r="AG582" s="1065"/>
      <c r="AH582" s="1065"/>
      <c r="AI582" s="1065"/>
      <c r="AJ582" s="1065"/>
      <c r="AK582" s="1065"/>
      <c r="AL582" s="1065"/>
      <c r="AM582" s="1065"/>
      <c r="AN582" s="1065"/>
      <c r="AO582" s="1065"/>
      <c r="AP582" s="1065"/>
      <c r="AQ582" s="1065"/>
      <c r="AR582" s="1065"/>
      <c r="AS582" s="1065"/>
      <c r="AT582" s="1065"/>
      <c r="AU582" s="1065"/>
      <c r="AV582" s="1065"/>
      <c r="AW582" s="1065"/>
      <c r="AX582" s="1065"/>
      <c r="AY582" s="1065"/>
      <c r="AZ582" s="1065"/>
      <c r="BA582" s="1065"/>
      <c r="BB582" s="1065"/>
      <c r="BC582" s="1065"/>
      <c r="BD582" s="1065"/>
      <c r="BE582" s="1065"/>
      <c r="BF582" s="1065"/>
      <c r="BG582" s="1065"/>
      <c r="BH582" s="1065"/>
      <c r="BI582" s="1065"/>
      <c r="BJ582" s="1065"/>
      <c r="BK582" s="1065"/>
      <c r="BL582" s="1065"/>
      <c r="BM582" s="1065"/>
      <c r="BN582" s="1065"/>
      <c r="BO582" s="1065"/>
      <c r="BP582" s="1065"/>
      <c r="BQ582" s="1065"/>
      <c r="BR582" s="1065"/>
      <c r="BS582" s="1065"/>
      <c r="BT582" s="1065"/>
      <c r="BU582" s="1065"/>
      <c r="BV582" s="1065"/>
      <c r="BW582" s="1065"/>
      <c r="BX582" s="1065"/>
      <c r="BY582" s="1065"/>
      <c r="BZ582" s="1065"/>
      <c r="CA582" s="1065"/>
      <c r="CB582" s="1065"/>
      <c r="CC582" s="1065"/>
      <c r="CD582" s="1065"/>
      <c r="CE582" s="1065"/>
      <c r="CF582" s="1065"/>
      <c r="CG582" s="1065"/>
      <c r="CH582" s="1065"/>
      <c r="CI582" s="1065"/>
      <c r="CJ582" s="1065"/>
      <c r="CK582" s="1065"/>
      <c r="CL582" s="1065"/>
      <c r="CM582" s="1065"/>
      <c r="CN582" s="1065"/>
      <c r="CO582" s="1065"/>
      <c r="CP582" s="1065"/>
      <c r="CQ582" s="1065"/>
      <c r="CR582" s="1065"/>
      <c r="CS582" s="1065"/>
      <c r="CT582" s="1065"/>
      <c r="CU582" s="1065"/>
      <c r="CV582" s="1065"/>
      <c r="CW582" s="1065"/>
      <c r="CX582" s="1065"/>
      <c r="CY582" s="1065"/>
      <c r="CZ582" s="1065"/>
      <c r="DA582" s="1065"/>
      <c r="DB582" s="1065"/>
    </row>
    <row r="583" spans="1:106" ht="15" customHeight="1" thickBot="1">
      <c r="A583" s="1065"/>
      <c r="B583" s="1065"/>
      <c r="C583" s="1219"/>
      <c r="D583" s="1751"/>
      <c r="E583" s="1751"/>
      <c r="F583" s="1751"/>
      <c r="G583" s="1751"/>
      <c r="H583" s="1704"/>
      <c r="I583" s="1704"/>
      <c r="J583" s="1704"/>
      <c r="K583" s="1704"/>
      <c r="L583" s="1704"/>
      <c r="M583" s="1752"/>
      <c r="N583" s="1752"/>
      <c r="O583" s="1752"/>
      <c r="P583" s="1752"/>
      <c r="Q583" s="1752"/>
      <c r="R583" s="1752"/>
      <c r="S583" s="1084"/>
      <c r="T583" s="1738"/>
      <c r="U583" s="1739"/>
      <c r="V583" s="1065"/>
      <c r="W583" s="1065"/>
      <c r="X583" s="1065"/>
      <c r="Y583" s="1065"/>
      <c r="Z583" s="1065"/>
      <c r="AA583" s="1065"/>
      <c r="AB583" s="1065"/>
      <c r="AC583" s="1065"/>
      <c r="AD583" s="1065"/>
      <c r="AE583" s="1065"/>
      <c r="AF583" s="1065"/>
      <c r="AG583" s="1065"/>
      <c r="AH583" s="1065"/>
      <c r="AI583" s="1065"/>
      <c r="AJ583" s="1065"/>
      <c r="AK583" s="1065"/>
      <c r="AL583" s="1065"/>
      <c r="AM583" s="1065"/>
      <c r="AN583" s="1065"/>
      <c r="AO583" s="1065"/>
      <c r="AP583" s="1065"/>
      <c r="AQ583" s="1065"/>
      <c r="AR583" s="1065"/>
      <c r="AS583" s="1065"/>
      <c r="AT583" s="1065"/>
      <c r="AU583" s="1065"/>
      <c r="AV583" s="1065"/>
      <c r="AW583" s="1065"/>
      <c r="AX583" s="1065"/>
      <c r="AY583" s="1065"/>
      <c r="AZ583" s="1065"/>
      <c r="BA583" s="1065"/>
      <c r="BB583" s="1065"/>
      <c r="BC583" s="1065"/>
      <c r="BD583" s="1065"/>
      <c r="BE583" s="1065"/>
      <c r="BF583" s="1065"/>
      <c r="BG583" s="1065"/>
      <c r="BH583" s="1065"/>
      <c r="BI583" s="1065"/>
      <c r="BJ583" s="1065"/>
      <c r="BK583" s="1065"/>
      <c r="BL583" s="1065"/>
      <c r="BM583" s="1065"/>
      <c r="BN583" s="1065"/>
      <c r="BO583" s="1065"/>
      <c r="BP583" s="1065"/>
      <c r="BQ583" s="1065"/>
      <c r="BR583" s="1065"/>
      <c r="BS583" s="1065"/>
      <c r="BT583" s="1065"/>
      <c r="BU583" s="1065"/>
      <c r="BV583" s="1065"/>
      <c r="BW583" s="1065"/>
      <c r="BX583" s="1065"/>
      <c r="BY583" s="1065"/>
      <c r="BZ583" s="1065"/>
      <c r="CA583" s="1065"/>
      <c r="CB583" s="1065"/>
      <c r="CC583" s="1065"/>
      <c r="CD583" s="1065"/>
      <c r="CE583" s="1065"/>
      <c r="CF583" s="1065"/>
      <c r="CG583" s="1065"/>
      <c r="CH583" s="1065"/>
      <c r="CI583" s="1065"/>
      <c r="CJ583" s="1065"/>
      <c r="CK583" s="1065"/>
      <c r="CL583" s="1065"/>
      <c r="CM583" s="1065"/>
      <c r="CN583" s="1065"/>
      <c r="CO583" s="1065"/>
      <c r="CP583" s="1065"/>
      <c r="CQ583" s="1065"/>
      <c r="CR583" s="1065"/>
      <c r="CS583" s="1065"/>
      <c r="CT583" s="1065"/>
      <c r="CU583" s="1065"/>
      <c r="CV583" s="1065"/>
      <c r="CW583" s="1065"/>
      <c r="CX583" s="1065"/>
      <c r="CY583" s="1065"/>
      <c r="CZ583" s="1065"/>
      <c r="DA583" s="1065"/>
      <c r="DB583" s="1065"/>
    </row>
    <row r="584" spans="1:106" ht="15" customHeight="1" thickBot="1">
      <c r="A584" s="1065"/>
      <c r="B584" s="1065"/>
      <c r="C584" s="1740" t="s">
        <v>1007</v>
      </c>
      <c r="D584" s="1740"/>
      <c r="E584" s="1740"/>
      <c r="F584" s="1740"/>
      <c r="G584" s="1740"/>
      <c r="H584" s="1740"/>
      <c r="I584" s="1740"/>
      <c r="J584" s="1740"/>
      <c r="K584" s="1740"/>
      <c r="L584" s="1740"/>
      <c r="M584" s="1740"/>
      <c r="N584" s="1740"/>
      <c r="O584" s="1740"/>
      <c r="P584" s="1740"/>
      <c r="Q584" s="1740"/>
      <c r="R584" s="1740"/>
      <c r="S584" s="1740"/>
      <c r="T584" s="1740"/>
      <c r="U584" s="1740"/>
      <c r="V584" s="1065"/>
      <c r="W584" s="1065"/>
      <c r="X584" s="1065"/>
      <c r="Y584" s="1065"/>
      <c r="Z584" s="1065"/>
      <c r="AA584" s="1065"/>
      <c r="AB584" s="1065"/>
      <c r="AC584" s="1065"/>
      <c r="AD584" s="1065"/>
      <c r="AE584" s="1065"/>
      <c r="AF584" s="1065"/>
      <c r="AG584" s="1065"/>
      <c r="AH584" s="1065"/>
      <c r="AI584" s="1065"/>
      <c r="AJ584" s="1065"/>
      <c r="AK584" s="1065"/>
      <c r="AL584" s="1065"/>
      <c r="AM584" s="1065"/>
      <c r="AN584" s="1065"/>
      <c r="AO584" s="1065"/>
      <c r="AP584" s="1065"/>
      <c r="AQ584" s="1065"/>
      <c r="AR584" s="1065"/>
      <c r="AS584" s="1065"/>
      <c r="AT584" s="1065"/>
      <c r="AU584" s="1065"/>
      <c r="AV584" s="1065"/>
      <c r="AW584" s="1065"/>
      <c r="AX584" s="1065"/>
      <c r="AY584" s="1065"/>
      <c r="AZ584" s="1065"/>
      <c r="BA584" s="1065"/>
      <c r="BB584" s="1065"/>
      <c r="BC584" s="1065"/>
      <c r="BD584" s="1065"/>
      <c r="BE584" s="1065"/>
      <c r="BF584" s="1065"/>
      <c r="BG584" s="1065"/>
      <c r="BH584" s="1065"/>
      <c r="BI584" s="1065"/>
      <c r="BJ584" s="1065"/>
      <c r="BK584" s="1065"/>
      <c r="BL584" s="1065"/>
      <c r="BM584" s="1065"/>
      <c r="BN584" s="1065"/>
      <c r="BO584" s="1065"/>
      <c r="BP584" s="1065"/>
      <c r="BQ584" s="1065"/>
      <c r="BR584" s="1065"/>
      <c r="BS584" s="1065"/>
      <c r="BT584" s="1065"/>
      <c r="BU584" s="1065"/>
      <c r="BV584" s="1065"/>
      <c r="BW584" s="1065"/>
      <c r="BX584" s="1065"/>
      <c r="BY584" s="1065"/>
      <c r="BZ584" s="1065"/>
      <c r="CA584" s="1065"/>
      <c r="CB584" s="1065"/>
      <c r="CC584" s="1065"/>
      <c r="CD584" s="1065"/>
      <c r="CE584" s="1065"/>
      <c r="CF584" s="1065"/>
      <c r="CG584" s="1065"/>
      <c r="CH584" s="1065"/>
      <c r="CI584" s="1065"/>
      <c r="CJ584" s="1065"/>
      <c r="CK584" s="1065"/>
      <c r="CL584" s="1065"/>
      <c r="CM584" s="1065"/>
      <c r="CN584" s="1065"/>
      <c r="CO584" s="1065"/>
      <c r="CP584" s="1065"/>
      <c r="CQ584" s="1065"/>
      <c r="CR584" s="1065"/>
      <c r="CS584" s="1065"/>
      <c r="CT584" s="1065"/>
      <c r="CU584" s="1065"/>
      <c r="CV584" s="1065"/>
      <c r="CW584" s="1065"/>
      <c r="CX584" s="1065"/>
      <c r="CY584" s="1065"/>
      <c r="CZ584" s="1065"/>
      <c r="DA584" s="1065"/>
      <c r="DB584" s="1065"/>
    </row>
    <row r="585" spans="1:106" ht="15" customHeight="1" thickBot="1">
      <c r="A585" s="1065"/>
      <c r="B585" s="1065"/>
      <c r="C585" s="1741" t="s">
        <v>648</v>
      </c>
      <c r="D585" s="1742" t="s">
        <v>1008</v>
      </c>
      <c r="E585" s="1742"/>
      <c r="F585" s="1742"/>
      <c r="G585" s="1742"/>
      <c r="H585" s="1742"/>
      <c r="I585" s="1742"/>
      <c r="J585" s="1743" t="s">
        <v>1009</v>
      </c>
      <c r="K585" s="1743"/>
      <c r="L585" s="1743"/>
      <c r="M585" s="1743" t="s">
        <v>652</v>
      </c>
      <c r="N585" s="1743"/>
      <c r="O585" s="1743"/>
      <c r="P585" s="1743"/>
      <c r="Q585" s="1743"/>
      <c r="R585" s="1743"/>
      <c r="S585" s="1743" t="s">
        <v>6</v>
      </c>
      <c r="T585" s="1744" t="s">
        <v>653</v>
      </c>
      <c r="U585" s="1745" t="s">
        <v>654</v>
      </c>
      <c r="V585" s="1065"/>
      <c r="W585" s="1065"/>
      <c r="X585" s="1065"/>
      <c r="Y585" s="1065"/>
      <c r="Z585" s="1065"/>
      <c r="AA585" s="1065"/>
      <c r="AB585" s="1065"/>
      <c r="AC585" s="1065"/>
      <c r="AD585" s="1065"/>
      <c r="AE585" s="1065"/>
      <c r="AF585" s="1065"/>
      <c r="AG585" s="1065"/>
      <c r="AH585" s="1065"/>
      <c r="AI585" s="1065"/>
      <c r="AJ585" s="1065"/>
      <c r="AK585" s="1065"/>
      <c r="AL585" s="1065"/>
      <c r="AM585" s="1065"/>
      <c r="AN585" s="1065"/>
      <c r="AO585" s="1065"/>
      <c r="AP585" s="1065"/>
      <c r="AQ585" s="1065"/>
      <c r="AR585" s="1065"/>
      <c r="AS585" s="1065"/>
      <c r="AT585" s="1065"/>
      <c r="AU585" s="1065"/>
      <c r="AV585" s="1065"/>
      <c r="AW585" s="1065"/>
      <c r="AX585" s="1065"/>
      <c r="AY585" s="1065"/>
      <c r="AZ585" s="1065"/>
      <c r="BA585" s="1065"/>
      <c r="BB585" s="1065"/>
      <c r="BC585" s="1065"/>
      <c r="BD585" s="1065"/>
      <c r="BE585" s="1065"/>
      <c r="BF585" s="1065"/>
      <c r="BG585" s="1065"/>
      <c r="BH585" s="1065"/>
      <c r="BI585" s="1065"/>
      <c r="BJ585" s="1065"/>
      <c r="BK585" s="1065"/>
      <c r="BL585" s="1065"/>
      <c r="BM585" s="1065"/>
      <c r="BN585" s="1065"/>
      <c r="BO585" s="1065"/>
      <c r="BP585" s="1065"/>
      <c r="BQ585" s="1065"/>
      <c r="BR585" s="1065"/>
      <c r="BS585" s="1065"/>
      <c r="BT585" s="1065"/>
      <c r="BU585" s="1065"/>
      <c r="BV585" s="1065"/>
      <c r="BW585" s="1065"/>
      <c r="BX585" s="1065"/>
      <c r="BY585" s="1065"/>
      <c r="BZ585" s="1065"/>
      <c r="CA585" s="1065"/>
      <c r="CB585" s="1065"/>
      <c r="CC585" s="1065"/>
      <c r="CD585" s="1065"/>
      <c r="CE585" s="1065"/>
      <c r="CF585" s="1065"/>
      <c r="CG585" s="1065"/>
      <c r="CH585" s="1065"/>
      <c r="CI585" s="1065"/>
      <c r="CJ585" s="1065"/>
      <c r="CK585" s="1065"/>
      <c r="CL585" s="1065"/>
      <c r="CM585" s="1065"/>
      <c r="CN585" s="1065"/>
      <c r="CO585" s="1065"/>
      <c r="CP585" s="1065"/>
      <c r="CQ585" s="1065"/>
      <c r="CR585" s="1065"/>
      <c r="CS585" s="1065"/>
      <c r="CT585" s="1065"/>
      <c r="CU585" s="1065"/>
      <c r="CV585" s="1065"/>
      <c r="CW585" s="1065"/>
      <c r="CX585" s="1065"/>
      <c r="CY585" s="1065"/>
      <c r="CZ585" s="1065"/>
      <c r="DA585" s="1065"/>
      <c r="DB585" s="1065"/>
    </row>
    <row r="586" spans="1:106" ht="15" customHeight="1">
      <c r="A586" s="1065"/>
      <c r="B586" s="1065"/>
      <c r="C586" s="1741"/>
      <c r="D586" s="1742"/>
      <c r="E586" s="1742"/>
      <c r="F586" s="1742"/>
      <c r="G586" s="1742"/>
      <c r="H586" s="1742"/>
      <c r="I586" s="1742"/>
      <c r="J586" s="1743"/>
      <c r="K586" s="1743"/>
      <c r="L586" s="1743"/>
      <c r="M586" s="1743"/>
      <c r="N586" s="1743"/>
      <c r="O586" s="1743"/>
      <c r="P586" s="1743"/>
      <c r="Q586" s="1743"/>
      <c r="R586" s="1743"/>
      <c r="S586" s="1743"/>
      <c r="T586" s="1744"/>
      <c r="U586" s="1745"/>
      <c r="V586" s="1065"/>
      <c r="W586" s="1065"/>
      <c r="X586" s="1065"/>
      <c r="Y586" s="1065"/>
      <c r="Z586" s="1065"/>
      <c r="AA586" s="1065"/>
      <c r="AB586" s="1065"/>
      <c r="AC586" s="1065"/>
      <c r="AD586" s="1065"/>
      <c r="AE586" s="1065"/>
      <c r="AF586" s="1065"/>
      <c r="AG586" s="1065"/>
      <c r="AH586" s="1065"/>
      <c r="AI586" s="1065"/>
      <c r="AJ586" s="1065"/>
      <c r="AK586" s="1065"/>
      <c r="AL586" s="1065"/>
      <c r="AM586" s="1065"/>
      <c r="AN586" s="1065"/>
      <c r="AO586" s="1065"/>
      <c r="AP586" s="1065"/>
      <c r="AQ586" s="1065"/>
      <c r="AR586" s="1065"/>
      <c r="AS586" s="1065"/>
      <c r="AT586" s="1065"/>
      <c r="AU586" s="1065"/>
      <c r="AV586" s="1065"/>
      <c r="AW586" s="1065"/>
      <c r="AX586" s="1065"/>
      <c r="AY586" s="1065"/>
      <c r="AZ586" s="1065"/>
      <c r="BA586" s="1065"/>
      <c r="BB586" s="1065"/>
      <c r="BC586" s="1065"/>
      <c r="BD586" s="1065"/>
      <c r="BE586" s="1065"/>
      <c r="BF586" s="1065"/>
      <c r="BG586" s="1065"/>
      <c r="BH586" s="1065"/>
      <c r="BI586" s="1065"/>
      <c r="BJ586" s="1065"/>
      <c r="BK586" s="1065"/>
      <c r="BL586" s="1065"/>
      <c r="BM586" s="1065"/>
      <c r="BN586" s="1065"/>
      <c r="BO586" s="1065"/>
      <c r="BP586" s="1065"/>
      <c r="BQ586" s="1065"/>
      <c r="BR586" s="1065"/>
      <c r="BS586" s="1065"/>
      <c r="BT586" s="1065"/>
      <c r="BU586" s="1065"/>
      <c r="BV586" s="1065"/>
      <c r="BW586" s="1065"/>
      <c r="BX586" s="1065"/>
      <c r="BY586" s="1065"/>
      <c r="BZ586" s="1065"/>
      <c r="CA586" s="1065"/>
      <c r="CB586" s="1065"/>
      <c r="CC586" s="1065"/>
      <c r="CD586" s="1065"/>
      <c r="CE586" s="1065"/>
      <c r="CF586" s="1065"/>
      <c r="CG586" s="1065"/>
      <c r="CH586" s="1065"/>
      <c r="CI586" s="1065"/>
      <c r="CJ586" s="1065"/>
      <c r="CK586" s="1065"/>
      <c r="CL586" s="1065"/>
      <c r="CM586" s="1065"/>
      <c r="CN586" s="1065"/>
      <c r="CO586" s="1065"/>
      <c r="CP586" s="1065"/>
      <c r="CQ586" s="1065"/>
      <c r="CR586" s="1065"/>
      <c r="CS586" s="1065"/>
      <c r="CT586" s="1065"/>
      <c r="CU586" s="1065"/>
      <c r="CV586" s="1065"/>
      <c r="CW586" s="1065"/>
      <c r="CX586" s="1065"/>
      <c r="CY586" s="1065"/>
      <c r="CZ586" s="1065"/>
      <c r="DA586" s="1065"/>
      <c r="DB586" s="1065"/>
    </row>
    <row r="587" spans="1:106" ht="15" customHeight="1" thickBot="1">
      <c r="A587" s="1065"/>
      <c r="B587" s="1065"/>
      <c r="C587" s="1079"/>
      <c r="D587" s="1746"/>
      <c r="E587" s="1746"/>
      <c r="F587" s="1746"/>
      <c r="G587" s="1746"/>
      <c r="H587" s="1746"/>
      <c r="I587" s="1746"/>
      <c r="J587" s="1748"/>
      <c r="K587" s="1748"/>
      <c r="L587" s="1748"/>
      <c r="M587" s="1731"/>
      <c r="N587" s="1731"/>
      <c r="O587" s="1731"/>
      <c r="P587" s="1731"/>
      <c r="Q587" s="1731"/>
      <c r="R587" s="1731"/>
      <c r="S587" s="1080"/>
      <c r="T587" s="1738">
        <f>SUM(S587:S591)</f>
        <v>0</v>
      </c>
      <c r="U587" s="1739">
        <v>50000</v>
      </c>
      <c r="V587" s="1065"/>
      <c r="W587" s="1065"/>
      <c r="X587" s="1065"/>
      <c r="Y587" s="1065"/>
      <c r="Z587" s="1065"/>
      <c r="AA587" s="1065"/>
      <c r="AB587" s="1065"/>
      <c r="AC587" s="1065"/>
      <c r="AD587" s="1065"/>
      <c r="AE587" s="1065"/>
      <c r="AF587" s="1065"/>
      <c r="AG587" s="1065"/>
      <c r="AH587" s="1065"/>
      <c r="AI587" s="1065"/>
      <c r="AJ587" s="1065"/>
      <c r="AK587" s="1065"/>
      <c r="AL587" s="1065"/>
      <c r="AM587" s="1065"/>
      <c r="AN587" s="1065"/>
      <c r="AO587" s="1065"/>
      <c r="AP587" s="1065"/>
      <c r="AQ587" s="1065"/>
      <c r="AR587" s="1065"/>
      <c r="AS587" s="1065"/>
      <c r="AT587" s="1065"/>
      <c r="AU587" s="1065"/>
      <c r="AV587" s="1065"/>
      <c r="AW587" s="1065"/>
      <c r="AX587" s="1065"/>
      <c r="AY587" s="1065"/>
      <c r="AZ587" s="1065"/>
      <c r="BA587" s="1065"/>
      <c r="BB587" s="1065"/>
      <c r="BC587" s="1065"/>
      <c r="BD587" s="1065"/>
      <c r="BE587" s="1065"/>
      <c r="BF587" s="1065"/>
      <c r="BG587" s="1065"/>
      <c r="BH587" s="1065"/>
      <c r="BI587" s="1065"/>
      <c r="BJ587" s="1065"/>
      <c r="BK587" s="1065"/>
      <c r="BL587" s="1065"/>
      <c r="BM587" s="1065"/>
      <c r="BN587" s="1065"/>
      <c r="BO587" s="1065"/>
      <c r="BP587" s="1065"/>
      <c r="BQ587" s="1065"/>
      <c r="BR587" s="1065"/>
      <c r="BS587" s="1065"/>
      <c r="BT587" s="1065"/>
      <c r="BU587" s="1065"/>
      <c r="BV587" s="1065"/>
      <c r="BW587" s="1065"/>
      <c r="BX587" s="1065"/>
      <c r="BY587" s="1065"/>
      <c r="BZ587" s="1065"/>
      <c r="CA587" s="1065"/>
      <c r="CB587" s="1065"/>
      <c r="CC587" s="1065"/>
      <c r="CD587" s="1065"/>
      <c r="CE587" s="1065"/>
      <c r="CF587" s="1065"/>
      <c r="CG587" s="1065"/>
      <c r="CH587" s="1065"/>
      <c r="CI587" s="1065"/>
      <c r="CJ587" s="1065"/>
      <c r="CK587" s="1065"/>
      <c r="CL587" s="1065"/>
      <c r="CM587" s="1065"/>
      <c r="CN587" s="1065"/>
      <c r="CO587" s="1065"/>
      <c r="CP587" s="1065"/>
      <c r="CQ587" s="1065"/>
      <c r="CR587" s="1065"/>
      <c r="CS587" s="1065"/>
      <c r="CT587" s="1065"/>
      <c r="CU587" s="1065"/>
      <c r="CV587" s="1065"/>
      <c r="CW587" s="1065"/>
      <c r="CX587" s="1065"/>
      <c r="CY587" s="1065"/>
      <c r="CZ587" s="1065"/>
      <c r="DA587" s="1065"/>
      <c r="DB587" s="1065"/>
    </row>
    <row r="588" spans="1:106" ht="15" customHeight="1" thickBot="1">
      <c r="A588" s="1065"/>
      <c r="B588" s="1065"/>
      <c r="C588" s="1081"/>
      <c r="D588" s="1746"/>
      <c r="E588" s="1746"/>
      <c r="F588" s="1746"/>
      <c r="G588" s="1746"/>
      <c r="H588" s="1746"/>
      <c r="I588" s="1746"/>
      <c r="J588" s="1747"/>
      <c r="K588" s="1747"/>
      <c r="L588" s="1747"/>
      <c r="M588" s="1678"/>
      <c r="N588" s="1678"/>
      <c r="O588" s="1678"/>
      <c r="P588" s="1678"/>
      <c r="Q588" s="1678"/>
      <c r="R588" s="1678"/>
      <c r="S588" s="1082"/>
      <c r="T588" s="1738"/>
      <c r="U588" s="1739"/>
      <c r="V588" s="1065"/>
      <c r="W588" s="1065"/>
      <c r="X588" s="1065"/>
      <c r="Y588" s="1065"/>
      <c r="Z588" s="1065"/>
      <c r="AA588" s="1065"/>
      <c r="AB588" s="1065"/>
      <c r="AC588" s="1065"/>
      <c r="AD588" s="1065"/>
      <c r="AE588" s="1065"/>
      <c r="AF588" s="1065"/>
      <c r="AG588" s="1065"/>
      <c r="AH588" s="1065"/>
      <c r="AI588" s="1065"/>
      <c r="AJ588" s="1065"/>
      <c r="AK588" s="1065"/>
      <c r="AL588" s="1065"/>
      <c r="AM588" s="1065"/>
      <c r="AN588" s="1065"/>
      <c r="AO588" s="1065"/>
      <c r="AP588" s="1065"/>
      <c r="AQ588" s="1065"/>
      <c r="AR588" s="1065"/>
      <c r="AS588" s="1065"/>
      <c r="AT588" s="1065"/>
      <c r="AU588" s="1065"/>
      <c r="AV588" s="1065"/>
      <c r="AW588" s="1065"/>
      <c r="AX588" s="1065"/>
      <c r="AY588" s="1065"/>
      <c r="AZ588" s="1065"/>
      <c r="BA588" s="1065"/>
      <c r="BB588" s="1065"/>
      <c r="BC588" s="1065"/>
      <c r="BD588" s="1065"/>
      <c r="BE588" s="1065"/>
      <c r="BF588" s="1065"/>
      <c r="BG588" s="1065"/>
      <c r="BH588" s="1065"/>
      <c r="BI588" s="1065"/>
      <c r="BJ588" s="1065"/>
      <c r="BK588" s="1065"/>
      <c r="BL588" s="1065"/>
      <c r="BM588" s="1065"/>
      <c r="BN588" s="1065"/>
      <c r="BO588" s="1065"/>
      <c r="BP588" s="1065"/>
      <c r="BQ588" s="1065"/>
      <c r="BR588" s="1065"/>
      <c r="BS588" s="1065"/>
      <c r="BT588" s="1065"/>
      <c r="BU588" s="1065"/>
      <c r="BV588" s="1065"/>
      <c r="BW588" s="1065"/>
      <c r="BX588" s="1065"/>
      <c r="BY588" s="1065"/>
      <c r="BZ588" s="1065"/>
      <c r="CA588" s="1065"/>
      <c r="CB588" s="1065"/>
      <c r="CC588" s="1065"/>
      <c r="CD588" s="1065"/>
      <c r="CE588" s="1065"/>
      <c r="CF588" s="1065"/>
      <c r="CG588" s="1065"/>
      <c r="CH588" s="1065"/>
      <c r="CI588" s="1065"/>
      <c r="CJ588" s="1065"/>
      <c r="CK588" s="1065"/>
      <c r="CL588" s="1065"/>
      <c r="CM588" s="1065"/>
      <c r="CN588" s="1065"/>
      <c r="CO588" s="1065"/>
      <c r="CP588" s="1065"/>
      <c r="CQ588" s="1065"/>
      <c r="CR588" s="1065"/>
      <c r="CS588" s="1065"/>
      <c r="CT588" s="1065"/>
      <c r="CU588" s="1065"/>
      <c r="CV588" s="1065"/>
      <c r="CW588" s="1065"/>
      <c r="CX588" s="1065"/>
      <c r="CY588" s="1065"/>
      <c r="CZ588" s="1065"/>
      <c r="DA588" s="1065"/>
      <c r="DB588" s="1065"/>
    </row>
    <row r="589" spans="1:106" ht="15" customHeight="1" thickBot="1">
      <c r="A589" s="1065"/>
      <c r="B589" s="1065"/>
      <c r="C589" s="1081"/>
      <c r="D589" s="1746"/>
      <c r="E589" s="1746"/>
      <c r="F589" s="1746"/>
      <c r="G589" s="1746"/>
      <c r="H589" s="1746"/>
      <c r="I589" s="1746"/>
      <c r="J589" s="1747"/>
      <c r="K589" s="1747"/>
      <c r="L589" s="1747"/>
      <c r="M589" s="1678"/>
      <c r="N589" s="1678"/>
      <c r="O589" s="1678"/>
      <c r="P589" s="1678"/>
      <c r="Q589" s="1678"/>
      <c r="R589" s="1678"/>
      <c r="S589" s="1082"/>
      <c r="T589" s="1738"/>
      <c r="U589" s="1739"/>
      <c r="V589" s="1065"/>
      <c r="W589" s="1065"/>
      <c r="X589" s="1065"/>
      <c r="Y589" s="1065"/>
      <c r="Z589" s="1065"/>
      <c r="AA589" s="1065"/>
      <c r="AB589" s="1065"/>
      <c r="AC589" s="1065"/>
      <c r="AD589" s="1065"/>
      <c r="AE589" s="1065"/>
      <c r="AF589" s="1065"/>
      <c r="AG589" s="1065"/>
      <c r="AH589" s="1065"/>
      <c r="AI589" s="1065"/>
      <c r="AJ589" s="1065"/>
      <c r="AK589" s="1065"/>
      <c r="AL589" s="1065"/>
      <c r="AM589" s="1065"/>
      <c r="AN589" s="1065"/>
      <c r="AO589" s="1065"/>
      <c r="AP589" s="1065"/>
      <c r="AQ589" s="1065"/>
      <c r="AR589" s="1065"/>
      <c r="AS589" s="1065"/>
      <c r="AT589" s="1065"/>
      <c r="AU589" s="1065"/>
      <c r="AV589" s="1065"/>
      <c r="AW589" s="1065"/>
      <c r="AX589" s="1065"/>
      <c r="AY589" s="1065"/>
      <c r="AZ589" s="1065"/>
      <c r="BA589" s="1065"/>
      <c r="BB589" s="1065"/>
      <c r="BC589" s="1065"/>
      <c r="BD589" s="1065"/>
      <c r="BE589" s="1065"/>
      <c r="BF589" s="1065"/>
      <c r="BG589" s="1065"/>
      <c r="BH589" s="1065"/>
      <c r="BI589" s="1065"/>
      <c r="BJ589" s="1065"/>
      <c r="BK589" s="1065"/>
      <c r="BL589" s="1065"/>
      <c r="BM589" s="1065"/>
      <c r="BN589" s="1065"/>
      <c r="BO589" s="1065"/>
      <c r="BP589" s="1065"/>
      <c r="BQ589" s="1065"/>
      <c r="BR589" s="1065"/>
      <c r="BS589" s="1065"/>
      <c r="BT589" s="1065"/>
      <c r="BU589" s="1065"/>
      <c r="BV589" s="1065"/>
      <c r="BW589" s="1065"/>
      <c r="BX589" s="1065"/>
      <c r="BY589" s="1065"/>
      <c r="BZ589" s="1065"/>
      <c r="CA589" s="1065"/>
      <c r="CB589" s="1065"/>
      <c r="CC589" s="1065"/>
      <c r="CD589" s="1065"/>
      <c r="CE589" s="1065"/>
      <c r="CF589" s="1065"/>
      <c r="CG589" s="1065"/>
      <c r="CH589" s="1065"/>
      <c r="CI589" s="1065"/>
      <c r="CJ589" s="1065"/>
      <c r="CK589" s="1065"/>
      <c r="CL589" s="1065"/>
      <c r="CM589" s="1065"/>
      <c r="CN589" s="1065"/>
      <c r="CO589" s="1065"/>
      <c r="CP589" s="1065"/>
      <c r="CQ589" s="1065"/>
      <c r="CR589" s="1065"/>
      <c r="CS589" s="1065"/>
      <c r="CT589" s="1065"/>
      <c r="CU589" s="1065"/>
      <c r="CV589" s="1065"/>
      <c r="CW589" s="1065"/>
      <c r="CX589" s="1065"/>
      <c r="CY589" s="1065"/>
      <c r="CZ589" s="1065"/>
      <c r="DA589" s="1065"/>
      <c r="DB589" s="1065"/>
    </row>
    <row r="590" spans="1:106" ht="15" customHeight="1" thickBot="1">
      <c r="A590" s="1065"/>
      <c r="B590" s="1065"/>
      <c r="C590" s="1081"/>
      <c r="D590" s="1746"/>
      <c r="E590" s="1746"/>
      <c r="F590" s="1746"/>
      <c r="G590" s="1746"/>
      <c r="H590" s="1746"/>
      <c r="I590" s="1746"/>
      <c r="J590" s="1747"/>
      <c r="K590" s="1747"/>
      <c r="L590" s="1747"/>
      <c r="M590" s="1678"/>
      <c r="N590" s="1678"/>
      <c r="O590" s="1678"/>
      <c r="P590" s="1678"/>
      <c r="Q590" s="1678"/>
      <c r="R590" s="1678"/>
      <c r="S590" s="1082"/>
      <c r="T590" s="1738"/>
      <c r="U590" s="1739"/>
      <c r="V590" s="1065"/>
      <c r="W590" s="1065"/>
      <c r="X590" s="1065"/>
      <c r="Y590" s="1065"/>
      <c r="Z590" s="1065"/>
      <c r="AA590" s="1065"/>
      <c r="AB590" s="1065"/>
      <c r="AC590" s="1065"/>
      <c r="AD590" s="1065"/>
      <c r="AE590" s="1065"/>
      <c r="AF590" s="1065"/>
      <c r="AG590" s="1065"/>
      <c r="AH590" s="1065"/>
      <c r="AI590" s="1065"/>
      <c r="AJ590" s="1065"/>
      <c r="AK590" s="1065"/>
      <c r="AL590" s="1065"/>
      <c r="AM590" s="1065"/>
      <c r="AN590" s="1065"/>
      <c r="AO590" s="1065"/>
      <c r="AP590" s="1065"/>
      <c r="AQ590" s="1065"/>
      <c r="AR590" s="1065"/>
      <c r="AS590" s="1065"/>
      <c r="AT590" s="1065"/>
      <c r="AU590" s="1065"/>
      <c r="AV590" s="1065"/>
      <c r="AW590" s="1065"/>
      <c r="AX590" s="1065"/>
      <c r="AY590" s="1065"/>
      <c r="AZ590" s="1065"/>
      <c r="BA590" s="1065"/>
      <c r="BB590" s="1065"/>
      <c r="BC590" s="1065"/>
      <c r="BD590" s="1065"/>
      <c r="BE590" s="1065"/>
      <c r="BF590" s="1065"/>
      <c r="BG590" s="1065"/>
      <c r="BH590" s="1065"/>
      <c r="BI590" s="1065"/>
      <c r="BJ590" s="1065"/>
      <c r="BK590" s="1065"/>
      <c r="BL590" s="1065"/>
      <c r="BM590" s="1065"/>
      <c r="BN590" s="1065"/>
      <c r="BO590" s="1065"/>
      <c r="BP590" s="1065"/>
      <c r="BQ590" s="1065"/>
      <c r="BR590" s="1065"/>
      <c r="BS590" s="1065"/>
      <c r="BT590" s="1065"/>
      <c r="BU590" s="1065"/>
      <c r="BV590" s="1065"/>
      <c r="BW590" s="1065"/>
      <c r="BX590" s="1065"/>
      <c r="BY590" s="1065"/>
      <c r="BZ590" s="1065"/>
      <c r="CA590" s="1065"/>
      <c r="CB590" s="1065"/>
      <c r="CC590" s="1065"/>
      <c r="CD590" s="1065"/>
      <c r="CE590" s="1065"/>
      <c r="CF590" s="1065"/>
      <c r="CG590" s="1065"/>
      <c r="CH590" s="1065"/>
      <c r="CI590" s="1065"/>
      <c r="CJ590" s="1065"/>
      <c r="CK590" s="1065"/>
      <c r="CL590" s="1065"/>
      <c r="CM590" s="1065"/>
      <c r="CN590" s="1065"/>
      <c r="CO590" s="1065"/>
      <c r="CP590" s="1065"/>
      <c r="CQ590" s="1065"/>
      <c r="CR590" s="1065"/>
      <c r="CS590" s="1065"/>
      <c r="CT590" s="1065"/>
      <c r="CU590" s="1065"/>
      <c r="CV590" s="1065"/>
      <c r="CW590" s="1065"/>
      <c r="CX590" s="1065"/>
      <c r="CY590" s="1065"/>
      <c r="CZ590" s="1065"/>
      <c r="DA590" s="1065"/>
      <c r="DB590" s="1065"/>
    </row>
    <row r="591" spans="1:106" ht="15" customHeight="1" thickBot="1">
      <c r="A591" s="1065"/>
      <c r="B591" s="1065"/>
      <c r="C591" s="1083"/>
      <c r="D591" s="1703"/>
      <c r="E591" s="1703"/>
      <c r="F591" s="1703"/>
      <c r="G591" s="1703"/>
      <c r="H591" s="1703"/>
      <c r="I591" s="1703"/>
      <c r="J591" s="1704"/>
      <c r="K591" s="1704"/>
      <c r="L591" s="1704"/>
      <c r="M591" s="1706"/>
      <c r="N591" s="1706"/>
      <c r="O591" s="1706"/>
      <c r="P591" s="1706"/>
      <c r="Q591" s="1706"/>
      <c r="R591" s="1706"/>
      <c r="S591" s="1084"/>
      <c r="T591" s="1738"/>
      <c r="U591" s="1739"/>
      <c r="V591" s="1065"/>
      <c r="W591" s="1065"/>
      <c r="X591" s="1065"/>
      <c r="Y591" s="1065"/>
      <c r="Z591" s="1065"/>
      <c r="AA591" s="1065"/>
      <c r="AB591" s="1065"/>
      <c r="AC591" s="1065"/>
      <c r="AD591" s="1065"/>
      <c r="AE591" s="1065"/>
      <c r="AF591" s="1065"/>
      <c r="AG591" s="1065"/>
      <c r="AH591" s="1065"/>
      <c r="AI591" s="1065"/>
      <c r="AJ591" s="1065"/>
      <c r="AK591" s="1065"/>
      <c r="AL591" s="1065"/>
      <c r="AM591" s="1065"/>
      <c r="AN591" s="1065"/>
      <c r="AO591" s="1065"/>
      <c r="AP591" s="1065"/>
      <c r="AQ591" s="1065"/>
      <c r="AR591" s="1065"/>
      <c r="AS591" s="1065"/>
      <c r="AT591" s="1065"/>
      <c r="AU591" s="1065"/>
      <c r="AV591" s="1065"/>
      <c r="AW591" s="1065"/>
      <c r="AX591" s="1065"/>
      <c r="AY591" s="1065"/>
      <c r="AZ591" s="1065"/>
      <c r="BA591" s="1065"/>
      <c r="BB591" s="1065"/>
      <c r="BC591" s="1065"/>
      <c r="BD591" s="1065"/>
      <c r="BE591" s="1065"/>
      <c r="BF591" s="1065"/>
      <c r="BG591" s="1065"/>
      <c r="BH591" s="1065"/>
      <c r="BI591" s="1065"/>
      <c r="BJ591" s="1065"/>
      <c r="BK591" s="1065"/>
      <c r="BL591" s="1065"/>
      <c r="BM591" s="1065"/>
      <c r="BN591" s="1065"/>
      <c r="BO591" s="1065"/>
      <c r="BP591" s="1065"/>
      <c r="BQ591" s="1065"/>
      <c r="BR591" s="1065"/>
      <c r="BS591" s="1065"/>
      <c r="BT591" s="1065"/>
      <c r="BU591" s="1065"/>
      <c r="BV591" s="1065"/>
      <c r="BW591" s="1065"/>
      <c r="BX591" s="1065"/>
      <c r="BY591" s="1065"/>
      <c r="BZ591" s="1065"/>
      <c r="CA591" s="1065"/>
      <c r="CB591" s="1065"/>
      <c r="CC591" s="1065"/>
      <c r="CD591" s="1065"/>
      <c r="CE591" s="1065"/>
      <c r="CF591" s="1065"/>
      <c r="CG591" s="1065"/>
      <c r="CH591" s="1065"/>
      <c r="CI591" s="1065"/>
      <c r="CJ591" s="1065"/>
      <c r="CK591" s="1065"/>
      <c r="CL591" s="1065"/>
      <c r="CM591" s="1065"/>
      <c r="CN591" s="1065"/>
      <c r="CO591" s="1065"/>
      <c r="CP591" s="1065"/>
      <c r="CQ591" s="1065"/>
      <c r="CR591" s="1065"/>
      <c r="CS591" s="1065"/>
      <c r="CT591" s="1065"/>
      <c r="CU591" s="1065"/>
      <c r="CV591" s="1065"/>
      <c r="CW591" s="1065"/>
      <c r="CX591" s="1065"/>
      <c r="CY591" s="1065"/>
      <c r="CZ591" s="1065"/>
      <c r="DA591" s="1065"/>
      <c r="DB591" s="1065"/>
    </row>
    <row r="592" spans="1:106" ht="15" customHeight="1" thickBot="1">
      <c r="A592" s="1065"/>
      <c r="B592" s="1065"/>
      <c r="C592" s="1740" t="s">
        <v>1010</v>
      </c>
      <c r="D592" s="1740"/>
      <c r="E592" s="1740"/>
      <c r="F592" s="1740"/>
      <c r="G592" s="1740"/>
      <c r="H592" s="1740"/>
      <c r="I592" s="1740"/>
      <c r="J592" s="1740"/>
      <c r="K592" s="1740"/>
      <c r="L592" s="1740"/>
      <c r="M592" s="1740"/>
      <c r="N592" s="1740"/>
      <c r="O592" s="1740"/>
      <c r="P592" s="1740"/>
      <c r="Q592" s="1740"/>
      <c r="R592" s="1740"/>
      <c r="S592" s="1740"/>
      <c r="T592" s="1740"/>
      <c r="U592" s="1740"/>
      <c r="V592" s="1065"/>
      <c r="W592" s="1065"/>
      <c r="X592" s="1065"/>
      <c r="Y592" s="1065"/>
      <c r="Z592" s="1065"/>
      <c r="AA592" s="1065"/>
      <c r="AB592" s="1065"/>
      <c r="AC592" s="1065"/>
      <c r="AD592" s="1065"/>
      <c r="AE592" s="1065"/>
      <c r="AF592" s="1065"/>
      <c r="AG592" s="1065"/>
      <c r="AH592" s="1065"/>
      <c r="AI592" s="1065"/>
      <c r="AJ592" s="1065"/>
      <c r="AK592" s="1065"/>
      <c r="AL592" s="1065"/>
      <c r="AM592" s="1065"/>
      <c r="AN592" s="1065"/>
      <c r="AO592" s="1065"/>
      <c r="AP592" s="1065"/>
      <c r="AQ592" s="1065"/>
      <c r="AR592" s="1065"/>
      <c r="AS592" s="1065"/>
      <c r="AT592" s="1065"/>
      <c r="AU592" s="1065"/>
      <c r="AV592" s="1065"/>
      <c r="AW592" s="1065"/>
      <c r="AX592" s="1065"/>
      <c r="AY592" s="1065"/>
      <c r="AZ592" s="1065"/>
      <c r="BA592" s="1065"/>
      <c r="BB592" s="1065"/>
      <c r="BC592" s="1065"/>
      <c r="BD592" s="1065"/>
      <c r="BE592" s="1065"/>
      <c r="BF592" s="1065"/>
      <c r="BG592" s="1065"/>
      <c r="BH592" s="1065"/>
      <c r="BI592" s="1065"/>
      <c r="BJ592" s="1065"/>
      <c r="BK592" s="1065"/>
      <c r="BL592" s="1065"/>
      <c r="BM592" s="1065"/>
      <c r="BN592" s="1065"/>
      <c r="BO592" s="1065"/>
      <c r="BP592" s="1065"/>
      <c r="BQ592" s="1065"/>
      <c r="BR592" s="1065"/>
      <c r="BS592" s="1065"/>
      <c r="BT592" s="1065"/>
      <c r="BU592" s="1065"/>
      <c r="BV592" s="1065"/>
      <c r="BW592" s="1065"/>
      <c r="BX592" s="1065"/>
      <c r="BY592" s="1065"/>
      <c r="BZ592" s="1065"/>
      <c r="CA592" s="1065"/>
      <c r="CB592" s="1065"/>
      <c r="CC592" s="1065"/>
      <c r="CD592" s="1065"/>
      <c r="CE592" s="1065"/>
      <c r="CF592" s="1065"/>
      <c r="CG592" s="1065"/>
      <c r="CH592" s="1065"/>
      <c r="CI592" s="1065"/>
      <c r="CJ592" s="1065"/>
      <c r="CK592" s="1065"/>
      <c r="CL592" s="1065"/>
      <c r="CM592" s="1065"/>
      <c r="CN592" s="1065"/>
      <c r="CO592" s="1065"/>
      <c r="CP592" s="1065"/>
      <c r="CQ592" s="1065"/>
      <c r="CR592" s="1065"/>
      <c r="CS592" s="1065"/>
      <c r="CT592" s="1065"/>
      <c r="CU592" s="1065"/>
      <c r="CV592" s="1065"/>
      <c r="CW592" s="1065"/>
      <c r="CX592" s="1065"/>
      <c r="CY592" s="1065"/>
      <c r="CZ592" s="1065"/>
      <c r="DA592" s="1065"/>
      <c r="DB592" s="1065"/>
    </row>
    <row r="593" spans="1:106" ht="15" customHeight="1" thickBot="1">
      <c r="A593" s="1065"/>
      <c r="B593" s="1065"/>
      <c r="C593" s="1741" t="s">
        <v>648</v>
      </c>
      <c r="D593" s="1742" t="s">
        <v>1008</v>
      </c>
      <c r="E593" s="1742"/>
      <c r="F593" s="1742"/>
      <c r="G593" s="1742"/>
      <c r="H593" s="1742"/>
      <c r="I593" s="1742"/>
      <c r="J593" s="1743" t="s">
        <v>1009</v>
      </c>
      <c r="K593" s="1743"/>
      <c r="L593" s="1743"/>
      <c r="M593" s="1743" t="s">
        <v>652</v>
      </c>
      <c r="N593" s="1743"/>
      <c r="O593" s="1743"/>
      <c r="P593" s="1743"/>
      <c r="Q593" s="1743"/>
      <c r="R593" s="1743"/>
      <c r="S593" s="1743" t="s">
        <v>6</v>
      </c>
      <c r="T593" s="1744" t="s">
        <v>653</v>
      </c>
      <c r="U593" s="1745" t="s">
        <v>654</v>
      </c>
      <c r="V593" s="1065"/>
      <c r="W593" s="1065"/>
      <c r="X593" s="1065"/>
      <c r="Y593" s="1065"/>
      <c r="Z593" s="1065"/>
      <c r="AA593" s="1065"/>
      <c r="AB593" s="1065"/>
      <c r="AC593" s="1065"/>
      <c r="AD593" s="1065"/>
      <c r="AE593" s="1065"/>
      <c r="AF593" s="1065"/>
      <c r="AG593" s="1065"/>
      <c r="AH593" s="1065"/>
      <c r="AI593" s="1065"/>
      <c r="AJ593" s="1065"/>
      <c r="AK593" s="1065"/>
      <c r="AL593" s="1065"/>
      <c r="AM593" s="1065"/>
      <c r="AN593" s="1065"/>
      <c r="AO593" s="1065"/>
      <c r="AP593" s="1065"/>
      <c r="AQ593" s="1065"/>
      <c r="AR593" s="1065"/>
      <c r="AS593" s="1065"/>
      <c r="AT593" s="1065"/>
      <c r="AU593" s="1065"/>
      <c r="AV593" s="1065"/>
      <c r="AW593" s="1065"/>
      <c r="AX593" s="1065"/>
      <c r="AY593" s="1065"/>
      <c r="AZ593" s="1065"/>
      <c r="BA593" s="1065"/>
      <c r="BB593" s="1065"/>
      <c r="BC593" s="1065"/>
      <c r="BD593" s="1065"/>
      <c r="BE593" s="1065"/>
      <c r="BF593" s="1065"/>
      <c r="BG593" s="1065"/>
      <c r="BH593" s="1065"/>
      <c r="BI593" s="1065"/>
      <c r="BJ593" s="1065"/>
      <c r="BK593" s="1065"/>
      <c r="BL593" s="1065"/>
      <c r="BM593" s="1065"/>
      <c r="BN593" s="1065"/>
      <c r="BO593" s="1065"/>
      <c r="BP593" s="1065"/>
      <c r="BQ593" s="1065"/>
      <c r="BR593" s="1065"/>
      <c r="BS593" s="1065"/>
      <c r="BT593" s="1065"/>
      <c r="BU593" s="1065"/>
      <c r="BV593" s="1065"/>
      <c r="BW593" s="1065"/>
      <c r="BX593" s="1065"/>
      <c r="BY593" s="1065"/>
      <c r="BZ593" s="1065"/>
      <c r="CA593" s="1065"/>
      <c r="CB593" s="1065"/>
      <c r="CC593" s="1065"/>
      <c r="CD593" s="1065"/>
      <c r="CE593" s="1065"/>
      <c r="CF593" s="1065"/>
      <c r="CG593" s="1065"/>
      <c r="CH593" s="1065"/>
      <c r="CI593" s="1065"/>
      <c r="CJ593" s="1065"/>
      <c r="CK593" s="1065"/>
      <c r="CL593" s="1065"/>
      <c r="CM593" s="1065"/>
      <c r="CN593" s="1065"/>
      <c r="CO593" s="1065"/>
      <c r="CP593" s="1065"/>
      <c r="CQ593" s="1065"/>
      <c r="CR593" s="1065"/>
      <c r="CS593" s="1065"/>
      <c r="CT593" s="1065"/>
      <c r="CU593" s="1065"/>
      <c r="CV593" s="1065"/>
      <c r="CW593" s="1065"/>
      <c r="CX593" s="1065"/>
      <c r="CY593" s="1065"/>
      <c r="CZ593" s="1065"/>
      <c r="DA593" s="1065"/>
      <c r="DB593" s="1065"/>
    </row>
    <row r="594" spans="1:106" ht="15" customHeight="1">
      <c r="A594" s="1065"/>
      <c r="B594" s="1065"/>
      <c r="C594" s="1741"/>
      <c r="D594" s="1742"/>
      <c r="E594" s="1742"/>
      <c r="F594" s="1742"/>
      <c r="G594" s="1742"/>
      <c r="H594" s="1742"/>
      <c r="I594" s="1742"/>
      <c r="J594" s="1743"/>
      <c r="K594" s="1743"/>
      <c r="L594" s="1743"/>
      <c r="M594" s="1743"/>
      <c r="N594" s="1743"/>
      <c r="O594" s="1743"/>
      <c r="P594" s="1743"/>
      <c r="Q594" s="1743"/>
      <c r="R594" s="1743"/>
      <c r="S594" s="1743"/>
      <c r="T594" s="1744"/>
      <c r="U594" s="1745"/>
      <c r="V594" s="1065"/>
      <c r="W594" s="1065"/>
      <c r="X594" s="1065"/>
      <c r="Y594" s="1065"/>
      <c r="Z594" s="1065"/>
      <c r="AA594" s="1065"/>
      <c r="AB594" s="1065"/>
      <c r="AC594" s="1065"/>
      <c r="AD594" s="1065"/>
      <c r="AE594" s="1065"/>
      <c r="AF594" s="1065"/>
      <c r="AG594" s="1065"/>
      <c r="AH594" s="1065"/>
      <c r="AI594" s="1065"/>
      <c r="AJ594" s="1065"/>
      <c r="AK594" s="1065"/>
      <c r="AL594" s="1065"/>
      <c r="AM594" s="1065"/>
      <c r="AN594" s="1065"/>
      <c r="AO594" s="1065"/>
      <c r="AP594" s="1065"/>
      <c r="AQ594" s="1065"/>
      <c r="AR594" s="1065"/>
      <c r="AS594" s="1065"/>
      <c r="AT594" s="1065"/>
      <c r="AU594" s="1065"/>
      <c r="AV594" s="1065"/>
      <c r="AW594" s="1065"/>
      <c r="AX594" s="1065"/>
      <c r="AY594" s="1065"/>
      <c r="AZ594" s="1065"/>
      <c r="BA594" s="1065"/>
      <c r="BB594" s="1065"/>
      <c r="BC594" s="1065"/>
      <c r="BD594" s="1065"/>
      <c r="BE594" s="1065"/>
      <c r="BF594" s="1065"/>
      <c r="BG594" s="1065"/>
      <c r="BH594" s="1065"/>
      <c r="BI594" s="1065"/>
      <c r="BJ594" s="1065"/>
      <c r="BK594" s="1065"/>
      <c r="BL594" s="1065"/>
      <c r="BM594" s="1065"/>
      <c r="BN594" s="1065"/>
      <c r="BO594" s="1065"/>
      <c r="BP594" s="1065"/>
      <c r="BQ594" s="1065"/>
      <c r="BR594" s="1065"/>
      <c r="BS594" s="1065"/>
      <c r="BT594" s="1065"/>
      <c r="BU594" s="1065"/>
      <c r="BV594" s="1065"/>
      <c r="BW594" s="1065"/>
      <c r="BX594" s="1065"/>
      <c r="BY594" s="1065"/>
      <c r="BZ594" s="1065"/>
      <c r="CA594" s="1065"/>
      <c r="CB594" s="1065"/>
      <c r="CC594" s="1065"/>
      <c r="CD594" s="1065"/>
      <c r="CE594" s="1065"/>
      <c r="CF594" s="1065"/>
      <c r="CG594" s="1065"/>
      <c r="CH594" s="1065"/>
      <c r="CI594" s="1065"/>
      <c r="CJ594" s="1065"/>
      <c r="CK594" s="1065"/>
      <c r="CL594" s="1065"/>
      <c r="CM594" s="1065"/>
      <c r="CN594" s="1065"/>
      <c r="CO594" s="1065"/>
      <c r="CP594" s="1065"/>
      <c r="CQ594" s="1065"/>
      <c r="CR594" s="1065"/>
      <c r="CS594" s="1065"/>
      <c r="CT594" s="1065"/>
      <c r="CU594" s="1065"/>
      <c r="CV594" s="1065"/>
      <c r="CW594" s="1065"/>
      <c r="CX594" s="1065"/>
      <c r="CY594" s="1065"/>
      <c r="CZ594" s="1065"/>
      <c r="DA594" s="1065"/>
      <c r="DB594" s="1065"/>
    </row>
    <row r="595" spans="1:106" ht="15" customHeight="1" thickBot="1">
      <c r="A595" s="1065"/>
      <c r="B595" s="1065"/>
      <c r="C595" s="1220" t="s">
        <v>492</v>
      </c>
      <c r="D595" s="1737" t="s">
        <v>1011</v>
      </c>
      <c r="E595" s="1737"/>
      <c r="F595" s="1737"/>
      <c r="G595" s="1737"/>
      <c r="H595" s="1737"/>
      <c r="I595" s="1737"/>
      <c r="J595" s="1733" t="s">
        <v>1012</v>
      </c>
      <c r="K595" s="1733"/>
      <c r="L595" s="1733"/>
      <c r="M595" s="1731" t="s">
        <v>1013</v>
      </c>
      <c r="N595" s="1731"/>
      <c r="O595" s="1731"/>
      <c r="P595" s="1731"/>
      <c r="Q595" s="1731"/>
      <c r="R595" s="1731"/>
      <c r="S595" s="1074">
        <v>913</v>
      </c>
      <c r="T595" s="1738">
        <f>SUM(S595:S600)</f>
        <v>11756</v>
      </c>
      <c r="U595" s="1739">
        <f>T595</f>
        <v>11756</v>
      </c>
      <c r="V595" s="1065"/>
      <c r="W595" s="1065"/>
      <c r="X595" s="1065"/>
      <c r="Y595" s="1065"/>
      <c r="Z595" s="1065"/>
      <c r="AA595" s="1065"/>
      <c r="AB595" s="1065"/>
      <c r="AC595" s="1065"/>
      <c r="AD595" s="1065"/>
      <c r="AE595" s="1065"/>
      <c r="AF595" s="1065"/>
      <c r="AG595" s="1065"/>
      <c r="AH595" s="1065"/>
      <c r="AI595" s="1065"/>
      <c r="AJ595" s="1065"/>
      <c r="AK595" s="1065"/>
      <c r="AL595" s="1065"/>
      <c r="AM595" s="1065"/>
      <c r="AN595" s="1065"/>
      <c r="AO595" s="1065"/>
      <c r="AP595" s="1065"/>
      <c r="AQ595" s="1065"/>
      <c r="AR595" s="1065"/>
      <c r="AS595" s="1065"/>
      <c r="AT595" s="1065"/>
      <c r="AU595" s="1065"/>
      <c r="AV595" s="1065"/>
      <c r="AW595" s="1065"/>
      <c r="AX595" s="1065"/>
      <c r="AY595" s="1065"/>
      <c r="AZ595" s="1065"/>
      <c r="BA595" s="1065"/>
      <c r="BB595" s="1065"/>
      <c r="BC595" s="1065"/>
      <c r="BD595" s="1065"/>
      <c r="BE595" s="1065"/>
      <c r="BF595" s="1065"/>
      <c r="BG595" s="1065"/>
      <c r="BH595" s="1065"/>
      <c r="BI595" s="1065"/>
      <c r="BJ595" s="1065"/>
      <c r="BK595" s="1065"/>
      <c r="BL595" s="1065"/>
      <c r="BM595" s="1065"/>
      <c r="BN595" s="1065"/>
      <c r="BO595" s="1065"/>
      <c r="BP595" s="1065"/>
      <c r="BQ595" s="1065"/>
      <c r="BR595" s="1065"/>
      <c r="BS595" s="1065"/>
      <c r="BT595" s="1065"/>
      <c r="BU595" s="1065"/>
      <c r="BV595" s="1065"/>
      <c r="BW595" s="1065"/>
      <c r="BX595" s="1065"/>
      <c r="BY595" s="1065"/>
      <c r="BZ595" s="1065"/>
      <c r="CA595" s="1065"/>
      <c r="CB595" s="1065"/>
      <c r="CC595" s="1065"/>
      <c r="CD595" s="1065"/>
      <c r="CE595" s="1065"/>
      <c r="CF595" s="1065"/>
      <c r="CG595" s="1065"/>
      <c r="CH595" s="1065"/>
      <c r="CI595" s="1065"/>
      <c r="CJ595" s="1065"/>
      <c r="CK595" s="1065"/>
      <c r="CL595" s="1065"/>
      <c r="CM595" s="1065"/>
      <c r="CN595" s="1065"/>
      <c r="CO595" s="1065"/>
      <c r="CP595" s="1065"/>
      <c r="CQ595" s="1065"/>
      <c r="CR595" s="1065"/>
      <c r="CS595" s="1065"/>
      <c r="CT595" s="1065"/>
      <c r="CU595" s="1065"/>
      <c r="CV595" s="1065"/>
      <c r="CW595" s="1065"/>
      <c r="CX595" s="1065"/>
      <c r="CY595" s="1065"/>
      <c r="CZ595" s="1065"/>
      <c r="DA595" s="1065"/>
      <c r="DB595" s="1065"/>
    </row>
    <row r="596" spans="1:106" ht="15" customHeight="1" thickBot="1">
      <c r="A596" s="1065"/>
      <c r="B596" s="1065"/>
      <c r="C596" s="1221" t="s">
        <v>496</v>
      </c>
      <c r="D596" s="1732" t="s">
        <v>1011</v>
      </c>
      <c r="E596" s="1732"/>
      <c r="F596" s="1732"/>
      <c r="G596" s="1732"/>
      <c r="H596" s="1732"/>
      <c r="I596" s="1732"/>
      <c r="J596" s="1733" t="s">
        <v>1012</v>
      </c>
      <c r="K596" s="1733"/>
      <c r="L596" s="1733"/>
      <c r="M596" s="1731" t="s">
        <v>1014</v>
      </c>
      <c r="N596" s="1731"/>
      <c r="O596" s="1731"/>
      <c r="P596" s="1731"/>
      <c r="Q596" s="1731"/>
      <c r="R596" s="1731"/>
      <c r="S596" s="1067">
        <v>1069</v>
      </c>
      <c r="T596" s="1738"/>
      <c r="U596" s="1739"/>
      <c r="V596" s="1065"/>
      <c r="W596" s="1065"/>
      <c r="X596" s="1065"/>
      <c r="Y596" s="1065"/>
      <c r="Z596" s="1065"/>
      <c r="AA596" s="1065"/>
      <c r="AB596" s="1065"/>
      <c r="AC596" s="1065"/>
      <c r="AD596" s="1065"/>
      <c r="AE596" s="1065"/>
      <c r="AF596" s="1065"/>
      <c r="AG596" s="1065"/>
      <c r="AH596" s="1065"/>
      <c r="AI596" s="1065"/>
      <c r="AJ596" s="1065"/>
      <c r="AK596" s="1065"/>
      <c r="AL596" s="1065"/>
      <c r="AM596" s="1065"/>
      <c r="AN596" s="1065"/>
      <c r="AO596" s="1065"/>
      <c r="AP596" s="1065"/>
      <c r="AQ596" s="1065"/>
      <c r="AR596" s="1065"/>
      <c r="AS596" s="1065"/>
      <c r="AT596" s="1065"/>
      <c r="AU596" s="1065"/>
      <c r="AV596" s="1065"/>
      <c r="AW596" s="1065"/>
      <c r="AX596" s="1065"/>
      <c r="AY596" s="1065"/>
      <c r="AZ596" s="1065"/>
      <c r="BA596" s="1065"/>
      <c r="BB596" s="1065"/>
      <c r="BC596" s="1065"/>
      <c r="BD596" s="1065"/>
      <c r="BE596" s="1065"/>
      <c r="BF596" s="1065"/>
      <c r="BG596" s="1065"/>
      <c r="BH596" s="1065"/>
      <c r="BI596" s="1065"/>
      <c r="BJ596" s="1065"/>
      <c r="BK596" s="1065"/>
      <c r="BL596" s="1065"/>
      <c r="BM596" s="1065"/>
      <c r="BN596" s="1065"/>
      <c r="BO596" s="1065"/>
      <c r="BP596" s="1065"/>
      <c r="BQ596" s="1065"/>
      <c r="BR596" s="1065"/>
      <c r="BS596" s="1065"/>
      <c r="BT596" s="1065"/>
      <c r="BU596" s="1065"/>
      <c r="BV596" s="1065"/>
      <c r="BW596" s="1065"/>
      <c r="BX596" s="1065"/>
      <c r="BY596" s="1065"/>
      <c r="BZ596" s="1065"/>
      <c r="CA596" s="1065"/>
      <c r="CB596" s="1065"/>
      <c r="CC596" s="1065"/>
      <c r="CD596" s="1065"/>
      <c r="CE596" s="1065"/>
      <c r="CF596" s="1065"/>
      <c r="CG596" s="1065"/>
      <c r="CH596" s="1065"/>
      <c r="CI596" s="1065"/>
      <c r="CJ596" s="1065"/>
      <c r="CK596" s="1065"/>
      <c r="CL596" s="1065"/>
      <c r="CM596" s="1065"/>
      <c r="CN596" s="1065"/>
      <c r="CO596" s="1065"/>
      <c r="CP596" s="1065"/>
      <c r="CQ596" s="1065"/>
      <c r="CR596" s="1065"/>
      <c r="CS596" s="1065"/>
      <c r="CT596" s="1065"/>
      <c r="CU596" s="1065"/>
      <c r="CV596" s="1065"/>
      <c r="CW596" s="1065"/>
      <c r="CX596" s="1065"/>
      <c r="CY596" s="1065"/>
      <c r="CZ596" s="1065"/>
      <c r="DA596" s="1065"/>
      <c r="DB596" s="1065"/>
    </row>
    <row r="597" spans="1:106" ht="15" customHeight="1" thickBot="1">
      <c r="A597" s="1065"/>
      <c r="B597" s="1065"/>
      <c r="C597" s="1221" t="s">
        <v>488</v>
      </c>
      <c r="D597" s="1732" t="s">
        <v>1011</v>
      </c>
      <c r="E597" s="1732"/>
      <c r="F597" s="1732"/>
      <c r="G597" s="1732"/>
      <c r="H597" s="1732"/>
      <c r="I597" s="1732"/>
      <c r="J597" s="1733" t="s">
        <v>1012</v>
      </c>
      <c r="K597" s="1733"/>
      <c r="L597" s="1733"/>
      <c r="M597" s="1731" t="s">
        <v>1015</v>
      </c>
      <c r="N597" s="1731"/>
      <c r="O597" s="1731"/>
      <c r="P597" s="1731"/>
      <c r="Q597" s="1731"/>
      <c r="R597" s="1731"/>
      <c r="S597" s="1067">
        <v>757</v>
      </c>
      <c r="T597" s="1738"/>
      <c r="U597" s="1739"/>
      <c r="V597" s="1065"/>
      <c r="W597" s="1065"/>
      <c r="X597" s="1065"/>
      <c r="Y597" s="1065"/>
      <c r="Z597" s="1065"/>
      <c r="AA597" s="1065"/>
      <c r="AB597" s="1065"/>
      <c r="AC597" s="1065"/>
      <c r="AD597" s="1065"/>
      <c r="AE597" s="1065"/>
      <c r="AF597" s="1065"/>
      <c r="AG597" s="1065"/>
      <c r="AH597" s="1065"/>
      <c r="AI597" s="1065"/>
      <c r="AJ597" s="1065"/>
      <c r="AK597" s="1065"/>
      <c r="AL597" s="1065"/>
      <c r="AM597" s="1065"/>
      <c r="AN597" s="1065"/>
      <c r="AO597" s="1065"/>
      <c r="AP597" s="1065"/>
      <c r="AQ597" s="1065"/>
      <c r="AR597" s="1065"/>
      <c r="AS597" s="1065"/>
      <c r="AT597" s="1065"/>
      <c r="AU597" s="1065"/>
      <c r="AV597" s="1065"/>
      <c r="AW597" s="1065"/>
      <c r="AX597" s="1065"/>
      <c r="AY597" s="1065"/>
      <c r="AZ597" s="1065"/>
      <c r="BA597" s="1065"/>
      <c r="BB597" s="1065"/>
      <c r="BC597" s="1065"/>
      <c r="BD597" s="1065"/>
      <c r="BE597" s="1065"/>
      <c r="BF597" s="1065"/>
      <c r="BG597" s="1065"/>
      <c r="BH597" s="1065"/>
      <c r="BI597" s="1065"/>
      <c r="BJ597" s="1065"/>
      <c r="BK597" s="1065"/>
      <c r="BL597" s="1065"/>
      <c r="BM597" s="1065"/>
      <c r="BN597" s="1065"/>
      <c r="BO597" s="1065"/>
      <c r="BP597" s="1065"/>
      <c r="BQ597" s="1065"/>
      <c r="BR597" s="1065"/>
      <c r="BS597" s="1065"/>
      <c r="BT597" s="1065"/>
      <c r="BU597" s="1065"/>
      <c r="BV597" s="1065"/>
      <c r="BW597" s="1065"/>
      <c r="BX597" s="1065"/>
      <c r="BY597" s="1065"/>
      <c r="BZ597" s="1065"/>
      <c r="CA597" s="1065"/>
      <c r="CB597" s="1065"/>
      <c r="CC597" s="1065"/>
      <c r="CD597" s="1065"/>
      <c r="CE597" s="1065"/>
      <c r="CF597" s="1065"/>
      <c r="CG597" s="1065"/>
      <c r="CH597" s="1065"/>
      <c r="CI597" s="1065"/>
      <c r="CJ597" s="1065"/>
      <c r="CK597" s="1065"/>
      <c r="CL597" s="1065"/>
      <c r="CM597" s="1065"/>
      <c r="CN597" s="1065"/>
      <c r="CO597" s="1065"/>
      <c r="CP597" s="1065"/>
      <c r="CQ597" s="1065"/>
      <c r="CR597" s="1065"/>
      <c r="CS597" s="1065"/>
      <c r="CT597" s="1065"/>
      <c r="CU597" s="1065"/>
      <c r="CV597" s="1065"/>
      <c r="CW597" s="1065"/>
      <c r="CX597" s="1065"/>
      <c r="CY597" s="1065"/>
      <c r="CZ597" s="1065"/>
      <c r="DA597" s="1065"/>
      <c r="DB597" s="1065"/>
    </row>
    <row r="598" spans="1:106" ht="15" customHeight="1" thickBot="1">
      <c r="A598" s="1065"/>
      <c r="B598" s="1065"/>
      <c r="C598" s="1221" t="s">
        <v>111</v>
      </c>
      <c r="D598" s="1732" t="s">
        <v>1011</v>
      </c>
      <c r="E598" s="1732"/>
      <c r="F598" s="1732"/>
      <c r="G598" s="1732"/>
      <c r="H598" s="1732"/>
      <c r="I598" s="1732"/>
      <c r="J598" s="1733" t="s">
        <v>1012</v>
      </c>
      <c r="K598" s="1733"/>
      <c r="L598" s="1733"/>
      <c r="M598" s="1731" t="s">
        <v>1016</v>
      </c>
      <c r="N598" s="1731"/>
      <c r="O598" s="1731"/>
      <c r="P598" s="1731"/>
      <c r="Q598" s="1731"/>
      <c r="R598" s="1731"/>
      <c r="S598" s="1067">
        <v>1017</v>
      </c>
      <c r="T598" s="1738"/>
      <c r="U598" s="1739"/>
      <c r="V598" s="1065"/>
      <c r="W598" s="1065"/>
      <c r="X598" s="1065"/>
      <c r="Y598" s="1065"/>
      <c r="Z598" s="1065"/>
      <c r="AA598" s="1065"/>
      <c r="AB598" s="1065"/>
      <c r="AC598" s="1065"/>
      <c r="AD598" s="1065"/>
      <c r="AE598" s="1065"/>
      <c r="AF598" s="1065"/>
      <c r="AG598" s="1065"/>
      <c r="AH598" s="1065"/>
      <c r="AI598" s="1065"/>
      <c r="AJ598" s="1065"/>
      <c r="AK598" s="1065"/>
      <c r="AL598" s="1065"/>
      <c r="AM598" s="1065"/>
      <c r="AN598" s="1065"/>
      <c r="AO598" s="1065"/>
      <c r="AP598" s="1065"/>
      <c r="AQ598" s="1065"/>
      <c r="AR598" s="1065"/>
      <c r="AS598" s="1065"/>
      <c r="AT598" s="1065"/>
      <c r="AU598" s="1065"/>
      <c r="AV598" s="1065"/>
      <c r="AW598" s="1065"/>
      <c r="AX598" s="1065"/>
      <c r="AY598" s="1065"/>
      <c r="AZ598" s="1065"/>
      <c r="BA598" s="1065"/>
      <c r="BB598" s="1065"/>
      <c r="BC598" s="1065"/>
      <c r="BD598" s="1065"/>
      <c r="BE598" s="1065"/>
      <c r="BF598" s="1065"/>
      <c r="BG598" s="1065"/>
      <c r="BH598" s="1065"/>
      <c r="BI598" s="1065"/>
      <c r="BJ598" s="1065"/>
      <c r="BK598" s="1065"/>
      <c r="BL598" s="1065"/>
      <c r="BM598" s="1065"/>
      <c r="BN598" s="1065"/>
      <c r="BO598" s="1065"/>
      <c r="BP598" s="1065"/>
      <c r="BQ598" s="1065"/>
      <c r="BR598" s="1065"/>
      <c r="BS598" s="1065"/>
      <c r="BT598" s="1065"/>
      <c r="BU598" s="1065"/>
      <c r="BV598" s="1065"/>
      <c r="BW598" s="1065"/>
      <c r="BX598" s="1065"/>
      <c r="BY598" s="1065"/>
      <c r="BZ598" s="1065"/>
      <c r="CA598" s="1065"/>
      <c r="CB598" s="1065"/>
      <c r="CC598" s="1065"/>
      <c r="CD598" s="1065"/>
      <c r="CE598" s="1065"/>
      <c r="CF598" s="1065"/>
      <c r="CG598" s="1065"/>
      <c r="CH598" s="1065"/>
      <c r="CI598" s="1065"/>
      <c r="CJ598" s="1065"/>
      <c r="CK598" s="1065"/>
      <c r="CL598" s="1065"/>
      <c r="CM598" s="1065"/>
      <c r="CN598" s="1065"/>
      <c r="CO598" s="1065"/>
      <c r="CP598" s="1065"/>
      <c r="CQ598" s="1065"/>
      <c r="CR598" s="1065"/>
      <c r="CS598" s="1065"/>
      <c r="CT598" s="1065"/>
      <c r="CU598" s="1065"/>
      <c r="CV598" s="1065"/>
      <c r="CW598" s="1065"/>
      <c r="CX598" s="1065"/>
      <c r="CY598" s="1065"/>
      <c r="CZ598" s="1065"/>
      <c r="DA598" s="1065"/>
      <c r="DB598" s="1065"/>
    </row>
    <row r="599" spans="1:106" ht="22.5" customHeight="1" thickBot="1">
      <c r="A599" s="1065"/>
      <c r="B599" s="1065"/>
      <c r="C599" s="1221" t="s">
        <v>496</v>
      </c>
      <c r="D599" s="1734" t="s">
        <v>1011</v>
      </c>
      <c r="E599" s="1734"/>
      <c r="F599" s="1734"/>
      <c r="G599" s="1734"/>
      <c r="H599" s="1734"/>
      <c r="I599" s="1734"/>
      <c r="J599" s="1735" t="s">
        <v>1017</v>
      </c>
      <c r="K599" s="1735"/>
      <c r="L599" s="1735"/>
      <c r="M599" s="1736" t="s">
        <v>1018</v>
      </c>
      <c r="N599" s="1736"/>
      <c r="O599" s="1736"/>
      <c r="P599" s="1736"/>
      <c r="Q599" s="1736"/>
      <c r="R599" s="1736"/>
      <c r="S599" s="1067">
        <v>500</v>
      </c>
      <c r="T599" s="1738"/>
      <c r="U599" s="1739"/>
      <c r="V599" s="1065"/>
      <c r="W599" s="1065"/>
      <c r="X599" s="1065"/>
      <c r="Y599" s="1065"/>
      <c r="Z599" s="1065"/>
      <c r="AA599" s="1065"/>
      <c r="AB599" s="1065"/>
      <c r="AC599" s="1065"/>
      <c r="AD599" s="1065"/>
      <c r="AE599" s="1065"/>
      <c r="AF599" s="1065"/>
      <c r="AG599" s="1065"/>
      <c r="AH599" s="1065"/>
      <c r="AI599" s="1065"/>
      <c r="AJ599" s="1065"/>
      <c r="AK599" s="1065"/>
      <c r="AL599" s="1065"/>
      <c r="AM599" s="1065"/>
      <c r="AN599" s="1065"/>
      <c r="AO599" s="1065"/>
      <c r="AP599" s="1065"/>
      <c r="AQ599" s="1065"/>
      <c r="AR599" s="1065"/>
      <c r="AS599" s="1065"/>
      <c r="AT599" s="1065"/>
      <c r="AU599" s="1065"/>
      <c r="AV599" s="1065"/>
      <c r="AW599" s="1065"/>
      <c r="AX599" s="1065"/>
      <c r="AY599" s="1065"/>
      <c r="AZ599" s="1065"/>
      <c r="BA599" s="1065"/>
      <c r="BB599" s="1065"/>
      <c r="BC599" s="1065"/>
      <c r="BD599" s="1065"/>
      <c r="BE599" s="1065"/>
      <c r="BF599" s="1065"/>
      <c r="BG599" s="1065"/>
      <c r="BH599" s="1065"/>
      <c r="BI599" s="1065"/>
      <c r="BJ599" s="1065"/>
      <c r="BK599" s="1065"/>
      <c r="BL599" s="1065"/>
      <c r="BM599" s="1065"/>
      <c r="BN599" s="1065"/>
      <c r="BO599" s="1065"/>
      <c r="BP599" s="1065"/>
      <c r="BQ599" s="1065"/>
      <c r="BR599" s="1065"/>
      <c r="BS599" s="1065"/>
      <c r="BT599" s="1065"/>
      <c r="BU599" s="1065"/>
      <c r="BV599" s="1065"/>
      <c r="BW599" s="1065"/>
      <c r="BX599" s="1065"/>
      <c r="BY599" s="1065"/>
      <c r="BZ599" s="1065"/>
      <c r="CA599" s="1065"/>
      <c r="CB599" s="1065"/>
      <c r="CC599" s="1065"/>
      <c r="CD599" s="1065"/>
      <c r="CE599" s="1065"/>
      <c r="CF599" s="1065"/>
      <c r="CG599" s="1065"/>
      <c r="CH599" s="1065"/>
      <c r="CI599" s="1065"/>
      <c r="CJ599" s="1065"/>
      <c r="CK599" s="1065"/>
      <c r="CL599" s="1065"/>
      <c r="CM599" s="1065"/>
      <c r="CN599" s="1065"/>
      <c r="CO599" s="1065"/>
      <c r="CP599" s="1065"/>
      <c r="CQ599" s="1065"/>
      <c r="CR599" s="1065"/>
      <c r="CS599" s="1065"/>
      <c r="CT599" s="1065"/>
      <c r="CU599" s="1065"/>
      <c r="CV599" s="1065"/>
      <c r="CW599" s="1065"/>
      <c r="CX599" s="1065"/>
      <c r="CY599" s="1065"/>
      <c r="CZ599" s="1065"/>
      <c r="DA599" s="1065"/>
      <c r="DB599" s="1065"/>
    </row>
    <row r="600" spans="1:106" ht="24.75" customHeight="1" thickBot="1">
      <c r="A600" s="1065"/>
      <c r="B600" s="1065"/>
      <c r="C600" s="1221" t="s">
        <v>496</v>
      </c>
      <c r="D600" s="1728" t="s">
        <v>1011</v>
      </c>
      <c r="E600" s="1728"/>
      <c r="F600" s="1728"/>
      <c r="G600" s="1728"/>
      <c r="H600" s="1728"/>
      <c r="I600" s="1728"/>
      <c r="J600" s="1729" t="s">
        <v>1017</v>
      </c>
      <c r="K600" s="1729"/>
      <c r="L600" s="1729"/>
      <c r="M600" s="1730" t="s">
        <v>1019</v>
      </c>
      <c r="N600" s="1730"/>
      <c r="O600" s="1730"/>
      <c r="P600" s="1730"/>
      <c r="Q600" s="1730"/>
      <c r="R600" s="1730"/>
      <c r="S600" s="1222">
        <v>7500</v>
      </c>
      <c r="T600" s="1738"/>
      <c r="U600" s="1739"/>
      <c r="V600" s="1065"/>
      <c r="W600" s="1065"/>
      <c r="X600" s="1065"/>
      <c r="Y600" s="1065"/>
      <c r="Z600" s="1065"/>
      <c r="AA600" s="1065"/>
      <c r="AB600" s="1065"/>
      <c r="AC600" s="1065"/>
      <c r="AD600" s="1065"/>
      <c r="AE600" s="1065"/>
      <c r="AF600" s="1065"/>
      <c r="AG600" s="1065"/>
      <c r="AH600" s="1065"/>
      <c r="AI600" s="1065"/>
      <c r="AJ600" s="1065"/>
      <c r="AK600" s="1065"/>
      <c r="AL600" s="1065"/>
      <c r="AM600" s="1065"/>
      <c r="AN600" s="1065"/>
      <c r="AO600" s="1065"/>
      <c r="AP600" s="1065"/>
      <c r="AQ600" s="1065"/>
      <c r="AR600" s="1065"/>
      <c r="AS600" s="1065"/>
      <c r="AT600" s="1065"/>
      <c r="AU600" s="1065"/>
      <c r="AV600" s="1065"/>
      <c r="AW600" s="1065"/>
      <c r="AX600" s="1065"/>
      <c r="AY600" s="1065"/>
      <c r="AZ600" s="1065"/>
      <c r="BA600" s="1065"/>
      <c r="BB600" s="1065"/>
      <c r="BC600" s="1065"/>
      <c r="BD600" s="1065"/>
      <c r="BE600" s="1065"/>
      <c r="BF600" s="1065"/>
      <c r="BG600" s="1065"/>
      <c r="BH600" s="1065"/>
      <c r="BI600" s="1065"/>
      <c r="BJ600" s="1065"/>
      <c r="BK600" s="1065"/>
      <c r="BL600" s="1065"/>
      <c r="BM600" s="1065"/>
      <c r="BN600" s="1065"/>
      <c r="BO600" s="1065"/>
      <c r="BP600" s="1065"/>
      <c r="BQ600" s="1065"/>
      <c r="BR600" s="1065"/>
      <c r="BS600" s="1065"/>
      <c r="BT600" s="1065"/>
      <c r="BU600" s="1065"/>
      <c r="BV600" s="1065"/>
      <c r="BW600" s="1065"/>
      <c r="BX600" s="1065"/>
      <c r="BY600" s="1065"/>
      <c r="BZ600" s="1065"/>
      <c r="CA600" s="1065"/>
      <c r="CB600" s="1065"/>
      <c r="CC600" s="1065"/>
      <c r="CD600" s="1065"/>
      <c r="CE600" s="1065"/>
      <c r="CF600" s="1065"/>
      <c r="CG600" s="1065"/>
      <c r="CH600" s="1065"/>
      <c r="CI600" s="1065"/>
      <c r="CJ600" s="1065"/>
      <c r="CK600" s="1065"/>
      <c r="CL600" s="1065"/>
      <c r="CM600" s="1065"/>
      <c r="CN600" s="1065"/>
      <c r="CO600" s="1065"/>
      <c r="CP600" s="1065"/>
      <c r="CQ600" s="1065"/>
      <c r="CR600" s="1065"/>
      <c r="CS600" s="1065"/>
      <c r="CT600" s="1065"/>
      <c r="CU600" s="1065"/>
      <c r="CV600" s="1065"/>
      <c r="CW600" s="1065"/>
      <c r="CX600" s="1065"/>
      <c r="CY600" s="1065"/>
      <c r="CZ600" s="1065"/>
      <c r="DA600" s="1065"/>
      <c r="DB600" s="1065"/>
    </row>
    <row r="601" spans="1:106" ht="15" customHeight="1">
      <c r="A601" s="1065"/>
      <c r="B601" s="1065"/>
      <c r="C601" s="1065"/>
      <c r="D601" s="1065"/>
      <c r="E601" s="1065"/>
      <c r="F601" s="1065"/>
      <c r="G601" s="1065"/>
      <c r="H601" s="1223"/>
      <c r="I601" s="1223"/>
      <c r="J601" s="1224"/>
      <c r="K601" s="1224"/>
      <c r="L601" s="1224"/>
      <c r="M601" s="1225"/>
      <c r="N601" s="1225"/>
      <c r="O601" s="1226"/>
      <c r="P601" s="1227"/>
      <c r="Q601" s="1227"/>
      <c r="R601" s="1228"/>
      <c r="S601" s="1224"/>
      <c r="T601" s="1229"/>
      <c r="U601" s="1065"/>
      <c r="V601" s="1065"/>
      <c r="W601" s="1065"/>
      <c r="X601" s="1065"/>
      <c r="Y601" s="1065"/>
      <c r="Z601" s="1065"/>
      <c r="AA601" s="1065"/>
      <c r="AB601" s="1065"/>
      <c r="AC601" s="1065"/>
      <c r="AD601" s="1065"/>
      <c r="AE601" s="1065"/>
      <c r="AF601" s="1065"/>
      <c r="AG601" s="1065"/>
      <c r="AH601" s="1065"/>
      <c r="AI601" s="1065"/>
      <c r="AJ601" s="1065"/>
      <c r="AK601" s="1065"/>
      <c r="AL601" s="1065"/>
      <c r="AM601" s="1065"/>
      <c r="AN601" s="1065"/>
      <c r="AO601" s="1065"/>
      <c r="AP601" s="1065"/>
      <c r="AQ601" s="1065"/>
      <c r="AR601" s="1065"/>
      <c r="AS601" s="1065"/>
      <c r="AT601" s="1065"/>
      <c r="AU601" s="1065"/>
      <c r="AV601" s="1065"/>
      <c r="AW601" s="1065"/>
      <c r="AX601" s="1065"/>
      <c r="AY601" s="1065"/>
      <c r="AZ601" s="1065"/>
      <c r="BA601" s="1065"/>
      <c r="BB601" s="1065"/>
      <c r="BC601" s="1065"/>
      <c r="BD601" s="1065"/>
      <c r="BE601" s="1065"/>
      <c r="BF601" s="1065"/>
      <c r="BG601" s="1065"/>
      <c r="BH601" s="1065"/>
      <c r="BI601" s="1065"/>
      <c r="BJ601" s="1065"/>
      <c r="BK601" s="1065"/>
      <c r="BL601" s="1065"/>
      <c r="BM601" s="1065"/>
      <c r="BN601" s="1065"/>
      <c r="BO601" s="1065"/>
      <c r="BP601" s="1065"/>
      <c r="BQ601" s="1065"/>
      <c r="BR601" s="1065"/>
      <c r="BS601" s="1065"/>
      <c r="BT601" s="1065"/>
      <c r="BU601" s="1065"/>
      <c r="BV601" s="1065"/>
      <c r="BW601" s="1065"/>
      <c r="BX601" s="1065"/>
      <c r="BY601" s="1065"/>
      <c r="BZ601" s="1065"/>
      <c r="CA601" s="1065"/>
      <c r="CB601" s="1065"/>
      <c r="CC601" s="1065"/>
      <c r="CD601" s="1065"/>
      <c r="CE601" s="1065"/>
      <c r="CF601" s="1065"/>
      <c r="CG601" s="1065"/>
      <c r="CH601" s="1065"/>
      <c r="CI601" s="1065"/>
      <c r="CJ601" s="1065"/>
      <c r="CK601" s="1065"/>
      <c r="CL601" s="1065"/>
      <c r="CM601" s="1065"/>
      <c r="CN601" s="1065"/>
      <c r="CO601" s="1065"/>
      <c r="CP601" s="1065"/>
      <c r="CQ601" s="1065"/>
      <c r="CR601" s="1065"/>
      <c r="CS601" s="1065"/>
      <c r="CT601" s="1065"/>
      <c r="CU601" s="1065"/>
      <c r="CV601" s="1065"/>
      <c r="CW601" s="1065"/>
      <c r="CX601" s="1065"/>
      <c r="CY601" s="1065"/>
      <c r="CZ601" s="1065"/>
      <c r="DA601" s="1065"/>
      <c r="DB601" s="1065"/>
    </row>
    <row r="602" spans="1:106" ht="15" customHeight="1" thickBot="1">
      <c r="A602" s="1065"/>
      <c r="B602" s="1065"/>
      <c r="C602" s="1065"/>
      <c r="D602" s="1065"/>
      <c r="E602" s="1065"/>
      <c r="F602" s="1065"/>
      <c r="G602" s="1065"/>
      <c r="H602" s="1223"/>
      <c r="I602" s="1223"/>
      <c r="J602" s="1224"/>
      <c r="K602" s="1224"/>
      <c r="L602" s="1224"/>
      <c r="M602" s="1225"/>
      <c r="N602" s="1225"/>
      <c r="O602" s="1226"/>
      <c r="P602" s="1227"/>
      <c r="Q602" s="1227"/>
      <c r="R602" s="1228"/>
      <c r="S602" s="1224"/>
      <c r="T602" s="1229"/>
      <c r="U602" s="1065"/>
      <c r="V602" s="1065"/>
      <c r="W602" s="1065"/>
      <c r="X602" s="1065"/>
      <c r="Y602" s="1065"/>
      <c r="Z602" s="1065"/>
      <c r="AA602" s="1065"/>
      <c r="AB602" s="1065"/>
      <c r="AC602" s="1065"/>
      <c r="AD602" s="1065"/>
      <c r="AE602" s="1065"/>
      <c r="AF602" s="1065"/>
      <c r="AG602" s="1065"/>
      <c r="AH602" s="1065"/>
      <c r="AI602" s="1065"/>
      <c r="AJ602" s="1065"/>
      <c r="AK602" s="1065"/>
      <c r="AL602" s="1065"/>
      <c r="AM602" s="1065"/>
      <c r="AN602" s="1065"/>
      <c r="AO602" s="1065"/>
      <c r="AP602" s="1065"/>
      <c r="AQ602" s="1065"/>
      <c r="AR602" s="1065"/>
      <c r="AS602" s="1065"/>
      <c r="AT602" s="1065"/>
      <c r="AU602" s="1065"/>
      <c r="AV602" s="1065"/>
      <c r="AW602" s="1065"/>
      <c r="AX602" s="1065"/>
      <c r="AY602" s="1065"/>
      <c r="AZ602" s="1065"/>
      <c r="BA602" s="1065"/>
      <c r="BB602" s="1065"/>
      <c r="BC602" s="1065"/>
      <c r="BD602" s="1065"/>
      <c r="BE602" s="1065"/>
      <c r="BF602" s="1065"/>
      <c r="BG602" s="1065"/>
      <c r="BH602" s="1065"/>
      <c r="BI602" s="1065"/>
      <c r="BJ602" s="1065"/>
      <c r="BK602" s="1065"/>
      <c r="BL602" s="1065"/>
      <c r="BM602" s="1065"/>
      <c r="BN602" s="1065"/>
      <c r="BO602" s="1065"/>
      <c r="BP602" s="1065"/>
      <c r="BQ602" s="1065"/>
      <c r="BR602" s="1065"/>
      <c r="BS602" s="1065"/>
      <c r="BT602" s="1065"/>
      <c r="BU602" s="1065"/>
      <c r="BV602" s="1065"/>
      <c r="BW602" s="1065"/>
      <c r="BX602" s="1065"/>
      <c r="BY602" s="1065"/>
      <c r="BZ602" s="1065"/>
      <c r="CA602" s="1065"/>
      <c r="CB602" s="1065"/>
      <c r="CC602" s="1065"/>
      <c r="CD602" s="1065"/>
      <c r="CE602" s="1065"/>
      <c r="CF602" s="1065"/>
      <c r="CG602" s="1065"/>
      <c r="CH602" s="1065"/>
      <c r="CI602" s="1065"/>
      <c r="CJ602" s="1065"/>
      <c r="CK602" s="1065"/>
      <c r="CL602" s="1065"/>
      <c r="CM602" s="1065"/>
      <c r="CN602" s="1065"/>
      <c r="CO602" s="1065"/>
      <c r="CP602" s="1065"/>
      <c r="CQ602" s="1065"/>
      <c r="CR602" s="1065"/>
      <c r="CS602" s="1065"/>
      <c r="CT602" s="1065"/>
      <c r="CU602" s="1065"/>
      <c r="CV602" s="1065"/>
      <c r="CW602" s="1065"/>
      <c r="CX602" s="1065"/>
      <c r="CY602" s="1065"/>
      <c r="CZ602" s="1065"/>
      <c r="DA602" s="1065"/>
      <c r="DB602" s="1065"/>
    </row>
    <row r="603" spans="1:106" ht="15" customHeight="1" thickBot="1">
      <c r="A603" s="1065"/>
      <c r="B603" s="1065"/>
      <c r="C603" s="1727" t="s">
        <v>1020</v>
      </c>
      <c r="D603" s="1727"/>
      <c r="E603" s="1727"/>
      <c r="F603" s="1727"/>
      <c r="G603" s="1727"/>
      <c r="H603" s="1727"/>
      <c r="I603" s="1230" t="s">
        <v>692</v>
      </c>
      <c r="J603" s="1110" t="s">
        <v>655</v>
      </c>
      <c r="K603" s="1110" t="s">
        <v>660</v>
      </c>
      <c r="L603" s="1110" t="s">
        <v>661</v>
      </c>
      <c r="M603" s="1231" t="s">
        <v>492</v>
      </c>
      <c r="N603" s="1231" t="s">
        <v>662</v>
      </c>
      <c r="O603" s="1232" t="s">
        <v>300</v>
      </c>
      <c r="P603" s="1233" t="s">
        <v>686</v>
      </c>
      <c r="Q603" s="1233" t="s">
        <v>301</v>
      </c>
      <c r="R603" s="1234" t="s">
        <v>496</v>
      </c>
      <c r="S603" s="1110" t="s">
        <v>663</v>
      </c>
      <c r="T603" s="1235" t="s">
        <v>304</v>
      </c>
      <c r="U603" s="1235" t="s">
        <v>664</v>
      </c>
      <c r="V603" s="1235" t="s">
        <v>112</v>
      </c>
      <c r="W603" s="1236" t="s">
        <v>666</v>
      </c>
      <c r="X603" s="1235" t="s">
        <v>667</v>
      </c>
      <c r="Y603" s="1236" t="s">
        <v>108</v>
      </c>
      <c r="Z603" s="1235" t="s">
        <v>668</v>
      </c>
      <c r="AA603" s="1236" t="s">
        <v>109</v>
      </c>
      <c r="AB603" s="1235" t="s">
        <v>488</v>
      </c>
      <c r="AC603" s="1236" t="s">
        <v>669</v>
      </c>
      <c r="AD603" s="1236" t="s">
        <v>673</v>
      </c>
      <c r="AE603" s="1236" t="s">
        <v>549</v>
      </c>
      <c r="AF603" s="1236" t="s">
        <v>110</v>
      </c>
      <c r="AG603" s="1236" t="s">
        <v>674</v>
      </c>
      <c r="AH603" s="1236" t="s">
        <v>675</v>
      </c>
      <c r="AI603" s="1236" t="s">
        <v>679</v>
      </c>
      <c r="AJ603" s="1236" t="s">
        <v>111</v>
      </c>
      <c r="AK603" s="1236" t="s">
        <v>676</v>
      </c>
      <c r="AL603" s="1236" t="s">
        <v>316</v>
      </c>
      <c r="AM603" s="1236" t="s">
        <v>529</v>
      </c>
      <c r="AN603" s="1236" t="s">
        <v>678</v>
      </c>
      <c r="AO603" s="1236" t="s">
        <v>677</v>
      </c>
      <c r="AP603" s="1236" t="s">
        <v>670</v>
      </c>
      <c r="AQ603" s="1236" t="s">
        <v>550</v>
      </c>
      <c r="AR603" s="1237" t="s">
        <v>680</v>
      </c>
      <c r="AS603" s="1726" t="s">
        <v>1021</v>
      </c>
      <c r="AT603" s="1065"/>
      <c r="AU603" s="1065"/>
      <c r="AV603" s="1065"/>
      <c r="AW603" s="1065"/>
      <c r="AX603" s="1065"/>
      <c r="AY603" s="1065"/>
      <c r="AZ603" s="1065"/>
      <c r="BA603" s="1065"/>
      <c r="BB603" s="1065"/>
      <c r="BC603" s="1065"/>
      <c r="BD603" s="1065"/>
      <c r="BE603" s="1065"/>
      <c r="BF603" s="1065"/>
      <c r="BG603" s="1065"/>
      <c r="BH603" s="1065"/>
      <c r="BI603" s="1065"/>
      <c r="BJ603" s="1065"/>
      <c r="BK603" s="1065"/>
      <c r="BL603" s="1065"/>
      <c r="BM603" s="1065"/>
      <c r="BN603" s="1065"/>
      <c r="BO603" s="1065"/>
      <c r="BP603" s="1065"/>
      <c r="BQ603" s="1065"/>
      <c r="BR603" s="1065"/>
      <c r="BS603" s="1065"/>
      <c r="BT603" s="1065"/>
      <c r="BU603" s="1065"/>
      <c r="BV603" s="1065"/>
      <c r="BW603" s="1065"/>
      <c r="BX603" s="1065"/>
      <c r="BY603" s="1065"/>
      <c r="BZ603" s="1065"/>
      <c r="CA603" s="1065"/>
      <c r="CB603" s="1065"/>
      <c r="CC603" s="1065"/>
      <c r="CD603" s="1065"/>
      <c r="CE603" s="1065"/>
      <c r="CF603" s="1065"/>
      <c r="CG603" s="1065"/>
      <c r="CH603" s="1065"/>
      <c r="CI603" s="1065"/>
      <c r="CJ603" s="1065"/>
      <c r="CK603" s="1065"/>
      <c r="CL603" s="1065"/>
      <c r="CM603" s="1065"/>
      <c r="CN603" s="1065"/>
      <c r="CO603" s="1065"/>
      <c r="CP603" s="1065"/>
      <c r="CQ603" s="1065"/>
      <c r="CR603" s="1065"/>
      <c r="CS603" s="1065"/>
      <c r="CT603" s="1065"/>
      <c r="CU603" s="1065"/>
      <c r="CV603" s="1065"/>
      <c r="CW603" s="1065"/>
      <c r="CX603" s="1065"/>
      <c r="CY603" s="1065"/>
      <c r="CZ603" s="1065"/>
      <c r="DA603" s="1065"/>
      <c r="DB603" s="1065"/>
    </row>
    <row r="604" spans="1:106" ht="15" customHeight="1">
      <c r="A604" s="1065"/>
      <c r="B604" s="1065"/>
      <c r="C604" s="1698" t="s">
        <v>1022</v>
      </c>
      <c r="D604" s="1698"/>
      <c r="E604" s="1698"/>
      <c r="F604" s="1698"/>
      <c r="G604" s="1698"/>
      <c r="H604" s="1698"/>
      <c r="I604" s="1128" t="s">
        <v>1023</v>
      </c>
      <c r="J604" s="1238" t="s">
        <v>1023</v>
      </c>
      <c r="K604" s="1238" t="s">
        <v>1023</v>
      </c>
      <c r="L604" s="1238" t="s">
        <v>1023</v>
      </c>
      <c r="M604" s="1238" t="s">
        <v>1023</v>
      </c>
      <c r="N604" s="1238" t="s">
        <v>1023</v>
      </c>
      <c r="O604" s="1239" t="s">
        <v>1023</v>
      </c>
      <c r="P604" s="1240" t="s">
        <v>1023</v>
      </c>
      <c r="Q604" s="1240" t="s">
        <v>1023</v>
      </c>
      <c r="R604" s="1241" t="s">
        <v>1023</v>
      </c>
      <c r="S604" s="1238" t="s">
        <v>1023</v>
      </c>
      <c r="T604" s="1242" t="s">
        <v>1023</v>
      </c>
      <c r="U604" s="1242" t="s">
        <v>1023</v>
      </c>
      <c r="V604" s="1242" t="s">
        <v>1023</v>
      </c>
      <c r="W604" s="1242" t="s">
        <v>1023</v>
      </c>
      <c r="X604" s="1242" t="s">
        <v>1023</v>
      </c>
      <c r="Y604" s="1242" t="s">
        <v>1023</v>
      </c>
      <c r="Z604" s="1242" t="s">
        <v>1023</v>
      </c>
      <c r="AA604" s="1242" t="s">
        <v>1023</v>
      </c>
      <c r="AB604" s="1242" t="s">
        <v>1023</v>
      </c>
      <c r="AC604" s="1242" t="s">
        <v>1023</v>
      </c>
      <c r="AD604" s="1242" t="s">
        <v>1023</v>
      </c>
      <c r="AE604" s="1242" t="s">
        <v>1023</v>
      </c>
      <c r="AF604" s="1242" t="s">
        <v>1023</v>
      </c>
      <c r="AG604" s="1242" t="s">
        <v>1023</v>
      </c>
      <c r="AH604" s="1242" t="s">
        <v>1024</v>
      </c>
      <c r="AI604" s="1242" t="s">
        <v>1023</v>
      </c>
      <c r="AJ604" s="1242" t="s">
        <v>1023</v>
      </c>
      <c r="AK604" s="1242" t="s">
        <v>1023</v>
      </c>
      <c r="AL604" s="1242" t="s">
        <v>1023</v>
      </c>
      <c r="AM604" s="1242" t="s">
        <v>1023</v>
      </c>
      <c r="AN604" s="1242" t="s">
        <v>1023</v>
      </c>
      <c r="AO604" s="1242" t="s">
        <v>1023</v>
      </c>
      <c r="AP604" s="1242" t="s">
        <v>1023</v>
      </c>
      <c r="AQ604" s="1242" t="s">
        <v>1023</v>
      </c>
      <c r="AR604" s="1242" t="s">
        <v>1023</v>
      </c>
      <c r="AS604" s="1726"/>
      <c r="AT604" s="1065"/>
      <c r="AU604" s="1065"/>
      <c r="AV604" s="1065"/>
      <c r="AW604" s="1065"/>
      <c r="AX604" s="1065"/>
      <c r="AY604" s="1065"/>
      <c r="AZ604" s="1065"/>
      <c r="BA604" s="1065"/>
      <c r="BB604" s="1065"/>
      <c r="BC604" s="1065"/>
      <c r="BD604" s="1065"/>
      <c r="BE604" s="1065"/>
      <c r="BF604" s="1065"/>
      <c r="BG604" s="1065"/>
      <c r="BH604" s="1065"/>
      <c r="BI604" s="1065"/>
      <c r="BJ604" s="1065"/>
      <c r="BK604" s="1065"/>
      <c r="BL604" s="1065"/>
      <c r="BM604" s="1065"/>
      <c r="BN604" s="1065"/>
      <c r="BO604" s="1065"/>
      <c r="BP604" s="1065"/>
      <c r="BQ604" s="1065"/>
      <c r="BR604" s="1065"/>
      <c r="BS604" s="1065"/>
      <c r="BT604" s="1065"/>
      <c r="BU604" s="1065"/>
      <c r="BV604" s="1065"/>
      <c r="BW604" s="1065"/>
      <c r="BX604" s="1065"/>
      <c r="BY604" s="1065"/>
      <c r="BZ604" s="1065"/>
      <c r="CA604" s="1065"/>
      <c r="CB604" s="1065"/>
      <c r="CC604" s="1065"/>
      <c r="CD604" s="1065"/>
      <c r="CE604" s="1065"/>
      <c r="CF604" s="1065"/>
      <c r="CG604" s="1065"/>
      <c r="CH604" s="1065"/>
      <c r="CI604" s="1065"/>
      <c r="CJ604" s="1065"/>
      <c r="CK604" s="1065"/>
      <c r="CL604" s="1065"/>
      <c r="CM604" s="1065"/>
      <c r="CN604" s="1065"/>
      <c r="CO604" s="1065"/>
      <c r="CP604" s="1065"/>
      <c r="CQ604" s="1065"/>
      <c r="CR604" s="1065"/>
      <c r="CS604" s="1065"/>
      <c r="CT604" s="1065"/>
      <c r="CU604" s="1065"/>
      <c r="CV604" s="1065"/>
      <c r="CW604" s="1065"/>
      <c r="CX604" s="1065"/>
      <c r="CY604" s="1065"/>
      <c r="CZ604" s="1065"/>
      <c r="DA604" s="1065"/>
      <c r="DB604" s="1065"/>
    </row>
    <row r="605" spans="1:106" ht="15" customHeight="1">
      <c r="A605" s="1065"/>
      <c r="B605" s="1065"/>
      <c r="C605" s="1698" t="s">
        <v>1025</v>
      </c>
      <c r="D605" s="1698"/>
      <c r="E605" s="1698"/>
      <c r="F605" s="1698"/>
      <c r="G605" s="1698"/>
      <c r="H605" s="1698"/>
      <c r="I605" s="1243">
        <f>T5</f>
        <v>80000</v>
      </c>
      <c r="J605" s="1244">
        <f>T10</f>
        <v>0</v>
      </c>
      <c r="K605" s="1244">
        <f>T15</f>
        <v>110000</v>
      </c>
      <c r="L605" s="1244">
        <f>T19</f>
        <v>103000</v>
      </c>
      <c r="M605" s="1244">
        <f>T23</f>
        <v>90000</v>
      </c>
      <c r="N605" s="1244">
        <f>T27</f>
        <v>300000</v>
      </c>
      <c r="O605" s="1245">
        <f>T33</f>
        <v>385000</v>
      </c>
      <c r="P605" s="1246">
        <f>T40</f>
        <v>255000</v>
      </c>
      <c r="Q605" s="1246">
        <f>T45</f>
        <v>120000</v>
      </c>
      <c r="R605" s="1246">
        <f>T49</f>
        <v>85500</v>
      </c>
      <c r="S605" s="1244">
        <f>T54</f>
        <v>270000</v>
      </c>
      <c r="T605" s="1247">
        <f>T61</f>
        <v>165000</v>
      </c>
      <c r="U605" s="1247">
        <f>T64</f>
        <v>135000</v>
      </c>
      <c r="V605" s="1247">
        <f>T74</f>
        <v>66000</v>
      </c>
      <c r="W605" s="1247">
        <f>T79</f>
        <v>144000</v>
      </c>
      <c r="X605" s="1247">
        <f>T84</f>
        <v>120000</v>
      </c>
      <c r="Y605" s="1247">
        <f>T88</f>
        <v>230000</v>
      </c>
      <c r="Z605" s="1247">
        <f>T93</f>
        <v>80000</v>
      </c>
      <c r="AA605" s="1247">
        <f>T97</f>
        <v>163000</v>
      </c>
      <c r="AB605" s="1247">
        <f>T102</f>
        <v>53000</v>
      </c>
      <c r="AC605" s="1247">
        <f>T106</f>
        <v>500000</v>
      </c>
      <c r="AD605" s="1247">
        <f>T110</f>
        <v>128000</v>
      </c>
      <c r="AE605" s="1247">
        <f>T114</f>
        <v>130000</v>
      </c>
      <c r="AF605" s="1247">
        <f>T118</f>
        <v>105000</v>
      </c>
      <c r="AG605" s="1247">
        <f>T123</f>
        <v>80000</v>
      </c>
      <c r="AH605" s="1247">
        <f>T127</f>
        <v>95000</v>
      </c>
      <c r="AI605" s="1247">
        <f>T132</f>
        <v>850000</v>
      </c>
      <c r="AJ605" s="1247">
        <f>T136</f>
        <v>85000</v>
      </c>
      <c r="AK605" s="1247">
        <f>T140</f>
        <v>100000</v>
      </c>
      <c r="AL605" s="1247">
        <f>T145</f>
        <v>100000</v>
      </c>
      <c r="AM605" s="1247">
        <f>T150</f>
        <v>30000</v>
      </c>
      <c r="AN605" s="1247">
        <f>T155</f>
        <v>180000</v>
      </c>
      <c r="AO605" s="1247">
        <f>T161</f>
        <v>180000</v>
      </c>
      <c r="AP605" s="1247">
        <f>T165</f>
        <v>285000</v>
      </c>
      <c r="AQ605" s="1247">
        <f>T169</f>
        <v>521000</v>
      </c>
      <c r="AR605" s="1248">
        <f>T173</f>
        <v>150000</v>
      </c>
      <c r="AS605" s="1249">
        <f>SUM(I605:AR605)</f>
        <v>6473500</v>
      </c>
      <c r="AT605" s="1065"/>
      <c r="AU605" s="1065"/>
      <c r="AV605" s="1065"/>
      <c r="AW605" s="1065"/>
      <c r="AX605" s="1065"/>
      <c r="AY605" s="1065"/>
      <c r="AZ605" s="1065"/>
      <c r="BA605" s="1065"/>
      <c r="BB605" s="1065"/>
      <c r="BC605" s="1065"/>
      <c r="BD605" s="1065"/>
      <c r="BE605" s="1065"/>
      <c r="BF605" s="1065"/>
      <c r="BG605" s="1065"/>
      <c r="BH605" s="1065"/>
      <c r="BI605" s="1065"/>
      <c r="BJ605" s="1065"/>
      <c r="BK605" s="1065"/>
      <c r="BL605" s="1065"/>
      <c r="BM605" s="1065"/>
      <c r="BN605" s="1065"/>
      <c r="BO605" s="1065"/>
      <c r="BP605" s="1065"/>
      <c r="BQ605" s="1065"/>
      <c r="BR605" s="1065"/>
      <c r="BS605" s="1065"/>
      <c r="BT605" s="1065"/>
      <c r="BU605" s="1065"/>
      <c r="BV605" s="1065"/>
      <c r="BW605" s="1065"/>
      <c r="BX605" s="1065"/>
      <c r="BY605" s="1065"/>
      <c r="BZ605" s="1065"/>
      <c r="CA605" s="1065"/>
      <c r="CB605" s="1065"/>
      <c r="CC605" s="1065"/>
      <c r="CD605" s="1065"/>
      <c r="CE605" s="1065"/>
      <c r="CF605" s="1065"/>
      <c r="CG605" s="1065"/>
      <c r="CH605" s="1065"/>
      <c r="CI605" s="1065"/>
      <c r="CJ605" s="1065"/>
      <c r="CK605" s="1065"/>
      <c r="CL605" s="1065"/>
      <c r="CM605" s="1065"/>
      <c r="CN605" s="1065"/>
      <c r="CO605" s="1065"/>
      <c r="CP605" s="1065"/>
      <c r="CQ605" s="1065"/>
      <c r="CR605" s="1065"/>
      <c r="CS605" s="1065"/>
      <c r="CT605" s="1065"/>
      <c r="CU605" s="1065"/>
      <c r="CV605" s="1065"/>
      <c r="CW605" s="1065"/>
      <c r="CX605" s="1065"/>
      <c r="CY605" s="1065"/>
      <c r="CZ605" s="1065"/>
      <c r="DA605" s="1065"/>
      <c r="DB605" s="1065"/>
    </row>
    <row r="606" spans="1:106" ht="15" customHeight="1">
      <c r="A606" s="1065"/>
      <c r="B606" s="1065"/>
      <c r="C606" s="1698" t="s">
        <v>1026</v>
      </c>
      <c r="D606" s="1698"/>
      <c r="E606" s="1698"/>
      <c r="F606" s="1698"/>
      <c r="G606" s="1698"/>
      <c r="H606" s="1698"/>
      <c r="I606" s="1128"/>
      <c r="J606" s="1244">
        <f>T242</f>
        <v>1008</v>
      </c>
      <c r="K606" s="1244">
        <f>T243</f>
        <v>870</v>
      </c>
      <c r="L606" s="1250"/>
      <c r="M606" s="1250"/>
      <c r="N606" s="1244">
        <f>T244</f>
        <v>870</v>
      </c>
      <c r="O606" s="1245">
        <f>T245</f>
        <v>870</v>
      </c>
      <c r="P606" s="1246">
        <f>T246</f>
        <v>1008</v>
      </c>
      <c r="Q606" s="1251"/>
      <c r="R606" s="1246"/>
      <c r="S606" s="1244">
        <f>T247</f>
        <v>870</v>
      </c>
      <c r="T606" s="1247">
        <f>T256</f>
        <v>1008</v>
      </c>
      <c r="U606" s="1247">
        <f>T248</f>
        <v>870</v>
      </c>
      <c r="V606" s="1247">
        <f>T250</f>
        <v>870</v>
      </c>
      <c r="W606" s="1252"/>
      <c r="X606" s="1247">
        <f>T252</f>
        <v>870</v>
      </c>
      <c r="Y606" s="1247">
        <f>T251</f>
        <v>1008</v>
      </c>
      <c r="Z606" s="1252"/>
      <c r="AA606" s="1252"/>
      <c r="AB606" s="1252"/>
      <c r="AC606" s="1247">
        <f>T253</f>
        <v>870</v>
      </c>
      <c r="AD606" s="1247">
        <f>T257</f>
        <v>1008</v>
      </c>
      <c r="AE606" s="1247">
        <f>T258</f>
        <v>1008</v>
      </c>
      <c r="AF606" s="1252"/>
      <c r="AG606" s="1247"/>
      <c r="AH606" s="1252"/>
      <c r="AI606" s="1247">
        <f>T261</f>
        <v>870</v>
      </c>
      <c r="AJ606" s="1252"/>
      <c r="AK606" s="1252"/>
      <c r="AL606" s="1252"/>
      <c r="AM606" s="1247">
        <f>T254</f>
        <v>1008</v>
      </c>
      <c r="AN606" s="1252"/>
      <c r="AO606" s="1247">
        <f>T259</f>
        <v>1008</v>
      </c>
      <c r="AP606" s="1247">
        <f>T255</f>
        <v>870</v>
      </c>
      <c r="AQ606" s="1252"/>
      <c r="AR606" s="1253"/>
      <c r="AS606" s="1249">
        <f>SUM(J606:AR606)</f>
        <v>16764</v>
      </c>
      <c r="AT606" s="1065"/>
      <c r="AU606" s="1065"/>
      <c r="AV606" s="1065"/>
      <c r="AW606" s="1065"/>
      <c r="AX606" s="1065"/>
      <c r="AY606" s="1065"/>
      <c r="AZ606" s="1065"/>
      <c r="BA606" s="1065"/>
      <c r="BB606" s="1065"/>
      <c r="BC606" s="1065"/>
      <c r="BD606" s="1065"/>
      <c r="BE606" s="1065"/>
      <c r="BF606" s="1065"/>
      <c r="BG606" s="1065"/>
      <c r="BH606" s="1065"/>
      <c r="BI606" s="1065"/>
      <c r="BJ606" s="1065"/>
      <c r="BK606" s="1065"/>
      <c r="BL606" s="1065"/>
      <c r="BM606" s="1065"/>
      <c r="BN606" s="1065"/>
      <c r="BO606" s="1065"/>
      <c r="BP606" s="1065"/>
      <c r="BQ606" s="1065"/>
      <c r="BR606" s="1065"/>
      <c r="BS606" s="1065"/>
      <c r="BT606" s="1065"/>
      <c r="BU606" s="1065"/>
      <c r="BV606" s="1065"/>
      <c r="BW606" s="1065"/>
      <c r="BX606" s="1065"/>
      <c r="BY606" s="1065"/>
      <c r="BZ606" s="1065"/>
      <c r="CA606" s="1065"/>
      <c r="CB606" s="1065"/>
      <c r="CC606" s="1065"/>
      <c r="CD606" s="1065"/>
      <c r="CE606" s="1065"/>
      <c r="CF606" s="1065"/>
      <c r="CG606" s="1065"/>
      <c r="CH606" s="1065"/>
      <c r="CI606" s="1065"/>
      <c r="CJ606" s="1065"/>
      <c r="CK606" s="1065"/>
      <c r="CL606" s="1065"/>
      <c r="CM606" s="1065"/>
      <c r="CN606" s="1065"/>
      <c r="CO606" s="1065"/>
      <c r="CP606" s="1065"/>
      <c r="CQ606" s="1065"/>
      <c r="CR606" s="1065"/>
      <c r="CS606" s="1065"/>
      <c r="CT606" s="1065"/>
      <c r="CU606" s="1065"/>
      <c r="CV606" s="1065"/>
      <c r="CW606" s="1065"/>
      <c r="CX606" s="1065"/>
      <c r="CY606" s="1065"/>
      <c r="CZ606" s="1065"/>
      <c r="DA606" s="1065"/>
      <c r="DB606" s="1065"/>
    </row>
    <row r="607" spans="1:106" ht="15" customHeight="1">
      <c r="A607" s="1065"/>
      <c r="B607" s="1065"/>
      <c r="C607" s="1698" t="s">
        <v>1027</v>
      </c>
      <c r="D607" s="1698"/>
      <c r="E607" s="1698"/>
      <c r="F607" s="1698"/>
      <c r="G607" s="1698"/>
      <c r="H607" s="1698"/>
      <c r="I607" s="1128"/>
      <c r="J607" s="1244">
        <v>500</v>
      </c>
      <c r="K607" s="1244">
        <v>500</v>
      </c>
      <c r="L607" s="1244">
        <v>500</v>
      </c>
      <c r="M607" s="1244">
        <v>500</v>
      </c>
      <c r="N607" s="1244">
        <v>500</v>
      </c>
      <c r="O607" s="1245"/>
      <c r="P607" s="1246"/>
      <c r="Q607" s="1246"/>
      <c r="R607" s="1246">
        <v>500</v>
      </c>
      <c r="S607" s="1244">
        <v>500</v>
      </c>
      <c r="T607" s="1247">
        <v>500</v>
      </c>
      <c r="U607" s="1247">
        <v>500</v>
      </c>
      <c r="V607" s="1247"/>
      <c r="W607" s="1247">
        <v>500</v>
      </c>
      <c r="X607" s="1247">
        <v>500</v>
      </c>
      <c r="Y607" s="1247">
        <v>500</v>
      </c>
      <c r="Z607" s="1247">
        <v>500</v>
      </c>
      <c r="AA607" s="1247">
        <v>500</v>
      </c>
      <c r="AB607" s="1247">
        <v>500</v>
      </c>
      <c r="AC607" s="1247">
        <v>500</v>
      </c>
      <c r="AD607" s="1247">
        <v>500</v>
      </c>
      <c r="AE607" s="1247">
        <v>500</v>
      </c>
      <c r="AF607" s="1247">
        <v>500</v>
      </c>
      <c r="AG607" s="1247">
        <v>500</v>
      </c>
      <c r="AH607" s="1247">
        <v>500</v>
      </c>
      <c r="AI607" s="1247">
        <v>500</v>
      </c>
      <c r="AJ607" s="1247">
        <v>500</v>
      </c>
      <c r="AK607" s="1247">
        <v>500</v>
      </c>
      <c r="AL607" s="1247">
        <v>500</v>
      </c>
      <c r="AM607" s="1247">
        <v>500</v>
      </c>
      <c r="AN607" s="1247">
        <f>T229</f>
        <v>500</v>
      </c>
      <c r="AO607" s="1247">
        <v>500</v>
      </c>
      <c r="AP607" s="1247">
        <v>500</v>
      </c>
      <c r="AQ607" s="1247">
        <v>500</v>
      </c>
      <c r="AR607" s="1248">
        <v>500</v>
      </c>
      <c r="AS607" s="1249">
        <f>SUM(J607:AR607)</f>
        <v>15500</v>
      </c>
      <c r="AT607" s="1065"/>
      <c r="AU607" s="1065"/>
      <c r="AV607" s="1065"/>
      <c r="AW607" s="1065"/>
      <c r="AX607" s="1065"/>
      <c r="AY607" s="1065"/>
      <c r="AZ607" s="1065"/>
      <c r="BA607" s="1065"/>
      <c r="BB607" s="1065"/>
      <c r="BC607" s="1065"/>
      <c r="BD607" s="1065"/>
      <c r="BE607" s="1065"/>
      <c r="BF607" s="1065"/>
      <c r="BG607" s="1065"/>
      <c r="BH607" s="1065"/>
      <c r="BI607" s="1065"/>
      <c r="BJ607" s="1065"/>
      <c r="BK607" s="1065"/>
      <c r="BL607" s="1065"/>
      <c r="BM607" s="1065"/>
      <c r="BN607" s="1065"/>
      <c r="BO607" s="1065"/>
      <c r="BP607" s="1065"/>
      <c r="BQ607" s="1065"/>
      <c r="BR607" s="1065"/>
      <c r="BS607" s="1065"/>
      <c r="BT607" s="1065"/>
      <c r="BU607" s="1065"/>
      <c r="BV607" s="1065"/>
      <c r="BW607" s="1065"/>
      <c r="BX607" s="1065"/>
      <c r="BY607" s="1065"/>
      <c r="BZ607" s="1065"/>
      <c r="CA607" s="1065"/>
      <c r="CB607" s="1065"/>
      <c r="CC607" s="1065"/>
      <c r="CD607" s="1065"/>
      <c r="CE607" s="1065"/>
      <c r="CF607" s="1065"/>
      <c r="CG607" s="1065"/>
      <c r="CH607" s="1065"/>
      <c r="CI607" s="1065"/>
      <c r="CJ607" s="1065"/>
      <c r="CK607" s="1065"/>
      <c r="CL607" s="1065"/>
      <c r="CM607" s="1065"/>
      <c r="CN607" s="1065"/>
      <c r="CO607" s="1065"/>
      <c r="CP607" s="1065"/>
      <c r="CQ607" s="1065"/>
      <c r="CR607" s="1065"/>
      <c r="CS607" s="1065"/>
      <c r="CT607" s="1065"/>
      <c r="CU607" s="1065"/>
      <c r="CV607" s="1065"/>
      <c r="CW607" s="1065"/>
      <c r="CX607" s="1065"/>
      <c r="CY607" s="1065"/>
      <c r="CZ607" s="1065"/>
      <c r="DA607" s="1065"/>
      <c r="DB607" s="1065"/>
    </row>
    <row r="608" spans="1:106" ht="15" customHeight="1">
      <c r="A608" s="1065"/>
      <c r="B608" s="1065"/>
      <c r="C608" s="1698" t="s">
        <v>1028</v>
      </c>
      <c r="D608" s="1698"/>
      <c r="E608" s="1698"/>
      <c r="F608" s="1698"/>
      <c r="G608" s="1698"/>
      <c r="H608" s="1698"/>
      <c r="I608" s="1128"/>
      <c r="J608" s="1250"/>
      <c r="K608" s="1250"/>
      <c r="L608" s="1250"/>
      <c r="M608" s="1250"/>
      <c r="N608" s="1244">
        <v>7080</v>
      </c>
      <c r="O608" s="1245">
        <v>15780</v>
      </c>
      <c r="P608" s="1246">
        <v>7080</v>
      </c>
      <c r="Q608" s="1246">
        <v>6740</v>
      </c>
      <c r="R608" s="1246"/>
      <c r="S608" s="1250"/>
      <c r="T608" s="1252"/>
      <c r="U608" s="1247">
        <v>10560</v>
      </c>
      <c r="V608" s="1247"/>
      <c r="W608" s="1247">
        <v>10220</v>
      </c>
      <c r="X608" s="1247"/>
      <c r="Y608" s="1247">
        <v>7080</v>
      </c>
      <c r="Z608" s="1247"/>
      <c r="AA608" s="1247"/>
      <c r="AB608" s="1247"/>
      <c r="AC608" s="1247">
        <v>7240</v>
      </c>
      <c r="AD608" s="1252"/>
      <c r="AE608" s="1252"/>
      <c r="AF608" s="1252"/>
      <c r="AG608" s="1252"/>
      <c r="AH608" s="1252"/>
      <c r="AI608" s="1247">
        <v>12240</v>
      </c>
      <c r="AJ608" s="1252"/>
      <c r="AK608" s="1252"/>
      <c r="AL608" s="1252"/>
      <c r="AM608" s="1252"/>
      <c r="AN608" s="1252"/>
      <c r="AO608" s="1252"/>
      <c r="AP608" s="1252"/>
      <c r="AQ608" s="1252"/>
      <c r="AR608" s="1253"/>
      <c r="AS608" s="1249">
        <f>SUM(J608:AR608)</f>
        <v>84020</v>
      </c>
      <c r="AT608" s="1065"/>
      <c r="AU608" s="1065"/>
      <c r="AV608" s="1065"/>
      <c r="AW608" s="1065"/>
      <c r="AX608" s="1065"/>
      <c r="AY608" s="1065"/>
      <c r="AZ608" s="1065"/>
      <c r="BA608" s="1065"/>
      <c r="BB608" s="1065"/>
      <c r="BC608" s="1065"/>
      <c r="BD608" s="1065"/>
      <c r="BE608" s="1065"/>
      <c r="BF608" s="1065"/>
      <c r="BG608" s="1065"/>
      <c r="BH608" s="1065"/>
      <c r="BI608" s="1065"/>
      <c r="BJ608" s="1065"/>
      <c r="BK608" s="1065"/>
      <c r="BL608" s="1065"/>
      <c r="BM608" s="1065"/>
      <c r="BN608" s="1065"/>
      <c r="BO608" s="1065"/>
      <c r="BP608" s="1065"/>
      <c r="BQ608" s="1065"/>
      <c r="BR608" s="1065"/>
      <c r="BS608" s="1065"/>
      <c r="BT608" s="1065"/>
      <c r="BU608" s="1065"/>
      <c r="BV608" s="1065"/>
      <c r="BW608" s="1065"/>
      <c r="BX608" s="1065"/>
      <c r="BY608" s="1065"/>
      <c r="BZ608" s="1065"/>
      <c r="CA608" s="1065"/>
      <c r="CB608" s="1065"/>
      <c r="CC608" s="1065"/>
      <c r="CD608" s="1065"/>
      <c r="CE608" s="1065"/>
      <c r="CF608" s="1065"/>
      <c r="CG608" s="1065"/>
      <c r="CH608" s="1065"/>
      <c r="CI608" s="1065"/>
      <c r="CJ608" s="1065"/>
      <c r="CK608" s="1065"/>
      <c r="CL608" s="1065"/>
      <c r="CM608" s="1065"/>
      <c r="CN608" s="1065"/>
      <c r="CO608" s="1065"/>
      <c r="CP608" s="1065"/>
      <c r="CQ608" s="1065"/>
      <c r="CR608" s="1065"/>
      <c r="CS608" s="1065"/>
      <c r="CT608" s="1065"/>
      <c r="CU608" s="1065"/>
      <c r="CV608" s="1065"/>
      <c r="CW608" s="1065"/>
      <c r="CX608" s="1065"/>
      <c r="CY608" s="1065"/>
      <c r="CZ608" s="1065"/>
      <c r="DA608" s="1065"/>
      <c r="DB608" s="1065"/>
    </row>
    <row r="609" spans="1:106" ht="15" customHeight="1" thickBot="1">
      <c r="A609" s="1065"/>
      <c r="B609" s="1065"/>
      <c r="C609" s="1629" t="s">
        <v>1029</v>
      </c>
      <c r="D609" s="1629"/>
      <c r="E609" s="1629"/>
      <c r="F609" s="1629"/>
      <c r="G609" s="1629"/>
      <c r="H609" s="1629"/>
      <c r="I609" s="1254"/>
      <c r="J609" s="1255">
        <f t="shared" ref="J609:AS609" si="0">SUM(J605:J608)</f>
        <v>1508</v>
      </c>
      <c r="K609" s="1255">
        <f t="shared" si="0"/>
        <v>111370</v>
      </c>
      <c r="L609" s="1255">
        <f t="shared" si="0"/>
        <v>103500</v>
      </c>
      <c r="M609" s="1255">
        <f t="shared" si="0"/>
        <v>90500</v>
      </c>
      <c r="N609" s="1255">
        <f t="shared" si="0"/>
        <v>308450</v>
      </c>
      <c r="O609" s="1256">
        <f t="shared" si="0"/>
        <v>401650</v>
      </c>
      <c r="P609" s="1257">
        <f t="shared" si="0"/>
        <v>263088</v>
      </c>
      <c r="Q609" s="1257">
        <f t="shared" si="0"/>
        <v>126740</v>
      </c>
      <c r="R609" s="1257">
        <f t="shared" si="0"/>
        <v>86000</v>
      </c>
      <c r="S609" s="1255">
        <f t="shared" si="0"/>
        <v>271370</v>
      </c>
      <c r="T609" s="1258">
        <f t="shared" si="0"/>
        <v>166508</v>
      </c>
      <c r="U609" s="1258">
        <f t="shared" si="0"/>
        <v>146930</v>
      </c>
      <c r="V609" s="1258">
        <f t="shared" si="0"/>
        <v>66870</v>
      </c>
      <c r="W609" s="1258">
        <f t="shared" si="0"/>
        <v>154720</v>
      </c>
      <c r="X609" s="1258">
        <f t="shared" si="0"/>
        <v>121370</v>
      </c>
      <c r="Y609" s="1258">
        <f t="shared" si="0"/>
        <v>238588</v>
      </c>
      <c r="Z609" s="1258">
        <f t="shared" si="0"/>
        <v>80500</v>
      </c>
      <c r="AA609" s="1258">
        <f t="shared" si="0"/>
        <v>163500</v>
      </c>
      <c r="AB609" s="1258">
        <f t="shared" si="0"/>
        <v>53500</v>
      </c>
      <c r="AC609" s="1258">
        <f t="shared" si="0"/>
        <v>508610</v>
      </c>
      <c r="AD609" s="1258">
        <f t="shared" si="0"/>
        <v>129508</v>
      </c>
      <c r="AE609" s="1258">
        <f t="shared" si="0"/>
        <v>131508</v>
      </c>
      <c r="AF609" s="1258">
        <f t="shared" si="0"/>
        <v>105500</v>
      </c>
      <c r="AG609" s="1258">
        <f t="shared" si="0"/>
        <v>80500</v>
      </c>
      <c r="AH609" s="1258">
        <f t="shared" si="0"/>
        <v>95500</v>
      </c>
      <c r="AI609" s="1258">
        <f t="shared" si="0"/>
        <v>863610</v>
      </c>
      <c r="AJ609" s="1258">
        <f t="shared" si="0"/>
        <v>85500</v>
      </c>
      <c r="AK609" s="1258">
        <f t="shared" si="0"/>
        <v>100500</v>
      </c>
      <c r="AL609" s="1258">
        <f t="shared" si="0"/>
        <v>100500</v>
      </c>
      <c r="AM609" s="1258">
        <f t="shared" si="0"/>
        <v>31508</v>
      </c>
      <c r="AN609" s="1258">
        <f t="shared" si="0"/>
        <v>180500</v>
      </c>
      <c r="AO609" s="1258">
        <f t="shared" si="0"/>
        <v>181508</v>
      </c>
      <c r="AP609" s="1258">
        <f t="shared" si="0"/>
        <v>286370</v>
      </c>
      <c r="AQ609" s="1258">
        <f t="shared" si="0"/>
        <v>521500</v>
      </c>
      <c r="AR609" s="1258">
        <f t="shared" si="0"/>
        <v>150500</v>
      </c>
      <c r="AS609" s="1259">
        <f t="shared" si="0"/>
        <v>6589784</v>
      </c>
      <c r="AT609" s="1065"/>
      <c r="AU609" s="1065"/>
      <c r="AV609" s="1065"/>
      <c r="AW609" s="1065"/>
      <c r="AX609" s="1065"/>
      <c r="AY609" s="1065"/>
      <c r="AZ609" s="1065"/>
      <c r="BA609" s="1065"/>
      <c r="BB609" s="1065"/>
      <c r="BC609" s="1065"/>
      <c r="BD609" s="1065"/>
      <c r="BE609" s="1065"/>
      <c r="BF609" s="1065"/>
      <c r="BG609" s="1065"/>
      <c r="BH609" s="1065"/>
      <c r="BI609" s="1065"/>
      <c r="BJ609" s="1065"/>
      <c r="BK609" s="1065"/>
      <c r="BL609" s="1065"/>
      <c r="BM609" s="1065"/>
      <c r="BN609" s="1065"/>
      <c r="BO609" s="1065"/>
      <c r="BP609" s="1065"/>
      <c r="BQ609" s="1065"/>
      <c r="BR609" s="1065"/>
      <c r="BS609" s="1065"/>
      <c r="BT609" s="1065"/>
      <c r="BU609" s="1065"/>
      <c r="BV609" s="1065"/>
      <c r="BW609" s="1065"/>
      <c r="BX609" s="1065"/>
      <c r="BY609" s="1065"/>
      <c r="BZ609" s="1065"/>
      <c r="CA609" s="1065"/>
      <c r="CB609" s="1065"/>
      <c r="CC609" s="1065"/>
      <c r="CD609" s="1065"/>
      <c r="CE609" s="1065"/>
      <c r="CF609" s="1065"/>
      <c r="CG609" s="1065"/>
      <c r="CH609" s="1065"/>
      <c r="CI609" s="1065"/>
      <c r="CJ609" s="1065"/>
      <c r="CK609" s="1065"/>
      <c r="CL609" s="1065"/>
      <c r="CM609" s="1065"/>
      <c r="CN609" s="1065"/>
      <c r="CO609" s="1065"/>
      <c r="CP609" s="1065"/>
      <c r="CQ609" s="1065"/>
      <c r="CR609" s="1065"/>
      <c r="CS609" s="1065"/>
      <c r="CT609" s="1065"/>
      <c r="CU609" s="1065"/>
      <c r="CV609" s="1065"/>
      <c r="CW609" s="1065"/>
      <c r="CX609" s="1065"/>
      <c r="CY609" s="1065"/>
      <c r="CZ609" s="1065"/>
      <c r="DA609" s="1065"/>
      <c r="DB609" s="1065"/>
    </row>
    <row r="610" spans="1:106" ht="15" customHeight="1" thickBot="1">
      <c r="A610" s="1065"/>
      <c r="B610" s="1065"/>
      <c r="C610" s="1065"/>
      <c r="D610" s="1065"/>
      <c r="E610" s="1065"/>
      <c r="F610" s="1065"/>
      <c r="G610" s="1065"/>
      <c r="H610" s="1223"/>
      <c r="I610" s="1223"/>
      <c r="J610" s="1224"/>
      <c r="K610" s="1224"/>
      <c r="L610" s="1224"/>
      <c r="M610" s="1225"/>
      <c r="N610" s="1225"/>
      <c r="O610" s="1226"/>
      <c r="P610" s="1227"/>
      <c r="Q610" s="1227"/>
      <c r="R610" s="1228"/>
      <c r="S610" s="1224"/>
      <c r="T610" s="1229"/>
      <c r="U610" s="1065"/>
      <c r="V610" s="1065"/>
      <c r="W610" s="1065"/>
      <c r="X610" s="1065"/>
      <c r="Y610" s="1065"/>
      <c r="Z610" s="1065"/>
      <c r="AA610" s="1065"/>
      <c r="AB610" s="1065"/>
      <c r="AC610" s="1065"/>
      <c r="AD610" s="1065"/>
      <c r="AE610" s="1065"/>
      <c r="AF610" s="1065"/>
      <c r="AG610" s="1065"/>
      <c r="AH610" s="1065"/>
      <c r="AI610" s="1065"/>
      <c r="AJ610" s="1065"/>
      <c r="AK610" s="1065"/>
      <c r="AL610" s="1065"/>
      <c r="AM610" s="1065"/>
      <c r="AN610" s="1065"/>
      <c r="AO610" s="1065"/>
      <c r="AP610" s="1065"/>
      <c r="AQ610" s="1065"/>
      <c r="AR610" s="1065"/>
      <c r="AS610" s="1065"/>
      <c r="AT610" s="1065"/>
      <c r="AU610" s="1065"/>
      <c r="AV610" s="1065"/>
      <c r="AW610" s="1065"/>
      <c r="AX610" s="1065"/>
      <c r="AY610" s="1065"/>
      <c r="AZ610" s="1065"/>
      <c r="BA610" s="1065"/>
      <c r="BB610" s="1065"/>
      <c r="BC610" s="1065"/>
      <c r="BD610" s="1065"/>
      <c r="BE610" s="1065"/>
      <c r="BF610" s="1065"/>
      <c r="BG610" s="1065"/>
      <c r="BH610" s="1065"/>
      <c r="BI610" s="1065"/>
      <c r="BJ610" s="1065"/>
      <c r="BK610" s="1065"/>
      <c r="BL610" s="1065"/>
      <c r="BM610" s="1065"/>
      <c r="BN610" s="1065"/>
      <c r="BO610" s="1065"/>
      <c r="BP610" s="1065"/>
      <c r="BQ610" s="1065"/>
      <c r="BR610" s="1065"/>
      <c r="BS610" s="1065"/>
      <c r="BT610" s="1065"/>
      <c r="BU610" s="1065"/>
      <c r="BV610" s="1065"/>
      <c r="BW610" s="1065"/>
      <c r="BX610" s="1065"/>
      <c r="BY610" s="1065"/>
      <c r="BZ610" s="1065"/>
      <c r="CA610" s="1065"/>
      <c r="CB610" s="1065"/>
      <c r="CC610" s="1065"/>
      <c r="CD610" s="1065"/>
      <c r="CE610" s="1065"/>
      <c r="CF610" s="1065"/>
      <c r="CG610" s="1065"/>
      <c r="CH610" s="1065"/>
      <c r="CI610" s="1065"/>
      <c r="CJ610" s="1065"/>
      <c r="CK610" s="1065"/>
      <c r="CL610" s="1065"/>
      <c r="CM610" s="1065"/>
      <c r="CN610" s="1065"/>
      <c r="CO610" s="1065"/>
      <c r="CP610" s="1065"/>
      <c r="CQ610" s="1065"/>
      <c r="CR610" s="1065"/>
      <c r="CS610" s="1065"/>
      <c r="CT610" s="1065"/>
      <c r="CU610" s="1065"/>
      <c r="CV610" s="1065"/>
      <c r="CW610" s="1065"/>
      <c r="CX610" s="1065"/>
      <c r="CY610" s="1065"/>
      <c r="CZ610" s="1065"/>
      <c r="DA610" s="1065"/>
      <c r="DB610" s="1065"/>
    </row>
    <row r="611" spans="1:106" ht="15" customHeight="1" thickBot="1">
      <c r="A611" s="1065"/>
      <c r="B611" s="1065"/>
      <c r="C611" s="1727" t="s">
        <v>1020</v>
      </c>
      <c r="D611" s="1727"/>
      <c r="E611" s="1727"/>
      <c r="F611" s="1727"/>
      <c r="G611" s="1727"/>
      <c r="H611" s="1727"/>
      <c r="I611" s="1230" t="s">
        <v>692</v>
      </c>
      <c r="J611" s="1110" t="s">
        <v>655</v>
      </c>
      <c r="K611" s="1110" t="s">
        <v>660</v>
      </c>
      <c r="L611" s="1110" t="s">
        <v>661</v>
      </c>
      <c r="M611" s="1231" t="s">
        <v>492</v>
      </c>
      <c r="N611" s="1231" t="s">
        <v>662</v>
      </c>
      <c r="O611" s="1232" t="s">
        <v>300</v>
      </c>
      <c r="P611" s="1233" t="s">
        <v>686</v>
      </c>
      <c r="Q611" s="1233" t="s">
        <v>301</v>
      </c>
      <c r="R611" s="1234" t="s">
        <v>496</v>
      </c>
      <c r="S611" s="1110" t="s">
        <v>663</v>
      </c>
      <c r="T611" s="1235" t="s">
        <v>304</v>
      </c>
      <c r="U611" s="1235" t="s">
        <v>664</v>
      </c>
      <c r="V611" s="1235" t="s">
        <v>112</v>
      </c>
      <c r="W611" s="1236" t="s">
        <v>666</v>
      </c>
      <c r="X611" s="1235" t="s">
        <v>667</v>
      </c>
      <c r="Y611" s="1236" t="s">
        <v>108</v>
      </c>
      <c r="Z611" s="1235" t="s">
        <v>668</v>
      </c>
      <c r="AA611" s="1236" t="s">
        <v>109</v>
      </c>
      <c r="AB611" s="1235" t="s">
        <v>488</v>
      </c>
      <c r="AC611" s="1236" t="s">
        <v>669</v>
      </c>
      <c r="AD611" s="1236" t="s">
        <v>673</v>
      </c>
      <c r="AE611" s="1236" t="s">
        <v>549</v>
      </c>
      <c r="AF611" s="1236" t="s">
        <v>110</v>
      </c>
      <c r="AG611" s="1236" t="s">
        <v>674</v>
      </c>
      <c r="AH611" s="1236" t="s">
        <v>675</v>
      </c>
      <c r="AI611" s="1236" t="s">
        <v>679</v>
      </c>
      <c r="AJ611" s="1236" t="s">
        <v>111</v>
      </c>
      <c r="AK611" s="1236" t="s">
        <v>676</v>
      </c>
      <c r="AL611" s="1236" t="s">
        <v>316</v>
      </c>
      <c r="AM611" s="1236" t="s">
        <v>529</v>
      </c>
      <c r="AN611" s="1236" t="s">
        <v>678</v>
      </c>
      <c r="AO611" s="1236" t="s">
        <v>677</v>
      </c>
      <c r="AP611" s="1236" t="s">
        <v>670</v>
      </c>
      <c r="AQ611" s="1236" t="s">
        <v>550</v>
      </c>
      <c r="AR611" s="1237" t="s">
        <v>680</v>
      </c>
      <c r="AS611" s="1726" t="s">
        <v>1021</v>
      </c>
      <c r="AT611" s="1065"/>
      <c r="AU611" s="1065"/>
      <c r="AV611" s="1065"/>
      <c r="AW611" s="1065"/>
      <c r="AX611" s="1065"/>
      <c r="AY611" s="1065"/>
      <c r="AZ611" s="1065"/>
      <c r="BA611" s="1065"/>
      <c r="BB611" s="1065"/>
      <c r="BC611" s="1065"/>
      <c r="BD611" s="1065"/>
      <c r="BE611" s="1065"/>
      <c r="BF611" s="1065"/>
      <c r="BG611" s="1065"/>
      <c r="BH611" s="1065"/>
      <c r="BI611" s="1065"/>
      <c r="BJ611" s="1065"/>
      <c r="BK611" s="1065"/>
      <c r="BL611" s="1065"/>
      <c r="BM611" s="1065"/>
      <c r="BN611" s="1065"/>
      <c r="BO611" s="1065"/>
      <c r="BP611" s="1065"/>
      <c r="BQ611" s="1065"/>
      <c r="BR611" s="1065"/>
      <c r="BS611" s="1065"/>
      <c r="BT611" s="1065"/>
      <c r="BU611" s="1065"/>
      <c r="BV611" s="1065"/>
      <c r="BW611" s="1065"/>
      <c r="BX611" s="1065"/>
      <c r="BY611" s="1065"/>
      <c r="BZ611" s="1065"/>
      <c r="CA611" s="1065"/>
      <c r="CB611" s="1065"/>
      <c r="CC611" s="1065"/>
      <c r="CD611" s="1065"/>
      <c r="CE611" s="1065"/>
      <c r="CF611" s="1065"/>
      <c r="CG611" s="1065"/>
      <c r="CH611" s="1065"/>
      <c r="CI611" s="1065"/>
      <c r="CJ611" s="1065"/>
      <c r="CK611" s="1065"/>
      <c r="CL611" s="1065"/>
      <c r="CM611" s="1065"/>
      <c r="CN611" s="1065"/>
      <c r="CO611" s="1065"/>
      <c r="CP611" s="1065"/>
      <c r="CQ611" s="1065"/>
      <c r="CR611" s="1065"/>
      <c r="CS611" s="1065"/>
      <c r="CT611" s="1065"/>
      <c r="CU611" s="1065"/>
      <c r="CV611" s="1065"/>
      <c r="CW611" s="1065"/>
      <c r="CX611" s="1065"/>
      <c r="CY611" s="1065"/>
      <c r="CZ611" s="1065"/>
      <c r="DA611" s="1065"/>
      <c r="DB611" s="1065"/>
    </row>
    <row r="612" spans="1:106" ht="15" customHeight="1">
      <c r="A612" s="1065"/>
      <c r="B612" s="1065"/>
      <c r="C612" s="1698" t="s">
        <v>1022</v>
      </c>
      <c r="D612" s="1698"/>
      <c r="E612" s="1698"/>
      <c r="F612" s="1698"/>
      <c r="G612" s="1698"/>
      <c r="H612" s="1698"/>
      <c r="I612" s="1128" t="s">
        <v>1023</v>
      </c>
      <c r="J612" s="1238" t="s">
        <v>1023</v>
      </c>
      <c r="K612" s="1238" t="s">
        <v>1023</v>
      </c>
      <c r="L612" s="1238" t="s">
        <v>1023</v>
      </c>
      <c r="M612" s="1238" t="s">
        <v>1023</v>
      </c>
      <c r="N612" s="1238" t="s">
        <v>1024</v>
      </c>
      <c r="O612" s="1239" t="s">
        <v>1023</v>
      </c>
      <c r="P612" s="1240" t="s">
        <v>1023</v>
      </c>
      <c r="Q612" s="1240" t="s">
        <v>1023</v>
      </c>
      <c r="R612" s="1241" t="s">
        <v>1023</v>
      </c>
      <c r="S612" s="1238" t="s">
        <v>1023</v>
      </c>
      <c r="T612" s="1242" t="s">
        <v>1023</v>
      </c>
      <c r="U612" s="1242" t="s">
        <v>1023</v>
      </c>
      <c r="V612" s="1242" t="s">
        <v>1023</v>
      </c>
      <c r="W612" s="1242" t="s">
        <v>1023</v>
      </c>
      <c r="X612" s="1242" t="s">
        <v>1023</v>
      </c>
      <c r="Y612" s="1242" t="s">
        <v>1023</v>
      </c>
      <c r="Z612" s="1242" t="s">
        <v>1023</v>
      </c>
      <c r="AA612" s="1242" t="s">
        <v>1023</v>
      </c>
      <c r="AB612" s="1242" t="s">
        <v>1023</v>
      </c>
      <c r="AC612" s="1242" t="s">
        <v>1023</v>
      </c>
      <c r="AD612" s="1242" t="s">
        <v>1023</v>
      </c>
      <c r="AE612" s="1242" t="s">
        <v>1023</v>
      </c>
      <c r="AF612" s="1242" t="s">
        <v>1023</v>
      </c>
      <c r="AG612" s="1242" t="s">
        <v>1023</v>
      </c>
      <c r="AH612" s="1242" t="s">
        <v>1023</v>
      </c>
      <c r="AI612" s="1242" t="s">
        <v>1023</v>
      </c>
      <c r="AJ612" s="1242" t="s">
        <v>1023</v>
      </c>
      <c r="AK612" s="1242" t="s">
        <v>1023</v>
      </c>
      <c r="AL612" s="1242" t="s">
        <v>1023</v>
      </c>
      <c r="AM612" s="1242" t="s">
        <v>1023</v>
      </c>
      <c r="AN612" s="1242" t="s">
        <v>1023</v>
      </c>
      <c r="AO612" s="1242" t="s">
        <v>1023</v>
      </c>
      <c r="AP612" s="1242" t="s">
        <v>1023</v>
      </c>
      <c r="AQ612" s="1242" t="s">
        <v>1023</v>
      </c>
      <c r="AR612" s="1242" t="s">
        <v>1023</v>
      </c>
      <c r="AS612" s="1726"/>
      <c r="AT612" s="1065"/>
      <c r="AU612" s="1065"/>
      <c r="AV612" s="1065"/>
      <c r="AW612" s="1065"/>
      <c r="AX612" s="1065"/>
      <c r="AY612" s="1065"/>
      <c r="AZ612" s="1065"/>
      <c r="BA612" s="1065"/>
      <c r="BB612" s="1065"/>
      <c r="BC612" s="1065"/>
      <c r="BD612" s="1065"/>
      <c r="BE612" s="1065"/>
      <c r="BF612" s="1065"/>
      <c r="BG612" s="1065"/>
      <c r="BH612" s="1065"/>
      <c r="BI612" s="1065"/>
      <c r="BJ612" s="1065"/>
      <c r="BK612" s="1065"/>
      <c r="BL612" s="1065"/>
      <c r="BM612" s="1065"/>
      <c r="BN612" s="1065"/>
      <c r="BO612" s="1065"/>
      <c r="BP612" s="1065"/>
      <c r="BQ612" s="1065"/>
      <c r="BR612" s="1065"/>
      <c r="BS612" s="1065"/>
      <c r="BT612" s="1065"/>
      <c r="BU612" s="1065"/>
      <c r="BV612" s="1065"/>
      <c r="BW612" s="1065"/>
      <c r="BX612" s="1065"/>
      <c r="BY612" s="1065"/>
      <c r="BZ612" s="1065"/>
      <c r="CA612" s="1065"/>
      <c r="CB612" s="1065"/>
      <c r="CC612" s="1065"/>
      <c r="CD612" s="1065"/>
      <c r="CE612" s="1065"/>
      <c r="CF612" s="1065"/>
      <c r="CG612" s="1065"/>
      <c r="CH612" s="1065"/>
      <c r="CI612" s="1065"/>
      <c r="CJ612" s="1065"/>
      <c r="CK612" s="1065"/>
      <c r="CL612" s="1065"/>
      <c r="CM612" s="1065"/>
      <c r="CN612" s="1065"/>
      <c r="CO612" s="1065"/>
      <c r="CP612" s="1065"/>
      <c r="CQ612" s="1065"/>
      <c r="CR612" s="1065"/>
      <c r="CS612" s="1065"/>
      <c r="CT612" s="1065"/>
      <c r="CU612" s="1065"/>
      <c r="CV612" s="1065"/>
      <c r="CW612" s="1065"/>
      <c r="CX612" s="1065"/>
      <c r="CY612" s="1065"/>
      <c r="CZ612" s="1065"/>
      <c r="DA612" s="1065"/>
      <c r="DB612" s="1065"/>
    </row>
    <row r="613" spans="1:106" ht="15" customHeight="1">
      <c r="A613" s="1065"/>
      <c r="B613" s="1065"/>
      <c r="C613" s="1724" t="s">
        <v>1030</v>
      </c>
      <c r="D613" s="1724"/>
      <c r="E613" s="1724"/>
      <c r="F613" s="1724"/>
      <c r="G613" s="1724"/>
      <c r="H613" s="1724"/>
      <c r="I613" s="1260"/>
      <c r="J613" s="1244">
        <v>500</v>
      </c>
      <c r="K613" s="1244">
        <v>500</v>
      </c>
      <c r="L613" s="1244">
        <v>500</v>
      </c>
      <c r="M613" s="1244">
        <v>500</v>
      </c>
      <c r="N613" s="1244">
        <v>1000</v>
      </c>
      <c r="O613" s="1245">
        <v>1000</v>
      </c>
      <c r="P613" s="1246">
        <v>1000</v>
      </c>
      <c r="Q613" s="1246">
        <v>500</v>
      </c>
      <c r="R613" s="1246">
        <v>500</v>
      </c>
      <c r="S613" s="1244">
        <v>500</v>
      </c>
      <c r="T613" s="1247">
        <v>500</v>
      </c>
      <c r="U613" s="1247">
        <v>500</v>
      </c>
      <c r="V613" s="1247">
        <v>500</v>
      </c>
      <c r="W613" s="1247">
        <v>500</v>
      </c>
      <c r="X613" s="1247">
        <v>500</v>
      </c>
      <c r="Y613" s="1247">
        <v>500</v>
      </c>
      <c r="Z613" s="1247">
        <v>500</v>
      </c>
      <c r="AA613" s="1247">
        <v>500</v>
      </c>
      <c r="AB613" s="1247">
        <v>500</v>
      </c>
      <c r="AC613" s="1247">
        <v>500</v>
      </c>
      <c r="AD613" s="1247">
        <v>500</v>
      </c>
      <c r="AE613" s="1247">
        <v>500</v>
      </c>
      <c r="AF613" s="1247">
        <v>500</v>
      </c>
      <c r="AG613" s="1247">
        <v>500</v>
      </c>
      <c r="AH613" s="1247">
        <v>2000</v>
      </c>
      <c r="AI613" s="1247">
        <v>500</v>
      </c>
      <c r="AJ613" s="1247">
        <v>500</v>
      </c>
      <c r="AK613" s="1247">
        <v>500</v>
      </c>
      <c r="AL613" s="1247">
        <v>500</v>
      </c>
      <c r="AM613" s="1247">
        <v>500</v>
      </c>
      <c r="AN613" s="1247">
        <v>0</v>
      </c>
      <c r="AO613" s="1247">
        <v>500</v>
      </c>
      <c r="AP613" s="1247">
        <v>1500</v>
      </c>
      <c r="AQ613" s="1247">
        <v>500</v>
      </c>
      <c r="AR613" s="1247">
        <v>500</v>
      </c>
      <c r="AS613" s="1261">
        <f>SUM(I613:AR613)</f>
        <v>21000</v>
      </c>
      <c r="AT613" s="1065"/>
      <c r="AU613" s="1065"/>
      <c r="AV613" s="1065"/>
      <c r="AW613" s="1065"/>
      <c r="AX613" s="1065"/>
      <c r="AY613" s="1065"/>
      <c r="AZ613" s="1065"/>
      <c r="BA613" s="1065"/>
      <c r="BB613" s="1065"/>
      <c r="BC613" s="1065"/>
      <c r="BD613" s="1065"/>
      <c r="BE613" s="1065"/>
      <c r="BF613" s="1065"/>
      <c r="BG613" s="1065"/>
      <c r="BH613" s="1065"/>
      <c r="BI613" s="1065"/>
      <c r="BJ613" s="1065"/>
      <c r="BK613" s="1065"/>
      <c r="BL613" s="1065"/>
      <c r="BM613" s="1065"/>
      <c r="BN613" s="1065"/>
      <c r="BO613" s="1065"/>
      <c r="BP613" s="1065"/>
      <c r="BQ613" s="1065"/>
      <c r="BR613" s="1065"/>
      <c r="BS613" s="1065"/>
      <c r="BT613" s="1065"/>
      <c r="BU613" s="1065"/>
      <c r="BV613" s="1065"/>
      <c r="BW613" s="1065"/>
      <c r="BX613" s="1065"/>
      <c r="BY613" s="1065"/>
      <c r="BZ613" s="1065"/>
      <c r="CA613" s="1065"/>
      <c r="CB613" s="1065"/>
      <c r="CC613" s="1065"/>
      <c r="CD613" s="1065"/>
      <c r="CE613" s="1065"/>
      <c r="CF613" s="1065"/>
      <c r="CG613" s="1065"/>
      <c r="CH613" s="1065"/>
      <c r="CI613" s="1065"/>
      <c r="CJ613" s="1065"/>
      <c r="CK613" s="1065"/>
      <c r="CL613" s="1065"/>
      <c r="CM613" s="1065"/>
      <c r="CN613" s="1065"/>
      <c r="CO613" s="1065"/>
      <c r="CP613" s="1065"/>
      <c r="CQ613" s="1065"/>
      <c r="CR613" s="1065"/>
      <c r="CS613" s="1065"/>
      <c r="CT613" s="1065"/>
      <c r="CU613" s="1065"/>
      <c r="CV613" s="1065"/>
      <c r="CW613" s="1065"/>
      <c r="CX613" s="1065"/>
      <c r="CY613" s="1065"/>
      <c r="CZ613" s="1065"/>
      <c r="DA613" s="1065"/>
      <c r="DB613" s="1065"/>
    </row>
    <row r="614" spans="1:106" ht="15" customHeight="1">
      <c r="A614" s="1065"/>
      <c r="B614" s="1065"/>
      <c r="C614" s="1724" t="s">
        <v>868</v>
      </c>
      <c r="D614" s="1724"/>
      <c r="E614" s="1724"/>
      <c r="F614" s="1724"/>
      <c r="G614" s="1724"/>
      <c r="H614" s="1724"/>
      <c r="I614" s="1725">
        <f>U502</f>
        <v>110590</v>
      </c>
      <c r="J614" s="1725"/>
      <c r="K614" s="1725"/>
      <c r="L614" s="1725"/>
      <c r="M614" s="1725"/>
      <c r="N614" s="1725"/>
      <c r="O614" s="1725"/>
      <c r="P614" s="1725"/>
      <c r="Q614" s="1725"/>
      <c r="R614" s="1725"/>
      <c r="S614" s="1725"/>
      <c r="T614" s="1725"/>
      <c r="U614" s="1725"/>
      <c r="V614" s="1725"/>
      <c r="W614" s="1725"/>
      <c r="X614" s="1725"/>
      <c r="Y614" s="1725"/>
      <c r="Z614" s="1725"/>
      <c r="AA614" s="1725"/>
      <c r="AB614" s="1725"/>
      <c r="AC614" s="1725"/>
      <c r="AD614" s="1725"/>
      <c r="AE614" s="1725"/>
      <c r="AF614" s="1725"/>
      <c r="AG614" s="1725"/>
      <c r="AH614" s="1725"/>
      <c r="AI614" s="1725"/>
      <c r="AJ614" s="1725"/>
      <c r="AK614" s="1725"/>
      <c r="AL614" s="1725"/>
      <c r="AM614" s="1725"/>
      <c r="AN614" s="1725"/>
      <c r="AO614" s="1725"/>
      <c r="AP614" s="1725"/>
      <c r="AQ614" s="1725"/>
      <c r="AR614" s="1725"/>
      <c r="AS614" s="1261">
        <f>I614</f>
        <v>110590</v>
      </c>
      <c r="AT614" s="1065"/>
      <c r="AU614" s="1065"/>
      <c r="AV614" s="1065"/>
      <c r="AW614" s="1065"/>
      <c r="AX614" s="1065"/>
      <c r="AY614" s="1065"/>
      <c r="AZ614" s="1065"/>
      <c r="BA614" s="1065"/>
      <c r="BB614" s="1065"/>
      <c r="BC614" s="1065"/>
      <c r="BD614" s="1065"/>
      <c r="BE614" s="1065"/>
      <c r="BF614" s="1065"/>
      <c r="BG614" s="1065"/>
      <c r="BH614" s="1065"/>
      <c r="BI614" s="1065"/>
      <c r="BJ614" s="1065"/>
      <c r="BK614" s="1065"/>
      <c r="BL614" s="1065"/>
      <c r="BM614" s="1065"/>
      <c r="BN614" s="1065"/>
      <c r="BO614" s="1065"/>
      <c r="BP614" s="1065"/>
      <c r="BQ614" s="1065"/>
      <c r="BR614" s="1065"/>
      <c r="BS614" s="1065"/>
      <c r="BT614" s="1065"/>
      <c r="BU614" s="1065"/>
      <c r="BV614" s="1065"/>
      <c r="BW614" s="1065"/>
      <c r="BX614" s="1065"/>
      <c r="BY614" s="1065"/>
      <c r="BZ614" s="1065"/>
      <c r="CA614" s="1065"/>
      <c r="CB614" s="1065"/>
      <c r="CC614" s="1065"/>
      <c r="CD614" s="1065"/>
      <c r="CE614" s="1065"/>
      <c r="CF614" s="1065"/>
      <c r="CG614" s="1065"/>
      <c r="CH614" s="1065"/>
      <c r="CI614" s="1065"/>
      <c r="CJ614" s="1065"/>
      <c r="CK614" s="1065"/>
      <c r="CL614" s="1065"/>
      <c r="CM614" s="1065"/>
      <c r="CN614" s="1065"/>
      <c r="CO614" s="1065"/>
      <c r="CP614" s="1065"/>
      <c r="CQ614" s="1065"/>
      <c r="CR614" s="1065"/>
      <c r="CS614" s="1065"/>
      <c r="CT614" s="1065"/>
      <c r="CU614" s="1065"/>
      <c r="CV614" s="1065"/>
      <c r="CW614" s="1065"/>
      <c r="CX614" s="1065"/>
      <c r="CY614" s="1065"/>
      <c r="CZ614" s="1065"/>
      <c r="DA614" s="1065"/>
      <c r="DB614" s="1065"/>
    </row>
    <row r="615" spans="1:106" ht="15" customHeight="1">
      <c r="A615" s="1065"/>
      <c r="B615" s="1065"/>
      <c r="C615" s="1724" t="s">
        <v>1031</v>
      </c>
      <c r="D615" s="1724"/>
      <c r="E615" s="1724"/>
      <c r="F615" s="1724"/>
      <c r="G615" s="1724"/>
      <c r="H615" s="1724"/>
      <c r="I615" s="1725">
        <f>U587</f>
        <v>50000</v>
      </c>
      <c r="J615" s="1725"/>
      <c r="K615" s="1725"/>
      <c r="L615" s="1725"/>
      <c r="M615" s="1725"/>
      <c r="N615" s="1725"/>
      <c r="O615" s="1725"/>
      <c r="P615" s="1725"/>
      <c r="Q615" s="1725"/>
      <c r="R615" s="1725"/>
      <c r="S615" s="1725"/>
      <c r="T615" s="1725"/>
      <c r="U615" s="1725"/>
      <c r="V615" s="1725"/>
      <c r="W615" s="1725"/>
      <c r="X615" s="1725"/>
      <c r="Y615" s="1725"/>
      <c r="Z615" s="1725"/>
      <c r="AA615" s="1725"/>
      <c r="AB615" s="1725"/>
      <c r="AC615" s="1725"/>
      <c r="AD615" s="1725"/>
      <c r="AE615" s="1725"/>
      <c r="AF615" s="1725"/>
      <c r="AG615" s="1725"/>
      <c r="AH615" s="1725"/>
      <c r="AI615" s="1725"/>
      <c r="AJ615" s="1725"/>
      <c r="AK615" s="1725"/>
      <c r="AL615" s="1725"/>
      <c r="AM615" s="1725"/>
      <c r="AN615" s="1725"/>
      <c r="AO615" s="1725"/>
      <c r="AP615" s="1725"/>
      <c r="AQ615" s="1725"/>
      <c r="AR615" s="1725"/>
      <c r="AS615" s="1261">
        <f>I615</f>
        <v>50000</v>
      </c>
      <c r="AT615" s="1065"/>
      <c r="AU615" s="1065"/>
      <c r="AV615" s="1065"/>
      <c r="AW615" s="1065"/>
      <c r="AX615" s="1065"/>
      <c r="AY615" s="1065"/>
      <c r="AZ615" s="1065"/>
      <c r="BA615" s="1065"/>
      <c r="BB615" s="1065"/>
      <c r="BC615" s="1065"/>
      <c r="BD615" s="1065"/>
      <c r="BE615" s="1065"/>
      <c r="BF615" s="1065"/>
      <c r="BG615" s="1065"/>
      <c r="BH615" s="1065"/>
      <c r="BI615" s="1065"/>
      <c r="BJ615" s="1065"/>
      <c r="BK615" s="1065"/>
      <c r="BL615" s="1065"/>
      <c r="BM615" s="1065"/>
      <c r="BN615" s="1065"/>
      <c r="BO615" s="1065"/>
      <c r="BP615" s="1065"/>
      <c r="BQ615" s="1065"/>
      <c r="BR615" s="1065"/>
      <c r="BS615" s="1065"/>
      <c r="BT615" s="1065"/>
      <c r="BU615" s="1065"/>
      <c r="BV615" s="1065"/>
      <c r="BW615" s="1065"/>
      <c r="BX615" s="1065"/>
      <c r="BY615" s="1065"/>
      <c r="BZ615" s="1065"/>
      <c r="CA615" s="1065"/>
      <c r="CB615" s="1065"/>
      <c r="CC615" s="1065"/>
      <c r="CD615" s="1065"/>
      <c r="CE615" s="1065"/>
      <c r="CF615" s="1065"/>
      <c r="CG615" s="1065"/>
      <c r="CH615" s="1065"/>
      <c r="CI615" s="1065"/>
      <c r="CJ615" s="1065"/>
      <c r="CK615" s="1065"/>
      <c r="CL615" s="1065"/>
      <c r="CM615" s="1065"/>
      <c r="CN615" s="1065"/>
      <c r="CO615" s="1065"/>
      <c r="CP615" s="1065"/>
      <c r="CQ615" s="1065"/>
      <c r="CR615" s="1065"/>
      <c r="CS615" s="1065"/>
      <c r="CT615" s="1065"/>
      <c r="CU615" s="1065"/>
      <c r="CV615" s="1065"/>
      <c r="CW615" s="1065"/>
      <c r="CX615" s="1065"/>
      <c r="CY615" s="1065"/>
      <c r="CZ615" s="1065"/>
      <c r="DA615" s="1065"/>
      <c r="DB615" s="1065"/>
    </row>
    <row r="616" spans="1:106" ht="15" customHeight="1">
      <c r="A616" s="1065"/>
      <c r="B616" s="1065"/>
      <c r="C616" s="1724" t="s">
        <v>1032</v>
      </c>
      <c r="D616" s="1724"/>
      <c r="E616" s="1724"/>
      <c r="F616" s="1724"/>
      <c r="G616" s="1724"/>
      <c r="H616" s="1724"/>
      <c r="I616" s="1725">
        <f>U266</f>
        <v>30000</v>
      </c>
      <c r="J616" s="1725"/>
      <c r="K616" s="1725"/>
      <c r="L616" s="1725"/>
      <c r="M616" s="1725"/>
      <c r="N616" s="1725"/>
      <c r="O616" s="1725"/>
      <c r="P616" s="1725"/>
      <c r="Q616" s="1725"/>
      <c r="R616" s="1725"/>
      <c r="S616" s="1725"/>
      <c r="T616" s="1725"/>
      <c r="U616" s="1725"/>
      <c r="V616" s="1725"/>
      <c r="W616" s="1725"/>
      <c r="X616" s="1725"/>
      <c r="Y616" s="1725"/>
      <c r="Z616" s="1725"/>
      <c r="AA616" s="1725"/>
      <c r="AB616" s="1725"/>
      <c r="AC616" s="1725"/>
      <c r="AD616" s="1725"/>
      <c r="AE616" s="1725"/>
      <c r="AF616" s="1725"/>
      <c r="AG616" s="1725"/>
      <c r="AH616" s="1725"/>
      <c r="AI616" s="1725"/>
      <c r="AJ616" s="1725"/>
      <c r="AK616" s="1725"/>
      <c r="AL616" s="1725"/>
      <c r="AM616" s="1725"/>
      <c r="AN616" s="1725"/>
      <c r="AO616" s="1725"/>
      <c r="AP616" s="1725"/>
      <c r="AQ616" s="1725"/>
      <c r="AR616" s="1725"/>
      <c r="AS616" s="1261">
        <f>I616</f>
        <v>30000</v>
      </c>
      <c r="AT616" s="1065"/>
      <c r="AU616" s="1065"/>
      <c r="AV616" s="1065"/>
      <c r="AW616" s="1065"/>
      <c r="AX616" s="1065"/>
      <c r="AY616" s="1065"/>
      <c r="AZ616" s="1065"/>
      <c r="BA616" s="1065"/>
      <c r="BB616" s="1065"/>
      <c r="BC616" s="1065"/>
      <c r="BD616" s="1065"/>
      <c r="BE616" s="1065"/>
      <c r="BF616" s="1065"/>
      <c r="BG616" s="1065"/>
      <c r="BH616" s="1065"/>
      <c r="BI616" s="1065"/>
      <c r="BJ616" s="1065"/>
      <c r="BK616" s="1065"/>
      <c r="BL616" s="1065"/>
      <c r="BM616" s="1065"/>
      <c r="BN616" s="1065"/>
      <c r="BO616" s="1065"/>
      <c r="BP616" s="1065"/>
      <c r="BQ616" s="1065"/>
      <c r="BR616" s="1065"/>
      <c r="BS616" s="1065"/>
      <c r="BT616" s="1065"/>
      <c r="BU616" s="1065"/>
      <c r="BV616" s="1065"/>
      <c r="BW616" s="1065"/>
      <c r="BX616" s="1065"/>
      <c r="BY616" s="1065"/>
      <c r="BZ616" s="1065"/>
      <c r="CA616" s="1065"/>
      <c r="CB616" s="1065"/>
      <c r="CC616" s="1065"/>
      <c r="CD616" s="1065"/>
      <c r="CE616" s="1065"/>
      <c r="CF616" s="1065"/>
      <c r="CG616" s="1065"/>
      <c r="CH616" s="1065"/>
      <c r="CI616" s="1065"/>
      <c r="CJ616" s="1065"/>
      <c r="CK616" s="1065"/>
      <c r="CL616" s="1065"/>
      <c r="CM616" s="1065"/>
      <c r="CN616" s="1065"/>
      <c r="CO616" s="1065"/>
      <c r="CP616" s="1065"/>
      <c r="CQ616" s="1065"/>
      <c r="CR616" s="1065"/>
      <c r="CS616" s="1065"/>
      <c r="CT616" s="1065"/>
      <c r="CU616" s="1065"/>
      <c r="CV616" s="1065"/>
      <c r="CW616" s="1065"/>
      <c r="CX616" s="1065"/>
      <c r="CY616" s="1065"/>
      <c r="CZ616" s="1065"/>
      <c r="DA616" s="1065"/>
      <c r="DB616" s="1065"/>
    </row>
    <row r="617" spans="1:106" ht="15" customHeight="1">
      <c r="A617" s="1065"/>
      <c r="B617" s="1065"/>
      <c r="C617" s="1724" t="s">
        <v>1033</v>
      </c>
      <c r="D617" s="1724"/>
      <c r="E617" s="1724"/>
      <c r="F617" s="1724"/>
      <c r="G617" s="1724"/>
      <c r="H617" s="1724"/>
      <c r="I617" s="1262"/>
      <c r="J617" s="1244"/>
      <c r="K617" s="1244">
        <f>T276</f>
        <v>260.56</v>
      </c>
      <c r="L617" s="1244"/>
      <c r="M617" s="1244">
        <f>T277+T278</f>
        <v>20343.36</v>
      </c>
      <c r="N617" s="1244">
        <f>T279</f>
        <v>6899.16</v>
      </c>
      <c r="O617" s="1245">
        <f>T280</f>
        <v>2399.88</v>
      </c>
      <c r="P617" s="1246"/>
      <c r="Q617" s="1246"/>
      <c r="R617" s="1246">
        <f>T281</f>
        <v>11183.16</v>
      </c>
      <c r="S617" s="1244">
        <f>T288</f>
        <v>130.28</v>
      </c>
      <c r="T617" s="1247">
        <f>T282</f>
        <v>452.64</v>
      </c>
      <c r="U617" s="1247">
        <f>T283</f>
        <v>1879.92</v>
      </c>
      <c r="V617" s="1247">
        <f>T284</f>
        <v>2399.4</v>
      </c>
      <c r="W617" s="1247"/>
      <c r="X617" s="1247">
        <f>T285</f>
        <v>539.4</v>
      </c>
      <c r="Y617" s="1247"/>
      <c r="Z617" s="1247">
        <f>T286</f>
        <v>260.39999999999998</v>
      </c>
      <c r="AA617" s="1247"/>
      <c r="AB617" s="1247">
        <f>T300+T301+T302</f>
        <v>24320.48</v>
      </c>
      <c r="AC617" s="1247">
        <f>U302</f>
        <v>6800</v>
      </c>
      <c r="AD617" s="1247">
        <f>T289</f>
        <v>130.28</v>
      </c>
      <c r="AE617" s="1247">
        <f>T290</f>
        <v>86.95</v>
      </c>
      <c r="AF617" s="1247"/>
      <c r="AG617" s="1247"/>
      <c r="AH617" s="1247">
        <f>T291+T292+T293+T294+T295+T308+T303</f>
        <v>23536.799999999999</v>
      </c>
      <c r="AI617" s="1247">
        <f>U303</f>
        <v>7000</v>
      </c>
      <c r="AJ617" s="1247">
        <f>T296</f>
        <v>173.9</v>
      </c>
      <c r="AK617" s="1247">
        <f>T297</f>
        <v>130.28</v>
      </c>
      <c r="AL617" s="1247"/>
      <c r="AM617" s="1247">
        <f>U305</f>
        <v>3500</v>
      </c>
      <c r="AN617" s="1247">
        <f>T298</f>
        <v>130.28</v>
      </c>
      <c r="AO617" s="1247">
        <f>T287</f>
        <v>1879.92</v>
      </c>
      <c r="AP617" s="1247"/>
      <c r="AQ617" s="1248">
        <f>U304</f>
        <v>9500</v>
      </c>
      <c r="AR617" s="1263">
        <f>SUM(I617:AQ617)</f>
        <v>123937.04999999999</v>
      </c>
      <c r="AS617" s="1261">
        <f>SUM(I617:AR617)</f>
        <v>247874.09999999998</v>
      </c>
      <c r="AT617" s="1065"/>
      <c r="AU617" s="1065"/>
      <c r="AV617" s="1065"/>
      <c r="AW617" s="1065"/>
      <c r="AX617" s="1065"/>
      <c r="AY617" s="1065"/>
      <c r="AZ617" s="1065"/>
      <c r="BA617" s="1065"/>
      <c r="BB617" s="1065"/>
      <c r="BC617" s="1065"/>
      <c r="BD617" s="1065"/>
      <c r="BE617" s="1065"/>
      <c r="BF617" s="1065"/>
      <c r="BG617" s="1065"/>
      <c r="BH617" s="1065"/>
      <c r="BI617" s="1065"/>
      <c r="BJ617" s="1065"/>
      <c r="BK617" s="1065"/>
      <c r="BL617" s="1065"/>
      <c r="BM617" s="1065"/>
      <c r="BN617" s="1065"/>
      <c r="BO617" s="1065"/>
      <c r="BP617" s="1065"/>
      <c r="BQ617" s="1065"/>
      <c r="BR617" s="1065"/>
      <c r="BS617" s="1065"/>
      <c r="BT617" s="1065"/>
      <c r="BU617" s="1065"/>
      <c r="BV617" s="1065"/>
      <c r="BW617" s="1065"/>
      <c r="BX617" s="1065"/>
      <c r="BY617" s="1065"/>
      <c r="BZ617" s="1065"/>
      <c r="CA617" s="1065"/>
      <c r="CB617" s="1065"/>
      <c r="CC617" s="1065"/>
      <c r="CD617" s="1065"/>
      <c r="CE617" s="1065"/>
      <c r="CF617" s="1065"/>
      <c r="CG617" s="1065"/>
      <c r="CH617" s="1065"/>
      <c r="CI617" s="1065"/>
      <c r="CJ617" s="1065"/>
      <c r="CK617" s="1065"/>
      <c r="CL617" s="1065"/>
      <c r="CM617" s="1065"/>
      <c r="CN617" s="1065"/>
      <c r="CO617" s="1065"/>
      <c r="CP617" s="1065"/>
      <c r="CQ617" s="1065"/>
      <c r="CR617" s="1065"/>
      <c r="CS617" s="1065"/>
      <c r="CT617" s="1065"/>
      <c r="CU617" s="1065"/>
      <c r="CV617" s="1065"/>
      <c r="CW617" s="1065"/>
      <c r="CX617" s="1065"/>
      <c r="CY617" s="1065"/>
      <c r="CZ617" s="1065"/>
      <c r="DA617" s="1065"/>
      <c r="DB617" s="1065"/>
    </row>
    <row r="618" spans="1:106" ht="15" customHeight="1">
      <c r="A618" s="1065"/>
      <c r="B618" s="1065"/>
      <c r="C618" s="1724" t="s">
        <v>1034</v>
      </c>
      <c r="D618" s="1724"/>
      <c r="E618" s="1724"/>
      <c r="F618" s="1724"/>
      <c r="G618" s="1724"/>
      <c r="H618" s="1724"/>
      <c r="I618" s="1725">
        <f>U312</f>
        <v>50000</v>
      </c>
      <c r="J618" s="1725"/>
      <c r="K618" s="1725"/>
      <c r="L618" s="1725"/>
      <c r="M618" s="1725"/>
      <c r="N618" s="1725"/>
      <c r="O618" s="1725"/>
      <c r="P618" s="1725"/>
      <c r="Q618" s="1725"/>
      <c r="R618" s="1725"/>
      <c r="S618" s="1725"/>
      <c r="T618" s="1725"/>
      <c r="U618" s="1725"/>
      <c r="V618" s="1725"/>
      <c r="W618" s="1725"/>
      <c r="X618" s="1725"/>
      <c r="Y618" s="1725"/>
      <c r="Z618" s="1725"/>
      <c r="AA618" s="1725"/>
      <c r="AB618" s="1725"/>
      <c r="AC618" s="1725"/>
      <c r="AD618" s="1725"/>
      <c r="AE618" s="1725"/>
      <c r="AF618" s="1725"/>
      <c r="AG618" s="1725"/>
      <c r="AH618" s="1725"/>
      <c r="AI618" s="1725"/>
      <c r="AJ618" s="1725"/>
      <c r="AK618" s="1725"/>
      <c r="AL618" s="1725"/>
      <c r="AM618" s="1725"/>
      <c r="AN618" s="1725"/>
      <c r="AO618" s="1725"/>
      <c r="AP618" s="1725"/>
      <c r="AQ618" s="1725"/>
      <c r="AR618" s="1725"/>
      <c r="AS618" s="1261">
        <f>I618</f>
        <v>50000</v>
      </c>
      <c r="AT618" s="1065"/>
      <c r="AU618" s="1065"/>
      <c r="AV618" s="1065"/>
      <c r="AW618" s="1065"/>
      <c r="AX618" s="1065"/>
      <c r="AY618" s="1065"/>
      <c r="AZ618" s="1065"/>
      <c r="BA618" s="1065"/>
      <c r="BB618" s="1065"/>
      <c r="BC618" s="1065"/>
      <c r="BD618" s="1065"/>
      <c r="BE618" s="1065"/>
      <c r="BF618" s="1065"/>
      <c r="BG618" s="1065"/>
      <c r="BH618" s="1065"/>
      <c r="BI618" s="1065"/>
      <c r="BJ618" s="1065"/>
      <c r="BK618" s="1065"/>
      <c r="BL618" s="1065"/>
      <c r="BM618" s="1065"/>
      <c r="BN618" s="1065"/>
      <c r="BO618" s="1065"/>
      <c r="BP618" s="1065"/>
      <c r="BQ618" s="1065"/>
      <c r="BR618" s="1065"/>
      <c r="BS618" s="1065"/>
      <c r="BT618" s="1065"/>
      <c r="BU618" s="1065"/>
      <c r="BV618" s="1065"/>
      <c r="BW618" s="1065"/>
      <c r="BX618" s="1065"/>
      <c r="BY618" s="1065"/>
      <c r="BZ618" s="1065"/>
      <c r="CA618" s="1065"/>
      <c r="CB618" s="1065"/>
      <c r="CC618" s="1065"/>
      <c r="CD618" s="1065"/>
      <c r="CE618" s="1065"/>
      <c r="CF618" s="1065"/>
      <c r="CG618" s="1065"/>
      <c r="CH618" s="1065"/>
      <c r="CI618" s="1065"/>
      <c r="CJ618" s="1065"/>
      <c r="CK618" s="1065"/>
      <c r="CL618" s="1065"/>
      <c r="CM618" s="1065"/>
      <c r="CN618" s="1065"/>
      <c r="CO618" s="1065"/>
      <c r="CP618" s="1065"/>
      <c r="CQ618" s="1065"/>
      <c r="CR618" s="1065"/>
      <c r="CS618" s="1065"/>
      <c r="CT618" s="1065"/>
      <c r="CU618" s="1065"/>
      <c r="CV618" s="1065"/>
      <c r="CW618" s="1065"/>
      <c r="CX618" s="1065"/>
      <c r="CY618" s="1065"/>
      <c r="CZ618" s="1065"/>
      <c r="DA618" s="1065"/>
      <c r="DB618" s="1065"/>
    </row>
    <row r="619" spans="1:106" ht="15" customHeight="1">
      <c r="A619" s="1065"/>
      <c r="B619" s="1065"/>
      <c r="C619" s="1724" t="s">
        <v>1035</v>
      </c>
      <c r="D619" s="1724"/>
      <c r="E619" s="1724"/>
      <c r="F619" s="1724"/>
      <c r="G619" s="1724"/>
      <c r="H619" s="1724"/>
      <c r="I619" s="1725">
        <v>50000</v>
      </c>
      <c r="J619" s="1725"/>
      <c r="K619" s="1725"/>
      <c r="L619" s="1725"/>
      <c r="M619" s="1725"/>
      <c r="N619" s="1725"/>
      <c r="O619" s="1725"/>
      <c r="P619" s="1725"/>
      <c r="Q619" s="1725"/>
      <c r="R619" s="1725"/>
      <c r="S619" s="1725"/>
      <c r="T619" s="1725"/>
      <c r="U619" s="1725"/>
      <c r="V619" s="1725"/>
      <c r="W619" s="1725"/>
      <c r="X619" s="1725"/>
      <c r="Y619" s="1725"/>
      <c r="Z619" s="1725"/>
      <c r="AA619" s="1725"/>
      <c r="AB619" s="1725"/>
      <c r="AC619" s="1725"/>
      <c r="AD619" s="1725"/>
      <c r="AE619" s="1725"/>
      <c r="AF619" s="1725"/>
      <c r="AG619" s="1725"/>
      <c r="AH619" s="1725"/>
      <c r="AI619" s="1725"/>
      <c r="AJ619" s="1725"/>
      <c r="AK619" s="1725"/>
      <c r="AL619" s="1725"/>
      <c r="AM619" s="1725"/>
      <c r="AN619" s="1725"/>
      <c r="AO619" s="1725"/>
      <c r="AP619" s="1725"/>
      <c r="AQ619" s="1725"/>
      <c r="AR619" s="1725"/>
      <c r="AS619" s="1261">
        <f>I619</f>
        <v>50000</v>
      </c>
      <c r="AT619" s="1065"/>
      <c r="AU619" s="1065"/>
      <c r="AV619" s="1065"/>
      <c r="AW619" s="1065"/>
      <c r="AX619" s="1065"/>
      <c r="AY619" s="1065"/>
      <c r="AZ619" s="1065"/>
      <c r="BA619" s="1065"/>
      <c r="BB619" s="1065"/>
      <c r="BC619" s="1065"/>
      <c r="BD619" s="1065"/>
      <c r="BE619" s="1065"/>
      <c r="BF619" s="1065"/>
      <c r="BG619" s="1065"/>
      <c r="BH619" s="1065"/>
      <c r="BI619" s="1065"/>
      <c r="BJ619" s="1065"/>
      <c r="BK619" s="1065"/>
      <c r="BL619" s="1065"/>
      <c r="BM619" s="1065"/>
      <c r="BN619" s="1065"/>
      <c r="BO619" s="1065"/>
      <c r="BP619" s="1065"/>
      <c r="BQ619" s="1065"/>
      <c r="BR619" s="1065"/>
      <c r="BS619" s="1065"/>
      <c r="BT619" s="1065"/>
      <c r="BU619" s="1065"/>
      <c r="BV619" s="1065"/>
      <c r="BW619" s="1065"/>
      <c r="BX619" s="1065"/>
      <c r="BY619" s="1065"/>
      <c r="BZ619" s="1065"/>
      <c r="CA619" s="1065"/>
      <c r="CB619" s="1065"/>
      <c r="CC619" s="1065"/>
      <c r="CD619" s="1065"/>
      <c r="CE619" s="1065"/>
      <c r="CF619" s="1065"/>
      <c r="CG619" s="1065"/>
      <c r="CH619" s="1065"/>
      <c r="CI619" s="1065"/>
      <c r="CJ619" s="1065"/>
      <c r="CK619" s="1065"/>
      <c r="CL619" s="1065"/>
      <c r="CM619" s="1065"/>
      <c r="CN619" s="1065"/>
      <c r="CO619" s="1065"/>
      <c r="CP619" s="1065"/>
      <c r="CQ619" s="1065"/>
      <c r="CR619" s="1065"/>
      <c r="CS619" s="1065"/>
      <c r="CT619" s="1065"/>
      <c r="CU619" s="1065"/>
      <c r="CV619" s="1065"/>
      <c r="CW619" s="1065"/>
      <c r="CX619" s="1065"/>
      <c r="CY619" s="1065"/>
      <c r="CZ619" s="1065"/>
      <c r="DA619" s="1065"/>
      <c r="DB619" s="1065"/>
    </row>
    <row r="620" spans="1:106" ht="15" customHeight="1" thickBot="1">
      <c r="A620" s="1065"/>
      <c r="B620" s="1065"/>
      <c r="C620" s="1629" t="s">
        <v>1029</v>
      </c>
      <c r="D620" s="1629"/>
      <c r="E620" s="1629"/>
      <c r="F620" s="1629"/>
      <c r="G620" s="1629"/>
      <c r="H620" s="1629"/>
      <c r="I620" s="1254">
        <f t="shared" ref="I620:AR620" si="1">I613+I617</f>
        <v>0</v>
      </c>
      <c r="J620" s="1255">
        <f t="shared" si="1"/>
        <v>500</v>
      </c>
      <c r="K620" s="1255">
        <f t="shared" si="1"/>
        <v>760.56</v>
      </c>
      <c r="L620" s="1255">
        <f t="shared" si="1"/>
        <v>500</v>
      </c>
      <c r="M620" s="1255">
        <f t="shared" si="1"/>
        <v>20843.36</v>
      </c>
      <c r="N620" s="1255">
        <f t="shared" si="1"/>
        <v>7899.16</v>
      </c>
      <c r="O620" s="1255">
        <f t="shared" si="1"/>
        <v>3399.88</v>
      </c>
      <c r="P620" s="1257">
        <f t="shared" si="1"/>
        <v>1000</v>
      </c>
      <c r="Q620" s="1257">
        <f t="shared" si="1"/>
        <v>500</v>
      </c>
      <c r="R620" s="1257">
        <f t="shared" si="1"/>
        <v>11683.16</v>
      </c>
      <c r="S620" s="1255">
        <f t="shared" si="1"/>
        <v>630.28</v>
      </c>
      <c r="T620" s="1258">
        <f t="shared" si="1"/>
        <v>952.64</v>
      </c>
      <c r="U620" s="1258">
        <f t="shared" si="1"/>
        <v>2379.92</v>
      </c>
      <c r="V620" s="1258">
        <f t="shared" si="1"/>
        <v>2899.4</v>
      </c>
      <c r="W620" s="1258">
        <f t="shared" si="1"/>
        <v>500</v>
      </c>
      <c r="X620" s="1258">
        <f t="shared" si="1"/>
        <v>1039.4000000000001</v>
      </c>
      <c r="Y620" s="1258">
        <f t="shared" si="1"/>
        <v>500</v>
      </c>
      <c r="Z620" s="1258">
        <f t="shared" si="1"/>
        <v>760.4</v>
      </c>
      <c r="AA620" s="1258">
        <f t="shared" si="1"/>
        <v>500</v>
      </c>
      <c r="AB620" s="1258">
        <f t="shared" si="1"/>
        <v>24820.48</v>
      </c>
      <c r="AC620" s="1258">
        <f t="shared" si="1"/>
        <v>7300</v>
      </c>
      <c r="AD620" s="1258">
        <f t="shared" si="1"/>
        <v>630.28</v>
      </c>
      <c r="AE620" s="1258">
        <f t="shared" si="1"/>
        <v>586.95000000000005</v>
      </c>
      <c r="AF620" s="1258">
        <f t="shared" si="1"/>
        <v>500</v>
      </c>
      <c r="AG620" s="1258">
        <f t="shared" si="1"/>
        <v>500</v>
      </c>
      <c r="AH620" s="1258">
        <f t="shared" si="1"/>
        <v>25536.799999999999</v>
      </c>
      <c r="AI620" s="1258">
        <f t="shared" si="1"/>
        <v>7500</v>
      </c>
      <c r="AJ620" s="1258">
        <f t="shared" si="1"/>
        <v>673.9</v>
      </c>
      <c r="AK620" s="1258">
        <f t="shared" si="1"/>
        <v>630.28</v>
      </c>
      <c r="AL620" s="1258">
        <f t="shared" si="1"/>
        <v>500</v>
      </c>
      <c r="AM620" s="1258">
        <f t="shared" si="1"/>
        <v>4000</v>
      </c>
      <c r="AN620" s="1258">
        <f t="shared" si="1"/>
        <v>130.28</v>
      </c>
      <c r="AO620" s="1258">
        <f t="shared" si="1"/>
        <v>2379.92</v>
      </c>
      <c r="AP620" s="1258">
        <f t="shared" si="1"/>
        <v>1500</v>
      </c>
      <c r="AQ620" s="1258">
        <f t="shared" si="1"/>
        <v>10000</v>
      </c>
      <c r="AR620" s="1258">
        <f t="shared" si="1"/>
        <v>124437.04999999999</v>
      </c>
      <c r="AS620" s="1259">
        <f>SUM(AS613:AS619)</f>
        <v>559464.1</v>
      </c>
      <c r="AT620" s="1065"/>
      <c r="AU620" s="1065"/>
      <c r="AV620" s="1065"/>
      <c r="AW620" s="1065"/>
      <c r="AX620" s="1065"/>
      <c r="AY620" s="1065"/>
      <c r="AZ620" s="1065"/>
      <c r="BA620" s="1065"/>
      <c r="BB620" s="1065"/>
      <c r="BC620" s="1065"/>
      <c r="BD620" s="1065"/>
      <c r="BE620" s="1065"/>
      <c r="BF620" s="1065"/>
      <c r="BG620" s="1065"/>
      <c r="BH620" s="1065"/>
      <c r="BI620" s="1065"/>
      <c r="BJ620" s="1065"/>
      <c r="BK620" s="1065"/>
      <c r="BL620" s="1065"/>
      <c r="BM620" s="1065"/>
      <c r="BN620" s="1065"/>
      <c r="BO620" s="1065"/>
      <c r="BP620" s="1065"/>
      <c r="BQ620" s="1065"/>
      <c r="BR620" s="1065"/>
      <c r="BS620" s="1065"/>
      <c r="BT620" s="1065"/>
      <c r="BU620" s="1065"/>
      <c r="BV620" s="1065"/>
      <c r="BW620" s="1065"/>
      <c r="BX620" s="1065"/>
      <c r="BY620" s="1065"/>
      <c r="BZ620" s="1065"/>
      <c r="CA620" s="1065"/>
      <c r="CB620" s="1065"/>
      <c r="CC620" s="1065"/>
      <c r="CD620" s="1065"/>
      <c r="CE620" s="1065"/>
      <c r="CF620" s="1065"/>
      <c r="CG620" s="1065"/>
      <c r="CH620" s="1065"/>
      <c r="CI620" s="1065"/>
      <c r="CJ620" s="1065"/>
      <c r="CK620" s="1065"/>
      <c r="CL620" s="1065"/>
      <c r="CM620" s="1065"/>
      <c r="CN620" s="1065"/>
      <c r="CO620" s="1065"/>
      <c r="CP620" s="1065"/>
      <c r="CQ620" s="1065"/>
      <c r="CR620" s="1065"/>
      <c r="CS620" s="1065"/>
      <c r="CT620" s="1065"/>
      <c r="CU620" s="1065"/>
      <c r="CV620" s="1065"/>
      <c r="CW620" s="1065"/>
      <c r="CX620" s="1065"/>
      <c r="CY620" s="1065"/>
      <c r="CZ620" s="1065"/>
      <c r="DA620" s="1065"/>
      <c r="DB620" s="1065"/>
    </row>
    <row r="621" spans="1:106" ht="15" customHeight="1" thickBot="1">
      <c r="A621" s="1065"/>
      <c r="B621" s="1065"/>
      <c r="C621" s="1721"/>
      <c r="D621" s="1721"/>
      <c r="E621" s="1721"/>
      <c r="F621" s="1721"/>
      <c r="G621" s="1721"/>
      <c r="H621" s="1721"/>
      <c r="I621" s="1721"/>
      <c r="J621" s="1721"/>
      <c r="K621" s="1721"/>
      <c r="L621" s="1721"/>
      <c r="M621" s="1721"/>
      <c r="N621" s="1721"/>
      <c r="O621" s="1721"/>
      <c r="P621" s="1721"/>
      <c r="Q621" s="1721"/>
      <c r="R621" s="1721"/>
      <c r="S621" s="1721"/>
      <c r="T621" s="1721"/>
      <c r="U621" s="1721"/>
      <c r="V621" s="1721"/>
      <c r="W621" s="1721"/>
      <c r="X621" s="1721"/>
      <c r="Y621" s="1721"/>
      <c r="Z621" s="1721"/>
      <c r="AA621" s="1065"/>
      <c r="AB621" s="1065"/>
      <c r="AC621" s="1065"/>
      <c r="AD621" s="1065"/>
      <c r="AE621" s="1065"/>
      <c r="AF621" s="1065"/>
      <c r="AG621" s="1065"/>
      <c r="AH621" s="1065"/>
      <c r="AI621" s="1065"/>
      <c r="AJ621" s="1065"/>
      <c r="AK621" s="1065"/>
      <c r="AL621" s="1065"/>
      <c r="AM621" s="1065"/>
      <c r="AN621" s="1065"/>
      <c r="AO621" s="1065"/>
      <c r="AP621" s="1065"/>
      <c r="AQ621" s="1065"/>
      <c r="AR621" s="1065"/>
      <c r="AS621" s="1065"/>
      <c r="AT621" s="1065"/>
      <c r="AU621" s="1065"/>
      <c r="AV621" s="1065"/>
      <c r="AW621" s="1065"/>
      <c r="AX621" s="1065"/>
      <c r="AY621" s="1065"/>
      <c r="AZ621" s="1065"/>
      <c r="BA621" s="1065"/>
      <c r="BB621" s="1065"/>
      <c r="BC621" s="1065"/>
      <c r="BD621" s="1065"/>
      <c r="BE621" s="1065"/>
      <c r="BF621" s="1065"/>
      <c r="BG621" s="1065"/>
      <c r="BH621" s="1065"/>
      <c r="BI621" s="1065"/>
      <c r="BJ621" s="1065"/>
      <c r="BK621" s="1065"/>
      <c r="BL621" s="1065"/>
      <c r="BM621" s="1065"/>
      <c r="BN621" s="1065"/>
      <c r="BO621" s="1065"/>
      <c r="BP621" s="1065"/>
      <c r="BQ621" s="1065"/>
      <c r="BR621" s="1065"/>
      <c r="BS621" s="1065"/>
      <c r="BT621" s="1065"/>
      <c r="BU621" s="1065"/>
      <c r="BV621" s="1065"/>
      <c r="BW621" s="1065"/>
      <c r="BX621" s="1065"/>
      <c r="BY621" s="1065"/>
      <c r="BZ621" s="1065"/>
      <c r="CA621" s="1065"/>
      <c r="CB621" s="1065"/>
      <c r="CC621" s="1065"/>
      <c r="CD621" s="1065"/>
      <c r="CE621" s="1065"/>
      <c r="CF621" s="1065"/>
      <c r="CG621" s="1065"/>
      <c r="CH621" s="1065"/>
      <c r="CI621" s="1065"/>
      <c r="CJ621" s="1065"/>
      <c r="CK621" s="1065"/>
      <c r="CL621" s="1065"/>
      <c r="CM621" s="1065"/>
      <c r="CN621" s="1065"/>
      <c r="CO621" s="1065"/>
      <c r="CP621" s="1065"/>
      <c r="CQ621" s="1065"/>
      <c r="CR621" s="1065"/>
      <c r="CS621" s="1065"/>
      <c r="CT621" s="1065"/>
      <c r="CU621" s="1065"/>
      <c r="CV621" s="1065"/>
      <c r="CW621" s="1065"/>
      <c r="CX621" s="1065"/>
      <c r="CY621" s="1065"/>
      <c r="CZ621" s="1065"/>
      <c r="DA621" s="1065"/>
      <c r="DB621" s="1065"/>
    </row>
    <row r="622" spans="1:106" ht="15" customHeight="1" thickBot="1">
      <c r="A622" s="1065"/>
      <c r="B622" s="1065"/>
      <c r="C622" s="1711" t="s">
        <v>1036</v>
      </c>
      <c r="D622" s="1711"/>
      <c r="E622" s="1711"/>
      <c r="F622" s="1711"/>
      <c r="G622" s="1711"/>
      <c r="H622" s="1711"/>
      <c r="I622" s="1711"/>
      <c r="J622" s="1711"/>
      <c r="K622" s="1711"/>
      <c r="L622" s="1711"/>
      <c r="M622" s="1711"/>
      <c r="N622" s="1711"/>
      <c r="O622" s="1711"/>
      <c r="P622" s="1711"/>
      <c r="Q622" s="1711"/>
      <c r="R622" s="1711"/>
      <c r="S622" s="1711"/>
      <c r="T622" s="1711"/>
      <c r="U622" s="1711"/>
      <c r="V622" s="1711"/>
      <c r="W622" s="1711"/>
      <c r="X622" s="1711"/>
      <c r="Y622" s="1711"/>
      <c r="Z622" s="1711"/>
      <c r="AA622" s="1065"/>
      <c r="AB622" s="1065"/>
      <c r="AC622" s="1065"/>
      <c r="AD622" s="1065"/>
      <c r="AE622" s="1065"/>
      <c r="AF622" s="1065"/>
      <c r="AG622" s="1065"/>
      <c r="AH622" s="1065"/>
      <c r="AI622" s="1065"/>
      <c r="AJ622" s="1065"/>
      <c r="AK622" s="1065"/>
      <c r="AL622" s="1065"/>
      <c r="AM622" s="1065"/>
      <c r="AN622" s="1065"/>
      <c r="AO622" s="1065"/>
      <c r="AP622" s="1065"/>
      <c r="AQ622" s="1209"/>
      <c r="AR622" s="1209" t="s">
        <v>1021</v>
      </c>
      <c r="AS622" s="1264">
        <f>AS609+AS620</f>
        <v>7149248.0999999996</v>
      </c>
      <c r="AT622" s="1065"/>
      <c r="AU622" s="1065"/>
      <c r="AV622" s="1065"/>
      <c r="AW622" s="1065"/>
      <c r="AX622" s="1065"/>
      <c r="AY622" s="1065"/>
      <c r="AZ622" s="1065"/>
      <c r="BA622" s="1065"/>
      <c r="BB622" s="1065"/>
      <c r="BC622" s="1065"/>
      <c r="BD622" s="1065"/>
      <c r="BE622" s="1065"/>
      <c r="BF622" s="1065"/>
      <c r="BG622" s="1065"/>
      <c r="BH622" s="1065"/>
      <c r="BI622" s="1065"/>
      <c r="BJ622" s="1065"/>
      <c r="BK622" s="1065"/>
      <c r="BL622" s="1065"/>
      <c r="BM622" s="1065"/>
      <c r="BN622" s="1065"/>
      <c r="BO622" s="1065"/>
      <c r="BP622" s="1065"/>
      <c r="BQ622" s="1065"/>
      <c r="BR622" s="1065"/>
      <c r="BS622" s="1065"/>
      <c r="BT622" s="1065"/>
      <c r="BU622" s="1065"/>
      <c r="BV622" s="1065"/>
      <c r="BW622" s="1065"/>
      <c r="BX622" s="1065"/>
      <c r="BY622" s="1065"/>
      <c r="BZ622" s="1065"/>
      <c r="CA622" s="1065"/>
      <c r="CB622" s="1065"/>
      <c r="CC622" s="1065"/>
      <c r="CD622" s="1065"/>
      <c r="CE622" s="1065"/>
      <c r="CF622" s="1065"/>
      <c r="CG622" s="1065"/>
      <c r="CH622" s="1065"/>
      <c r="CI622" s="1065"/>
      <c r="CJ622" s="1065"/>
      <c r="CK622" s="1065"/>
      <c r="CL622" s="1065"/>
      <c r="CM622" s="1065"/>
      <c r="CN622" s="1065"/>
      <c r="CO622" s="1065"/>
      <c r="CP622" s="1065"/>
      <c r="CQ622" s="1065"/>
      <c r="CR622" s="1065"/>
      <c r="CS622" s="1065"/>
      <c r="CT622" s="1065"/>
      <c r="CU622" s="1065"/>
      <c r="CV622" s="1065"/>
      <c r="CW622" s="1065"/>
      <c r="CX622" s="1065"/>
      <c r="CY622" s="1065"/>
      <c r="CZ622" s="1065"/>
      <c r="DA622" s="1065"/>
      <c r="DB622" s="1065"/>
    </row>
    <row r="623" spans="1:106" ht="15" customHeight="1">
      <c r="A623" s="1065"/>
      <c r="B623" s="1065"/>
      <c r="C623" s="1712" t="s">
        <v>1037</v>
      </c>
      <c r="D623" s="1712"/>
      <c r="E623" s="1265" t="s">
        <v>301</v>
      </c>
      <c r="F623" s="1713" t="s">
        <v>1038</v>
      </c>
      <c r="G623" s="1713"/>
      <c r="H623" s="1713"/>
      <c r="I623" s="1702"/>
      <c r="J623" s="1702"/>
      <c r="K623" s="1702"/>
      <c r="L623" s="1702"/>
      <c r="M623" s="1702"/>
      <c r="N623" s="1702"/>
      <c r="O623" s="1702"/>
      <c r="P623" s="1702"/>
      <c r="Q623" s="1702"/>
      <c r="R623" s="1702"/>
      <c r="S623" s="1702"/>
      <c r="T623" s="1702"/>
      <c r="U623" s="1702"/>
      <c r="V623" s="1702"/>
      <c r="W623" s="1702"/>
      <c r="X623" s="1702"/>
      <c r="Y623" s="1702"/>
      <c r="Z623" s="1702"/>
      <c r="AA623" s="1065"/>
      <c r="AB623" s="1065"/>
      <c r="AC623" s="1065"/>
      <c r="AD623" s="1065"/>
      <c r="AE623" s="1065"/>
      <c r="AF623" s="1065"/>
      <c r="AG623" s="1065"/>
      <c r="AH623" s="1065"/>
      <c r="AI623" s="1065"/>
      <c r="AJ623" s="1065"/>
      <c r="AK623" s="1065"/>
      <c r="AL623" s="1065"/>
      <c r="AM623" s="1065"/>
      <c r="AN623" s="1065"/>
      <c r="AO623" s="1065"/>
      <c r="AP623" s="1065"/>
      <c r="AQ623" s="1065"/>
      <c r="AR623" s="1065"/>
      <c r="AS623" s="1065"/>
      <c r="AT623" s="1065"/>
      <c r="AU623" s="1065"/>
      <c r="AV623" s="1065"/>
      <c r="AW623" s="1065"/>
      <c r="AX623" s="1065"/>
      <c r="AY623" s="1065"/>
      <c r="AZ623" s="1065"/>
      <c r="BA623" s="1065"/>
      <c r="BB623" s="1065"/>
      <c r="BC623" s="1065"/>
      <c r="BD623" s="1065"/>
      <c r="BE623" s="1065"/>
      <c r="BF623" s="1065"/>
      <c r="BG623" s="1065"/>
      <c r="BH623" s="1065"/>
      <c r="BI623" s="1065"/>
      <c r="BJ623" s="1065"/>
      <c r="BK623" s="1065"/>
      <c r="BL623" s="1065"/>
      <c r="BM623" s="1065"/>
      <c r="BN623" s="1065"/>
      <c r="BO623" s="1065"/>
      <c r="BP623" s="1065"/>
      <c r="BQ623" s="1065"/>
      <c r="BR623" s="1065"/>
      <c r="BS623" s="1065"/>
      <c r="BT623" s="1065"/>
      <c r="BU623" s="1065"/>
      <c r="BV623" s="1065"/>
      <c r="BW623" s="1065"/>
      <c r="BX623" s="1065"/>
      <c r="BY623" s="1065"/>
      <c r="BZ623" s="1065"/>
      <c r="CA623" s="1065"/>
      <c r="CB623" s="1065"/>
      <c r="CC623" s="1065"/>
      <c r="CD623" s="1065"/>
      <c r="CE623" s="1065"/>
      <c r="CF623" s="1065"/>
      <c r="CG623" s="1065"/>
      <c r="CH623" s="1065"/>
      <c r="CI623" s="1065"/>
      <c r="CJ623" s="1065"/>
      <c r="CK623" s="1065"/>
      <c r="CL623" s="1065"/>
      <c r="CM623" s="1065"/>
      <c r="CN623" s="1065"/>
      <c r="CO623" s="1065"/>
      <c r="CP623" s="1065"/>
      <c r="CQ623" s="1065"/>
      <c r="CR623" s="1065"/>
      <c r="CS623" s="1065"/>
      <c r="CT623" s="1065"/>
      <c r="CU623" s="1065"/>
      <c r="CV623" s="1065"/>
      <c r="CW623" s="1065"/>
      <c r="CX623" s="1065"/>
      <c r="CY623" s="1065"/>
      <c r="CZ623" s="1065"/>
      <c r="DA623" s="1065"/>
      <c r="DB623" s="1065"/>
    </row>
    <row r="624" spans="1:106" ht="15" customHeight="1">
      <c r="A624" s="1065"/>
      <c r="B624" s="1065"/>
      <c r="C624" s="1698" t="s">
        <v>1039</v>
      </c>
      <c r="D624" s="1698"/>
      <c r="E624" s="1699" t="s">
        <v>1040</v>
      </c>
      <c r="F624" s="1699"/>
      <c r="G624" s="1699"/>
      <c r="H624" s="1699"/>
      <c r="I624" s="1702"/>
      <c r="J624" s="1702"/>
      <c r="K624" s="1702"/>
      <c r="L624" s="1702"/>
      <c r="M624" s="1702"/>
      <c r="N624" s="1702"/>
      <c r="O624" s="1702"/>
      <c r="P624" s="1702"/>
      <c r="Q624" s="1702"/>
      <c r="R624" s="1702"/>
      <c r="S624" s="1702"/>
      <c r="T624" s="1702"/>
      <c r="U624" s="1702"/>
      <c r="V624" s="1702"/>
      <c r="W624" s="1702"/>
      <c r="X624" s="1702"/>
      <c r="Y624" s="1702"/>
      <c r="Z624" s="1702"/>
      <c r="AA624" s="1065"/>
      <c r="AB624" s="1065"/>
      <c r="AC624" s="1065"/>
      <c r="AD624" s="1065"/>
      <c r="AE624" s="1065"/>
      <c r="AF624" s="1065"/>
      <c r="AG624" s="1065"/>
      <c r="AH624" s="1065"/>
      <c r="AI624" s="1065"/>
      <c r="AJ624" s="1065"/>
      <c r="AK624" s="1065"/>
      <c r="AL624" s="1065"/>
      <c r="AM624" s="1065"/>
      <c r="AN624" s="1065"/>
      <c r="AO624" s="1065"/>
      <c r="AP624" s="1065"/>
      <c r="AQ624" s="1065"/>
      <c r="AR624" s="1065"/>
      <c r="AS624" s="1065"/>
      <c r="AT624" s="1065"/>
      <c r="AU624" s="1065"/>
      <c r="AV624" s="1065"/>
      <c r="AW624" s="1065"/>
      <c r="AX624" s="1065"/>
      <c r="AY624" s="1065"/>
      <c r="AZ624" s="1065"/>
      <c r="BA624" s="1065"/>
      <c r="BB624" s="1065"/>
      <c r="BC624" s="1065"/>
      <c r="BD624" s="1065"/>
      <c r="BE624" s="1065"/>
      <c r="BF624" s="1065"/>
      <c r="BG624" s="1065"/>
      <c r="BH624" s="1065"/>
      <c r="BI624" s="1065"/>
      <c r="BJ624" s="1065"/>
      <c r="BK624" s="1065"/>
      <c r="BL624" s="1065"/>
      <c r="BM624" s="1065"/>
      <c r="BN624" s="1065"/>
      <c r="BO624" s="1065"/>
      <c r="BP624" s="1065"/>
      <c r="BQ624" s="1065"/>
      <c r="BR624" s="1065"/>
      <c r="BS624" s="1065"/>
      <c r="BT624" s="1065"/>
      <c r="BU624" s="1065"/>
      <c r="BV624" s="1065"/>
      <c r="BW624" s="1065"/>
      <c r="BX624" s="1065"/>
      <c r="BY624" s="1065"/>
      <c r="BZ624" s="1065"/>
      <c r="CA624" s="1065"/>
      <c r="CB624" s="1065"/>
      <c r="CC624" s="1065"/>
      <c r="CD624" s="1065"/>
      <c r="CE624" s="1065"/>
      <c r="CF624" s="1065"/>
      <c r="CG624" s="1065"/>
      <c r="CH624" s="1065"/>
      <c r="CI624" s="1065"/>
      <c r="CJ624" s="1065"/>
      <c r="CK624" s="1065"/>
      <c r="CL624" s="1065"/>
      <c r="CM624" s="1065"/>
      <c r="CN624" s="1065"/>
      <c r="CO624" s="1065"/>
      <c r="CP624" s="1065"/>
      <c r="CQ624" s="1065"/>
      <c r="CR624" s="1065"/>
      <c r="CS624" s="1065"/>
      <c r="CT624" s="1065"/>
      <c r="CU624" s="1065"/>
      <c r="CV624" s="1065"/>
      <c r="CW624" s="1065"/>
      <c r="CX624" s="1065"/>
      <c r="CY624" s="1065"/>
      <c r="CZ624" s="1065"/>
      <c r="DA624" s="1065"/>
      <c r="DB624" s="1065"/>
    </row>
    <row r="625" spans="1:106" ht="15" customHeight="1">
      <c r="A625" s="1065"/>
      <c r="B625" s="1065"/>
      <c r="C625" s="1700" t="s">
        <v>1041</v>
      </c>
      <c r="D625" s="1700"/>
      <c r="E625" s="1701" t="s">
        <v>1042</v>
      </c>
      <c r="F625" s="1701"/>
      <c r="G625" s="1701"/>
      <c r="H625" s="1701"/>
      <c r="I625" s="1702"/>
      <c r="J625" s="1702"/>
      <c r="K625" s="1702"/>
      <c r="L625" s="1702"/>
      <c r="M625" s="1702"/>
      <c r="N625" s="1702"/>
      <c r="O625" s="1702"/>
      <c r="P625" s="1702"/>
      <c r="Q625" s="1702"/>
      <c r="R625" s="1702"/>
      <c r="S625" s="1702"/>
      <c r="T625" s="1702"/>
      <c r="U625" s="1702"/>
      <c r="V625" s="1702"/>
      <c r="W625" s="1702"/>
      <c r="X625" s="1702"/>
      <c r="Y625" s="1702"/>
      <c r="Z625" s="1702"/>
      <c r="AA625" s="1065"/>
      <c r="AB625" s="1065"/>
      <c r="AC625" s="1065"/>
      <c r="AD625" s="1065"/>
      <c r="AE625" s="1065"/>
      <c r="AF625" s="1065"/>
      <c r="AG625" s="1065"/>
      <c r="AH625" s="1065"/>
      <c r="AI625" s="1065"/>
      <c r="AJ625" s="1065"/>
      <c r="AK625" s="1065"/>
      <c r="AL625" s="1065"/>
      <c r="AM625" s="1065"/>
      <c r="AN625" s="1065"/>
      <c r="AO625" s="1065"/>
      <c r="AP625" s="1065"/>
      <c r="AQ625" s="1065"/>
      <c r="AR625" s="1065"/>
      <c r="AS625" s="1065"/>
      <c r="AT625" s="1065"/>
      <c r="AU625" s="1065"/>
      <c r="AV625" s="1065"/>
      <c r="AW625" s="1065"/>
      <c r="AX625" s="1065"/>
      <c r="AY625" s="1065"/>
      <c r="AZ625" s="1065"/>
      <c r="BA625" s="1065"/>
      <c r="BB625" s="1065"/>
      <c r="BC625" s="1065"/>
      <c r="BD625" s="1065"/>
      <c r="BE625" s="1065"/>
      <c r="BF625" s="1065"/>
      <c r="BG625" s="1065"/>
      <c r="BH625" s="1065"/>
      <c r="BI625" s="1065"/>
      <c r="BJ625" s="1065"/>
      <c r="BK625" s="1065"/>
      <c r="BL625" s="1065"/>
      <c r="BM625" s="1065"/>
      <c r="BN625" s="1065"/>
      <c r="BO625" s="1065"/>
      <c r="BP625" s="1065"/>
      <c r="BQ625" s="1065"/>
      <c r="BR625" s="1065"/>
      <c r="BS625" s="1065"/>
      <c r="BT625" s="1065"/>
      <c r="BU625" s="1065"/>
      <c r="BV625" s="1065"/>
      <c r="BW625" s="1065"/>
      <c r="BX625" s="1065"/>
      <c r="BY625" s="1065"/>
      <c r="BZ625" s="1065"/>
      <c r="CA625" s="1065"/>
      <c r="CB625" s="1065"/>
      <c r="CC625" s="1065"/>
      <c r="CD625" s="1065"/>
      <c r="CE625" s="1065"/>
      <c r="CF625" s="1065"/>
      <c r="CG625" s="1065"/>
      <c r="CH625" s="1065"/>
      <c r="CI625" s="1065"/>
      <c r="CJ625" s="1065"/>
      <c r="CK625" s="1065"/>
      <c r="CL625" s="1065"/>
      <c r="CM625" s="1065"/>
      <c r="CN625" s="1065"/>
      <c r="CO625" s="1065"/>
      <c r="CP625" s="1065"/>
      <c r="CQ625" s="1065"/>
      <c r="CR625" s="1065"/>
      <c r="CS625" s="1065"/>
      <c r="CT625" s="1065"/>
      <c r="CU625" s="1065"/>
      <c r="CV625" s="1065"/>
      <c r="CW625" s="1065"/>
      <c r="CX625" s="1065"/>
      <c r="CY625" s="1065"/>
      <c r="CZ625" s="1065"/>
      <c r="DA625" s="1065"/>
      <c r="DB625" s="1065"/>
    </row>
    <row r="626" spans="1:106" ht="15" customHeight="1">
      <c r="A626" s="1065"/>
      <c r="B626" s="1065"/>
      <c r="C626" s="1690" t="s">
        <v>1043</v>
      </c>
      <c r="D626" s="1695" t="s">
        <v>1044</v>
      </c>
      <c r="E626" s="1695"/>
      <c r="F626" s="1695" t="s">
        <v>1045</v>
      </c>
      <c r="G626" s="1695"/>
      <c r="H626" s="1695"/>
      <c r="I626" s="1695"/>
      <c r="J626" s="1696" t="s">
        <v>1046</v>
      </c>
      <c r="K626" s="1696"/>
      <c r="L626" s="1696" t="s">
        <v>1047</v>
      </c>
      <c r="M626" s="1696"/>
      <c r="N626" s="1696"/>
      <c r="O626" s="1696"/>
      <c r="P626" s="1697" t="s">
        <v>1048</v>
      </c>
      <c r="Q626" s="1697"/>
      <c r="R626" s="1687" t="s">
        <v>1049</v>
      </c>
      <c r="S626" s="1687"/>
      <c r="T626" s="1688" t="s">
        <v>1050</v>
      </c>
      <c r="U626" s="1688"/>
      <c r="V626" s="1688"/>
      <c r="W626" s="1688"/>
      <c r="X626" s="1688"/>
      <c r="Y626" s="1689" t="s">
        <v>1051</v>
      </c>
      <c r="Z626" s="1689"/>
      <c r="AA626" s="1065"/>
      <c r="AB626" s="1065"/>
      <c r="AC626" s="1065"/>
      <c r="AD626" s="1065"/>
      <c r="AE626" s="1065"/>
      <c r="AF626" s="1065"/>
      <c r="AG626" s="1065"/>
      <c r="AH626" s="1065"/>
      <c r="AI626" s="1065"/>
      <c r="AJ626" s="1065"/>
      <c r="AK626" s="1065"/>
      <c r="AL626" s="1065"/>
      <c r="AM626" s="1065"/>
      <c r="AN626" s="1065"/>
      <c r="AO626" s="1065"/>
      <c r="AP626" s="1065"/>
      <c r="AQ626" s="1065"/>
      <c r="AR626" s="1065"/>
      <c r="AS626" s="1065"/>
      <c r="AT626" s="1065"/>
      <c r="AU626" s="1065"/>
      <c r="AV626" s="1065"/>
      <c r="AW626" s="1065"/>
      <c r="AX626" s="1065"/>
      <c r="AY626" s="1065"/>
      <c r="AZ626" s="1065"/>
      <c r="BA626" s="1065"/>
      <c r="BB626" s="1065"/>
      <c r="BC626" s="1065"/>
      <c r="BD626" s="1065"/>
      <c r="BE626" s="1065"/>
      <c r="BF626" s="1065"/>
      <c r="BG626" s="1065"/>
      <c r="BH626" s="1065"/>
      <c r="BI626" s="1065"/>
      <c r="BJ626" s="1065"/>
      <c r="BK626" s="1065"/>
      <c r="BL626" s="1065"/>
      <c r="BM626" s="1065"/>
      <c r="BN626" s="1065"/>
      <c r="BO626" s="1065"/>
      <c r="BP626" s="1065"/>
      <c r="BQ626" s="1065"/>
      <c r="BR626" s="1065"/>
      <c r="BS626" s="1065"/>
      <c r="BT626" s="1065"/>
      <c r="BU626" s="1065"/>
      <c r="BV626" s="1065"/>
      <c r="BW626" s="1065"/>
      <c r="BX626" s="1065"/>
      <c r="BY626" s="1065"/>
      <c r="BZ626" s="1065"/>
      <c r="CA626" s="1065"/>
      <c r="CB626" s="1065"/>
      <c r="CC626" s="1065"/>
      <c r="CD626" s="1065"/>
      <c r="CE626" s="1065"/>
      <c r="CF626" s="1065"/>
      <c r="CG626" s="1065"/>
      <c r="CH626" s="1065"/>
      <c r="CI626" s="1065"/>
      <c r="CJ626" s="1065"/>
      <c r="CK626" s="1065"/>
      <c r="CL626" s="1065"/>
      <c r="CM626" s="1065"/>
      <c r="CN626" s="1065"/>
      <c r="CO626" s="1065"/>
      <c r="CP626" s="1065"/>
      <c r="CQ626" s="1065"/>
      <c r="CR626" s="1065"/>
      <c r="CS626" s="1065"/>
      <c r="CT626" s="1065"/>
      <c r="CU626" s="1065"/>
      <c r="CV626" s="1065"/>
      <c r="CW626" s="1065"/>
      <c r="CX626" s="1065"/>
      <c r="CY626" s="1065"/>
      <c r="CZ626" s="1065"/>
      <c r="DA626" s="1065"/>
      <c r="DB626" s="1065"/>
    </row>
    <row r="627" spans="1:106" ht="15" customHeight="1">
      <c r="A627" s="1065"/>
      <c r="B627" s="1065"/>
      <c r="C627" s="1690"/>
      <c r="D627" s="1695"/>
      <c r="E627" s="1695"/>
      <c r="F627" s="1695"/>
      <c r="G627" s="1695"/>
      <c r="H627" s="1695"/>
      <c r="I627" s="1695"/>
      <c r="J627" s="1696"/>
      <c r="K627" s="1696"/>
      <c r="L627" s="1696"/>
      <c r="M627" s="1696"/>
      <c r="N627" s="1696"/>
      <c r="O627" s="1696"/>
      <c r="P627" s="1697"/>
      <c r="Q627" s="1697"/>
      <c r="R627" s="1687"/>
      <c r="S627" s="1687"/>
      <c r="T627" s="1688" t="s">
        <v>1052</v>
      </c>
      <c r="U627" s="1688"/>
      <c r="V627" s="1688" t="s">
        <v>1052</v>
      </c>
      <c r="W627" s="1688"/>
      <c r="X627" s="1266" t="s">
        <v>1053</v>
      </c>
      <c r="Y627" s="1689"/>
      <c r="Z627" s="1689"/>
      <c r="AA627" s="1065"/>
      <c r="AB627" s="1065"/>
      <c r="AC627" s="1065"/>
      <c r="AD627" s="1065"/>
      <c r="AE627" s="1065"/>
      <c r="AF627" s="1065"/>
      <c r="AG627" s="1065"/>
      <c r="AH627" s="1065"/>
      <c r="AI627" s="1065"/>
      <c r="AJ627" s="1065"/>
      <c r="AK627" s="1065"/>
      <c r="AL627" s="1065"/>
      <c r="AM627" s="1065"/>
      <c r="AN627" s="1065"/>
      <c r="AO627" s="1065"/>
      <c r="AP627" s="1065"/>
      <c r="AQ627" s="1065"/>
      <c r="AR627" s="1065"/>
      <c r="AS627" s="1065"/>
      <c r="AT627" s="1065"/>
      <c r="AU627" s="1065"/>
      <c r="AV627" s="1065"/>
      <c r="AW627" s="1065"/>
      <c r="AX627" s="1065"/>
      <c r="AY627" s="1065"/>
      <c r="AZ627" s="1065"/>
      <c r="BA627" s="1065"/>
      <c r="BB627" s="1065"/>
      <c r="BC627" s="1065"/>
      <c r="BD627" s="1065"/>
      <c r="BE627" s="1065"/>
      <c r="BF627" s="1065"/>
      <c r="BG627" s="1065"/>
      <c r="BH627" s="1065"/>
      <c r="BI627" s="1065"/>
      <c r="BJ627" s="1065"/>
      <c r="BK627" s="1065"/>
      <c r="BL627" s="1065"/>
      <c r="BM627" s="1065"/>
      <c r="BN627" s="1065"/>
      <c r="BO627" s="1065"/>
      <c r="BP627" s="1065"/>
      <c r="BQ627" s="1065"/>
      <c r="BR627" s="1065"/>
      <c r="BS627" s="1065"/>
      <c r="BT627" s="1065"/>
      <c r="BU627" s="1065"/>
      <c r="BV627" s="1065"/>
      <c r="BW627" s="1065"/>
      <c r="BX627" s="1065"/>
      <c r="BY627" s="1065"/>
      <c r="BZ627" s="1065"/>
      <c r="CA627" s="1065"/>
      <c r="CB627" s="1065"/>
      <c r="CC627" s="1065"/>
      <c r="CD627" s="1065"/>
      <c r="CE627" s="1065"/>
      <c r="CF627" s="1065"/>
      <c r="CG627" s="1065"/>
      <c r="CH627" s="1065"/>
      <c r="CI627" s="1065"/>
      <c r="CJ627" s="1065"/>
      <c r="CK627" s="1065"/>
      <c r="CL627" s="1065"/>
      <c r="CM627" s="1065"/>
      <c r="CN627" s="1065"/>
      <c r="CO627" s="1065"/>
      <c r="CP627" s="1065"/>
      <c r="CQ627" s="1065"/>
      <c r="CR627" s="1065"/>
      <c r="CS627" s="1065"/>
      <c r="CT627" s="1065"/>
      <c r="CU627" s="1065"/>
      <c r="CV627" s="1065"/>
      <c r="CW627" s="1065"/>
      <c r="CX627" s="1065"/>
      <c r="CY627" s="1065"/>
      <c r="CZ627" s="1065"/>
      <c r="DA627" s="1065"/>
      <c r="DB627" s="1065"/>
    </row>
    <row r="628" spans="1:106" ht="15" customHeight="1" thickBot="1">
      <c r="A628" s="1065"/>
      <c r="B628" s="1065"/>
      <c r="C628" s="1690">
        <v>1</v>
      </c>
      <c r="D628" s="1691" t="s">
        <v>1054</v>
      </c>
      <c r="E628" s="1691"/>
      <c r="F628" s="1692" t="s">
        <v>1040</v>
      </c>
      <c r="G628" s="1692"/>
      <c r="H628" s="1692"/>
      <c r="I628" s="1692"/>
      <c r="J628" s="1693" t="s">
        <v>1055</v>
      </c>
      <c r="K628" s="1693"/>
      <c r="L628" s="1694" t="s">
        <v>1056</v>
      </c>
      <c r="M628" s="1694"/>
      <c r="N628" s="1694"/>
      <c r="O628" s="1694"/>
      <c r="P628" s="1682" t="s">
        <v>1057</v>
      </c>
      <c r="Q628" s="1682"/>
      <c r="R628" s="1678">
        <v>40</v>
      </c>
      <c r="S628" s="1678"/>
      <c r="T628" s="1679">
        <v>44409</v>
      </c>
      <c r="U628" s="1679"/>
      <c r="V628" s="1714">
        <v>44440</v>
      </c>
      <c r="W628" s="1714"/>
      <c r="X628" s="1267">
        <v>35428</v>
      </c>
      <c r="Y628" s="1720" t="e">
        <f>(X628-#REF!)*R628</f>
        <v>#REF!</v>
      </c>
      <c r="Z628" s="1720"/>
      <c r="AA628" s="1065"/>
      <c r="AB628" s="1065"/>
      <c r="AC628" s="1065"/>
      <c r="AD628" s="1065"/>
      <c r="AE628" s="1065"/>
      <c r="AF628" s="1065"/>
      <c r="AG628" s="1065"/>
      <c r="AH628" s="1065"/>
      <c r="AI628" s="1065"/>
      <c r="AJ628" s="1065"/>
      <c r="AK628" s="1065"/>
      <c r="AL628" s="1065"/>
      <c r="AM628" s="1065"/>
      <c r="AN628" s="1065"/>
      <c r="AO628" s="1065"/>
      <c r="AP628" s="1065"/>
      <c r="AQ628" s="1065"/>
      <c r="AR628" s="1065"/>
      <c r="AS628" s="1065"/>
      <c r="AT628" s="1065"/>
      <c r="AU628" s="1065"/>
      <c r="AV628" s="1065"/>
      <c r="AW628" s="1065"/>
      <c r="AX628" s="1065"/>
      <c r="AY628" s="1065"/>
      <c r="AZ628" s="1065"/>
      <c r="BA628" s="1065"/>
      <c r="BB628" s="1065"/>
      <c r="BC628" s="1065"/>
      <c r="BD628" s="1065"/>
      <c r="BE628" s="1065"/>
      <c r="BF628" s="1065"/>
      <c r="BG628" s="1065"/>
      <c r="BH628" s="1065"/>
      <c r="BI628" s="1065"/>
      <c r="BJ628" s="1065"/>
      <c r="BK628" s="1065"/>
      <c r="BL628" s="1065"/>
      <c r="BM628" s="1065"/>
      <c r="BN628" s="1065"/>
      <c r="BO628" s="1065"/>
      <c r="BP628" s="1065"/>
      <c r="BQ628" s="1065"/>
      <c r="BR628" s="1065"/>
      <c r="BS628" s="1065"/>
      <c r="BT628" s="1065"/>
      <c r="BU628" s="1065"/>
      <c r="BV628" s="1065"/>
      <c r="BW628" s="1065"/>
      <c r="BX628" s="1065"/>
      <c r="BY628" s="1065"/>
      <c r="BZ628" s="1065"/>
      <c r="CA628" s="1065"/>
      <c r="CB628" s="1065"/>
      <c r="CC628" s="1065"/>
      <c r="CD628" s="1065"/>
      <c r="CE628" s="1065"/>
      <c r="CF628" s="1065"/>
      <c r="CG628" s="1065"/>
      <c r="CH628" s="1065"/>
      <c r="CI628" s="1065"/>
      <c r="CJ628" s="1065"/>
      <c r="CK628" s="1065"/>
      <c r="CL628" s="1065"/>
      <c r="CM628" s="1065"/>
      <c r="CN628" s="1065"/>
      <c r="CO628" s="1065"/>
      <c r="CP628" s="1065"/>
      <c r="CQ628" s="1065"/>
      <c r="CR628" s="1065"/>
      <c r="CS628" s="1065"/>
      <c r="CT628" s="1065"/>
      <c r="CU628" s="1065"/>
      <c r="CV628" s="1065"/>
      <c r="CW628" s="1065"/>
      <c r="CX628" s="1065"/>
      <c r="CY628" s="1065"/>
      <c r="CZ628" s="1065"/>
      <c r="DA628" s="1065"/>
      <c r="DB628" s="1065"/>
    </row>
    <row r="629" spans="1:106" ht="15" customHeight="1" thickBot="1">
      <c r="A629" s="1065"/>
      <c r="B629" s="1065"/>
      <c r="C629" s="1690"/>
      <c r="D629" s="1691"/>
      <c r="E629" s="1691"/>
      <c r="F629" s="1692"/>
      <c r="G629" s="1692"/>
      <c r="H629" s="1692"/>
      <c r="I629" s="1692"/>
      <c r="J629" s="1693"/>
      <c r="K629" s="1693"/>
      <c r="L629" s="1694"/>
      <c r="M629" s="1694"/>
      <c r="N629" s="1694"/>
      <c r="O629" s="1694"/>
      <c r="P629" s="1682" t="s">
        <v>1058</v>
      </c>
      <c r="Q629" s="1682"/>
      <c r="R629" s="1678">
        <v>40</v>
      </c>
      <c r="S629" s="1678"/>
      <c r="T629" s="1679">
        <v>44409</v>
      </c>
      <c r="U629" s="1679"/>
      <c r="V629" s="1714">
        <v>44440</v>
      </c>
      <c r="W629" s="1714"/>
      <c r="X629" s="1267">
        <v>11758.93</v>
      </c>
      <c r="Y629" s="1720" t="e">
        <f>(X629-#REF!)*R629</f>
        <v>#REF!</v>
      </c>
      <c r="Z629" s="1720"/>
      <c r="AA629" s="1065"/>
      <c r="AB629" s="1065"/>
      <c r="AC629" s="1065"/>
      <c r="AD629" s="1065"/>
      <c r="AE629" s="1065"/>
      <c r="AF629" s="1065"/>
      <c r="AG629" s="1065"/>
      <c r="AH629" s="1065"/>
      <c r="AI629" s="1065"/>
      <c r="AJ629" s="1065"/>
      <c r="AK629" s="1065"/>
      <c r="AL629" s="1065"/>
      <c r="AM629" s="1065"/>
      <c r="AN629" s="1065"/>
      <c r="AO629" s="1065"/>
      <c r="AP629" s="1065"/>
      <c r="AQ629" s="1065"/>
      <c r="AR629" s="1065"/>
      <c r="AS629" s="1065"/>
      <c r="AT629" s="1065"/>
      <c r="AU629" s="1065"/>
      <c r="AV629" s="1065"/>
      <c r="AW629" s="1065"/>
      <c r="AX629" s="1065"/>
      <c r="AY629" s="1065"/>
      <c r="AZ629" s="1065"/>
      <c r="BA629" s="1065"/>
      <c r="BB629" s="1065"/>
      <c r="BC629" s="1065"/>
      <c r="BD629" s="1065"/>
      <c r="BE629" s="1065"/>
      <c r="BF629" s="1065"/>
      <c r="BG629" s="1065"/>
      <c r="BH629" s="1065"/>
      <c r="BI629" s="1065"/>
      <c r="BJ629" s="1065"/>
      <c r="BK629" s="1065"/>
      <c r="BL629" s="1065"/>
      <c r="BM629" s="1065"/>
      <c r="BN629" s="1065"/>
      <c r="BO629" s="1065"/>
      <c r="BP629" s="1065"/>
      <c r="BQ629" s="1065"/>
      <c r="BR629" s="1065"/>
      <c r="BS629" s="1065"/>
      <c r="BT629" s="1065"/>
      <c r="BU629" s="1065"/>
      <c r="BV629" s="1065"/>
      <c r="BW629" s="1065"/>
      <c r="BX629" s="1065"/>
      <c r="BY629" s="1065"/>
      <c r="BZ629" s="1065"/>
      <c r="CA629" s="1065"/>
      <c r="CB629" s="1065"/>
      <c r="CC629" s="1065"/>
      <c r="CD629" s="1065"/>
      <c r="CE629" s="1065"/>
      <c r="CF629" s="1065"/>
      <c r="CG629" s="1065"/>
      <c r="CH629" s="1065"/>
      <c r="CI629" s="1065"/>
      <c r="CJ629" s="1065"/>
      <c r="CK629" s="1065"/>
      <c r="CL629" s="1065"/>
      <c r="CM629" s="1065"/>
      <c r="CN629" s="1065"/>
      <c r="CO629" s="1065"/>
      <c r="CP629" s="1065"/>
      <c r="CQ629" s="1065"/>
      <c r="CR629" s="1065"/>
      <c r="CS629" s="1065"/>
      <c r="CT629" s="1065"/>
      <c r="CU629" s="1065"/>
      <c r="CV629" s="1065"/>
      <c r="CW629" s="1065"/>
      <c r="CX629" s="1065"/>
      <c r="CY629" s="1065"/>
      <c r="CZ629" s="1065"/>
      <c r="DA629" s="1065"/>
      <c r="DB629" s="1065"/>
    </row>
    <row r="630" spans="1:106" ht="15" customHeight="1" thickBot="1">
      <c r="A630" s="1065"/>
      <c r="B630" s="1065"/>
      <c r="C630" s="1268">
        <v>2</v>
      </c>
      <c r="D630" s="1703" t="s">
        <v>1059</v>
      </c>
      <c r="E630" s="1703"/>
      <c r="F630" s="1692"/>
      <c r="G630" s="1692"/>
      <c r="H630" s="1692"/>
      <c r="I630" s="1692"/>
      <c r="J630" s="1693"/>
      <c r="K630" s="1693"/>
      <c r="L630" s="1704" t="s">
        <v>1060</v>
      </c>
      <c r="M630" s="1704"/>
      <c r="N630" s="1704"/>
      <c r="O630" s="1704"/>
      <c r="P630" s="1705" t="s">
        <v>1061</v>
      </c>
      <c r="Q630" s="1705"/>
      <c r="R630" s="1706">
        <v>1</v>
      </c>
      <c r="S630" s="1706"/>
      <c r="T630" s="1707">
        <v>44409</v>
      </c>
      <c r="U630" s="1707"/>
      <c r="V630" s="1714">
        <v>44440</v>
      </c>
      <c r="W630" s="1714"/>
      <c r="X630" s="1267">
        <v>5055</v>
      </c>
      <c r="Y630" s="1720" t="e">
        <f>(X630-#REF!)*R630</f>
        <v>#REF!</v>
      </c>
      <c r="Z630" s="1720"/>
      <c r="AA630" s="1065"/>
      <c r="AB630" s="1065"/>
      <c r="AC630" s="1065"/>
      <c r="AD630" s="1065"/>
      <c r="AE630" s="1065"/>
      <c r="AF630" s="1065"/>
      <c r="AG630" s="1065"/>
      <c r="AH630" s="1065"/>
      <c r="AI630" s="1065"/>
      <c r="AJ630" s="1065"/>
      <c r="AK630" s="1065"/>
      <c r="AL630" s="1065"/>
      <c r="AM630" s="1065"/>
      <c r="AN630" s="1065"/>
      <c r="AO630" s="1065"/>
      <c r="AP630" s="1065"/>
      <c r="AQ630" s="1065"/>
      <c r="AR630" s="1065"/>
      <c r="AS630" s="1065"/>
      <c r="AT630" s="1065"/>
      <c r="AU630" s="1065"/>
      <c r="AV630" s="1065"/>
      <c r="AW630" s="1065"/>
      <c r="AX630" s="1065"/>
      <c r="AY630" s="1065"/>
      <c r="AZ630" s="1065"/>
      <c r="BA630" s="1065"/>
      <c r="BB630" s="1065"/>
      <c r="BC630" s="1065"/>
      <c r="BD630" s="1065"/>
      <c r="BE630" s="1065"/>
      <c r="BF630" s="1065"/>
      <c r="BG630" s="1065"/>
      <c r="BH630" s="1065"/>
      <c r="BI630" s="1065"/>
      <c r="BJ630" s="1065"/>
      <c r="BK630" s="1065"/>
      <c r="BL630" s="1065"/>
      <c r="BM630" s="1065"/>
      <c r="BN630" s="1065"/>
      <c r="BO630" s="1065"/>
      <c r="BP630" s="1065"/>
      <c r="BQ630" s="1065"/>
      <c r="BR630" s="1065"/>
      <c r="BS630" s="1065"/>
      <c r="BT630" s="1065"/>
      <c r="BU630" s="1065"/>
      <c r="BV630" s="1065"/>
      <c r="BW630" s="1065"/>
      <c r="BX630" s="1065"/>
      <c r="BY630" s="1065"/>
      <c r="BZ630" s="1065"/>
      <c r="CA630" s="1065"/>
      <c r="CB630" s="1065"/>
      <c r="CC630" s="1065"/>
      <c r="CD630" s="1065"/>
      <c r="CE630" s="1065"/>
      <c r="CF630" s="1065"/>
      <c r="CG630" s="1065"/>
      <c r="CH630" s="1065"/>
      <c r="CI630" s="1065"/>
      <c r="CJ630" s="1065"/>
      <c r="CK630" s="1065"/>
      <c r="CL630" s="1065"/>
      <c r="CM630" s="1065"/>
      <c r="CN630" s="1065"/>
      <c r="CO630" s="1065"/>
      <c r="CP630" s="1065"/>
      <c r="CQ630" s="1065"/>
      <c r="CR630" s="1065"/>
      <c r="CS630" s="1065"/>
      <c r="CT630" s="1065"/>
      <c r="CU630" s="1065"/>
      <c r="CV630" s="1065"/>
      <c r="CW630" s="1065"/>
      <c r="CX630" s="1065"/>
      <c r="CY630" s="1065"/>
      <c r="CZ630" s="1065"/>
      <c r="DA630" s="1065"/>
      <c r="DB630" s="1065"/>
    </row>
    <row r="631" spans="1:106" ht="15" customHeight="1" thickBot="1">
      <c r="A631" s="1065"/>
      <c r="B631" s="1065"/>
      <c r="C631" s="1721"/>
      <c r="D631" s="1721"/>
      <c r="E631" s="1721"/>
      <c r="F631" s="1721"/>
      <c r="G631" s="1721"/>
      <c r="H631" s="1721"/>
      <c r="I631" s="1721"/>
      <c r="J631" s="1721"/>
      <c r="K631" s="1721"/>
      <c r="L631" s="1721"/>
      <c r="M631" s="1721"/>
      <c r="N631" s="1721"/>
      <c r="O631" s="1721"/>
      <c r="P631" s="1721"/>
      <c r="Q631" s="1721"/>
      <c r="R631" s="1721"/>
      <c r="S631" s="1721"/>
      <c r="T631" s="1721"/>
      <c r="U631" s="1721"/>
      <c r="V631" s="1721"/>
      <c r="W631" s="1721"/>
      <c r="X631" s="1721"/>
      <c r="Y631" s="1721"/>
      <c r="Z631" s="1721"/>
      <c r="AA631" s="1065"/>
      <c r="AB631" s="1065"/>
      <c r="AC631" s="1065"/>
      <c r="AD631" s="1065"/>
      <c r="AE631" s="1065"/>
      <c r="AF631" s="1065"/>
      <c r="AG631" s="1065"/>
      <c r="AH631" s="1065"/>
      <c r="AI631" s="1065"/>
      <c r="AJ631" s="1065"/>
      <c r="AK631" s="1065"/>
      <c r="AL631" s="1065"/>
      <c r="AM631" s="1065"/>
      <c r="AN631" s="1065"/>
      <c r="AO631" s="1065"/>
      <c r="AP631" s="1065"/>
      <c r="AQ631" s="1065"/>
      <c r="AR631" s="1065"/>
      <c r="AS631" s="1065"/>
      <c r="AT631" s="1065"/>
      <c r="AU631" s="1065"/>
      <c r="AV631" s="1065"/>
      <c r="AW631" s="1065"/>
      <c r="AX631" s="1065"/>
      <c r="AY631" s="1065"/>
      <c r="AZ631" s="1065"/>
      <c r="BA631" s="1065"/>
      <c r="BB631" s="1065"/>
      <c r="BC631" s="1065"/>
      <c r="BD631" s="1065"/>
      <c r="BE631" s="1065"/>
      <c r="BF631" s="1065"/>
      <c r="BG631" s="1065"/>
      <c r="BH631" s="1065"/>
      <c r="BI631" s="1065"/>
      <c r="BJ631" s="1065"/>
      <c r="BK631" s="1065"/>
      <c r="BL631" s="1065"/>
      <c r="BM631" s="1065"/>
      <c r="BN631" s="1065"/>
      <c r="BO631" s="1065"/>
      <c r="BP631" s="1065"/>
      <c r="BQ631" s="1065"/>
      <c r="BR631" s="1065"/>
      <c r="BS631" s="1065"/>
      <c r="BT631" s="1065"/>
      <c r="BU631" s="1065"/>
      <c r="BV631" s="1065"/>
      <c r="BW631" s="1065"/>
      <c r="BX631" s="1065"/>
      <c r="BY631" s="1065"/>
      <c r="BZ631" s="1065"/>
      <c r="CA631" s="1065"/>
      <c r="CB631" s="1065"/>
      <c r="CC631" s="1065"/>
      <c r="CD631" s="1065"/>
      <c r="CE631" s="1065"/>
      <c r="CF631" s="1065"/>
      <c r="CG631" s="1065"/>
      <c r="CH631" s="1065"/>
      <c r="CI631" s="1065"/>
      <c r="CJ631" s="1065"/>
      <c r="CK631" s="1065"/>
      <c r="CL631" s="1065"/>
      <c r="CM631" s="1065"/>
      <c r="CN631" s="1065"/>
      <c r="CO631" s="1065"/>
      <c r="CP631" s="1065"/>
      <c r="CQ631" s="1065"/>
      <c r="CR631" s="1065"/>
      <c r="CS631" s="1065"/>
      <c r="CT631" s="1065"/>
      <c r="CU631" s="1065"/>
      <c r="CV631" s="1065"/>
      <c r="CW631" s="1065"/>
      <c r="CX631" s="1065"/>
      <c r="CY631" s="1065"/>
      <c r="CZ631" s="1065"/>
      <c r="DA631" s="1065"/>
      <c r="DB631" s="1065"/>
    </row>
    <row r="632" spans="1:106" ht="15" customHeight="1">
      <c r="A632" s="1065"/>
      <c r="B632" s="1065"/>
      <c r="C632" s="1722" t="s">
        <v>1036</v>
      </c>
      <c r="D632" s="1722"/>
      <c r="E632" s="1722"/>
      <c r="F632" s="1722"/>
      <c r="G632" s="1722"/>
      <c r="H632" s="1722"/>
      <c r="I632" s="1722"/>
      <c r="J632" s="1722"/>
      <c r="K632" s="1722"/>
      <c r="L632" s="1722"/>
      <c r="M632" s="1722"/>
      <c r="N632" s="1722"/>
      <c r="O632" s="1722"/>
      <c r="P632" s="1722"/>
      <c r="Q632" s="1722"/>
      <c r="R632" s="1722"/>
      <c r="S632" s="1722"/>
      <c r="T632" s="1722"/>
      <c r="U632" s="1722"/>
      <c r="V632" s="1722"/>
      <c r="W632" s="1722"/>
      <c r="X632" s="1722"/>
      <c r="Y632" s="1722"/>
      <c r="Z632" s="1722"/>
      <c r="AA632" s="1722"/>
      <c r="AB632" s="1722"/>
      <c r="AC632" s="1722"/>
      <c r="AD632" s="1722"/>
      <c r="AE632" s="1065"/>
      <c r="AF632" s="1065"/>
      <c r="AG632" s="1065"/>
      <c r="AH632" s="1065"/>
      <c r="AI632" s="1065"/>
      <c r="AJ632" s="1065"/>
      <c r="AK632" s="1065"/>
      <c r="AL632" s="1065"/>
      <c r="AM632" s="1065"/>
      <c r="AN632" s="1065"/>
      <c r="AO632" s="1065"/>
      <c r="AP632" s="1065"/>
      <c r="AQ632" s="1065"/>
      <c r="AR632" s="1065"/>
      <c r="AS632" s="1065"/>
      <c r="AT632" s="1065"/>
      <c r="AU632" s="1065"/>
      <c r="AV632" s="1065"/>
      <c r="AW632" s="1065"/>
      <c r="AX632" s="1065"/>
      <c r="AY632" s="1065"/>
      <c r="AZ632" s="1065"/>
      <c r="BA632" s="1065"/>
      <c r="BB632" s="1065"/>
      <c r="BC632" s="1065"/>
      <c r="BD632" s="1065"/>
      <c r="BE632" s="1065"/>
      <c r="BF632" s="1065"/>
      <c r="BG632" s="1065"/>
      <c r="BH632" s="1065"/>
      <c r="BI632" s="1065"/>
      <c r="BJ632" s="1065"/>
      <c r="BK632" s="1065"/>
      <c r="BL632" s="1065"/>
      <c r="BM632" s="1065"/>
      <c r="BN632" s="1065"/>
      <c r="BO632" s="1065"/>
      <c r="BP632" s="1065"/>
      <c r="BQ632" s="1065"/>
      <c r="BR632" s="1065"/>
      <c r="BS632" s="1065"/>
      <c r="BT632" s="1065"/>
      <c r="BU632" s="1065"/>
      <c r="BV632" s="1065"/>
      <c r="BW632" s="1065"/>
      <c r="BX632" s="1065"/>
      <c r="BY632" s="1065"/>
      <c r="BZ632" s="1065"/>
      <c r="CA632" s="1065"/>
      <c r="CB632" s="1065"/>
      <c r="CC632" s="1065"/>
      <c r="CD632" s="1065"/>
      <c r="CE632" s="1065"/>
      <c r="CF632" s="1065"/>
      <c r="CG632" s="1065"/>
      <c r="CH632" s="1065"/>
      <c r="CI632" s="1065"/>
      <c r="CJ632" s="1065"/>
      <c r="CK632" s="1065"/>
      <c r="CL632" s="1065"/>
      <c r="CM632" s="1065"/>
      <c r="CN632" s="1065"/>
      <c r="CO632" s="1065"/>
      <c r="CP632" s="1065"/>
      <c r="CQ632" s="1065"/>
      <c r="CR632" s="1065"/>
      <c r="CS632" s="1065"/>
      <c r="CT632" s="1065"/>
      <c r="CU632" s="1065"/>
      <c r="CV632" s="1065"/>
      <c r="CW632" s="1065"/>
      <c r="CX632" s="1065"/>
      <c r="CY632" s="1065"/>
      <c r="CZ632" s="1065"/>
      <c r="DA632" s="1065"/>
      <c r="DB632" s="1065"/>
    </row>
    <row r="633" spans="1:106" ht="15" customHeight="1">
      <c r="A633" s="1065"/>
      <c r="B633" s="1065"/>
      <c r="C633" s="1698" t="s">
        <v>1037</v>
      </c>
      <c r="D633" s="1698"/>
      <c r="E633" s="1242" t="s">
        <v>666</v>
      </c>
      <c r="F633" s="1688" t="s">
        <v>1038</v>
      </c>
      <c r="G633" s="1688"/>
      <c r="H633" s="1688"/>
      <c r="I633" s="1723"/>
      <c r="J633" s="1723"/>
      <c r="K633" s="1723"/>
      <c r="L633" s="1723"/>
      <c r="M633" s="1723"/>
      <c r="N633" s="1723"/>
      <c r="O633" s="1723"/>
      <c r="P633" s="1723"/>
      <c r="Q633" s="1723"/>
      <c r="R633" s="1723"/>
      <c r="S633" s="1723"/>
      <c r="T633" s="1723"/>
      <c r="U633" s="1723"/>
      <c r="V633" s="1723"/>
      <c r="W633" s="1723"/>
      <c r="X633" s="1723"/>
      <c r="Y633" s="1723"/>
      <c r="Z633" s="1723"/>
      <c r="AA633" s="1723"/>
      <c r="AB633" s="1723"/>
      <c r="AC633" s="1723"/>
      <c r="AD633" s="1723"/>
      <c r="AE633" s="1065"/>
      <c r="AF633" s="1065"/>
      <c r="AG633" s="1065"/>
      <c r="AH633" s="1065"/>
      <c r="AI633" s="1065"/>
      <c r="AJ633" s="1065"/>
      <c r="AK633" s="1065"/>
      <c r="AL633" s="1065"/>
      <c r="AM633" s="1065"/>
      <c r="AN633" s="1065"/>
      <c r="AO633" s="1065"/>
      <c r="AP633" s="1065"/>
      <c r="AQ633" s="1065"/>
      <c r="AR633" s="1065"/>
      <c r="AS633" s="1065"/>
      <c r="AT633" s="1065"/>
      <c r="AU633" s="1065"/>
      <c r="AV633" s="1065"/>
      <c r="AW633" s="1065"/>
      <c r="AX633" s="1065"/>
      <c r="AY633" s="1065"/>
      <c r="AZ633" s="1065"/>
      <c r="BA633" s="1065"/>
      <c r="BB633" s="1065"/>
      <c r="BC633" s="1065"/>
      <c r="BD633" s="1065"/>
      <c r="BE633" s="1065"/>
      <c r="BF633" s="1065"/>
      <c r="BG633" s="1065"/>
      <c r="BH633" s="1065"/>
      <c r="BI633" s="1065"/>
      <c r="BJ633" s="1065"/>
      <c r="BK633" s="1065"/>
      <c r="BL633" s="1065"/>
      <c r="BM633" s="1065"/>
      <c r="BN633" s="1065"/>
      <c r="BO633" s="1065"/>
      <c r="BP633" s="1065"/>
      <c r="BQ633" s="1065"/>
      <c r="BR633" s="1065"/>
      <c r="BS633" s="1065"/>
      <c r="BT633" s="1065"/>
      <c r="BU633" s="1065"/>
      <c r="BV633" s="1065"/>
      <c r="BW633" s="1065"/>
      <c r="BX633" s="1065"/>
      <c r="BY633" s="1065"/>
      <c r="BZ633" s="1065"/>
      <c r="CA633" s="1065"/>
      <c r="CB633" s="1065"/>
      <c r="CC633" s="1065"/>
      <c r="CD633" s="1065"/>
      <c r="CE633" s="1065"/>
      <c r="CF633" s="1065"/>
      <c r="CG633" s="1065"/>
      <c r="CH633" s="1065"/>
      <c r="CI633" s="1065"/>
      <c r="CJ633" s="1065"/>
      <c r="CK633" s="1065"/>
      <c r="CL633" s="1065"/>
      <c r="CM633" s="1065"/>
      <c r="CN633" s="1065"/>
      <c r="CO633" s="1065"/>
      <c r="CP633" s="1065"/>
      <c r="CQ633" s="1065"/>
      <c r="CR633" s="1065"/>
      <c r="CS633" s="1065"/>
      <c r="CT633" s="1065"/>
      <c r="CU633" s="1065"/>
      <c r="CV633" s="1065"/>
      <c r="CW633" s="1065"/>
      <c r="CX633" s="1065"/>
      <c r="CY633" s="1065"/>
      <c r="CZ633" s="1065"/>
      <c r="DA633" s="1065"/>
      <c r="DB633" s="1065"/>
    </row>
    <row r="634" spans="1:106" ht="15" customHeight="1">
      <c r="A634" s="1065"/>
      <c r="B634" s="1065"/>
      <c r="C634" s="1698" t="s">
        <v>1039</v>
      </c>
      <c r="D634" s="1698"/>
      <c r="E634" s="1699" t="s">
        <v>1062</v>
      </c>
      <c r="F634" s="1699"/>
      <c r="G634" s="1699"/>
      <c r="H634" s="1699"/>
      <c r="I634" s="1723"/>
      <c r="J634" s="1723"/>
      <c r="K634" s="1723"/>
      <c r="L634" s="1723"/>
      <c r="M634" s="1723"/>
      <c r="N634" s="1723"/>
      <c r="O634" s="1723"/>
      <c r="P634" s="1723"/>
      <c r="Q634" s="1723"/>
      <c r="R634" s="1723"/>
      <c r="S634" s="1723"/>
      <c r="T634" s="1723"/>
      <c r="U634" s="1723"/>
      <c r="V634" s="1723"/>
      <c r="W634" s="1723"/>
      <c r="X634" s="1723"/>
      <c r="Y634" s="1723"/>
      <c r="Z634" s="1723"/>
      <c r="AA634" s="1723"/>
      <c r="AB634" s="1723"/>
      <c r="AC634" s="1723"/>
      <c r="AD634" s="1723"/>
      <c r="AE634" s="1065"/>
      <c r="AF634" s="1065"/>
      <c r="AG634" s="1065"/>
      <c r="AH634" s="1065"/>
      <c r="AI634" s="1065"/>
      <c r="AJ634" s="1065"/>
      <c r="AK634" s="1065"/>
      <c r="AL634" s="1065"/>
      <c r="AM634" s="1065"/>
      <c r="AN634" s="1065"/>
      <c r="AO634" s="1065"/>
      <c r="AP634" s="1065"/>
      <c r="AQ634" s="1065"/>
      <c r="AR634" s="1065"/>
      <c r="AS634" s="1065"/>
      <c r="AT634" s="1065"/>
      <c r="AU634" s="1065"/>
      <c r="AV634" s="1065"/>
      <c r="AW634" s="1065"/>
      <c r="AX634" s="1065"/>
      <c r="AY634" s="1065"/>
      <c r="AZ634" s="1065"/>
      <c r="BA634" s="1065"/>
      <c r="BB634" s="1065"/>
      <c r="BC634" s="1065"/>
      <c r="BD634" s="1065"/>
      <c r="BE634" s="1065"/>
      <c r="BF634" s="1065"/>
      <c r="BG634" s="1065"/>
      <c r="BH634" s="1065"/>
      <c r="BI634" s="1065"/>
      <c r="BJ634" s="1065"/>
      <c r="BK634" s="1065"/>
      <c r="BL634" s="1065"/>
      <c r="BM634" s="1065"/>
      <c r="BN634" s="1065"/>
      <c r="BO634" s="1065"/>
      <c r="BP634" s="1065"/>
      <c r="BQ634" s="1065"/>
      <c r="BR634" s="1065"/>
      <c r="BS634" s="1065"/>
      <c r="BT634" s="1065"/>
      <c r="BU634" s="1065"/>
      <c r="BV634" s="1065"/>
      <c r="BW634" s="1065"/>
      <c r="BX634" s="1065"/>
      <c r="BY634" s="1065"/>
      <c r="BZ634" s="1065"/>
      <c r="CA634" s="1065"/>
      <c r="CB634" s="1065"/>
      <c r="CC634" s="1065"/>
      <c r="CD634" s="1065"/>
      <c r="CE634" s="1065"/>
      <c r="CF634" s="1065"/>
      <c r="CG634" s="1065"/>
      <c r="CH634" s="1065"/>
      <c r="CI634" s="1065"/>
      <c r="CJ634" s="1065"/>
      <c r="CK634" s="1065"/>
      <c r="CL634" s="1065"/>
      <c r="CM634" s="1065"/>
      <c r="CN634" s="1065"/>
      <c r="CO634" s="1065"/>
      <c r="CP634" s="1065"/>
      <c r="CQ634" s="1065"/>
      <c r="CR634" s="1065"/>
      <c r="CS634" s="1065"/>
      <c r="CT634" s="1065"/>
      <c r="CU634" s="1065"/>
      <c r="CV634" s="1065"/>
      <c r="CW634" s="1065"/>
      <c r="CX634" s="1065"/>
      <c r="CY634" s="1065"/>
      <c r="CZ634" s="1065"/>
      <c r="DA634" s="1065"/>
      <c r="DB634" s="1065"/>
    </row>
    <row r="635" spans="1:106" ht="15" customHeight="1">
      <c r="A635" s="1065"/>
      <c r="B635" s="1065"/>
      <c r="C635" s="1700" t="s">
        <v>1041</v>
      </c>
      <c r="D635" s="1700"/>
      <c r="E635" s="1701" t="s">
        <v>1063</v>
      </c>
      <c r="F635" s="1701"/>
      <c r="G635" s="1701"/>
      <c r="H635" s="1701"/>
      <c r="I635" s="1723"/>
      <c r="J635" s="1723"/>
      <c r="K635" s="1723"/>
      <c r="L635" s="1723"/>
      <c r="M635" s="1723"/>
      <c r="N635" s="1723"/>
      <c r="O635" s="1723"/>
      <c r="P635" s="1723"/>
      <c r="Q635" s="1723"/>
      <c r="R635" s="1723"/>
      <c r="S635" s="1723"/>
      <c r="T635" s="1723"/>
      <c r="U635" s="1723"/>
      <c r="V635" s="1723"/>
      <c r="W635" s="1723"/>
      <c r="X635" s="1723"/>
      <c r="Y635" s="1723"/>
      <c r="Z635" s="1723"/>
      <c r="AA635" s="1723"/>
      <c r="AB635" s="1723"/>
      <c r="AC635" s="1723"/>
      <c r="AD635" s="1723"/>
      <c r="AE635" s="1065"/>
      <c r="AF635" s="1065"/>
      <c r="AG635" s="1065"/>
      <c r="AH635" s="1065"/>
      <c r="AI635" s="1065"/>
      <c r="AJ635" s="1065"/>
      <c r="AK635" s="1065"/>
      <c r="AL635" s="1065"/>
      <c r="AM635" s="1065"/>
      <c r="AN635" s="1065"/>
      <c r="AO635" s="1065"/>
      <c r="AP635" s="1065"/>
      <c r="AQ635" s="1065"/>
      <c r="AR635" s="1065"/>
      <c r="AS635" s="1065"/>
      <c r="AT635" s="1065"/>
      <c r="AU635" s="1065"/>
      <c r="AV635" s="1065"/>
      <c r="AW635" s="1065"/>
      <c r="AX635" s="1065"/>
      <c r="AY635" s="1065"/>
      <c r="AZ635" s="1065"/>
      <c r="BA635" s="1065"/>
      <c r="BB635" s="1065"/>
      <c r="BC635" s="1065"/>
      <c r="BD635" s="1065"/>
      <c r="BE635" s="1065"/>
      <c r="BF635" s="1065"/>
      <c r="BG635" s="1065"/>
      <c r="BH635" s="1065"/>
      <c r="BI635" s="1065"/>
      <c r="BJ635" s="1065"/>
      <c r="BK635" s="1065"/>
      <c r="BL635" s="1065"/>
      <c r="BM635" s="1065"/>
      <c r="BN635" s="1065"/>
      <c r="BO635" s="1065"/>
      <c r="BP635" s="1065"/>
      <c r="BQ635" s="1065"/>
      <c r="BR635" s="1065"/>
      <c r="BS635" s="1065"/>
      <c r="BT635" s="1065"/>
      <c r="BU635" s="1065"/>
      <c r="BV635" s="1065"/>
      <c r="BW635" s="1065"/>
      <c r="BX635" s="1065"/>
      <c r="BY635" s="1065"/>
      <c r="BZ635" s="1065"/>
      <c r="CA635" s="1065"/>
      <c r="CB635" s="1065"/>
      <c r="CC635" s="1065"/>
      <c r="CD635" s="1065"/>
      <c r="CE635" s="1065"/>
      <c r="CF635" s="1065"/>
      <c r="CG635" s="1065"/>
      <c r="CH635" s="1065"/>
      <c r="CI635" s="1065"/>
      <c r="CJ635" s="1065"/>
      <c r="CK635" s="1065"/>
      <c r="CL635" s="1065"/>
      <c r="CM635" s="1065"/>
      <c r="CN635" s="1065"/>
      <c r="CO635" s="1065"/>
      <c r="CP635" s="1065"/>
      <c r="CQ635" s="1065"/>
      <c r="CR635" s="1065"/>
      <c r="CS635" s="1065"/>
      <c r="CT635" s="1065"/>
      <c r="CU635" s="1065"/>
      <c r="CV635" s="1065"/>
      <c r="CW635" s="1065"/>
      <c r="CX635" s="1065"/>
      <c r="CY635" s="1065"/>
      <c r="CZ635" s="1065"/>
      <c r="DA635" s="1065"/>
      <c r="DB635" s="1065"/>
    </row>
    <row r="636" spans="1:106" ht="15" customHeight="1">
      <c r="A636" s="1065"/>
      <c r="B636" s="1065"/>
      <c r="C636" s="1690" t="s">
        <v>1043</v>
      </c>
      <c r="D636" s="1695" t="s">
        <v>1044</v>
      </c>
      <c r="E636" s="1695"/>
      <c r="F636" s="1695" t="s">
        <v>1045</v>
      </c>
      <c r="G636" s="1695"/>
      <c r="H636" s="1695"/>
      <c r="I636" s="1695"/>
      <c r="J636" s="1696" t="s">
        <v>1046</v>
      </c>
      <c r="K636" s="1696"/>
      <c r="L636" s="1696" t="s">
        <v>1047</v>
      </c>
      <c r="M636" s="1696"/>
      <c r="N636" s="1696"/>
      <c r="O636" s="1696"/>
      <c r="P636" s="1697" t="s">
        <v>1048</v>
      </c>
      <c r="Q636" s="1697"/>
      <c r="R636" s="1687" t="s">
        <v>1049</v>
      </c>
      <c r="S636" s="1687"/>
      <c r="T636" s="1688" t="s">
        <v>1050</v>
      </c>
      <c r="U636" s="1688"/>
      <c r="V636" s="1688"/>
      <c r="W636" s="1688"/>
      <c r="X636" s="1688"/>
      <c r="Y636" s="1718" t="s">
        <v>1051</v>
      </c>
      <c r="Z636" s="1718"/>
      <c r="AA636" s="1719" t="s">
        <v>1064</v>
      </c>
      <c r="AB636" s="1719"/>
      <c r="AC636" s="1689" t="s">
        <v>1065</v>
      </c>
      <c r="AD636" s="1689"/>
      <c r="AE636" s="1065"/>
      <c r="AF636" s="1065"/>
      <c r="AG636" s="1065"/>
      <c r="AH636" s="1065"/>
      <c r="AI636" s="1065"/>
      <c r="AJ636" s="1065"/>
      <c r="AK636" s="1065"/>
      <c r="AL636" s="1065"/>
      <c r="AM636" s="1065"/>
      <c r="AN636" s="1065"/>
      <c r="AO636" s="1065"/>
      <c r="AP636" s="1065"/>
      <c r="AQ636" s="1065"/>
      <c r="AR636" s="1065"/>
      <c r="AS636" s="1065"/>
      <c r="AT636" s="1065"/>
      <c r="AU636" s="1065"/>
      <c r="AV636" s="1065"/>
      <c r="AW636" s="1065"/>
      <c r="AX636" s="1065"/>
      <c r="AY636" s="1065"/>
      <c r="AZ636" s="1065"/>
      <c r="BA636" s="1065"/>
      <c r="BB636" s="1065"/>
      <c r="BC636" s="1065"/>
      <c r="BD636" s="1065"/>
      <c r="BE636" s="1065"/>
      <c r="BF636" s="1065"/>
      <c r="BG636" s="1065"/>
      <c r="BH636" s="1065"/>
      <c r="BI636" s="1065"/>
      <c r="BJ636" s="1065"/>
      <c r="BK636" s="1065"/>
      <c r="BL636" s="1065"/>
      <c r="BM636" s="1065"/>
      <c r="BN636" s="1065"/>
      <c r="BO636" s="1065"/>
      <c r="BP636" s="1065"/>
      <c r="BQ636" s="1065"/>
      <c r="BR636" s="1065"/>
      <c r="BS636" s="1065"/>
      <c r="BT636" s="1065"/>
      <c r="BU636" s="1065"/>
      <c r="BV636" s="1065"/>
      <c r="BW636" s="1065"/>
      <c r="BX636" s="1065"/>
      <c r="BY636" s="1065"/>
      <c r="BZ636" s="1065"/>
      <c r="CA636" s="1065"/>
      <c r="CB636" s="1065"/>
      <c r="CC636" s="1065"/>
      <c r="CD636" s="1065"/>
      <c r="CE636" s="1065"/>
      <c r="CF636" s="1065"/>
      <c r="CG636" s="1065"/>
      <c r="CH636" s="1065"/>
      <c r="CI636" s="1065"/>
      <c r="CJ636" s="1065"/>
      <c r="CK636" s="1065"/>
      <c r="CL636" s="1065"/>
      <c r="CM636" s="1065"/>
      <c r="CN636" s="1065"/>
      <c r="CO636" s="1065"/>
      <c r="CP636" s="1065"/>
      <c r="CQ636" s="1065"/>
      <c r="CR636" s="1065"/>
      <c r="CS636" s="1065"/>
      <c r="CT636" s="1065"/>
      <c r="CU636" s="1065"/>
      <c r="CV636" s="1065"/>
      <c r="CW636" s="1065"/>
      <c r="CX636" s="1065"/>
      <c r="CY636" s="1065"/>
      <c r="CZ636" s="1065"/>
      <c r="DA636" s="1065"/>
      <c r="DB636" s="1065"/>
    </row>
    <row r="637" spans="1:106" ht="15" customHeight="1">
      <c r="A637" s="1065"/>
      <c r="B637" s="1065"/>
      <c r="C637" s="1690"/>
      <c r="D637" s="1695"/>
      <c r="E637" s="1695"/>
      <c r="F637" s="1695"/>
      <c r="G637" s="1695"/>
      <c r="H637" s="1695"/>
      <c r="I637" s="1695"/>
      <c r="J637" s="1696"/>
      <c r="K637" s="1696"/>
      <c r="L637" s="1696"/>
      <c r="M637" s="1696"/>
      <c r="N637" s="1696"/>
      <c r="O637" s="1696"/>
      <c r="P637" s="1697"/>
      <c r="Q637" s="1697"/>
      <c r="R637" s="1687"/>
      <c r="S637" s="1687"/>
      <c r="T637" s="1688" t="s">
        <v>1052</v>
      </c>
      <c r="U637" s="1688"/>
      <c r="V637" s="1688" t="s">
        <v>1052</v>
      </c>
      <c r="W637" s="1688"/>
      <c r="X637" s="1266" t="s">
        <v>1053</v>
      </c>
      <c r="Y637" s="1718"/>
      <c r="Z637" s="1718"/>
      <c r="AA637" s="1719"/>
      <c r="AB637" s="1719"/>
      <c r="AC637" s="1689"/>
      <c r="AD637" s="1689"/>
      <c r="AE637" s="1065"/>
      <c r="AF637" s="1065"/>
      <c r="AG637" s="1065"/>
      <c r="AH637" s="1065"/>
      <c r="AI637" s="1065"/>
      <c r="AJ637" s="1065"/>
      <c r="AK637" s="1065"/>
      <c r="AL637" s="1065"/>
      <c r="AM637" s="1065"/>
      <c r="AN637" s="1065"/>
      <c r="AO637" s="1065"/>
      <c r="AP637" s="1065"/>
      <c r="AQ637" s="1065"/>
      <c r="AR637" s="1065"/>
      <c r="AS637" s="1065"/>
      <c r="AT637" s="1065"/>
      <c r="AU637" s="1065"/>
      <c r="AV637" s="1065"/>
      <c r="AW637" s="1065"/>
      <c r="AX637" s="1065"/>
      <c r="AY637" s="1065"/>
      <c r="AZ637" s="1065"/>
      <c r="BA637" s="1065"/>
      <c r="BB637" s="1065"/>
      <c r="BC637" s="1065"/>
      <c r="BD637" s="1065"/>
      <c r="BE637" s="1065"/>
      <c r="BF637" s="1065"/>
      <c r="BG637" s="1065"/>
      <c r="BH637" s="1065"/>
      <c r="BI637" s="1065"/>
      <c r="BJ637" s="1065"/>
      <c r="BK637" s="1065"/>
      <c r="BL637" s="1065"/>
      <c r="BM637" s="1065"/>
      <c r="BN637" s="1065"/>
      <c r="BO637" s="1065"/>
      <c r="BP637" s="1065"/>
      <c r="BQ637" s="1065"/>
      <c r="BR637" s="1065"/>
      <c r="BS637" s="1065"/>
      <c r="BT637" s="1065"/>
      <c r="BU637" s="1065"/>
      <c r="BV637" s="1065"/>
      <c r="BW637" s="1065"/>
      <c r="BX637" s="1065"/>
      <c r="BY637" s="1065"/>
      <c r="BZ637" s="1065"/>
      <c r="CA637" s="1065"/>
      <c r="CB637" s="1065"/>
      <c r="CC637" s="1065"/>
      <c r="CD637" s="1065"/>
      <c r="CE637" s="1065"/>
      <c r="CF637" s="1065"/>
      <c r="CG637" s="1065"/>
      <c r="CH637" s="1065"/>
      <c r="CI637" s="1065"/>
      <c r="CJ637" s="1065"/>
      <c r="CK637" s="1065"/>
      <c r="CL637" s="1065"/>
      <c r="CM637" s="1065"/>
      <c r="CN637" s="1065"/>
      <c r="CO637" s="1065"/>
      <c r="CP637" s="1065"/>
      <c r="CQ637" s="1065"/>
      <c r="CR637" s="1065"/>
      <c r="CS637" s="1065"/>
      <c r="CT637" s="1065"/>
      <c r="CU637" s="1065"/>
      <c r="CV637" s="1065"/>
      <c r="CW637" s="1065"/>
      <c r="CX637" s="1065"/>
      <c r="CY637" s="1065"/>
      <c r="CZ637" s="1065"/>
      <c r="DA637" s="1065"/>
      <c r="DB637" s="1065"/>
    </row>
    <row r="638" spans="1:106" ht="15" customHeight="1" thickBot="1">
      <c r="A638" s="1065"/>
      <c r="B638" s="1065"/>
      <c r="C638" s="1269">
        <v>1</v>
      </c>
      <c r="D638" s="1716" t="s">
        <v>1054</v>
      </c>
      <c r="E638" s="1716"/>
      <c r="F638" s="1692" t="s">
        <v>1062</v>
      </c>
      <c r="G638" s="1692"/>
      <c r="H638" s="1692"/>
      <c r="I638" s="1692"/>
      <c r="J638" s="1693" t="s">
        <v>1055</v>
      </c>
      <c r="K638" s="1693"/>
      <c r="L638" s="1717" t="s">
        <v>1066</v>
      </c>
      <c r="M638" s="1717"/>
      <c r="N638" s="1717"/>
      <c r="O638" s="1717"/>
      <c r="P638" s="1682" t="s">
        <v>1057</v>
      </c>
      <c r="Q638" s="1682"/>
      <c r="R638" s="1678">
        <v>40</v>
      </c>
      <c r="S638" s="1678"/>
      <c r="T638" s="1679">
        <v>44409</v>
      </c>
      <c r="U638" s="1679"/>
      <c r="V638" s="1714">
        <v>44440</v>
      </c>
      <c r="W638" s="1714"/>
      <c r="X638" s="1267">
        <v>20980</v>
      </c>
      <c r="Y638" s="1695" t="e">
        <f>(X638-#REF!)*R638</f>
        <v>#REF!</v>
      </c>
      <c r="Z638" s="1695"/>
      <c r="AA638" s="1701">
        <v>1.0900000000000001</v>
      </c>
      <c r="AB638" s="1701"/>
      <c r="AC638" s="1715" t="e">
        <f>Y638*AA638</f>
        <v>#REF!</v>
      </c>
      <c r="AD638" s="1715"/>
      <c r="AE638" s="1065"/>
      <c r="AF638" s="1065"/>
      <c r="AG638" s="1065"/>
      <c r="AH638" s="1065"/>
      <c r="AI638" s="1065"/>
      <c r="AJ638" s="1065"/>
      <c r="AK638" s="1065"/>
      <c r="AL638" s="1065"/>
      <c r="AM638" s="1065"/>
      <c r="AN638" s="1065"/>
      <c r="AO638" s="1065"/>
      <c r="AP638" s="1065"/>
      <c r="AQ638" s="1065"/>
      <c r="AR638" s="1065"/>
      <c r="AS638" s="1065"/>
      <c r="AT638" s="1065"/>
      <c r="AU638" s="1065"/>
      <c r="AV638" s="1065"/>
      <c r="AW638" s="1065"/>
      <c r="AX638" s="1065"/>
      <c r="AY638" s="1065"/>
      <c r="AZ638" s="1065"/>
      <c r="BA638" s="1065"/>
      <c r="BB638" s="1065"/>
      <c r="BC638" s="1065"/>
      <c r="BD638" s="1065"/>
      <c r="BE638" s="1065"/>
      <c r="BF638" s="1065"/>
      <c r="BG638" s="1065"/>
      <c r="BH638" s="1065"/>
      <c r="BI638" s="1065"/>
      <c r="BJ638" s="1065"/>
      <c r="BK638" s="1065"/>
      <c r="BL638" s="1065"/>
      <c r="BM638" s="1065"/>
      <c r="BN638" s="1065"/>
      <c r="BO638" s="1065"/>
      <c r="BP638" s="1065"/>
      <c r="BQ638" s="1065"/>
      <c r="BR638" s="1065"/>
      <c r="BS638" s="1065"/>
      <c r="BT638" s="1065"/>
      <c r="BU638" s="1065"/>
      <c r="BV638" s="1065"/>
      <c r="BW638" s="1065"/>
      <c r="BX638" s="1065"/>
      <c r="BY638" s="1065"/>
      <c r="BZ638" s="1065"/>
      <c r="CA638" s="1065"/>
      <c r="CB638" s="1065"/>
      <c r="CC638" s="1065"/>
      <c r="CD638" s="1065"/>
      <c r="CE638" s="1065"/>
      <c r="CF638" s="1065"/>
      <c r="CG638" s="1065"/>
      <c r="CH638" s="1065"/>
      <c r="CI638" s="1065"/>
      <c r="CJ638" s="1065"/>
      <c r="CK638" s="1065"/>
      <c r="CL638" s="1065"/>
      <c r="CM638" s="1065"/>
      <c r="CN638" s="1065"/>
      <c r="CO638" s="1065"/>
      <c r="CP638" s="1065"/>
      <c r="CQ638" s="1065"/>
      <c r="CR638" s="1065"/>
      <c r="CS638" s="1065"/>
      <c r="CT638" s="1065"/>
      <c r="CU638" s="1065"/>
      <c r="CV638" s="1065"/>
      <c r="CW638" s="1065"/>
      <c r="CX638" s="1065"/>
      <c r="CY638" s="1065"/>
      <c r="CZ638" s="1065"/>
      <c r="DA638" s="1065"/>
      <c r="DB638" s="1065"/>
    </row>
    <row r="639" spans="1:106" ht="15" customHeight="1" thickBot="1">
      <c r="A639" s="1065"/>
      <c r="B639" s="1065"/>
      <c r="C639" s="1268">
        <v>2</v>
      </c>
      <c r="D639" s="1703" t="s">
        <v>1059</v>
      </c>
      <c r="E639" s="1703"/>
      <c r="F639" s="1692"/>
      <c r="G639" s="1692"/>
      <c r="H639" s="1692"/>
      <c r="I639" s="1692"/>
      <c r="J639" s="1693"/>
      <c r="K639" s="1693"/>
      <c r="L639" s="1704" t="s">
        <v>1067</v>
      </c>
      <c r="M639" s="1704"/>
      <c r="N639" s="1704"/>
      <c r="O639" s="1704"/>
      <c r="P639" s="1705" t="s">
        <v>1061</v>
      </c>
      <c r="Q639" s="1705"/>
      <c r="R639" s="1706">
        <v>1</v>
      </c>
      <c r="S639" s="1706"/>
      <c r="T639" s="1707">
        <v>44409</v>
      </c>
      <c r="U639" s="1707"/>
      <c r="V639" s="1707">
        <v>44440</v>
      </c>
      <c r="W639" s="1707"/>
      <c r="X639" s="1270">
        <v>2511</v>
      </c>
      <c r="Y639" s="1692" t="e">
        <f>(X639-#REF!)*R639</f>
        <v>#REF!</v>
      </c>
      <c r="Z639" s="1692"/>
      <c r="AA639" s="1709">
        <v>1</v>
      </c>
      <c r="AB639" s="1709"/>
      <c r="AC639" s="1710" t="e">
        <f>Y639*AA639</f>
        <v>#REF!</v>
      </c>
      <c r="AD639" s="1710"/>
      <c r="AE639" s="1065"/>
      <c r="AF639" s="1065"/>
      <c r="AG639" s="1065"/>
      <c r="AH639" s="1065"/>
      <c r="AI639" s="1065"/>
      <c r="AJ639" s="1065"/>
      <c r="AK639" s="1065"/>
      <c r="AL639" s="1065"/>
      <c r="AM639" s="1065"/>
      <c r="AN639" s="1065"/>
      <c r="AO639" s="1065"/>
      <c r="AP639" s="1065"/>
      <c r="AQ639" s="1065"/>
      <c r="AR639" s="1065"/>
      <c r="AS639" s="1065"/>
      <c r="AT639" s="1065"/>
      <c r="AU639" s="1065"/>
      <c r="AV639" s="1065"/>
      <c r="AW639" s="1065"/>
      <c r="AX639" s="1065"/>
      <c r="AY639" s="1065"/>
      <c r="AZ639" s="1065"/>
      <c r="BA639" s="1065"/>
      <c r="BB639" s="1065"/>
      <c r="BC639" s="1065"/>
      <c r="BD639" s="1065"/>
      <c r="BE639" s="1065"/>
      <c r="BF639" s="1065"/>
      <c r="BG639" s="1065"/>
      <c r="BH639" s="1065"/>
      <c r="BI639" s="1065"/>
      <c r="BJ639" s="1065"/>
      <c r="BK639" s="1065"/>
      <c r="BL639" s="1065"/>
      <c r="BM639" s="1065"/>
      <c r="BN639" s="1065"/>
      <c r="BO639" s="1065"/>
      <c r="BP639" s="1065"/>
      <c r="BQ639" s="1065"/>
      <c r="BR639" s="1065"/>
      <c r="BS639" s="1065"/>
      <c r="BT639" s="1065"/>
      <c r="BU639" s="1065"/>
      <c r="BV639" s="1065"/>
      <c r="BW639" s="1065"/>
      <c r="BX639" s="1065"/>
      <c r="BY639" s="1065"/>
      <c r="BZ639" s="1065"/>
      <c r="CA639" s="1065"/>
      <c r="CB639" s="1065"/>
      <c r="CC639" s="1065"/>
      <c r="CD639" s="1065"/>
      <c r="CE639" s="1065"/>
      <c r="CF639" s="1065"/>
      <c r="CG639" s="1065"/>
      <c r="CH639" s="1065"/>
      <c r="CI639" s="1065"/>
      <c r="CJ639" s="1065"/>
      <c r="CK639" s="1065"/>
      <c r="CL639" s="1065"/>
      <c r="CM639" s="1065"/>
      <c r="CN639" s="1065"/>
      <c r="CO639" s="1065"/>
      <c r="CP639" s="1065"/>
      <c r="CQ639" s="1065"/>
      <c r="CR639" s="1065"/>
      <c r="CS639" s="1065"/>
      <c r="CT639" s="1065"/>
      <c r="CU639" s="1065"/>
      <c r="CV639" s="1065"/>
      <c r="CW639" s="1065"/>
      <c r="CX639" s="1065"/>
      <c r="CY639" s="1065"/>
      <c r="CZ639" s="1065"/>
      <c r="DA639" s="1065"/>
      <c r="DB639" s="1065"/>
    </row>
    <row r="640" spans="1:106" ht="15" customHeight="1" thickBot="1">
      <c r="A640" s="1065"/>
      <c r="B640" s="1065"/>
      <c r="C640" s="1065"/>
      <c r="D640" s="1065"/>
      <c r="E640" s="1065"/>
      <c r="F640" s="1065"/>
      <c r="G640" s="1065"/>
      <c r="H640" s="1223"/>
      <c r="I640" s="1223"/>
      <c r="J640" s="1224"/>
      <c r="K640" s="1224"/>
      <c r="L640" s="1224"/>
      <c r="M640" s="1225"/>
      <c r="N640" s="1225"/>
      <c r="O640" s="1226"/>
      <c r="P640" s="1227"/>
      <c r="Q640" s="1227"/>
      <c r="R640" s="1228"/>
      <c r="S640" s="1224"/>
      <c r="T640" s="1229"/>
      <c r="U640" s="1065"/>
      <c r="V640" s="1065"/>
      <c r="W640" s="1065"/>
      <c r="X640" s="1065"/>
      <c r="Y640" s="1065"/>
      <c r="Z640" s="1065"/>
      <c r="AA640" s="1065"/>
      <c r="AB640" s="1065"/>
      <c r="AC640" s="1065"/>
      <c r="AD640" s="1065"/>
      <c r="AE640" s="1065"/>
      <c r="AF640" s="1065"/>
      <c r="AG640" s="1065"/>
      <c r="AH640" s="1065"/>
      <c r="AI640" s="1065"/>
      <c r="AJ640" s="1065"/>
      <c r="AK640" s="1065"/>
      <c r="AL640" s="1065"/>
      <c r="AM640" s="1065"/>
      <c r="AN640" s="1065"/>
      <c r="AO640" s="1065"/>
      <c r="AP640" s="1065"/>
      <c r="AQ640" s="1065"/>
      <c r="AR640" s="1065"/>
      <c r="AS640" s="1065"/>
      <c r="AT640" s="1065"/>
      <c r="AU640" s="1065"/>
      <c r="AV640" s="1065"/>
      <c r="AW640" s="1065"/>
      <c r="AX640" s="1065"/>
      <c r="AY640" s="1065"/>
      <c r="AZ640" s="1065"/>
      <c r="BA640" s="1065"/>
      <c r="BB640" s="1065"/>
      <c r="BC640" s="1065"/>
      <c r="BD640" s="1065"/>
      <c r="BE640" s="1065"/>
      <c r="BF640" s="1065"/>
      <c r="BG640" s="1065"/>
      <c r="BH640" s="1065"/>
      <c r="BI640" s="1065"/>
      <c r="BJ640" s="1065"/>
      <c r="BK640" s="1065"/>
      <c r="BL640" s="1065"/>
      <c r="BM640" s="1065"/>
      <c r="BN640" s="1065"/>
      <c r="BO640" s="1065"/>
      <c r="BP640" s="1065"/>
      <c r="BQ640" s="1065"/>
      <c r="BR640" s="1065"/>
      <c r="BS640" s="1065"/>
      <c r="BT640" s="1065"/>
      <c r="BU640" s="1065"/>
      <c r="BV640" s="1065"/>
      <c r="BW640" s="1065"/>
      <c r="BX640" s="1065"/>
      <c r="BY640" s="1065"/>
      <c r="BZ640" s="1065"/>
      <c r="CA640" s="1065"/>
      <c r="CB640" s="1065"/>
      <c r="CC640" s="1065"/>
      <c r="CD640" s="1065"/>
      <c r="CE640" s="1065"/>
      <c r="CF640" s="1065"/>
      <c r="CG640" s="1065"/>
      <c r="CH640" s="1065"/>
      <c r="CI640" s="1065"/>
      <c r="CJ640" s="1065"/>
      <c r="CK640" s="1065"/>
      <c r="CL640" s="1065"/>
      <c r="CM640" s="1065"/>
      <c r="CN640" s="1065"/>
      <c r="CO640" s="1065"/>
      <c r="CP640" s="1065"/>
      <c r="CQ640" s="1065"/>
      <c r="CR640" s="1065"/>
      <c r="CS640" s="1065"/>
      <c r="CT640" s="1065"/>
      <c r="CU640" s="1065"/>
      <c r="CV640" s="1065"/>
      <c r="CW640" s="1065"/>
      <c r="CX640" s="1065"/>
      <c r="CY640" s="1065"/>
      <c r="CZ640" s="1065"/>
      <c r="DA640" s="1065"/>
      <c r="DB640" s="1065"/>
    </row>
    <row r="641" spans="1:106" ht="15" customHeight="1">
      <c r="A641" s="1065"/>
      <c r="B641" s="1065"/>
      <c r="C641" s="1711" t="s">
        <v>1036</v>
      </c>
      <c r="D641" s="1711"/>
      <c r="E641" s="1711"/>
      <c r="F641" s="1711"/>
      <c r="G641" s="1711"/>
      <c r="H641" s="1711"/>
      <c r="I641" s="1711"/>
      <c r="J641" s="1711"/>
      <c r="K641" s="1711"/>
      <c r="L641" s="1711"/>
      <c r="M641" s="1711"/>
      <c r="N641" s="1711"/>
      <c r="O641" s="1711"/>
      <c r="P641" s="1711"/>
      <c r="Q641" s="1711"/>
      <c r="R641" s="1711"/>
      <c r="S641" s="1711"/>
      <c r="T641" s="1711"/>
      <c r="U641" s="1711"/>
      <c r="V641" s="1711"/>
      <c r="W641" s="1711"/>
      <c r="X641" s="1711"/>
      <c r="Y641" s="1711"/>
      <c r="Z641" s="1711"/>
      <c r="AA641" s="1065"/>
      <c r="AB641" s="1065"/>
      <c r="AC641" s="1065"/>
      <c r="AD641" s="1065"/>
      <c r="AE641" s="1065"/>
      <c r="AF641" s="1065"/>
      <c r="AG641" s="1065"/>
      <c r="AH641" s="1065"/>
      <c r="AI641" s="1065"/>
      <c r="AJ641" s="1065"/>
      <c r="AK641" s="1065"/>
      <c r="AL641" s="1065"/>
      <c r="AM641" s="1065"/>
      <c r="AN641" s="1065"/>
      <c r="AO641" s="1065"/>
      <c r="AP641" s="1065"/>
      <c r="AQ641" s="1065"/>
      <c r="AR641" s="1065"/>
      <c r="AS641" s="1065"/>
      <c r="AT641" s="1065"/>
      <c r="AU641" s="1065"/>
      <c r="AV641" s="1065"/>
      <c r="AW641" s="1065"/>
      <c r="AX641" s="1065"/>
      <c r="AY641" s="1065"/>
      <c r="AZ641" s="1065"/>
      <c r="BA641" s="1065"/>
      <c r="BB641" s="1065"/>
      <c r="BC641" s="1065"/>
      <c r="BD641" s="1065"/>
      <c r="BE641" s="1065"/>
      <c r="BF641" s="1065"/>
      <c r="BG641" s="1065"/>
      <c r="BH641" s="1065"/>
      <c r="BI641" s="1065"/>
      <c r="BJ641" s="1065"/>
      <c r="BK641" s="1065"/>
      <c r="BL641" s="1065"/>
      <c r="BM641" s="1065"/>
      <c r="BN641" s="1065"/>
      <c r="BO641" s="1065"/>
      <c r="BP641" s="1065"/>
      <c r="BQ641" s="1065"/>
      <c r="BR641" s="1065"/>
      <c r="BS641" s="1065"/>
      <c r="BT641" s="1065"/>
      <c r="BU641" s="1065"/>
      <c r="BV641" s="1065"/>
      <c r="BW641" s="1065"/>
      <c r="BX641" s="1065"/>
      <c r="BY641" s="1065"/>
      <c r="BZ641" s="1065"/>
      <c r="CA641" s="1065"/>
      <c r="CB641" s="1065"/>
      <c r="CC641" s="1065"/>
      <c r="CD641" s="1065"/>
      <c r="CE641" s="1065"/>
      <c r="CF641" s="1065"/>
      <c r="CG641" s="1065"/>
      <c r="CH641" s="1065"/>
      <c r="CI641" s="1065"/>
      <c r="CJ641" s="1065"/>
      <c r="CK641" s="1065"/>
      <c r="CL641" s="1065"/>
      <c r="CM641" s="1065"/>
      <c r="CN641" s="1065"/>
      <c r="CO641" s="1065"/>
      <c r="CP641" s="1065"/>
      <c r="CQ641" s="1065"/>
      <c r="CR641" s="1065"/>
      <c r="CS641" s="1065"/>
      <c r="CT641" s="1065"/>
      <c r="CU641" s="1065"/>
      <c r="CV641" s="1065"/>
      <c r="CW641" s="1065"/>
      <c r="CX641" s="1065"/>
      <c r="CY641" s="1065"/>
      <c r="CZ641" s="1065"/>
      <c r="DA641" s="1065"/>
      <c r="DB641" s="1065"/>
    </row>
    <row r="642" spans="1:106" ht="15" customHeight="1">
      <c r="A642" s="1065"/>
      <c r="B642" s="1065"/>
      <c r="C642" s="1712" t="s">
        <v>1037</v>
      </c>
      <c r="D642" s="1712"/>
      <c r="E642" s="1265" t="s">
        <v>669</v>
      </c>
      <c r="F642" s="1713" t="s">
        <v>1038</v>
      </c>
      <c r="G642" s="1713"/>
      <c r="H642" s="1713"/>
      <c r="I642" s="1702"/>
      <c r="J642" s="1702"/>
      <c r="K642" s="1702"/>
      <c r="L642" s="1702"/>
      <c r="M642" s="1702"/>
      <c r="N642" s="1702"/>
      <c r="O642" s="1702"/>
      <c r="P642" s="1702"/>
      <c r="Q642" s="1702"/>
      <c r="R642" s="1702"/>
      <c r="S642" s="1702"/>
      <c r="T642" s="1702"/>
      <c r="U642" s="1702"/>
      <c r="V642" s="1702"/>
      <c r="W642" s="1702"/>
      <c r="X642" s="1702"/>
      <c r="Y642" s="1702"/>
      <c r="Z642" s="1702"/>
      <c r="AA642" s="1065"/>
      <c r="AB642" s="1672"/>
      <c r="AC642" s="1672"/>
      <c r="AD642" s="1672"/>
      <c r="AE642" s="1065"/>
      <c r="AF642" s="1672"/>
      <c r="AG642" s="1672"/>
      <c r="AH642" s="1672"/>
      <c r="AI642" s="1065"/>
      <c r="AJ642" s="1065"/>
      <c r="AK642" s="1065"/>
      <c r="AL642" s="1065"/>
      <c r="AM642" s="1065"/>
      <c r="AN642" s="1065"/>
      <c r="AO642" s="1065"/>
      <c r="AP642" s="1065"/>
      <c r="AQ642" s="1065"/>
      <c r="AR642" s="1065"/>
      <c r="AS642" s="1065"/>
      <c r="AT642" s="1065"/>
      <c r="AU642" s="1065"/>
      <c r="AV642" s="1065"/>
      <c r="AW642" s="1065"/>
      <c r="AX642" s="1065"/>
      <c r="AY642" s="1065"/>
      <c r="AZ642" s="1065"/>
      <c r="BA642" s="1065"/>
      <c r="BB642" s="1065"/>
      <c r="BC642" s="1065"/>
      <c r="BD642" s="1065"/>
      <c r="BE642" s="1065"/>
      <c r="BF642" s="1065"/>
      <c r="BG642" s="1065"/>
      <c r="BH642" s="1065"/>
      <c r="BI642" s="1065"/>
      <c r="BJ642" s="1065"/>
      <c r="BK642" s="1065"/>
      <c r="BL642" s="1065"/>
      <c r="BM642" s="1065"/>
      <c r="BN642" s="1065"/>
      <c r="BO642" s="1065"/>
      <c r="BP642" s="1065"/>
      <c r="BQ642" s="1065"/>
      <c r="BR642" s="1065"/>
      <c r="BS642" s="1065"/>
      <c r="BT642" s="1065"/>
      <c r="BU642" s="1065"/>
      <c r="BV642" s="1065"/>
      <c r="BW642" s="1065"/>
      <c r="BX642" s="1065"/>
      <c r="BY642" s="1065"/>
      <c r="BZ642" s="1065"/>
      <c r="CA642" s="1065"/>
      <c r="CB642" s="1065"/>
      <c r="CC642" s="1065"/>
      <c r="CD642" s="1065"/>
      <c r="CE642" s="1065"/>
      <c r="CF642" s="1065"/>
      <c r="CG642" s="1065"/>
      <c r="CH642" s="1065"/>
      <c r="CI642" s="1065"/>
      <c r="CJ642" s="1065"/>
      <c r="CK642" s="1065"/>
      <c r="CL642" s="1065"/>
      <c r="CM642" s="1065"/>
      <c r="CN642" s="1065"/>
      <c r="CO642" s="1065"/>
      <c r="CP642" s="1065"/>
      <c r="CQ642" s="1065"/>
      <c r="CR642" s="1065"/>
      <c r="CS642" s="1065"/>
      <c r="CT642" s="1065"/>
      <c r="CU642" s="1065"/>
      <c r="CV642" s="1065"/>
      <c r="CW642" s="1065"/>
      <c r="CX642" s="1065"/>
      <c r="CY642" s="1065"/>
      <c r="CZ642" s="1065"/>
      <c r="DA642" s="1065"/>
      <c r="DB642" s="1065"/>
    </row>
    <row r="643" spans="1:106" ht="15" customHeight="1">
      <c r="A643" s="1065"/>
      <c r="B643" s="1065"/>
      <c r="C643" s="1698" t="s">
        <v>1039</v>
      </c>
      <c r="D643" s="1698"/>
      <c r="E643" s="1699" t="s">
        <v>1068</v>
      </c>
      <c r="F643" s="1699"/>
      <c r="G643" s="1699"/>
      <c r="H643" s="1699"/>
      <c r="I643" s="1702"/>
      <c r="J643" s="1702"/>
      <c r="K643" s="1702"/>
      <c r="L643" s="1702"/>
      <c r="M643" s="1702"/>
      <c r="N643" s="1702"/>
      <c r="O643" s="1702"/>
      <c r="P643" s="1702"/>
      <c r="Q643" s="1702"/>
      <c r="R643" s="1702"/>
      <c r="S643" s="1702"/>
      <c r="T643" s="1702"/>
      <c r="U643" s="1702"/>
      <c r="V643" s="1702"/>
      <c r="W643" s="1702"/>
      <c r="X643" s="1702"/>
      <c r="Y643" s="1702"/>
      <c r="Z643" s="1702"/>
      <c r="AA643" s="1065"/>
      <c r="AB643" s="1677" t="s">
        <v>1069</v>
      </c>
      <c r="AC643" s="1677"/>
      <c r="AD643" s="1677"/>
      <c r="AE643" s="1065"/>
      <c r="AF643" s="1677" t="s">
        <v>1070</v>
      </c>
      <c r="AG643" s="1677"/>
      <c r="AH643" s="1677"/>
      <c r="AI643" s="1065"/>
      <c r="AJ643" s="1065"/>
      <c r="AK643" s="1065"/>
      <c r="AL643" s="1065"/>
      <c r="AM643" s="1065"/>
      <c r="AN643" s="1065"/>
      <c r="AO643" s="1065"/>
      <c r="AP643" s="1065"/>
      <c r="AQ643" s="1065"/>
      <c r="AR643" s="1065"/>
      <c r="AS643" s="1065"/>
      <c r="AT643" s="1065"/>
      <c r="AU643" s="1065"/>
      <c r="AV643" s="1065"/>
      <c r="AW643" s="1065"/>
      <c r="AX643" s="1065"/>
      <c r="AY643" s="1065"/>
      <c r="AZ643" s="1065"/>
      <c r="BA643" s="1065"/>
      <c r="BB643" s="1065"/>
      <c r="BC643" s="1065"/>
      <c r="BD643" s="1065"/>
      <c r="BE643" s="1065"/>
      <c r="BF643" s="1065"/>
      <c r="BG643" s="1065"/>
      <c r="BH643" s="1065"/>
      <c r="BI643" s="1065"/>
      <c r="BJ643" s="1065"/>
      <c r="BK643" s="1065"/>
      <c r="BL643" s="1065"/>
      <c r="BM643" s="1065"/>
      <c r="BN643" s="1065"/>
      <c r="BO643" s="1065"/>
      <c r="BP643" s="1065"/>
      <c r="BQ643" s="1065"/>
      <c r="BR643" s="1065"/>
      <c r="BS643" s="1065"/>
      <c r="BT643" s="1065"/>
      <c r="BU643" s="1065"/>
      <c r="BV643" s="1065"/>
      <c r="BW643" s="1065"/>
      <c r="BX643" s="1065"/>
      <c r="BY643" s="1065"/>
      <c r="BZ643" s="1065"/>
      <c r="CA643" s="1065"/>
      <c r="CB643" s="1065"/>
      <c r="CC643" s="1065"/>
      <c r="CD643" s="1065"/>
      <c r="CE643" s="1065"/>
      <c r="CF643" s="1065"/>
      <c r="CG643" s="1065"/>
      <c r="CH643" s="1065"/>
      <c r="CI643" s="1065"/>
      <c r="CJ643" s="1065"/>
      <c r="CK643" s="1065"/>
      <c r="CL643" s="1065"/>
      <c r="CM643" s="1065"/>
      <c r="CN643" s="1065"/>
      <c r="CO643" s="1065"/>
      <c r="CP643" s="1065"/>
      <c r="CQ643" s="1065"/>
      <c r="CR643" s="1065"/>
      <c r="CS643" s="1065"/>
      <c r="CT643" s="1065"/>
      <c r="CU643" s="1065"/>
      <c r="CV643" s="1065"/>
      <c r="CW643" s="1065"/>
      <c r="CX643" s="1065"/>
      <c r="CY643" s="1065"/>
      <c r="CZ643" s="1065"/>
      <c r="DA643" s="1065"/>
      <c r="DB643" s="1065"/>
    </row>
    <row r="644" spans="1:106" ht="15" customHeight="1">
      <c r="A644" s="1065"/>
      <c r="B644" s="1065"/>
      <c r="C644" s="1700" t="s">
        <v>1041</v>
      </c>
      <c r="D644" s="1700"/>
      <c r="E644" s="1701" t="s">
        <v>1071</v>
      </c>
      <c r="F644" s="1701"/>
      <c r="G644" s="1701"/>
      <c r="H644" s="1701"/>
      <c r="I644" s="1702"/>
      <c r="J644" s="1702"/>
      <c r="K644" s="1702"/>
      <c r="L644" s="1702"/>
      <c r="M644" s="1702"/>
      <c r="N644" s="1702"/>
      <c r="O644" s="1702"/>
      <c r="P644" s="1702"/>
      <c r="Q644" s="1702"/>
      <c r="R644" s="1702"/>
      <c r="S644" s="1702"/>
      <c r="T644" s="1702"/>
      <c r="U644" s="1702"/>
      <c r="V644" s="1702"/>
      <c r="W644" s="1702"/>
      <c r="X644" s="1702"/>
      <c r="Y644" s="1702"/>
      <c r="Z644" s="1702"/>
      <c r="AA644" s="1065"/>
      <c r="AB644" s="1271" t="s">
        <v>6</v>
      </c>
      <c r="AC644" s="1272">
        <v>410023.38</v>
      </c>
      <c r="AD644" s="1273" t="s">
        <v>1072</v>
      </c>
      <c r="AE644" s="1065"/>
      <c r="AF644" s="1271" t="s">
        <v>6</v>
      </c>
      <c r="AG644" s="1272">
        <v>7769.95</v>
      </c>
      <c r="AH644" s="1273" t="s">
        <v>1072</v>
      </c>
      <c r="AI644" s="1065"/>
      <c r="AJ644" s="1065"/>
      <c r="AK644" s="1065"/>
      <c r="AL644" s="1065"/>
      <c r="AM644" s="1065"/>
      <c r="AN644" s="1065"/>
      <c r="AO644" s="1065"/>
      <c r="AP644" s="1065"/>
      <c r="AQ644" s="1065"/>
      <c r="AR644" s="1065"/>
      <c r="AS644" s="1065"/>
      <c r="AT644" s="1065"/>
      <c r="AU644" s="1065"/>
      <c r="AV644" s="1065"/>
      <c r="AW644" s="1065"/>
      <c r="AX644" s="1065"/>
      <c r="AY644" s="1065"/>
      <c r="AZ644" s="1065"/>
      <c r="BA644" s="1065"/>
      <c r="BB644" s="1065"/>
      <c r="BC644" s="1065"/>
      <c r="BD644" s="1065"/>
      <c r="BE644" s="1065"/>
      <c r="BF644" s="1065"/>
      <c r="BG644" s="1065"/>
      <c r="BH644" s="1065"/>
      <c r="BI644" s="1065"/>
      <c r="BJ644" s="1065"/>
      <c r="BK644" s="1065"/>
      <c r="BL644" s="1065"/>
      <c r="BM644" s="1065"/>
      <c r="BN644" s="1065"/>
      <c r="BO644" s="1065"/>
      <c r="BP644" s="1065"/>
      <c r="BQ644" s="1065"/>
      <c r="BR644" s="1065"/>
      <c r="BS644" s="1065"/>
      <c r="BT644" s="1065"/>
      <c r="BU644" s="1065"/>
      <c r="BV644" s="1065"/>
      <c r="BW644" s="1065"/>
      <c r="BX644" s="1065"/>
      <c r="BY644" s="1065"/>
      <c r="BZ644" s="1065"/>
      <c r="CA644" s="1065"/>
      <c r="CB644" s="1065"/>
      <c r="CC644" s="1065"/>
      <c r="CD644" s="1065"/>
      <c r="CE644" s="1065"/>
      <c r="CF644" s="1065"/>
      <c r="CG644" s="1065"/>
      <c r="CH644" s="1065"/>
      <c r="CI644" s="1065"/>
      <c r="CJ644" s="1065"/>
      <c r="CK644" s="1065"/>
      <c r="CL644" s="1065"/>
      <c r="CM644" s="1065"/>
      <c r="CN644" s="1065"/>
      <c r="CO644" s="1065"/>
      <c r="CP644" s="1065"/>
      <c r="CQ644" s="1065"/>
      <c r="CR644" s="1065"/>
      <c r="CS644" s="1065"/>
      <c r="CT644" s="1065"/>
      <c r="CU644" s="1065"/>
      <c r="CV644" s="1065"/>
      <c r="CW644" s="1065"/>
      <c r="CX644" s="1065"/>
      <c r="CY644" s="1065"/>
      <c r="CZ644" s="1065"/>
      <c r="DA644" s="1065"/>
      <c r="DB644" s="1065"/>
    </row>
    <row r="645" spans="1:106" ht="15" customHeight="1">
      <c r="A645" s="1065"/>
      <c r="B645" s="1065"/>
      <c r="C645" s="1690" t="s">
        <v>1043</v>
      </c>
      <c r="D645" s="1695" t="s">
        <v>1044</v>
      </c>
      <c r="E645" s="1695"/>
      <c r="F645" s="1695" t="s">
        <v>1045</v>
      </c>
      <c r="G645" s="1695"/>
      <c r="H645" s="1695"/>
      <c r="I645" s="1695"/>
      <c r="J645" s="1696" t="s">
        <v>1046</v>
      </c>
      <c r="K645" s="1696"/>
      <c r="L645" s="1696" t="s">
        <v>1047</v>
      </c>
      <c r="M645" s="1696"/>
      <c r="N645" s="1696"/>
      <c r="O645" s="1696"/>
      <c r="P645" s="1697" t="s">
        <v>1048</v>
      </c>
      <c r="Q645" s="1697"/>
      <c r="R645" s="1687" t="s">
        <v>1049</v>
      </c>
      <c r="S645" s="1687"/>
      <c r="T645" s="1688" t="s">
        <v>1050</v>
      </c>
      <c r="U645" s="1688"/>
      <c r="V645" s="1688"/>
      <c r="W645" s="1688"/>
      <c r="X645" s="1688"/>
      <c r="Y645" s="1689" t="s">
        <v>1051</v>
      </c>
      <c r="Z645" s="1689"/>
      <c r="AA645" s="1065"/>
      <c r="AB645" s="1271" t="s">
        <v>692</v>
      </c>
      <c r="AC645" s="1274">
        <f>AC644*0.45</f>
        <v>184510.52100000001</v>
      </c>
      <c r="AD645" s="1273" t="s">
        <v>1072</v>
      </c>
      <c r="AE645" s="1065"/>
      <c r="AF645" s="1271" t="s">
        <v>692</v>
      </c>
      <c r="AG645" s="1274">
        <f>AG644*0.45</f>
        <v>3496.4775</v>
      </c>
      <c r="AH645" s="1273" t="s">
        <v>1072</v>
      </c>
      <c r="AI645" s="1065"/>
      <c r="AJ645" s="1065"/>
      <c r="AK645" s="1065"/>
      <c r="AL645" s="1065"/>
      <c r="AM645" s="1065"/>
      <c r="AN645" s="1065"/>
      <c r="AO645" s="1065"/>
      <c r="AP645" s="1065"/>
      <c r="AQ645" s="1065"/>
      <c r="AR645" s="1065"/>
      <c r="AS645" s="1065"/>
      <c r="AT645" s="1065"/>
      <c r="AU645" s="1065"/>
      <c r="AV645" s="1065"/>
      <c r="AW645" s="1065"/>
      <c r="AX645" s="1065"/>
      <c r="AY645" s="1065"/>
      <c r="AZ645" s="1065"/>
      <c r="BA645" s="1065"/>
      <c r="BB645" s="1065"/>
      <c r="BC645" s="1065"/>
      <c r="BD645" s="1065"/>
      <c r="BE645" s="1065"/>
      <c r="BF645" s="1065"/>
      <c r="BG645" s="1065"/>
      <c r="BH645" s="1065"/>
      <c r="BI645" s="1065"/>
      <c r="BJ645" s="1065"/>
      <c r="BK645" s="1065"/>
      <c r="BL645" s="1065"/>
      <c r="BM645" s="1065"/>
      <c r="BN645" s="1065"/>
      <c r="BO645" s="1065"/>
      <c r="BP645" s="1065"/>
      <c r="BQ645" s="1065"/>
      <c r="BR645" s="1065"/>
      <c r="BS645" s="1065"/>
      <c r="BT645" s="1065"/>
      <c r="BU645" s="1065"/>
      <c r="BV645" s="1065"/>
      <c r="BW645" s="1065"/>
      <c r="BX645" s="1065"/>
      <c r="BY645" s="1065"/>
      <c r="BZ645" s="1065"/>
      <c r="CA645" s="1065"/>
      <c r="CB645" s="1065"/>
      <c r="CC645" s="1065"/>
      <c r="CD645" s="1065"/>
      <c r="CE645" s="1065"/>
      <c r="CF645" s="1065"/>
      <c r="CG645" s="1065"/>
      <c r="CH645" s="1065"/>
      <c r="CI645" s="1065"/>
      <c r="CJ645" s="1065"/>
      <c r="CK645" s="1065"/>
      <c r="CL645" s="1065"/>
      <c r="CM645" s="1065"/>
      <c r="CN645" s="1065"/>
      <c r="CO645" s="1065"/>
      <c r="CP645" s="1065"/>
      <c r="CQ645" s="1065"/>
      <c r="CR645" s="1065"/>
      <c r="CS645" s="1065"/>
      <c r="CT645" s="1065"/>
      <c r="CU645" s="1065"/>
      <c r="CV645" s="1065"/>
      <c r="CW645" s="1065"/>
      <c r="CX645" s="1065"/>
      <c r="CY645" s="1065"/>
      <c r="CZ645" s="1065"/>
      <c r="DA645" s="1065"/>
      <c r="DB645" s="1065"/>
    </row>
    <row r="646" spans="1:106" ht="15" customHeight="1">
      <c r="A646" s="1065"/>
      <c r="B646" s="1065"/>
      <c r="C646" s="1690"/>
      <c r="D646" s="1695"/>
      <c r="E646" s="1695"/>
      <c r="F646" s="1695"/>
      <c r="G646" s="1695"/>
      <c r="H646" s="1695"/>
      <c r="I646" s="1695"/>
      <c r="J646" s="1696"/>
      <c r="K646" s="1696"/>
      <c r="L646" s="1696"/>
      <c r="M646" s="1696"/>
      <c r="N646" s="1696"/>
      <c r="O646" s="1696"/>
      <c r="P646" s="1697"/>
      <c r="Q646" s="1697"/>
      <c r="R646" s="1687"/>
      <c r="S646" s="1687"/>
      <c r="T646" s="1688" t="s">
        <v>1052</v>
      </c>
      <c r="U646" s="1688"/>
      <c r="V646" s="1688" t="s">
        <v>1052</v>
      </c>
      <c r="W646" s="1688"/>
      <c r="X646" s="1266" t="s">
        <v>1053</v>
      </c>
      <c r="Y646" s="1689"/>
      <c r="Z646" s="1689"/>
      <c r="AA646" s="1065"/>
      <c r="AB646" s="1271" t="s">
        <v>1073</v>
      </c>
      <c r="AC646" s="1274">
        <f>AC644*0.4</f>
        <v>164009.35200000001</v>
      </c>
      <c r="AD646" s="1273" t="s">
        <v>1072</v>
      </c>
      <c r="AE646" s="1065"/>
      <c r="AF646" s="1271" t="s">
        <v>1073</v>
      </c>
      <c r="AG646" s="1274">
        <f>AG644*0.35</f>
        <v>2719.4824999999996</v>
      </c>
      <c r="AH646" s="1273" t="s">
        <v>1072</v>
      </c>
      <c r="AI646" s="1065"/>
      <c r="AJ646" s="1065"/>
      <c r="AK646" s="1065"/>
      <c r="AL646" s="1065"/>
      <c r="AM646" s="1065"/>
      <c r="AN646" s="1065"/>
      <c r="AO646" s="1065"/>
      <c r="AP646" s="1065"/>
      <c r="AQ646" s="1065"/>
      <c r="AR646" s="1065"/>
      <c r="AS646" s="1065"/>
      <c r="AT646" s="1065"/>
      <c r="AU646" s="1065"/>
      <c r="AV646" s="1065"/>
      <c r="AW646" s="1065"/>
      <c r="AX646" s="1065"/>
      <c r="AY646" s="1065"/>
      <c r="AZ646" s="1065"/>
      <c r="BA646" s="1065"/>
      <c r="BB646" s="1065"/>
      <c r="BC646" s="1065"/>
      <c r="BD646" s="1065"/>
      <c r="BE646" s="1065"/>
      <c r="BF646" s="1065"/>
      <c r="BG646" s="1065"/>
      <c r="BH646" s="1065"/>
      <c r="BI646" s="1065"/>
      <c r="BJ646" s="1065"/>
      <c r="BK646" s="1065"/>
      <c r="BL646" s="1065"/>
      <c r="BM646" s="1065"/>
      <c r="BN646" s="1065"/>
      <c r="BO646" s="1065"/>
      <c r="BP646" s="1065"/>
      <c r="BQ646" s="1065"/>
      <c r="BR646" s="1065"/>
      <c r="BS646" s="1065"/>
      <c r="BT646" s="1065"/>
      <c r="BU646" s="1065"/>
      <c r="BV646" s="1065"/>
      <c r="BW646" s="1065"/>
      <c r="BX646" s="1065"/>
      <c r="BY646" s="1065"/>
      <c r="BZ646" s="1065"/>
      <c r="CA646" s="1065"/>
      <c r="CB646" s="1065"/>
      <c r="CC646" s="1065"/>
      <c r="CD646" s="1065"/>
      <c r="CE646" s="1065"/>
      <c r="CF646" s="1065"/>
      <c r="CG646" s="1065"/>
      <c r="CH646" s="1065"/>
      <c r="CI646" s="1065"/>
      <c r="CJ646" s="1065"/>
      <c r="CK646" s="1065"/>
      <c r="CL646" s="1065"/>
      <c r="CM646" s="1065"/>
      <c r="CN646" s="1065"/>
      <c r="CO646" s="1065"/>
      <c r="CP646" s="1065"/>
      <c r="CQ646" s="1065"/>
      <c r="CR646" s="1065"/>
      <c r="CS646" s="1065"/>
      <c r="CT646" s="1065"/>
      <c r="CU646" s="1065"/>
      <c r="CV646" s="1065"/>
      <c r="CW646" s="1065"/>
      <c r="CX646" s="1065"/>
      <c r="CY646" s="1065"/>
      <c r="CZ646" s="1065"/>
      <c r="DA646" s="1065"/>
      <c r="DB646" s="1065"/>
    </row>
    <row r="647" spans="1:106" ht="15" customHeight="1" thickBot="1">
      <c r="A647" s="1065"/>
      <c r="B647" s="1065"/>
      <c r="C647" s="1690">
        <v>1</v>
      </c>
      <c r="D647" s="1691" t="s">
        <v>1054</v>
      </c>
      <c r="E647" s="1691"/>
      <c r="F647" s="1692" t="s">
        <v>1068</v>
      </c>
      <c r="G647" s="1692"/>
      <c r="H647" s="1692"/>
      <c r="I647" s="1692"/>
      <c r="J647" s="1693" t="s">
        <v>1055</v>
      </c>
      <c r="K647" s="1693"/>
      <c r="L647" s="1694" t="s">
        <v>1074</v>
      </c>
      <c r="M647" s="1694"/>
      <c r="N647" s="1694"/>
      <c r="O647" s="1694"/>
      <c r="P647" s="1682" t="s">
        <v>1057</v>
      </c>
      <c r="Q647" s="1682"/>
      <c r="R647" s="1678">
        <v>60</v>
      </c>
      <c r="S647" s="1678"/>
      <c r="T647" s="1679">
        <v>44396</v>
      </c>
      <c r="U647" s="1679"/>
      <c r="V647" s="1679">
        <v>44427</v>
      </c>
      <c r="W647" s="1679"/>
      <c r="X647" s="1266"/>
      <c r="Y647" s="1680"/>
      <c r="Z647" s="1680"/>
      <c r="AA647" s="1065"/>
      <c r="AB647" s="1271" t="s">
        <v>1075</v>
      </c>
      <c r="AC647" s="1274">
        <f>AC644-AC645-AC646-AC648</f>
        <v>61503.506999999983</v>
      </c>
      <c r="AD647" s="1273" t="s">
        <v>1072</v>
      </c>
      <c r="AE647" s="1065"/>
      <c r="AF647" s="1271" t="s">
        <v>1075</v>
      </c>
      <c r="AG647" s="1274">
        <f>AG644-AG645-AG646-AG648</f>
        <v>1553.9900000000002</v>
      </c>
      <c r="AH647" s="1273" t="s">
        <v>1072</v>
      </c>
      <c r="AI647" s="1065"/>
      <c r="AJ647" s="1065"/>
      <c r="AK647" s="1065"/>
      <c r="AL647" s="1065"/>
      <c r="AM647" s="1065"/>
      <c r="AN647" s="1065"/>
      <c r="AO647" s="1065"/>
      <c r="AP647" s="1065"/>
      <c r="AQ647" s="1065"/>
      <c r="AR647" s="1065"/>
      <c r="AS647" s="1065"/>
      <c r="AT647" s="1065"/>
      <c r="AU647" s="1065"/>
      <c r="AV647" s="1065"/>
      <c r="AW647" s="1065"/>
      <c r="AX647" s="1065"/>
      <c r="AY647" s="1065"/>
      <c r="AZ647" s="1065"/>
      <c r="BA647" s="1065"/>
      <c r="BB647" s="1065"/>
      <c r="BC647" s="1065"/>
      <c r="BD647" s="1065"/>
      <c r="BE647" s="1065"/>
      <c r="BF647" s="1065"/>
      <c r="BG647" s="1065"/>
      <c r="BH647" s="1065"/>
      <c r="BI647" s="1065"/>
      <c r="BJ647" s="1065"/>
      <c r="BK647" s="1065"/>
      <c r="BL647" s="1065"/>
      <c r="BM647" s="1065"/>
      <c r="BN647" s="1065"/>
      <c r="BO647" s="1065"/>
      <c r="BP647" s="1065"/>
      <c r="BQ647" s="1065"/>
      <c r="BR647" s="1065"/>
      <c r="BS647" s="1065"/>
      <c r="BT647" s="1065"/>
      <c r="BU647" s="1065"/>
      <c r="BV647" s="1065"/>
      <c r="BW647" s="1065"/>
      <c r="BX647" s="1065"/>
      <c r="BY647" s="1065"/>
      <c r="BZ647" s="1065"/>
      <c r="CA647" s="1065"/>
      <c r="CB647" s="1065"/>
      <c r="CC647" s="1065"/>
      <c r="CD647" s="1065"/>
      <c r="CE647" s="1065"/>
      <c r="CF647" s="1065"/>
      <c r="CG647" s="1065"/>
      <c r="CH647" s="1065"/>
      <c r="CI647" s="1065"/>
      <c r="CJ647" s="1065"/>
      <c r="CK647" s="1065"/>
      <c r="CL647" s="1065"/>
      <c r="CM647" s="1065"/>
      <c r="CN647" s="1065"/>
      <c r="CO647" s="1065"/>
      <c r="CP647" s="1065"/>
      <c r="CQ647" s="1065"/>
      <c r="CR647" s="1065"/>
      <c r="CS647" s="1065"/>
      <c r="CT647" s="1065"/>
      <c r="CU647" s="1065"/>
      <c r="CV647" s="1065"/>
      <c r="CW647" s="1065"/>
      <c r="CX647" s="1065"/>
      <c r="CY647" s="1065"/>
      <c r="CZ647" s="1065"/>
      <c r="DA647" s="1065"/>
      <c r="DB647" s="1065"/>
    </row>
    <row r="648" spans="1:106" ht="15" customHeight="1" thickBot="1">
      <c r="A648" s="1065"/>
      <c r="B648" s="1065"/>
      <c r="C648" s="1690"/>
      <c r="D648" s="1691"/>
      <c r="E648" s="1691"/>
      <c r="F648" s="1692"/>
      <c r="G648" s="1692"/>
      <c r="H648" s="1692"/>
      <c r="I648" s="1692"/>
      <c r="J648" s="1693"/>
      <c r="K648" s="1693"/>
      <c r="L648" s="1681" t="s">
        <v>1076</v>
      </c>
      <c r="M648" s="1681"/>
      <c r="N648" s="1681"/>
      <c r="O648" s="1681"/>
      <c r="P648" s="1682" t="s">
        <v>1057</v>
      </c>
      <c r="Q648" s="1682"/>
      <c r="R648" s="1678">
        <v>30</v>
      </c>
      <c r="S648" s="1678"/>
      <c r="T648" s="1679">
        <v>44396</v>
      </c>
      <c r="U648" s="1679"/>
      <c r="V648" s="1679">
        <v>44427</v>
      </c>
      <c r="W648" s="1679"/>
      <c r="X648" s="1266"/>
      <c r="Y648" s="1702"/>
      <c r="Z648" s="1702"/>
      <c r="AA648" s="1065"/>
      <c r="AB648" s="1065"/>
      <c r="AC648" s="1065"/>
      <c r="AD648" s="1065"/>
      <c r="AE648" s="1065"/>
      <c r="AF648" s="1065"/>
      <c r="AG648" s="1065"/>
      <c r="AH648" s="1065"/>
      <c r="AI648" s="1065"/>
      <c r="AJ648" s="1065"/>
      <c r="AK648" s="1065"/>
      <c r="AL648" s="1065"/>
      <c r="AM648" s="1065"/>
      <c r="AN648" s="1065"/>
      <c r="AO648" s="1065"/>
      <c r="AP648" s="1065"/>
      <c r="AQ648" s="1065"/>
      <c r="AR648" s="1065"/>
      <c r="AS648" s="1065"/>
      <c r="AT648" s="1065"/>
      <c r="AU648" s="1065"/>
      <c r="AV648" s="1065"/>
      <c r="AW648" s="1065"/>
      <c r="AX648" s="1065"/>
      <c r="AY648" s="1065"/>
      <c r="AZ648" s="1065"/>
      <c r="BA648" s="1065"/>
      <c r="BB648" s="1065"/>
      <c r="BC648" s="1065"/>
      <c r="BD648" s="1065"/>
      <c r="BE648" s="1065"/>
      <c r="BF648" s="1065"/>
      <c r="BG648" s="1065"/>
      <c r="BH648" s="1065"/>
      <c r="BI648" s="1065"/>
      <c r="BJ648" s="1065"/>
      <c r="BK648" s="1065"/>
      <c r="BL648" s="1065"/>
      <c r="BM648" s="1065"/>
      <c r="BN648" s="1065"/>
      <c r="BO648" s="1065"/>
      <c r="BP648" s="1065"/>
      <c r="BQ648" s="1065"/>
      <c r="BR648" s="1065"/>
      <c r="BS648" s="1065"/>
      <c r="BT648" s="1065"/>
      <c r="BU648" s="1065"/>
      <c r="BV648" s="1065"/>
      <c r="BW648" s="1065"/>
      <c r="BX648" s="1065"/>
      <c r="BY648" s="1065"/>
      <c r="BZ648" s="1065"/>
      <c r="CA648" s="1065"/>
      <c r="CB648" s="1065"/>
      <c r="CC648" s="1065"/>
      <c r="CD648" s="1065"/>
      <c r="CE648" s="1065"/>
      <c r="CF648" s="1065"/>
      <c r="CG648" s="1065"/>
      <c r="CH648" s="1065"/>
      <c r="CI648" s="1065"/>
      <c r="CJ648" s="1065"/>
      <c r="CK648" s="1065"/>
      <c r="CL648" s="1065"/>
      <c r="CM648" s="1065"/>
      <c r="CN648" s="1065"/>
      <c r="CO648" s="1065"/>
      <c r="CP648" s="1065"/>
      <c r="CQ648" s="1065"/>
      <c r="CR648" s="1065"/>
      <c r="CS648" s="1065"/>
      <c r="CT648" s="1065"/>
      <c r="CU648" s="1065"/>
      <c r="CV648" s="1065"/>
      <c r="CW648" s="1065"/>
      <c r="CX648" s="1065"/>
      <c r="CY648" s="1065"/>
      <c r="CZ648" s="1065"/>
      <c r="DA648" s="1065"/>
      <c r="DB648" s="1065"/>
    </row>
    <row r="649" spans="1:106" ht="15" customHeight="1" thickBot="1">
      <c r="A649" s="1065"/>
      <c r="B649" s="1065"/>
      <c r="C649" s="1268">
        <v>2</v>
      </c>
      <c r="D649" s="1703" t="s">
        <v>1059</v>
      </c>
      <c r="E649" s="1703"/>
      <c r="F649" s="1692"/>
      <c r="G649" s="1692"/>
      <c r="H649" s="1692"/>
      <c r="I649" s="1692"/>
      <c r="J649" s="1693"/>
      <c r="K649" s="1693"/>
      <c r="L649" s="1704" t="s">
        <v>1077</v>
      </c>
      <c r="M649" s="1704"/>
      <c r="N649" s="1704"/>
      <c r="O649" s="1704"/>
      <c r="P649" s="1705" t="s">
        <v>1061</v>
      </c>
      <c r="Q649" s="1705"/>
      <c r="R649" s="1706">
        <v>1</v>
      </c>
      <c r="S649" s="1706"/>
      <c r="T649" s="1707">
        <v>44396</v>
      </c>
      <c r="U649" s="1707"/>
      <c r="V649" s="1707">
        <v>44427</v>
      </c>
      <c r="W649" s="1707"/>
      <c r="X649" s="1275"/>
      <c r="Y649" s="1708"/>
      <c r="Z649" s="1708"/>
      <c r="AA649" s="1065"/>
      <c r="AB649" s="1065"/>
      <c r="AC649" s="1065"/>
      <c r="AD649" s="1065"/>
      <c r="AE649" s="1065"/>
      <c r="AF649" s="1065"/>
      <c r="AG649" s="1065"/>
      <c r="AH649" s="1065"/>
      <c r="AI649" s="1065"/>
      <c r="AJ649" s="1065"/>
      <c r="AK649" s="1065"/>
      <c r="AL649" s="1065"/>
      <c r="AM649" s="1065"/>
      <c r="AN649" s="1065"/>
      <c r="AO649" s="1065"/>
      <c r="AP649" s="1065"/>
      <c r="AQ649" s="1065"/>
      <c r="AR649" s="1065"/>
      <c r="AS649" s="1065"/>
      <c r="AT649" s="1065"/>
      <c r="AU649" s="1065"/>
      <c r="AV649" s="1065"/>
      <c r="AW649" s="1065"/>
      <c r="AX649" s="1065"/>
      <c r="AY649" s="1065"/>
      <c r="AZ649" s="1065"/>
      <c r="BA649" s="1065"/>
      <c r="BB649" s="1065"/>
      <c r="BC649" s="1065"/>
      <c r="BD649" s="1065"/>
      <c r="BE649" s="1065"/>
      <c r="BF649" s="1065"/>
      <c r="BG649" s="1065"/>
      <c r="BH649" s="1065"/>
      <c r="BI649" s="1065"/>
      <c r="BJ649" s="1065"/>
      <c r="BK649" s="1065"/>
      <c r="BL649" s="1065"/>
      <c r="BM649" s="1065"/>
      <c r="BN649" s="1065"/>
      <c r="BO649" s="1065"/>
      <c r="BP649" s="1065"/>
      <c r="BQ649" s="1065"/>
      <c r="BR649" s="1065"/>
      <c r="BS649" s="1065"/>
      <c r="BT649" s="1065"/>
      <c r="BU649" s="1065"/>
      <c r="BV649" s="1065"/>
      <c r="BW649" s="1065"/>
      <c r="BX649" s="1065"/>
      <c r="BY649" s="1065"/>
      <c r="BZ649" s="1065"/>
      <c r="CA649" s="1065"/>
      <c r="CB649" s="1065"/>
      <c r="CC649" s="1065"/>
      <c r="CD649" s="1065"/>
      <c r="CE649" s="1065"/>
      <c r="CF649" s="1065"/>
      <c r="CG649" s="1065"/>
      <c r="CH649" s="1065"/>
      <c r="CI649" s="1065"/>
      <c r="CJ649" s="1065"/>
      <c r="CK649" s="1065"/>
      <c r="CL649" s="1065"/>
      <c r="CM649" s="1065"/>
      <c r="CN649" s="1065"/>
      <c r="CO649" s="1065"/>
      <c r="CP649" s="1065"/>
      <c r="CQ649" s="1065"/>
      <c r="CR649" s="1065"/>
      <c r="CS649" s="1065"/>
      <c r="CT649" s="1065"/>
      <c r="CU649" s="1065"/>
      <c r="CV649" s="1065"/>
      <c r="CW649" s="1065"/>
      <c r="CX649" s="1065"/>
      <c r="CY649" s="1065"/>
      <c r="CZ649" s="1065"/>
      <c r="DA649" s="1065"/>
      <c r="DB649" s="1065"/>
    </row>
    <row r="650" spans="1:106" ht="15" customHeight="1">
      <c r="A650" s="1065"/>
      <c r="B650" s="1065"/>
      <c r="C650" s="1065"/>
      <c r="D650" s="1065"/>
      <c r="E650" s="1065"/>
      <c r="F650" s="1065"/>
      <c r="G650" s="1065"/>
      <c r="H650" s="1223"/>
      <c r="I650" s="1223"/>
      <c r="J650" s="1224"/>
      <c r="K650" s="1224"/>
      <c r="L650" s="1224"/>
      <c r="M650" s="1225"/>
      <c r="N650" s="1225"/>
      <c r="O650" s="1226"/>
      <c r="P650" s="1227"/>
      <c r="Q650" s="1227"/>
      <c r="R650" s="1228"/>
      <c r="S650" s="1224"/>
      <c r="T650" s="1229"/>
      <c r="U650" s="1065"/>
      <c r="V650" s="1065"/>
      <c r="W650" s="1065"/>
      <c r="X650" s="1065"/>
      <c r="Y650" s="1065"/>
      <c r="Z650" s="1065"/>
      <c r="AA650" s="1065"/>
      <c r="AB650" s="1065"/>
      <c r="AC650" s="1065"/>
      <c r="AD650" s="1276"/>
      <c r="AE650" s="1277"/>
      <c r="AF650" s="1277"/>
      <c r="AG650" s="1277"/>
      <c r="AH650" s="1277"/>
      <c r="AI650" s="1277"/>
      <c r="AJ650" s="1277"/>
      <c r="AK650" s="1278"/>
      <c r="AL650" s="1065"/>
      <c r="AM650" s="1065"/>
      <c r="AN650" s="1065"/>
      <c r="AO650" s="1065"/>
      <c r="AP650" s="1065"/>
      <c r="AQ650" s="1065"/>
      <c r="AR650" s="1065"/>
      <c r="AS650" s="1065"/>
      <c r="AT650" s="1065"/>
      <c r="AU650" s="1065"/>
      <c r="AV650" s="1065"/>
      <c r="AW650" s="1065"/>
      <c r="AX650" s="1065"/>
      <c r="AY650" s="1065"/>
      <c r="AZ650" s="1065"/>
      <c r="BA650" s="1065"/>
      <c r="BB650" s="1065"/>
      <c r="BC650" s="1065"/>
      <c r="BD650" s="1065"/>
      <c r="BE650" s="1065"/>
      <c r="BF650" s="1065"/>
      <c r="BG650" s="1065"/>
      <c r="BH650" s="1065"/>
      <c r="BI650" s="1065"/>
      <c r="BJ650" s="1065"/>
      <c r="BK650" s="1065"/>
      <c r="BL650" s="1065"/>
      <c r="BM650" s="1065"/>
      <c r="BN650" s="1065"/>
      <c r="BO650" s="1065"/>
      <c r="BP650" s="1065"/>
      <c r="BQ650" s="1065"/>
      <c r="BR650" s="1065"/>
      <c r="BS650" s="1065"/>
      <c r="BT650" s="1065"/>
      <c r="BU650" s="1065"/>
      <c r="BV650" s="1065"/>
      <c r="BW650" s="1065"/>
      <c r="BX650" s="1065"/>
      <c r="BY650" s="1065"/>
      <c r="BZ650" s="1065"/>
      <c r="CA650" s="1065"/>
      <c r="CB650" s="1065"/>
      <c r="CC650" s="1065"/>
      <c r="CD650" s="1065"/>
      <c r="CE650" s="1065"/>
      <c r="CF650" s="1065"/>
      <c r="CG650" s="1065"/>
      <c r="CH650" s="1065"/>
      <c r="CI650" s="1065"/>
      <c r="CJ650" s="1065"/>
      <c r="CK650" s="1065"/>
      <c r="CL650" s="1065"/>
      <c r="CM650" s="1065"/>
      <c r="CN650" s="1065"/>
      <c r="CO650" s="1065"/>
      <c r="CP650" s="1065"/>
      <c r="CQ650" s="1065"/>
      <c r="CR650" s="1065"/>
      <c r="CS650" s="1065"/>
      <c r="CT650" s="1065"/>
      <c r="CU650" s="1065"/>
      <c r="CV650" s="1065"/>
      <c r="CW650" s="1065"/>
      <c r="CX650" s="1065"/>
      <c r="CY650" s="1065"/>
      <c r="CZ650" s="1065"/>
      <c r="DA650" s="1065"/>
      <c r="DB650" s="1065"/>
    </row>
    <row r="651" spans="1:106" ht="15" customHeight="1">
      <c r="A651" s="1065"/>
      <c r="B651" s="1065"/>
      <c r="C651" s="1672" t="s">
        <v>1078</v>
      </c>
      <c r="D651" s="1672"/>
      <c r="E651" s="1672"/>
      <c r="F651" s="1065"/>
      <c r="G651" s="1672" t="s">
        <v>1078</v>
      </c>
      <c r="H651" s="1672"/>
      <c r="I651" s="1672"/>
      <c r="J651" s="1224"/>
      <c r="K651" s="1675" t="s">
        <v>1078</v>
      </c>
      <c r="L651" s="1675"/>
      <c r="M651" s="1675"/>
      <c r="N651" s="1225"/>
      <c r="O651" s="1675" t="s">
        <v>1078</v>
      </c>
      <c r="P651" s="1675"/>
      <c r="Q651" s="1675"/>
      <c r="R651" s="1228"/>
      <c r="S651" s="1672" t="s">
        <v>1078</v>
      </c>
      <c r="T651" s="1672"/>
      <c r="U651" s="1672"/>
      <c r="V651" s="1672" t="s">
        <v>1078</v>
      </c>
      <c r="W651" s="1672"/>
      <c r="X651" s="1672"/>
      <c r="Y651" s="1065"/>
      <c r="Z651" s="1672" t="s">
        <v>1078</v>
      </c>
      <c r="AA651" s="1672"/>
      <c r="AB651" s="1672"/>
      <c r="AC651" s="1065"/>
      <c r="AD651" s="1686" t="s">
        <v>1078</v>
      </c>
      <c r="AE651" s="1686"/>
      <c r="AF651" s="1686"/>
      <c r="AG651" s="1065"/>
      <c r="AH651" s="1686" t="s">
        <v>1078</v>
      </c>
      <c r="AI651" s="1686"/>
      <c r="AJ651" s="1686"/>
      <c r="AK651" s="1280"/>
      <c r="AL651" s="1065"/>
      <c r="AM651" s="1065"/>
      <c r="AN651" s="1065"/>
      <c r="AO651" s="1065"/>
      <c r="AP651" s="1065"/>
      <c r="AQ651" s="1065"/>
      <c r="AR651" s="1065"/>
      <c r="AS651" s="1065"/>
      <c r="AT651" s="1065"/>
      <c r="AU651" s="1065"/>
      <c r="AV651" s="1065"/>
      <c r="AW651" s="1065"/>
      <c r="AX651" s="1065"/>
      <c r="AY651" s="1065"/>
      <c r="AZ651" s="1065"/>
      <c r="BA651" s="1065"/>
      <c r="BB651" s="1065"/>
      <c r="BC651" s="1065"/>
      <c r="BD651" s="1065"/>
      <c r="BE651" s="1065"/>
      <c r="BF651" s="1065"/>
      <c r="BG651" s="1065"/>
      <c r="BH651" s="1065"/>
      <c r="BI651" s="1065"/>
      <c r="BJ651" s="1065"/>
      <c r="BK651" s="1065"/>
      <c r="BL651" s="1065"/>
      <c r="BM651" s="1065"/>
      <c r="BN651" s="1065"/>
      <c r="BO651" s="1065"/>
      <c r="BP651" s="1065"/>
      <c r="BQ651" s="1065"/>
      <c r="BR651" s="1065"/>
      <c r="BS651" s="1065"/>
      <c r="BT651" s="1065"/>
      <c r="BU651" s="1065"/>
      <c r="BV651" s="1065"/>
      <c r="BW651" s="1065"/>
      <c r="BX651" s="1065"/>
      <c r="BY651" s="1065"/>
      <c r="BZ651" s="1065"/>
      <c r="CA651" s="1065"/>
      <c r="CB651" s="1065"/>
      <c r="CC651" s="1065"/>
      <c r="CD651" s="1065"/>
      <c r="CE651" s="1065"/>
      <c r="CF651" s="1065"/>
      <c r="CG651" s="1065"/>
      <c r="CH651" s="1065"/>
      <c r="CI651" s="1065"/>
      <c r="CJ651" s="1065"/>
      <c r="CK651" s="1065"/>
      <c r="CL651" s="1065"/>
      <c r="CM651" s="1065"/>
      <c r="CN651" s="1065"/>
      <c r="CO651" s="1065"/>
      <c r="CP651" s="1065"/>
      <c r="CQ651" s="1065"/>
      <c r="CR651" s="1065"/>
      <c r="CS651" s="1065"/>
      <c r="CT651" s="1065"/>
      <c r="CU651" s="1065"/>
      <c r="CV651" s="1065"/>
      <c r="CW651" s="1065"/>
      <c r="CX651" s="1065"/>
      <c r="CY651" s="1065"/>
      <c r="CZ651" s="1065"/>
      <c r="DA651" s="1065"/>
      <c r="DB651" s="1065"/>
    </row>
    <row r="652" spans="1:106" ht="15" customHeight="1">
      <c r="A652" s="1065"/>
      <c r="B652" s="1065"/>
      <c r="C652" s="1677" t="s">
        <v>1079</v>
      </c>
      <c r="D652" s="1677"/>
      <c r="E652" s="1677"/>
      <c r="F652" s="1065"/>
      <c r="G652" s="1677" t="s">
        <v>1080</v>
      </c>
      <c r="H652" s="1677"/>
      <c r="I652" s="1677"/>
      <c r="J652" s="1224"/>
      <c r="K652" s="1666" t="s">
        <v>1081</v>
      </c>
      <c r="L652" s="1666"/>
      <c r="M652" s="1666"/>
      <c r="N652" s="1225"/>
      <c r="O652" s="1666" t="s">
        <v>1082</v>
      </c>
      <c r="P652" s="1666"/>
      <c r="Q652" s="1666"/>
      <c r="R652" s="1228"/>
      <c r="S652" s="1677" t="s">
        <v>1083</v>
      </c>
      <c r="T652" s="1677"/>
      <c r="U652" s="1677"/>
      <c r="V652" s="1664" t="s">
        <v>1084</v>
      </c>
      <c r="W652" s="1664"/>
      <c r="X652" s="1664"/>
      <c r="Y652" s="1065"/>
      <c r="Z652" s="1677" t="s">
        <v>1085</v>
      </c>
      <c r="AA652" s="1677"/>
      <c r="AB652" s="1677"/>
      <c r="AC652" s="1065"/>
      <c r="AD652" s="1683" t="s">
        <v>1086</v>
      </c>
      <c r="AE652" s="1683"/>
      <c r="AF652" s="1683"/>
      <c r="AG652" s="1065"/>
      <c r="AH652" s="1684" t="s">
        <v>1087</v>
      </c>
      <c r="AI652" s="1684"/>
      <c r="AJ652" s="1684"/>
      <c r="AK652" s="1280"/>
      <c r="AL652" s="1065"/>
      <c r="AM652" s="1065"/>
      <c r="AN652" s="1065"/>
      <c r="AO652" s="1065"/>
      <c r="AP652" s="1065"/>
      <c r="AQ652" s="1065"/>
      <c r="AR652" s="1065"/>
      <c r="AS652" s="1065"/>
      <c r="AT652" s="1065"/>
      <c r="AU652" s="1065"/>
      <c r="AV652" s="1065"/>
      <c r="AW652" s="1065"/>
      <c r="AX652" s="1065"/>
      <c r="AY652" s="1065"/>
      <c r="AZ652" s="1065"/>
      <c r="BA652" s="1065"/>
      <c r="BB652" s="1065"/>
      <c r="BC652" s="1065"/>
      <c r="BD652" s="1065"/>
      <c r="BE652" s="1065"/>
      <c r="BF652" s="1065"/>
      <c r="BG652" s="1065"/>
      <c r="BH652" s="1065"/>
      <c r="BI652" s="1065"/>
      <c r="BJ652" s="1065"/>
      <c r="BK652" s="1065"/>
      <c r="BL652" s="1065"/>
      <c r="BM652" s="1065"/>
      <c r="BN652" s="1065"/>
      <c r="BO652" s="1065"/>
      <c r="BP652" s="1065"/>
      <c r="BQ652" s="1065"/>
      <c r="BR652" s="1065"/>
      <c r="BS652" s="1065"/>
      <c r="BT652" s="1065"/>
      <c r="BU652" s="1065"/>
      <c r="BV652" s="1065"/>
      <c r="BW652" s="1065"/>
      <c r="BX652" s="1065"/>
      <c r="BY652" s="1065"/>
      <c r="BZ652" s="1065"/>
      <c r="CA652" s="1065"/>
      <c r="CB652" s="1065"/>
      <c r="CC652" s="1065"/>
      <c r="CD652" s="1065"/>
      <c r="CE652" s="1065"/>
      <c r="CF652" s="1065"/>
      <c r="CG652" s="1065"/>
      <c r="CH652" s="1065"/>
      <c r="CI652" s="1065"/>
      <c r="CJ652" s="1065"/>
      <c r="CK652" s="1065"/>
      <c r="CL652" s="1065"/>
      <c r="CM652" s="1065"/>
      <c r="CN652" s="1065"/>
      <c r="CO652" s="1065"/>
      <c r="CP652" s="1065"/>
      <c r="CQ652" s="1065"/>
      <c r="CR652" s="1065"/>
      <c r="CS652" s="1065"/>
      <c r="CT652" s="1065"/>
      <c r="CU652" s="1065"/>
      <c r="CV652" s="1065"/>
      <c r="CW652" s="1065"/>
      <c r="CX652" s="1065"/>
      <c r="CY652" s="1065"/>
      <c r="CZ652" s="1065"/>
      <c r="DA652" s="1065"/>
      <c r="DB652" s="1065"/>
    </row>
    <row r="653" spans="1:106" ht="15" customHeight="1">
      <c r="A653" s="1065"/>
      <c r="B653" s="1065"/>
      <c r="C653" s="1273" t="s">
        <v>6</v>
      </c>
      <c r="D653" s="1272">
        <v>155806.14000000001</v>
      </c>
      <c r="E653" s="1273" t="s">
        <v>1072</v>
      </c>
      <c r="F653" s="1065"/>
      <c r="G653" s="1273" t="s">
        <v>6</v>
      </c>
      <c r="H653" s="1281">
        <v>2116.5</v>
      </c>
      <c r="I653" s="1282" t="s">
        <v>1072</v>
      </c>
      <c r="J653" s="1224"/>
      <c r="K653" s="1271" t="s">
        <v>6</v>
      </c>
      <c r="L653" s="1283">
        <v>851398.7</v>
      </c>
      <c r="M653" s="1271" t="s">
        <v>1072</v>
      </c>
      <c r="N653" s="1225"/>
      <c r="O653" s="1284" t="s">
        <v>6</v>
      </c>
      <c r="P653" s="1285">
        <v>24748.22</v>
      </c>
      <c r="Q653" s="1286" t="s">
        <v>1072</v>
      </c>
      <c r="R653" s="1228"/>
      <c r="S653" s="1271" t="s">
        <v>6</v>
      </c>
      <c r="T653" s="1272">
        <v>4008</v>
      </c>
      <c r="U653" s="1273" t="s">
        <v>1072</v>
      </c>
      <c r="V653" s="1273" t="s">
        <v>6</v>
      </c>
      <c r="W653" s="1272">
        <f>Q29</f>
        <v>4864.3599999999997</v>
      </c>
      <c r="X653" s="1273" t="s">
        <v>1072</v>
      </c>
      <c r="Y653" s="1065"/>
      <c r="Z653" s="1273" t="s">
        <v>6</v>
      </c>
      <c r="AA653" s="1272">
        <v>8588.59</v>
      </c>
      <c r="AB653" s="1273" t="s">
        <v>1072</v>
      </c>
      <c r="AC653" s="1065"/>
      <c r="AD653" s="1287" t="s">
        <v>6</v>
      </c>
      <c r="AE653" s="1288">
        <v>351145.43</v>
      </c>
      <c r="AF653" s="1287" t="s">
        <v>1072</v>
      </c>
      <c r="AG653" s="1065"/>
      <c r="AH653" s="1684"/>
      <c r="AI653" s="1684"/>
      <c r="AJ653" s="1684"/>
      <c r="AK653" s="1280"/>
      <c r="AL653" s="1065"/>
      <c r="AM653" s="1065"/>
      <c r="AN653" s="1065"/>
      <c r="AO653" s="1065"/>
      <c r="AP653" s="1065"/>
      <c r="AQ653" s="1065"/>
      <c r="AR653" s="1065"/>
      <c r="AS653" s="1065"/>
      <c r="AT653" s="1065"/>
      <c r="AU653" s="1065"/>
      <c r="AV653" s="1065"/>
      <c r="AW653" s="1065"/>
      <c r="AX653" s="1065"/>
      <c r="AY653" s="1065"/>
      <c r="AZ653" s="1065"/>
      <c r="BA653" s="1065"/>
      <c r="BB653" s="1065"/>
      <c r="BC653" s="1065"/>
      <c r="BD653" s="1065"/>
      <c r="BE653" s="1065"/>
      <c r="BF653" s="1065"/>
      <c r="BG653" s="1065"/>
      <c r="BH653" s="1065"/>
      <c r="BI653" s="1065"/>
      <c r="BJ653" s="1065"/>
      <c r="BK653" s="1065"/>
      <c r="BL653" s="1065"/>
      <c r="BM653" s="1065"/>
      <c r="BN653" s="1065"/>
      <c r="BO653" s="1065"/>
      <c r="BP653" s="1065"/>
      <c r="BQ653" s="1065"/>
      <c r="BR653" s="1065"/>
      <c r="BS653" s="1065"/>
      <c r="BT653" s="1065"/>
      <c r="BU653" s="1065"/>
      <c r="BV653" s="1065"/>
      <c r="BW653" s="1065"/>
      <c r="BX653" s="1065"/>
      <c r="BY653" s="1065"/>
      <c r="BZ653" s="1065"/>
      <c r="CA653" s="1065"/>
      <c r="CB653" s="1065"/>
      <c r="CC653" s="1065"/>
      <c r="CD653" s="1065"/>
      <c r="CE653" s="1065"/>
      <c r="CF653" s="1065"/>
      <c r="CG653" s="1065"/>
      <c r="CH653" s="1065"/>
      <c r="CI653" s="1065"/>
      <c r="CJ653" s="1065"/>
      <c r="CK653" s="1065"/>
      <c r="CL653" s="1065"/>
      <c r="CM653" s="1065"/>
      <c r="CN653" s="1065"/>
      <c r="CO653" s="1065"/>
      <c r="CP653" s="1065"/>
      <c r="CQ653" s="1065"/>
      <c r="CR653" s="1065"/>
      <c r="CS653" s="1065"/>
      <c r="CT653" s="1065"/>
      <c r="CU653" s="1065"/>
      <c r="CV653" s="1065"/>
      <c r="CW653" s="1065"/>
      <c r="CX653" s="1065"/>
      <c r="CY653" s="1065"/>
      <c r="CZ653" s="1065"/>
      <c r="DA653" s="1065"/>
      <c r="DB653" s="1065"/>
    </row>
    <row r="654" spans="1:106" ht="15" customHeight="1">
      <c r="A654" s="1065"/>
      <c r="B654" s="1065"/>
      <c r="C654" s="1273" t="s">
        <v>669</v>
      </c>
      <c r="D654" s="1274">
        <f>D653*0.4</f>
        <v>62322.456000000006</v>
      </c>
      <c r="E654" s="1273" t="s">
        <v>1072</v>
      </c>
      <c r="F654" s="1065"/>
      <c r="G654" s="1273" t="s">
        <v>669</v>
      </c>
      <c r="H654" s="1281">
        <f>H653*0.4</f>
        <v>846.6</v>
      </c>
      <c r="I654" s="1282" t="s">
        <v>1072</v>
      </c>
      <c r="J654" s="1224"/>
      <c r="K654" s="1271" t="s">
        <v>679</v>
      </c>
      <c r="L654" s="1283">
        <f>L653*0.55</f>
        <v>468269.28500000003</v>
      </c>
      <c r="M654" s="1271" t="s">
        <v>1072</v>
      </c>
      <c r="N654" s="1225"/>
      <c r="O654" s="1284" t="s">
        <v>679</v>
      </c>
      <c r="P654" s="1285">
        <f>P653*0.4</f>
        <v>9899.2880000000005</v>
      </c>
      <c r="Q654" s="1286" t="s">
        <v>1072</v>
      </c>
      <c r="R654" s="1228"/>
      <c r="S654" s="1271" t="s">
        <v>662</v>
      </c>
      <c r="T654" s="1274">
        <f>T653*0.65</f>
        <v>2605.2000000000003</v>
      </c>
      <c r="U654" s="1273" t="s">
        <v>1072</v>
      </c>
      <c r="V654" s="1273" t="s">
        <v>662</v>
      </c>
      <c r="W654" s="1274">
        <f>W653*0.7</f>
        <v>3405.0519999999997</v>
      </c>
      <c r="X654" s="1273" t="s">
        <v>1072</v>
      </c>
      <c r="Y654" s="1065"/>
      <c r="Z654" s="1273" t="s">
        <v>670</v>
      </c>
      <c r="AA654" s="1274">
        <f>AA653*0.8</f>
        <v>6870.8720000000003</v>
      </c>
      <c r="AB654" s="1273" t="s">
        <v>1072</v>
      </c>
      <c r="AC654" s="1065"/>
      <c r="AD654" s="1287" t="s">
        <v>115</v>
      </c>
      <c r="AE654" s="1289">
        <f>AE653*0.5</f>
        <v>175572.715</v>
      </c>
      <c r="AF654" s="1287" t="s">
        <v>1072</v>
      </c>
      <c r="AG654" s="1065"/>
      <c r="AH654" s="1287" t="s">
        <v>6</v>
      </c>
      <c r="AI654" s="1288">
        <v>128817.79</v>
      </c>
      <c r="AJ654" s="1287" t="s">
        <v>1072</v>
      </c>
      <c r="AK654" s="1280"/>
      <c r="AL654" s="1065"/>
      <c r="AM654" s="1065"/>
      <c r="AN654" s="1065"/>
      <c r="AO654" s="1065"/>
      <c r="AP654" s="1065"/>
      <c r="AQ654" s="1065"/>
      <c r="AR654" s="1065"/>
      <c r="AS654" s="1065"/>
      <c r="AT654" s="1065"/>
      <c r="AU654" s="1065"/>
      <c r="AV654" s="1065"/>
      <c r="AW654" s="1065"/>
      <c r="AX654" s="1065"/>
      <c r="AY654" s="1065"/>
      <c r="AZ654" s="1065"/>
      <c r="BA654" s="1065"/>
      <c r="BB654" s="1065"/>
      <c r="BC654" s="1065"/>
      <c r="BD654" s="1065"/>
      <c r="BE654" s="1065"/>
      <c r="BF654" s="1065"/>
      <c r="BG654" s="1065"/>
      <c r="BH654" s="1065"/>
      <c r="BI654" s="1065"/>
      <c r="BJ654" s="1065"/>
      <c r="BK654" s="1065"/>
      <c r="BL654" s="1065"/>
      <c r="BM654" s="1065"/>
      <c r="BN654" s="1065"/>
      <c r="BO654" s="1065"/>
      <c r="BP654" s="1065"/>
      <c r="BQ654" s="1065"/>
      <c r="BR654" s="1065"/>
      <c r="BS654" s="1065"/>
      <c r="BT654" s="1065"/>
      <c r="BU654" s="1065"/>
      <c r="BV654" s="1065"/>
      <c r="BW654" s="1065"/>
      <c r="BX654" s="1065"/>
      <c r="BY654" s="1065"/>
      <c r="BZ654" s="1065"/>
      <c r="CA654" s="1065"/>
      <c r="CB654" s="1065"/>
      <c r="CC654" s="1065"/>
      <c r="CD654" s="1065"/>
      <c r="CE654" s="1065"/>
      <c r="CF654" s="1065"/>
      <c r="CG654" s="1065"/>
      <c r="CH654" s="1065"/>
      <c r="CI654" s="1065"/>
      <c r="CJ654" s="1065"/>
      <c r="CK654" s="1065"/>
      <c r="CL654" s="1065"/>
      <c r="CM654" s="1065"/>
      <c r="CN654" s="1065"/>
      <c r="CO654" s="1065"/>
      <c r="CP654" s="1065"/>
      <c r="CQ654" s="1065"/>
      <c r="CR654" s="1065"/>
      <c r="CS654" s="1065"/>
      <c r="CT654" s="1065"/>
      <c r="CU654" s="1065"/>
      <c r="CV654" s="1065"/>
      <c r="CW654" s="1065"/>
      <c r="CX654" s="1065"/>
      <c r="CY654" s="1065"/>
      <c r="CZ654" s="1065"/>
      <c r="DA654" s="1065"/>
      <c r="DB654" s="1065"/>
    </row>
    <row r="655" spans="1:106" ht="15" customHeight="1">
      <c r="A655" s="1065"/>
      <c r="B655" s="1065"/>
      <c r="C655" s="1273" t="s">
        <v>1088</v>
      </c>
      <c r="D655" s="1274">
        <f>D653*0.2</f>
        <v>31161.228000000003</v>
      </c>
      <c r="E655" s="1273" t="s">
        <v>1072</v>
      </c>
      <c r="F655" s="1065"/>
      <c r="G655" s="1273" t="s">
        <v>1088</v>
      </c>
      <c r="H655" s="1281">
        <f>H653*0.25</f>
        <v>529.125</v>
      </c>
      <c r="I655" s="1282" t="s">
        <v>1072</v>
      </c>
      <c r="J655" s="1224"/>
      <c r="K655" s="1271" t="s">
        <v>1089</v>
      </c>
      <c r="L655" s="1283">
        <f>L653*0.1</f>
        <v>85139.87</v>
      </c>
      <c r="M655" s="1271" t="s">
        <v>1072</v>
      </c>
      <c r="N655" s="1225"/>
      <c r="O655" s="1284" t="s">
        <v>1089</v>
      </c>
      <c r="P655" s="1285">
        <f>P653*0.2</f>
        <v>4949.6440000000002</v>
      </c>
      <c r="Q655" s="1286" t="s">
        <v>1072</v>
      </c>
      <c r="R655" s="1228"/>
      <c r="S655" s="1271" t="s">
        <v>703</v>
      </c>
      <c r="T655" s="1274">
        <f>T653*0.35</f>
        <v>1402.8</v>
      </c>
      <c r="U655" s="1273" t="s">
        <v>1072</v>
      </c>
      <c r="V655" s="1273" t="s">
        <v>703</v>
      </c>
      <c r="W655" s="1274">
        <f>W653*0.3</f>
        <v>1459.3079999999998</v>
      </c>
      <c r="X655" s="1273" t="s">
        <v>1072</v>
      </c>
      <c r="Y655" s="1065"/>
      <c r="Z655" s="1273" t="s">
        <v>1090</v>
      </c>
      <c r="AA655" s="1274">
        <f>AA653*0.2</f>
        <v>1717.7180000000001</v>
      </c>
      <c r="AB655" s="1273" t="s">
        <v>1072</v>
      </c>
      <c r="AC655" s="1065"/>
      <c r="AD655" s="1287" t="s">
        <v>718</v>
      </c>
      <c r="AE655" s="1289">
        <f>AE653*0.25</f>
        <v>87786.357499999998</v>
      </c>
      <c r="AF655" s="1287" t="s">
        <v>1072</v>
      </c>
      <c r="AG655" s="1065"/>
      <c r="AH655" s="1287" t="s">
        <v>115</v>
      </c>
      <c r="AI655" s="1289">
        <f>AI654*0.5</f>
        <v>64408.894999999997</v>
      </c>
      <c r="AJ655" s="1287" t="s">
        <v>1072</v>
      </c>
      <c r="AK655" s="1280"/>
      <c r="AL655" s="1065"/>
      <c r="AM655" s="1065"/>
      <c r="AN655" s="1065"/>
      <c r="AO655" s="1065"/>
      <c r="AP655" s="1065"/>
      <c r="AQ655" s="1065"/>
      <c r="AR655" s="1065"/>
      <c r="AS655" s="1065"/>
      <c r="AT655" s="1065"/>
      <c r="AU655" s="1065"/>
      <c r="AV655" s="1065"/>
      <c r="AW655" s="1065"/>
      <c r="AX655" s="1065"/>
      <c r="AY655" s="1065"/>
      <c r="AZ655" s="1065"/>
      <c r="BA655" s="1065"/>
      <c r="BB655" s="1065"/>
      <c r="BC655" s="1065"/>
      <c r="BD655" s="1065"/>
      <c r="BE655" s="1065"/>
      <c r="BF655" s="1065"/>
      <c r="BG655" s="1065"/>
      <c r="BH655" s="1065"/>
      <c r="BI655" s="1065"/>
      <c r="BJ655" s="1065"/>
      <c r="BK655" s="1065"/>
      <c r="BL655" s="1065"/>
      <c r="BM655" s="1065"/>
      <c r="BN655" s="1065"/>
      <c r="BO655" s="1065"/>
      <c r="BP655" s="1065"/>
      <c r="BQ655" s="1065"/>
      <c r="BR655" s="1065"/>
      <c r="BS655" s="1065"/>
      <c r="BT655" s="1065"/>
      <c r="BU655" s="1065"/>
      <c r="BV655" s="1065"/>
      <c r="BW655" s="1065"/>
      <c r="BX655" s="1065"/>
      <c r="BY655" s="1065"/>
      <c r="BZ655" s="1065"/>
      <c r="CA655" s="1065"/>
      <c r="CB655" s="1065"/>
      <c r="CC655" s="1065"/>
      <c r="CD655" s="1065"/>
      <c r="CE655" s="1065"/>
      <c r="CF655" s="1065"/>
      <c r="CG655" s="1065"/>
      <c r="CH655" s="1065"/>
      <c r="CI655" s="1065"/>
      <c r="CJ655" s="1065"/>
      <c r="CK655" s="1065"/>
      <c r="CL655" s="1065"/>
      <c r="CM655" s="1065"/>
      <c r="CN655" s="1065"/>
      <c r="CO655" s="1065"/>
      <c r="CP655" s="1065"/>
      <c r="CQ655" s="1065"/>
      <c r="CR655" s="1065"/>
      <c r="CS655" s="1065"/>
      <c r="CT655" s="1065"/>
      <c r="CU655" s="1065"/>
      <c r="CV655" s="1065"/>
      <c r="CW655" s="1065"/>
      <c r="CX655" s="1065"/>
      <c r="CY655" s="1065"/>
      <c r="CZ655" s="1065"/>
      <c r="DA655" s="1065"/>
      <c r="DB655" s="1065"/>
    </row>
    <row r="656" spans="1:106" ht="15" customHeight="1">
      <c r="A656" s="1065"/>
      <c r="B656" s="1065"/>
      <c r="C656" s="1273" t="s">
        <v>1091</v>
      </c>
      <c r="D656" s="1274">
        <f>D653-D654-D655-D657</f>
        <v>23370.921000000002</v>
      </c>
      <c r="E656" s="1273" t="s">
        <v>1072</v>
      </c>
      <c r="F656" s="1065"/>
      <c r="G656" s="1273" t="s">
        <v>1091</v>
      </c>
      <c r="H656" s="1281">
        <f>H653-H654-H655-H657</f>
        <v>211.65000000000009</v>
      </c>
      <c r="I656" s="1282" t="s">
        <v>1072</v>
      </c>
      <c r="J656" s="1224"/>
      <c r="K656" s="1271" t="s">
        <v>1092</v>
      </c>
      <c r="L656" s="1283">
        <f>L653*0.13</f>
        <v>110681.83099999999</v>
      </c>
      <c r="M656" s="1271" t="s">
        <v>1072</v>
      </c>
      <c r="N656" s="1225"/>
      <c r="O656" s="1284" t="s">
        <v>1092</v>
      </c>
      <c r="P656" s="1285">
        <f>P653*0.15</f>
        <v>3712.2330000000002</v>
      </c>
      <c r="Q656" s="1286" t="s">
        <v>1072</v>
      </c>
      <c r="R656" s="1228"/>
      <c r="S656" s="1224"/>
      <c r="T656" s="1229"/>
      <c r="U656" s="1065"/>
      <c r="V656" s="1065"/>
      <c r="W656" s="1065"/>
      <c r="X656" s="1065"/>
      <c r="Y656" s="1065"/>
      <c r="Z656" s="1065"/>
      <c r="AA656" s="1065"/>
      <c r="AB656" s="1065"/>
      <c r="AC656" s="1065"/>
      <c r="AD656" s="1287" t="s">
        <v>1093</v>
      </c>
      <c r="AE656" s="1289">
        <f>AE653*0.05</f>
        <v>17557.271499999999</v>
      </c>
      <c r="AF656" s="1287" t="s">
        <v>1072</v>
      </c>
      <c r="AG656" s="1065"/>
      <c r="AH656" s="1287" t="s">
        <v>718</v>
      </c>
      <c r="AI656" s="1289">
        <f>AI654*0.25</f>
        <v>32204.447499999998</v>
      </c>
      <c r="AJ656" s="1287" t="s">
        <v>1072</v>
      </c>
      <c r="AK656" s="1280"/>
      <c r="AL656" s="1065"/>
      <c r="AM656" s="1065"/>
      <c r="AN656" s="1065"/>
      <c r="AO656" s="1065"/>
      <c r="AP656" s="1065"/>
      <c r="AQ656" s="1065"/>
      <c r="AR656" s="1065"/>
      <c r="AS656" s="1065"/>
      <c r="AT656" s="1065"/>
      <c r="AU656" s="1065"/>
      <c r="AV656" s="1065"/>
      <c r="AW656" s="1065"/>
      <c r="AX656" s="1065"/>
      <c r="AY656" s="1065"/>
      <c r="AZ656" s="1065"/>
      <c r="BA656" s="1065"/>
      <c r="BB656" s="1065"/>
      <c r="BC656" s="1065"/>
      <c r="BD656" s="1065"/>
      <c r="BE656" s="1065"/>
      <c r="BF656" s="1065"/>
      <c r="BG656" s="1065"/>
      <c r="BH656" s="1065"/>
      <c r="BI656" s="1065"/>
      <c r="BJ656" s="1065"/>
      <c r="BK656" s="1065"/>
      <c r="BL656" s="1065"/>
      <c r="BM656" s="1065"/>
      <c r="BN656" s="1065"/>
      <c r="BO656" s="1065"/>
      <c r="BP656" s="1065"/>
      <c r="BQ656" s="1065"/>
      <c r="BR656" s="1065"/>
      <c r="BS656" s="1065"/>
      <c r="BT656" s="1065"/>
      <c r="BU656" s="1065"/>
      <c r="BV656" s="1065"/>
      <c r="BW656" s="1065"/>
      <c r="BX656" s="1065"/>
      <c r="BY656" s="1065"/>
      <c r="BZ656" s="1065"/>
      <c r="CA656" s="1065"/>
      <c r="CB656" s="1065"/>
      <c r="CC656" s="1065"/>
      <c r="CD656" s="1065"/>
      <c r="CE656" s="1065"/>
      <c r="CF656" s="1065"/>
      <c r="CG656" s="1065"/>
      <c r="CH656" s="1065"/>
      <c r="CI656" s="1065"/>
      <c r="CJ656" s="1065"/>
      <c r="CK656" s="1065"/>
      <c r="CL656" s="1065"/>
      <c r="CM656" s="1065"/>
      <c r="CN656" s="1065"/>
      <c r="CO656" s="1065"/>
      <c r="CP656" s="1065"/>
      <c r="CQ656" s="1065"/>
      <c r="CR656" s="1065"/>
      <c r="CS656" s="1065"/>
      <c r="CT656" s="1065"/>
      <c r="CU656" s="1065"/>
      <c r="CV656" s="1065"/>
      <c r="CW656" s="1065"/>
      <c r="CX656" s="1065"/>
      <c r="CY656" s="1065"/>
      <c r="CZ656" s="1065"/>
      <c r="DA656" s="1065"/>
      <c r="DB656" s="1065"/>
    </row>
    <row r="657" spans="1:106" ht="15" customHeight="1">
      <c r="A657" s="1065"/>
      <c r="B657" s="1065"/>
      <c r="C657" s="1273" t="s">
        <v>1094</v>
      </c>
      <c r="D657" s="1274">
        <f>D653*0.25</f>
        <v>38951.535000000003</v>
      </c>
      <c r="E657" s="1273" t="s">
        <v>1072</v>
      </c>
      <c r="F657" s="1065"/>
      <c r="G657" s="1273" t="s">
        <v>1094</v>
      </c>
      <c r="H657" s="1281">
        <f>H653*0.25</f>
        <v>529.125</v>
      </c>
      <c r="I657" s="1282" t="s">
        <v>1072</v>
      </c>
      <c r="J657" s="1224"/>
      <c r="K657" s="1271" t="s">
        <v>1095</v>
      </c>
      <c r="L657" s="1283">
        <f>L653*0.1</f>
        <v>85139.87</v>
      </c>
      <c r="M657" s="1271" t="s">
        <v>1072</v>
      </c>
      <c r="N657" s="1225"/>
      <c r="O657" s="1284" t="s">
        <v>1095</v>
      </c>
      <c r="P657" s="1285">
        <f>P653*0.1</f>
        <v>2474.8220000000001</v>
      </c>
      <c r="Q657" s="1286" t="s">
        <v>1072</v>
      </c>
      <c r="R657" s="1228"/>
      <c r="S657" s="1224"/>
      <c r="T657" s="1229"/>
      <c r="U657" s="1065"/>
      <c r="V657" s="1065"/>
      <c r="W657" s="1065"/>
      <c r="X657" s="1065"/>
      <c r="Y657" s="1065"/>
      <c r="Z657" s="1065"/>
      <c r="AA657" s="1065"/>
      <c r="AB657" s="1065"/>
      <c r="AC657" s="1065"/>
      <c r="AD657" s="1287" t="s">
        <v>1096</v>
      </c>
      <c r="AE657" s="1289">
        <f>AE653*0.2</f>
        <v>70229.085999999996</v>
      </c>
      <c r="AF657" s="1287" t="s">
        <v>1072</v>
      </c>
      <c r="AG657" s="1065"/>
      <c r="AH657" s="1287" t="s">
        <v>1093</v>
      </c>
      <c r="AI657" s="1289">
        <f>AI654*0.05</f>
        <v>6440.8895000000002</v>
      </c>
      <c r="AJ657" s="1287" t="s">
        <v>1072</v>
      </c>
      <c r="AK657" s="1280"/>
      <c r="AL657" s="1065"/>
      <c r="AM657" s="1065"/>
      <c r="AN657" s="1065"/>
      <c r="AO657" s="1065"/>
      <c r="AP657" s="1065"/>
      <c r="AQ657" s="1065"/>
      <c r="AR657" s="1065"/>
      <c r="AS657" s="1065"/>
      <c r="AT657" s="1065"/>
      <c r="AU657" s="1065"/>
      <c r="AV657" s="1065"/>
      <c r="AW657" s="1065"/>
      <c r="AX657" s="1065"/>
      <c r="AY657" s="1065"/>
      <c r="AZ657" s="1065"/>
      <c r="BA657" s="1065"/>
      <c r="BB657" s="1065"/>
      <c r="BC657" s="1065"/>
      <c r="BD657" s="1065"/>
      <c r="BE657" s="1065"/>
      <c r="BF657" s="1065"/>
      <c r="BG657" s="1065"/>
      <c r="BH657" s="1065"/>
      <c r="BI657" s="1065"/>
      <c r="BJ657" s="1065"/>
      <c r="BK657" s="1065"/>
      <c r="BL657" s="1065"/>
      <c r="BM657" s="1065"/>
      <c r="BN657" s="1065"/>
      <c r="BO657" s="1065"/>
      <c r="BP657" s="1065"/>
      <c r="BQ657" s="1065"/>
      <c r="BR657" s="1065"/>
      <c r="BS657" s="1065"/>
      <c r="BT657" s="1065"/>
      <c r="BU657" s="1065"/>
      <c r="BV657" s="1065"/>
      <c r="BW657" s="1065"/>
      <c r="BX657" s="1065"/>
      <c r="BY657" s="1065"/>
      <c r="BZ657" s="1065"/>
      <c r="CA657" s="1065"/>
      <c r="CB657" s="1065"/>
      <c r="CC657" s="1065"/>
      <c r="CD657" s="1065"/>
      <c r="CE657" s="1065"/>
      <c r="CF657" s="1065"/>
      <c r="CG657" s="1065"/>
      <c r="CH657" s="1065"/>
      <c r="CI657" s="1065"/>
      <c r="CJ657" s="1065"/>
      <c r="CK657" s="1065"/>
      <c r="CL657" s="1065"/>
      <c r="CM657" s="1065"/>
      <c r="CN657" s="1065"/>
      <c r="CO657" s="1065"/>
      <c r="CP657" s="1065"/>
      <c r="CQ657" s="1065"/>
      <c r="CR657" s="1065"/>
      <c r="CS657" s="1065"/>
      <c r="CT657" s="1065"/>
      <c r="CU657" s="1065"/>
      <c r="CV657" s="1065"/>
      <c r="CW657" s="1065"/>
      <c r="CX657" s="1065"/>
      <c r="CY657" s="1065"/>
      <c r="CZ657" s="1065"/>
      <c r="DA657" s="1065"/>
      <c r="DB657" s="1065"/>
    </row>
    <row r="658" spans="1:106" ht="15" customHeight="1">
      <c r="A658" s="1065"/>
      <c r="B658" s="1065"/>
      <c r="C658" s="1065"/>
      <c r="D658" s="1065"/>
      <c r="E658" s="1065"/>
      <c r="F658" s="1065"/>
      <c r="G658" s="1065"/>
      <c r="H658" s="1223"/>
      <c r="I658" s="1223"/>
      <c r="J658" s="1224"/>
      <c r="K658" s="1271" t="s">
        <v>1097</v>
      </c>
      <c r="L658" s="1283">
        <f>L653-L654-L655-L656-L657</f>
        <v>102167.84399999992</v>
      </c>
      <c r="M658" s="1271" t="s">
        <v>1072</v>
      </c>
      <c r="N658" s="1225"/>
      <c r="O658" s="1284" t="s">
        <v>1097</v>
      </c>
      <c r="P658" s="1285">
        <f>P653-P654-P655-P656-P657</f>
        <v>3712.2330000000002</v>
      </c>
      <c r="Q658" s="1286" t="s">
        <v>1072</v>
      </c>
      <c r="R658" s="1228"/>
      <c r="V658" s="1672" t="s">
        <v>1078</v>
      </c>
      <c r="W658" s="1672"/>
      <c r="X658" s="1672"/>
      <c r="Y658" s="1065"/>
      <c r="Z658" s="1672" t="s">
        <v>1078</v>
      </c>
      <c r="AA658" s="1672"/>
      <c r="AB658" s="1672"/>
      <c r="AC658" s="1065"/>
      <c r="AD658" s="1292"/>
      <c r="AE658" s="1293"/>
      <c r="AF658" s="1293"/>
      <c r="AG658" s="1293"/>
      <c r="AH658" s="1287" t="s">
        <v>1096</v>
      </c>
      <c r="AI658" s="1289">
        <f>AI654*0.2</f>
        <v>25763.558000000001</v>
      </c>
      <c r="AJ658" s="1287" t="s">
        <v>1072</v>
      </c>
      <c r="AK658" s="1294"/>
      <c r="AL658" s="1065"/>
      <c r="AM658" s="1065"/>
      <c r="AN658" s="1065"/>
      <c r="AO658" s="1065"/>
      <c r="AP658" s="1065"/>
      <c r="AQ658" s="1065"/>
      <c r="AR658" s="1065"/>
      <c r="AS658" s="1065"/>
      <c r="AT658" s="1065"/>
      <c r="AU658" s="1065"/>
      <c r="AV658" s="1065"/>
      <c r="AW658" s="1065"/>
      <c r="AX658" s="1065"/>
      <c r="AY658" s="1065"/>
      <c r="AZ658" s="1065"/>
      <c r="BA658" s="1065"/>
      <c r="BB658" s="1065"/>
      <c r="BC658" s="1065"/>
      <c r="BD658" s="1065"/>
      <c r="BE658" s="1065"/>
      <c r="BF658" s="1065"/>
      <c r="BG658" s="1065"/>
      <c r="BH658" s="1065"/>
      <c r="BI658" s="1065"/>
      <c r="BJ658" s="1065"/>
      <c r="BK658" s="1065"/>
      <c r="BL658" s="1065"/>
      <c r="BM658" s="1065"/>
      <c r="BN658" s="1065"/>
      <c r="BO658" s="1065"/>
      <c r="BP658" s="1065"/>
      <c r="BQ658" s="1065"/>
      <c r="BR658" s="1065"/>
      <c r="BS658" s="1065"/>
      <c r="BT658" s="1065"/>
      <c r="BU658" s="1065"/>
      <c r="BV658" s="1065"/>
      <c r="BW658" s="1065"/>
      <c r="BX658" s="1065"/>
      <c r="BY658" s="1065"/>
      <c r="BZ658" s="1065"/>
      <c r="CA658" s="1065"/>
      <c r="CB658" s="1065"/>
      <c r="CC658" s="1065"/>
      <c r="CD658" s="1065"/>
      <c r="CE658" s="1065"/>
      <c r="CF658" s="1065"/>
      <c r="CG658" s="1065"/>
      <c r="CH658" s="1065"/>
      <c r="CI658" s="1065"/>
      <c r="CJ658" s="1065"/>
      <c r="CK658" s="1065"/>
      <c r="CL658" s="1065"/>
      <c r="CM658" s="1065"/>
      <c r="CN658" s="1065"/>
      <c r="CO658" s="1065"/>
      <c r="CP658" s="1065"/>
      <c r="CQ658" s="1065"/>
      <c r="CR658" s="1065"/>
      <c r="CS658" s="1065"/>
      <c r="CT658" s="1065"/>
      <c r="CU658" s="1065"/>
      <c r="CV658" s="1065"/>
      <c r="CW658" s="1065"/>
      <c r="CX658" s="1065"/>
      <c r="CY658" s="1065"/>
      <c r="CZ658" s="1065"/>
      <c r="DA658" s="1065"/>
      <c r="DB658" s="1065"/>
    </row>
    <row r="659" spans="1:106" ht="15" customHeight="1" thickBot="1">
      <c r="A659" s="1065"/>
      <c r="B659" s="1065"/>
      <c r="C659" s="1065"/>
      <c r="D659" s="1065"/>
      <c r="E659" s="1065"/>
      <c r="F659" s="1065"/>
      <c r="G659" s="1065"/>
      <c r="H659" s="1223"/>
      <c r="I659" s="1223"/>
      <c r="J659" s="1224"/>
      <c r="K659" s="1224"/>
      <c r="L659" s="1224"/>
      <c r="M659" s="1225"/>
      <c r="N659" s="1225"/>
      <c r="O659" s="1226"/>
      <c r="P659" s="1227"/>
      <c r="Q659" s="1227"/>
      <c r="R659" s="1228"/>
      <c r="V659" s="1685" t="s">
        <v>1086</v>
      </c>
      <c r="W659" s="1685"/>
      <c r="X659" s="1685"/>
      <c r="Y659" s="1065"/>
      <c r="Z659" s="1685" t="s">
        <v>1098</v>
      </c>
      <c r="AA659" s="1685"/>
      <c r="AB659" s="1685"/>
      <c r="AC659" s="1065"/>
      <c r="AD659" s="1672" t="s">
        <v>1078</v>
      </c>
      <c r="AE659" s="1672"/>
      <c r="AF659" s="1672"/>
      <c r="AG659" s="1065"/>
      <c r="AH659" s="1065"/>
      <c r="AI659" s="1065"/>
      <c r="AJ659" s="1065"/>
      <c r="AK659" s="1065"/>
      <c r="AL659" s="1065"/>
      <c r="AM659" s="1065"/>
      <c r="AN659" s="1065"/>
      <c r="AO659" s="1065"/>
      <c r="AP659" s="1065"/>
      <c r="AQ659" s="1065"/>
      <c r="AR659" s="1065"/>
      <c r="AS659" s="1065"/>
      <c r="AT659" s="1065"/>
      <c r="AU659" s="1065"/>
      <c r="AV659" s="1065"/>
      <c r="AW659" s="1065"/>
      <c r="AX659" s="1065"/>
      <c r="AY659" s="1065"/>
      <c r="AZ659" s="1065"/>
      <c r="BA659" s="1065"/>
      <c r="BB659" s="1065"/>
      <c r="BC659" s="1065"/>
      <c r="BD659" s="1065"/>
      <c r="BE659" s="1065"/>
      <c r="BF659" s="1065"/>
      <c r="BG659" s="1065"/>
      <c r="BH659" s="1065"/>
      <c r="BI659" s="1065"/>
      <c r="BJ659" s="1065"/>
      <c r="BK659" s="1065"/>
      <c r="BL659" s="1065"/>
      <c r="BM659" s="1065"/>
      <c r="BN659" s="1065"/>
      <c r="BO659" s="1065"/>
      <c r="BP659" s="1065"/>
      <c r="BQ659" s="1065"/>
      <c r="BR659" s="1065"/>
      <c r="BS659" s="1065"/>
      <c r="BT659" s="1065"/>
      <c r="BU659" s="1065"/>
      <c r="BV659" s="1065"/>
      <c r="BW659" s="1065"/>
      <c r="BX659" s="1065"/>
      <c r="BY659" s="1065"/>
      <c r="BZ659" s="1065"/>
      <c r="CA659" s="1065"/>
      <c r="CB659" s="1065"/>
      <c r="CC659" s="1065"/>
      <c r="CD659" s="1065"/>
      <c r="CE659" s="1065"/>
      <c r="CF659" s="1065"/>
      <c r="CG659" s="1065"/>
      <c r="CH659" s="1065"/>
      <c r="CI659" s="1065"/>
      <c r="CJ659" s="1065"/>
      <c r="CK659" s="1065"/>
      <c r="CL659" s="1065"/>
      <c r="CM659" s="1065"/>
      <c r="CN659" s="1065"/>
      <c r="CO659" s="1065"/>
      <c r="CP659" s="1065"/>
      <c r="CQ659" s="1065"/>
      <c r="CR659" s="1065"/>
      <c r="CS659" s="1065"/>
      <c r="CT659" s="1065"/>
      <c r="CU659" s="1065"/>
      <c r="CV659" s="1065"/>
      <c r="CW659" s="1065"/>
      <c r="CX659" s="1065"/>
      <c r="CY659" s="1065"/>
      <c r="CZ659" s="1065"/>
      <c r="DA659" s="1065"/>
      <c r="DB659" s="1065"/>
    </row>
    <row r="660" spans="1:106" ht="15" customHeight="1">
      <c r="A660" s="1065"/>
      <c r="B660" s="1065"/>
      <c r="C660" s="1672" t="s">
        <v>1099</v>
      </c>
      <c r="D660" s="1672"/>
      <c r="E660" s="1672"/>
      <c r="F660" s="1672"/>
      <c r="G660" s="1672"/>
      <c r="H660" s="1223"/>
      <c r="I660" s="1674" t="s">
        <v>1078</v>
      </c>
      <c r="J660" s="1674"/>
      <c r="K660" s="1674"/>
      <c r="L660" s="1674"/>
      <c r="M660" s="1674"/>
      <c r="N660" s="1225"/>
      <c r="O660" s="1675" t="s">
        <v>1078</v>
      </c>
      <c r="P660" s="1675"/>
      <c r="Q660" s="1675"/>
      <c r="R660" s="1228"/>
      <c r="S660" s="1672"/>
      <c r="T660" s="1672"/>
      <c r="U660" s="1672"/>
      <c r="V660" s="1273" t="s">
        <v>6</v>
      </c>
      <c r="W660" s="1272">
        <v>262775.65000000002</v>
      </c>
      <c r="X660" s="1273" t="s">
        <v>1072</v>
      </c>
      <c r="Y660" s="1065"/>
      <c r="Z660" s="1273" t="s">
        <v>6</v>
      </c>
      <c r="AA660" s="1272">
        <v>13323.07</v>
      </c>
      <c r="AB660" s="1273" t="s">
        <v>1072</v>
      </c>
      <c r="AC660" s="1065"/>
      <c r="AD660" s="1664" t="s">
        <v>1086</v>
      </c>
      <c r="AE660" s="1664"/>
      <c r="AF660" s="1664"/>
      <c r="AG660" s="1065"/>
      <c r="AH660" s="1065"/>
      <c r="AI660" s="1065"/>
      <c r="AJ660" s="1065"/>
      <c r="AK660" s="1065"/>
      <c r="AL660" s="1065"/>
      <c r="AM660" s="1065"/>
      <c r="AN660" s="1065"/>
      <c r="AO660" s="1065"/>
      <c r="AP660" s="1065"/>
      <c r="AQ660" s="1065"/>
      <c r="AR660" s="1065"/>
      <c r="AS660" s="1065"/>
      <c r="AT660" s="1065"/>
      <c r="AU660" s="1065"/>
      <c r="AV660" s="1065"/>
      <c r="AW660" s="1065"/>
      <c r="AX660" s="1065"/>
      <c r="AY660" s="1065"/>
      <c r="AZ660" s="1065"/>
      <c r="BA660" s="1065"/>
      <c r="BB660" s="1065"/>
      <c r="BC660" s="1065"/>
      <c r="BD660" s="1065"/>
      <c r="BE660" s="1065"/>
      <c r="BF660" s="1065"/>
      <c r="BG660" s="1065"/>
      <c r="BH660" s="1065"/>
      <c r="BI660" s="1065"/>
      <c r="BJ660" s="1065"/>
      <c r="BK660" s="1065"/>
      <c r="BL660" s="1065"/>
      <c r="BM660" s="1065"/>
      <c r="BN660" s="1065"/>
      <c r="BO660" s="1065"/>
      <c r="BP660" s="1065"/>
      <c r="BQ660" s="1065"/>
      <c r="BR660" s="1065"/>
      <c r="BS660" s="1065"/>
      <c r="BT660" s="1065"/>
      <c r="BU660" s="1065"/>
      <c r="BV660" s="1065"/>
      <c r="BW660" s="1065"/>
      <c r="BX660" s="1065"/>
      <c r="BY660" s="1065"/>
      <c r="BZ660" s="1065"/>
      <c r="CA660" s="1065"/>
      <c r="CB660" s="1065"/>
      <c r="CC660" s="1065"/>
      <c r="CD660" s="1065"/>
      <c r="CE660" s="1065"/>
      <c r="CF660" s="1065"/>
      <c r="CG660" s="1065"/>
      <c r="CH660" s="1065"/>
      <c r="CI660" s="1065"/>
      <c r="CJ660" s="1065"/>
      <c r="CK660" s="1065"/>
      <c r="CL660" s="1065"/>
      <c r="CM660" s="1065"/>
      <c r="CN660" s="1065"/>
      <c r="CO660" s="1065"/>
      <c r="CP660" s="1065"/>
      <c r="CQ660" s="1065"/>
      <c r="CR660" s="1065"/>
      <c r="CS660" s="1065"/>
      <c r="CT660" s="1065"/>
      <c r="CU660" s="1065"/>
      <c r="CV660" s="1065"/>
      <c r="CW660" s="1065"/>
      <c r="CX660" s="1065"/>
      <c r="CY660" s="1065"/>
      <c r="CZ660" s="1065"/>
      <c r="DA660" s="1065"/>
      <c r="DB660" s="1065"/>
    </row>
    <row r="661" spans="1:106" ht="15" customHeight="1">
      <c r="A661" s="1065"/>
      <c r="B661" s="1065"/>
      <c r="C661" s="1676" t="s">
        <v>1100</v>
      </c>
      <c r="D661" s="1676"/>
      <c r="E661" s="1676"/>
      <c r="F661" s="1676"/>
      <c r="G661" s="1676"/>
      <c r="H661" s="1223"/>
      <c r="I661" s="1668" t="s">
        <v>1100</v>
      </c>
      <c r="J661" s="1668"/>
      <c r="K661" s="1668"/>
      <c r="L661" s="1668"/>
      <c r="M661" s="1668"/>
      <c r="N661" s="1225"/>
      <c r="O661" s="1666" t="s">
        <v>1069</v>
      </c>
      <c r="P661" s="1666"/>
      <c r="Q661" s="1666"/>
      <c r="R661" s="1228"/>
      <c r="S661" s="1677"/>
      <c r="T661" s="1677"/>
      <c r="U661" s="1677"/>
      <c r="V661" s="1273" t="s">
        <v>550</v>
      </c>
      <c r="W661" s="1274">
        <f>W660*0.55</f>
        <v>144526.60750000001</v>
      </c>
      <c r="X661" s="1273" t="s">
        <v>1072</v>
      </c>
      <c r="Y661" s="1065"/>
      <c r="Z661" s="1273" t="s">
        <v>669</v>
      </c>
      <c r="AA661" s="1274">
        <f>AA660*0.4</f>
        <v>5329.2280000000001</v>
      </c>
      <c r="AB661" s="1273" t="s">
        <v>1072</v>
      </c>
      <c r="AC661" s="1065"/>
      <c r="AD661" s="1273" t="s">
        <v>6</v>
      </c>
      <c r="AE661" s="1295">
        <v>132372.12</v>
      </c>
      <c r="AF661" s="1273" t="s">
        <v>1072</v>
      </c>
      <c r="AG661" s="1065"/>
      <c r="AH661" s="1065"/>
      <c r="AI661" s="1065"/>
      <c r="AJ661" s="1065"/>
      <c r="AK661" s="1065"/>
      <c r="AL661" s="1065"/>
      <c r="AM661" s="1065"/>
      <c r="AN661" s="1065"/>
      <c r="AO661" s="1065"/>
      <c r="AP661" s="1065"/>
      <c r="AQ661" s="1065"/>
      <c r="AR661" s="1065"/>
      <c r="AS661" s="1065"/>
      <c r="AT661" s="1065"/>
      <c r="AU661" s="1065"/>
      <c r="AV661" s="1065"/>
      <c r="AW661" s="1065"/>
      <c r="AX661" s="1065"/>
      <c r="AY661" s="1065"/>
      <c r="AZ661" s="1065"/>
      <c r="BA661" s="1065"/>
      <c r="BB661" s="1065"/>
      <c r="BC661" s="1065"/>
      <c r="BD661" s="1065"/>
      <c r="BE661" s="1065"/>
      <c r="BF661" s="1065"/>
      <c r="BG661" s="1065"/>
      <c r="BH661" s="1065"/>
      <c r="BI661" s="1065"/>
      <c r="BJ661" s="1065"/>
      <c r="BK661" s="1065"/>
      <c r="BL661" s="1065"/>
      <c r="BM661" s="1065"/>
      <c r="BN661" s="1065"/>
      <c r="BO661" s="1065"/>
      <c r="BP661" s="1065"/>
      <c r="BQ661" s="1065"/>
      <c r="BR661" s="1065"/>
      <c r="BS661" s="1065"/>
      <c r="BT661" s="1065"/>
      <c r="BU661" s="1065"/>
      <c r="BV661" s="1065"/>
      <c r="BW661" s="1065"/>
      <c r="BX661" s="1065"/>
      <c r="BY661" s="1065"/>
      <c r="BZ661" s="1065"/>
      <c r="CA661" s="1065"/>
      <c r="CB661" s="1065"/>
      <c r="CC661" s="1065"/>
      <c r="CD661" s="1065"/>
      <c r="CE661" s="1065"/>
      <c r="CF661" s="1065"/>
      <c r="CG661" s="1065"/>
      <c r="CH661" s="1065"/>
      <c r="CI661" s="1065"/>
      <c r="CJ661" s="1065"/>
      <c r="CK661" s="1065"/>
      <c r="CL661" s="1065"/>
      <c r="CM661" s="1065"/>
      <c r="CN661" s="1065"/>
      <c r="CO661" s="1065"/>
      <c r="CP661" s="1065"/>
      <c r="CQ661" s="1065"/>
      <c r="CR661" s="1065"/>
      <c r="CS661" s="1065"/>
      <c r="CT661" s="1065"/>
      <c r="CU661" s="1065"/>
      <c r="CV661" s="1065"/>
      <c r="CW661" s="1065"/>
      <c r="CX661" s="1065"/>
      <c r="CY661" s="1065"/>
      <c r="CZ661" s="1065"/>
      <c r="DA661" s="1065"/>
      <c r="DB661" s="1065"/>
    </row>
    <row r="662" spans="1:106" ht="15" customHeight="1">
      <c r="A662" s="1065"/>
      <c r="B662" s="1065"/>
      <c r="C662" s="1273" t="s">
        <v>6</v>
      </c>
      <c r="D662" s="1283">
        <f>D663+D665+D667</f>
        <v>244</v>
      </c>
      <c r="E662" s="1274" t="s">
        <v>1101</v>
      </c>
      <c r="F662" s="1283">
        <f>SUM(F663:F668)</f>
        <v>6529.4400000000005</v>
      </c>
      <c r="G662" s="1273" t="s">
        <v>1072</v>
      </c>
      <c r="H662" s="1223"/>
      <c r="I662" s="1296" t="s">
        <v>6</v>
      </c>
      <c r="J662" s="1283">
        <f>J663+J664+J665</f>
        <v>244</v>
      </c>
      <c r="K662" s="1283" t="s">
        <v>1101</v>
      </c>
      <c r="L662" s="1283">
        <f>L663+L664+L665</f>
        <v>7835.3279999999995</v>
      </c>
      <c r="M662" s="1297" t="s">
        <v>1072</v>
      </c>
      <c r="N662" s="1225"/>
      <c r="O662" s="1271" t="s">
        <v>6</v>
      </c>
      <c r="P662" s="1285">
        <v>474924.54</v>
      </c>
      <c r="Q662" s="1286" t="s">
        <v>1072</v>
      </c>
      <c r="R662" s="1228"/>
      <c r="S662" s="1271"/>
      <c r="T662" s="1272"/>
      <c r="U662" s="1273"/>
      <c r="V662" s="1273" t="s">
        <v>1102</v>
      </c>
      <c r="W662" s="1274">
        <f>W660*0.25</f>
        <v>65693.912500000006</v>
      </c>
      <c r="X662" s="1273" t="s">
        <v>1072</v>
      </c>
      <c r="Y662" s="1065"/>
      <c r="Z662" s="1273" t="s">
        <v>1088</v>
      </c>
      <c r="AA662" s="1274">
        <f>AA660*0.25</f>
        <v>3330.7674999999999</v>
      </c>
      <c r="AB662" s="1273" t="s">
        <v>1072</v>
      </c>
      <c r="AC662" s="1065"/>
      <c r="AD662" s="1273" t="s">
        <v>115</v>
      </c>
      <c r="AE662" s="1274">
        <f>AE661*0.5</f>
        <v>66186.06</v>
      </c>
      <c r="AF662" s="1273" t="s">
        <v>1072</v>
      </c>
      <c r="AG662" s="1065"/>
      <c r="AH662" s="1065"/>
      <c r="AI662" s="1065"/>
      <c r="AJ662" s="1065"/>
      <c r="AK662" s="1065"/>
      <c r="AL662" s="1065"/>
      <c r="AM662" s="1065"/>
      <c r="AN662" s="1065"/>
      <c r="AO662" s="1065"/>
      <c r="AP662" s="1065"/>
      <c r="AQ662" s="1065"/>
      <c r="AR662" s="1065"/>
      <c r="AS662" s="1065"/>
      <c r="AT662" s="1065"/>
      <c r="AU662" s="1065"/>
      <c r="AV662" s="1065"/>
      <c r="AW662" s="1065"/>
      <c r="AX662" s="1065"/>
      <c r="AY662" s="1065"/>
      <c r="AZ662" s="1065"/>
      <c r="BA662" s="1065"/>
      <c r="BB662" s="1065"/>
      <c r="BC662" s="1065"/>
      <c r="BD662" s="1065"/>
      <c r="BE662" s="1065"/>
      <c r="BF662" s="1065"/>
      <c r="BG662" s="1065"/>
      <c r="BH662" s="1065"/>
      <c r="BI662" s="1065"/>
      <c r="BJ662" s="1065"/>
      <c r="BK662" s="1065"/>
      <c r="BL662" s="1065"/>
      <c r="BM662" s="1065"/>
      <c r="BN662" s="1065"/>
      <c r="BO662" s="1065"/>
      <c r="BP662" s="1065"/>
      <c r="BQ662" s="1065"/>
      <c r="BR662" s="1065"/>
      <c r="BS662" s="1065"/>
      <c r="BT662" s="1065"/>
      <c r="BU662" s="1065"/>
      <c r="BV662" s="1065"/>
      <c r="BW662" s="1065"/>
      <c r="BX662" s="1065"/>
      <c r="BY662" s="1065"/>
      <c r="BZ662" s="1065"/>
      <c r="CA662" s="1065"/>
      <c r="CB662" s="1065"/>
      <c r="CC662" s="1065"/>
      <c r="CD662" s="1065"/>
      <c r="CE662" s="1065"/>
      <c r="CF662" s="1065"/>
      <c r="CG662" s="1065"/>
      <c r="CH662" s="1065"/>
      <c r="CI662" s="1065"/>
      <c r="CJ662" s="1065"/>
      <c r="CK662" s="1065"/>
      <c r="CL662" s="1065"/>
      <c r="CM662" s="1065"/>
      <c r="CN662" s="1065"/>
      <c r="CO662" s="1065"/>
      <c r="CP662" s="1065"/>
      <c r="CQ662" s="1065"/>
      <c r="CR662" s="1065"/>
      <c r="CS662" s="1065"/>
      <c r="CT662" s="1065"/>
      <c r="CU662" s="1065"/>
      <c r="CV662" s="1065"/>
      <c r="CW662" s="1065"/>
      <c r="CX662" s="1065"/>
      <c r="CY662" s="1065"/>
      <c r="CZ662" s="1065"/>
      <c r="DA662" s="1065"/>
      <c r="DB662" s="1065"/>
    </row>
    <row r="663" spans="1:106" ht="15" customHeight="1">
      <c r="A663" s="1065"/>
      <c r="B663" s="1065"/>
      <c r="C663" s="1672" t="s">
        <v>108</v>
      </c>
      <c r="D663" s="1272">
        <v>61</v>
      </c>
      <c r="E663" s="1274" t="s">
        <v>1101</v>
      </c>
      <c r="F663" s="1272">
        <v>630.74</v>
      </c>
      <c r="G663" s="1273" t="s">
        <v>1072</v>
      </c>
      <c r="H663" s="1223"/>
      <c r="I663" s="1296" t="s">
        <v>686</v>
      </c>
      <c r="J663" s="1283">
        <f>D665</f>
        <v>80</v>
      </c>
      <c r="K663" s="1283" t="s">
        <v>1101</v>
      </c>
      <c r="L663" s="1283">
        <f>1.2*(F665+F666)</f>
        <v>2568.96</v>
      </c>
      <c r="M663" s="1297" t="s">
        <v>1072</v>
      </c>
      <c r="N663" s="1225"/>
      <c r="O663" s="1271" t="s">
        <v>692</v>
      </c>
      <c r="P663" s="1285">
        <f>P662*0.45</f>
        <v>213716.04300000001</v>
      </c>
      <c r="Q663" s="1286" t="s">
        <v>1072</v>
      </c>
      <c r="R663" s="1228"/>
      <c r="S663" s="1271"/>
      <c r="T663" s="1274"/>
      <c r="U663" s="1273"/>
      <c r="V663" s="1273" t="s">
        <v>1103</v>
      </c>
      <c r="W663" s="1274">
        <f>W660-W661-W662-W664</f>
        <v>13138.782500000001</v>
      </c>
      <c r="X663" s="1273" t="s">
        <v>1072</v>
      </c>
      <c r="Y663" s="1065"/>
      <c r="Z663" s="1273" t="s">
        <v>1091</v>
      </c>
      <c r="AA663" s="1274">
        <f>AA660-AA661-AA662-AA664</f>
        <v>1332.3069999999998</v>
      </c>
      <c r="AB663" s="1273" t="s">
        <v>1072</v>
      </c>
      <c r="AC663" s="1065"/>
      <c r="AD663" s="1273" t="s">
        <v>718</v>
      </c>
      <c r="AE663" s="1274">
        <f>AE661*0.25</f>
        <v>33093.03</v>
      </c>
      <c r="AF663" s="1273" t="s">
        <v>1072</v>
      </c>
      <c r="AG663" s="1065"/>
      <c r="AH663" s="1065"/>
      <c r="AI663" s="1065"/>
      <c r="AJ663" s="1065"/>
      <c r="AK663" s="1065"/>
      <c r="AL663" s="1065"/>
      <c r="AM663" s="1065"/>
      <c r="AN663" s="1065"/>
      <c r="AO663" s="1065"/>
      <c r="AP663" s="1065"/>
      <c r="AQ663" s="1065"/>
      <c r="AR663" s="1065"/>
      <c r="AS663" s="1065"/>
      <c r="AT663" s="1065"/>
      <c r="AU663" s="1065"/>
      <c r="AV663" s="1065"/>
      <c r="AW663" s="1065"/>
      <c r="AX663" s="1065"/>
      <c r="AY663" s="1065"/>
      <c r="AZ663" s="1065"/>
      <c r="BA663" s="1065"/>
      <c r="BB663" s="1065"/>
      <c r="BC663" s="1065"/>
      <c r="BD663" s="1065"/>
      <c r="BE663" s="1065"/>
      <c r="BF663" s="1065"/>
      <c r="BG663" s="1065"/>
      <c r="BH663" s="1065"/>
      <c r="BI663" s="1065"/>
      <c r="BJ663" s="1065"/>
      <c r="BK663" s="1065"/>
      <c r="BL663" s="1065"/>
      <c r="BM663" s="1065"/>
      <c r="BN663" s="1065"/>
      <c r="BO663" s="1065"/>
      <c r="BP663" s="1065"/>
      <c r="BQ663" s="1065"/>
      <c r="BR663" s="1065"/>
      <c r="BS663" s="1065"/>
      <c r="BT663" s="1065"/>
      <c r="BU663" s="1065"/>
      <c r="BV663" s="1065"/>
      <c r="BW663" s="1065"/>
      <c r="BX663" s="1065"/>
      <c r="BY663" s="1065"/>
      <c r="BZ663" s="1065"/>
      <c r="CA663" s="1065"/>
      <c r="CB663" s="1065"/>
      <c r="CC663" s="1065"/>
      <c r="CD663" s="1065"/>
      <c r="CE663" s="1065"/>
      <c r="CF663" s="1065"/>
      <c r="CG663" s="1065"/>
      <c r="CH663" s="1065"/>
      <c r="CI663" s="1065"/>
      <c r="CJ663" s="1065"/>
      <c r="CK663" s="1065"/>
      <c r="CL663" s="1065"/>
      <c r="CM663" s="1065"/>
      <c r="CN663" s="1065"/>
      <c r="CO663" s="1065"/>
      <c r="CP663" s="1065"/>
      <c r="CQ663" s="1065"/>
      <c r="CR663" s="1065"/>
      <c r="CS663" s="1065"/>
      <c r="CT663" s="1065"/>
      <c r="CU663" s="1065"/>
      <c r="CV663" s="1065"/>
      <c r="CW663" s="1065"/>
      <c r="CX663" s="1065"/>
      <c r="CY663" s="1065"/>
      <c r="CZ663" s="1065"/>
      <c r="DA663" s="1065"/>
      <c r="DB663" s="1065"/>
    </row>
    <row r="664" spans="1:106" ht="15" customHeight="1">
      <c r="A664" s="1065"/>
      <c r="B664" s="1065"/>
      <c r="C664" s="1672"/>
      <c r="D664" s="1272">
        <v>61</v>
      </c>
      <c r="E664" s="1274" t="s">
        <v>1101</v>
      </c>
      <c r="F664" s="1272">
        <v>1001.62</v>
      </c>
      <c r="G664" s="1273" t="s">
        <v>1072</v>
      </c>
      <c r="H664" s="1223"/>
      <c r="I664" s="1296" t="s">
        <v>108</v>
      </c>
      <c r="J664" s="1283">
        <f>D663</f>
        <v>61</v>
      </c>
      <c r="K664" s="1283" t="s">
        <v>1101</v>
      </c>
      <c r="L664" s="1283">
        <f>1.2*(F663+F664)</f>
        <v>1958.8320000000001</v>
      </c>
      <c r="M664" s="1297" t="s">
        <v>1072</v>
      </c>
      <c r="N664" s="1225"/>
      <c r="O664" s="1271" t="s">
        <v>1073</v>
      </c>
      <c r="P664" s="1285">
        <f>P662*0.4</f>
        <v>189969.81599999999</v>
      </c>
      <c r="Q664" s="1286" t="s">
        <v>1072</v>
      </c>
      <c r="R664" s="1228"/>
      <c r="S664" s="1271"/>
      <c r="T664" s="1274"/>
      <c r="U664" s="1273"/>
      <c r="V664" s="1273" t="s">
        <v>1104</v>
      </c>
      <c r="W664" s="1274">
        <f>W660*0.15</f>
        <v>39416.347500000003</v>
      </c>
      <c r="X664" s="1273" t="s">
        <v>1072</v>
      </c>
      <c r="Y664" s="1065"/>
      <c r="Z664" s="1273" t="s">
        <v>1094</v>
      </c>
      <c r="AA664" s="1274">
        <f>AA660*0.25</f>
        <v>3330.7674999999999</v>
      </c>
      <c r="AB664" s="1273" t="s">
        <v>1072</v>
      </c>
      <c r="AC664" s="1065"/>
      <c r="AD664" s="1273" t="s">
        <v>1093</v>
      </c>
      <c r="AE664" s="1274">
        <f>AE661*0.05</f>
        <v>6618.6059999999998</v>
      </c>
      <c r="AF664" s="1273" t="s">
        <v>1072</v>
      </c>
      <c r="AG664" s="1065"/>
      <c r="AH664" s="1065"/>
      <c r="AI664" s="1065"/>
      <c r="AJ664" s="1065"/>
      <c r="AK664" s="1065"/>
      <c r="AL664" s="1065"/>
      <c r="AM664" s="1065"/>
      <c r="AN664" s="1065"/>
      <c r="AO664" s="1065"/>
      <c r="AP664" s="1065"/>
      <c r="AQ664" s="1065"/>
      <c r="AR664" s="1065"/>
      <c r="AS664" s="1065"/>
      <c r="AT664" s="1065"/>
      <c r="AU664" s="1065"/>
      <c r="AV664" s="1065"/>
      <c r="AW664" s="1065"/>
      <c r="AX664" s="1065"/>
      <c r="AY664" s="1065"/>
      <c r="AZ664" s="1065"/>
      <c r="BA664" s="1065"/>
      <c r="BB664" s="1065"/>
      <c r="BC664" s="1065"/>
      <c r="BD664" s="1065"/>
      <c r="BE664" s="1065"/>
      <c r="BF664" s="1065"/>
      <c r="BG664" s="1065"/>
      <c r="BH664" s="1065"/>
      <c r="BI664" s="1065"/>
      <c r="BJ664" s="1065"/>
      <c r="BK664" s="1065"/>
      <c r="BL664" s="1065"/>
      <c r="BM664" s="1065"/>
      <c r="BN664" s="1065"/>
      <c r="BO664" s="1065"/>
      <c r="BP664" s="1065"/>
      <c r="BQ664" s="1065"/>
      <c r="BR664" s="1065"/>
      <c r="BS664" s="1065"/>
      <c r="BT664" s="1065"/>
      <c r="BU664" s="1065"/>
      <c r="BV664" s="1065"/>
      <c r="BW664" s="1065"/>
      <c r="BX664" s="1065"/>
      <c r="BY664" s="1065"/>
      <c r="BZ664" s="1065"/>
      <c r="CA664" s="1065"/>
      <c r="CB664" s="1065"/>
      <c r="CC664" s="1065"/>
      <c r="CD664" s="1065"/>
      <c r="CE664" s="1065"/>
      <c r="CF664" s="1065"/>
      <c r="CG664" s="1065"/>
      <c r="CH664" s="1065"/>
      <c r="CI664" s="1065"/>
      <c r="CJ664" s="1065"/>
      <c r="CK664" s="1065"/>
      <c r="CL664" s="1065"/>
      <c r="CM664" s="1065"/>
      <c r="CN664" s="1065"/>
      <c r="CO664" s="1065"/>
      <c r="CP664" s="1065"/>
      <c r="CQ664" s="1065"/>
      <c r="CR664" s="1065"/>
      <c r="CS664" s="1065"/>
      <c r="CT664" s="1065"/>
      <c r="CU664" s="1065"/>
      <c r="CV664" s="1065"/>
      <c r="CW664" s="1065"/>
      <c r="CX664" s="1065"/>
      <c r="CY664" s="1065"/>
      <c r="CZ664" s="1065"/>
      <c r="DA664" s="1065"/>
      <c r="DB664" s="1065"/>
    </row>
    <row r="665" spans="1:106" ht="15" customHeight="1" thickBot="1">
      <c r="A665" s="1065"/>
      <c r="B665" s="1065"/>
      <c r="C665" s="1672" t="s">
        <v>686</v>
      </c>
      <c r="D665" s="1272">
        <v>80</v>
      </c>
      <c r="E665" s="1274" t="s">
        <v>1101</v>
      </c>
      <c r="F665" s="1272">
        <v>827.2</v>
      </c>
      <c r="G665" s="1273" t="s">
        <v>1072</v>
      </c>
      <c r="H665" s="1223"/>
      <c r="I665" s="1298" t="s">
        <v>109</v>
      </c>
      <c r="J665" s="1299">
        <f>D667</f>
        <v>103</v>
      </c>
      <c r="K665" s="1299" t="s">
        <v>1101</v>
      </c>
      <c r="L665" s="1299">
        <f>1.2*(F667+F668)</f>
        <v>3307.5359999999996</v>
      </c>
      <c r="M665" s="1300" t="s">
        <v>1072</v>
      </c>
      <c r="N665" s="1225"/>
      <c r="O665" s="1271" t="s">
        <v>1075</v>
      </c>
      <c r="P665" s="1285">
        <f>P662-P663-P664-P666</f>
        <v>71238.680999999982</v>
      </c>
      <c r="Q665" s="1286" t="s">
        <v>1072</v>
      </c>
      <c r="R665" s="1228"/>
      <c r="S665" s="1271"/>
      <c r="T665" s="1274"/>
      <c r="U665" s="1273"/>
      <c r="V665" s="1065"/>
      <c r="W665" s="1065"/>
      <c r="X665" s="1065"/>
      <c r="Y665" s="1065"/>
      <c r="Z665" s="1065"/>
      <c r="AA665" s="1065"/>
      <c r="AB665" s="1065"/>
      <c r="AC665" s="1065"/>
      <c r="AD665" s="1273" t="s">
        <v>1096</v>
      </c>
      <c r="AE665" s="1274">
        <f>AE661*0.2</f>
        <v>26474.423999999999</v>
      </c>
      <c r="AF665" s="1273" t="s">
        <v>1072</v>
      </c>
      <c r="AG665" s="1065"/>
      <c r="AH665" s="1065"/>
      <c r="AI665" s="1065"/>
      <c r="AJ665" s="1065"/>
      <c r="AK665" s="1065"/>
      <c r="AL665" s="1065"/>
      <c r="AM665" s="1065"/>
      <c r="AN665" s="1065"/>
      <c r="AO665" s="1065"/>
      <c r="AP665" s="1065"/>
      <c r="AQ665" s="1065"/>
      <c r="AR665" s="1065"/>
      <c r="AS665" s="1065"/>
      <c r="AT665" s="1065"/>
      <c r="AU665" s="1065"/>
      <c r="AV665" s="1065"/>
      <c r="AW665" s="1065"/>
      <c r="AX665" s="1065"/>
      <c r="AY665" s="1065"/>
      <c r="AZ665" s="1065"/>
      <c r="BA665" s="1065"/>
      <c r="BB665" s="1065"/>
      <c r="BC665" s="1065"/>
      <c r="BD665" s="1065"/>
      <c r="BE665" s="1065"/>
      <c r="BF665" s="1065"/>
      <c r="BG665" s="1065"/>
      <c r="BH665" s="1065"/>
      <c r="BI665" s="1065"/>
      <c r="BJ665" s="1065"/>
      <c r="BK665" s="1065"/>
      <c r="BL665" s="1065"/>
      <c r="BM665" s="1065"/>
      <c r="BN665" s="1065"/>
      <c r="BO665" s="1065"/>
      <c r="BP665" s="1065"/>
      <c r="BQ665" s="1065"/>
      <c r="BR665" s="1065"/>
      <c r="BS665" s="1065"/>
      <c r="BT665" s="1065"/>
      <c r="BU665" s="1065"/>
      <c r="BV665" s="1065"/>
      <c r="BW665" s="1065"/>
      <c r="BX665" s="1065"/>
      <c r="BY665" s="1065"/>
      <c r="BZ665" s="1065"/>
      <c r="CA665" s="1065"/>
      <c r="CB665" s="1065"/>
      <c r="CC665" s="1065"/>
      <c r="CD665" s="1065"/>
      <c r="CE665" s="1065"/>
      <c r="CF665" s="1065"/>
      <c r="CG665" s="1065"/>
      <c r="CH665" s="1065"/>
      <c r="CI665" s="1065"/>
      <c r="CJ665" s="1065"/>
      <c r="CK665" s="1065"/>
      <c r="CL665" s="1065"/>
      <c r="CM665" s="1065"/>
      <c r="CN665" s="1065"/>
      <c r="CO665" s="1065"/>
      <c r="CP665" s="1065"/>
      <c r="CQ665" s="1065"/>
      <c r="CR665" s="1065"/>
      <c r="CS665" s="1065"/>
      <c r="CT665" s="1065"/>
      <c r="CU665" s="1065"/>
      <c r="CV665" s="1065"/>
      <c r="CW665" s="1065"/>
      <c r="CX665" s="1065"/>
      <c r="CY665" s="1065"/>
      <c r="CZ665" s="1065"/>
      <c r="DA665" s="1065"/>
      <c r="DB665" s="1065"/>
    </row>
    <row r="666" spans="1:106" ht="15" customHeight="1">
      <c r="A666" s="1065"/>
      <c r="B666" s="1065"/>
      <c r="C666" s="1672"/>
      <c r="D666" s="1272">
        <v>80</v>
      </c>
      <c r="E666" s="1274" t="s">
        <v>1101</v>
      </c>
      <c r="F666" s="1272">
        <v>1313.6</v>
      </c>
      <c r="G666" s="1273" t="s">
        <v>1072</v>
      </c>
      <c r="H666" s="1223"/>
      <c r="I666" s="1223"/>
      <c r="J666" s="1224"/>
      <c r="K666" s="1224"/>
      <c r="L666" s="1224"/>
      <c r="M666" s="1225"/>
      <c r="N666" s="1225"/>
      <c r="O666" s="1271"/>
      <c r="P666" s="1285"/>
      <c r="Q666" s="1286"/>
      <c r="R666" s="1228"/>
      <c r="S666" s="1224"/>
      <c r="T666" s="1229"/>
      <c r="U666" s="1065"/>
      <c r="V666" s="1065"/>
      <c r="W666" s="1065"/>
      <c r="X666" s="1065"/>
      <c r="Y666" s="1065"/>
      <c r="Z666" s="1065"/>
      <c r="AA666" s="1065"/>
      <c r="AB666" s="1065"/>
      <c r="AC666" s="1065"/>
      <c r="AD666" s="1065"/>
      <c r="AE666" s="1065"/>
      <c r="AF666" s="1065"/>
      <c r="AG666" s="1065"/>
      <c r="AH666" s="1065"/>
      <c r="AI666" s="1065"/>
      <c r="AJ666" s="1065"/>
      <c r="AK666" s="1065"/>
      <c r="AL666" s="1065"/>
      <c r="AM666" s="1065"/>
      <c r="AN666" s="1065"/>
      <c r="AO666" s="1065"/>
      <c r="AP666" s="1065"/>
      <c r="AQ666" s="1065"/>
      <c r="AR666" s="1065"/>
      <c r="AS666" s="1065"/>
      <c r="AT666" s="1065"/>
      <c r="AU666" s="1065"/>
      <c r="AV666" s="1065"/>
      <c r="AW666" s="1065"/>
      <c r="AX666" s="1065"/>
      <c r="AY666" s="1065"/>
      <c r="AZ666" s="1065"/>
      <c r="BA666" s="1065"/>
      <c r="BB666" s="1065"/>
      <c r="BC666" s="1065"/>
      <c r="BD666" s="1065"/>
      <c r="BE666" s="1065"/>
      <c r="BF666" s="1065"/>
      <c r="BG666" s="1065"/>
      <c r="BH666" s="1065"/>
      <c r="BI666" s="1065"/>
      <c r="BJ666" s="1065"/>
      <c r="BK666" s="1065"/>
      <c r="BL666" s="1065"/>
      <c r="BM666" s="1065"/>
      <c r="BN666" s="1065"/>
      <c r="BO666" s="1065"/>
      <c r="BP666" s="1065"/>
      <c r="BQ666" s="1065"/>
      <c r="BR666" s="1065"/>
      <c r="BS666" s="1065"/>
      <c r="BT666" s="1065"/>
      <c r="BU666" s="1065"/>
      <c r="BV666" s="1065"/>
      <c r="BW666" s="1065"/>
      <c r="BX666" s="1065"/>
      <c r="BY666" s="1065"/>
      <c r="BZ666" s="1065"/>
      <c r="CA666" s="1065"/>
      <c r="CB666" s="1065"/>
      <c r="CC666" s="1065"/>
      <c r="CD666" s="1065"/>
      <c r="CE666" s="1065"/>
      <c r="CF666" s="1065"/>
      <c r="CG666" s="1065"/>
      <c r="CH666" s="1065"/>
      <c r="CI666" s="1065"/>
      <c r="CJ666" s="1065"/>
      <c r="CK666" s="1065"/>
      <c r="CL666" s="1065"/>
      <c r="CM666" s="1065"/>
      <c r="CN666" s="1065"/>
      <c r="CO666" s="1065"/>
      <c r="CP666" s="1065"/>
      <c r="CQ666" s="1065"/>
      <c r="CR666" s="1065"/>
      <c r="CS666" s="1065"/>
      <c r="CT666" s="1065"/>
      <c r="CU666" s="1065"/>
      <c r="CV666" s="1065"/>
      <c r="CW666" s="1065"/>
      <c r="CX666" s="1065"/>
      <c r="CY666" s="1065"/>
      <c r="CZ666" s="1065"/>
      <c r="DA666" s="1065"/>
      <c r="DB666" s="1065"/>
    </row>
    <row r="667" spans="1:106" ht="15" customHeight="1">
      <c r="A667" s="1065"/>
      <c r="B667" s="1065"/>
      <c r="C667" s="1672" t="s">
        <v>109</v>
      </c>
      <c r="D667" s="1272">
        <v>103</v>
      </c>
      <c r="E667" s="1274" t="s">
        <v>1101</v>
      </c>
      <c r="F667" s="1272">
        <v>1065.02</v>
      </c>
      <c r="G667" s="1273" t="s">
        <v>1072</v>
      </c>
      <c r="H667" s="1223"/>
      <c r="I667" s="1223"/>
      <c r="J667" s="1224"/>
      <c r="K667" s="1224"/>
      <c r="L667" s="1224"/>
      <c r="M667" s="1225"/>
      <c r="N667" s="1225"/>
      <c r="O667" s="1226"/>
      <c r="P667" s="1227"/>
      <c r="Q667" s="1227"/>
      <c r="R667" s="1228"/>
      <c r="S667" s="1224"/>
      <c r="T667" s="1229"/>
      <c r="U667" s="1065"/>
      <c r="V667" s="1065"/>
      <c r="W667" s="1065"/>
      <c r="Y667" s="1065"/>
      <c r="Z667" s="1065"/>
      <c r="AA667" s="1065"/>
      <c r="AB667" s="1065"/>
      <c r="AC667" s="1065"/>
      <c r="AD667" s="1065"/>
      <c r="AE667" s="1065"/>
      <c r="AF667" s="1065"/>
      <c r="AG667" s="1065"/>
      <c r="AH667" s="1065"/>
      <c r="AI667" s="1065"/>
      <c r="AJ667" s="1065"/>
      <c r="AK667" s="1065"/>
      <c r="AL667" s="1065"/>
      <c r="AM667" s="1065"/>
      <c r="AN667" s="1065"/>
      <c r="AO667" s="1065"/>
      <c r="AP667" s="1065"/>
      <c r="AQ667" s="1065"/>
      <c r="AR667" s="1065"/>
      <c r="AS667" s="1065"/>
      <c r="AT667" s="1065"/>
      <c r="AU667" s="1065"/>
      <c r="AV667" s="1065"/>
      <c r="AW667" s="1065"/>
      <c r="AX667" s="1065"/>
      <c r="AY667" s="1065"/>
      <c r="AZ667" s="1065"/>
      <c r="BA667" s="1065"/>
      <c r="BB667" s="1065"/>
      <c r="BC667" s="1065"/>
      <c r="BD667" s="1065"/>
      <c r="BE667" s="1065"/>
      <c r="BF667" s="1065"/>
      <c r="BG667" s="1065"/>
      <c r="BH667" s="1065"/>
      <c r="BI667" s="1065"/>
      <c r="BJ667" s="1065"/>
      <c r="BK667" s="1065"/>
      <c r="BL667" s="1065"/>
      <c r="BM667" s="1065"/>
      <c r="BN667" s="1065"/>
      <c r="BO667" s="1065"/>
      <c r="BP667" s="1065"/>
      <c r="BQ667" s="1065"/>
      <c r="BR667" s="1065"/>
      <c r="BS667" s="1065"/>
      <c r="BT667" s="1065"/>
      <c r="BU667" s="1065"/>
      <c r="BV667" s="1065"/>
      <c r="BW667" s="1065"/>
      <c r="BX667" s="1065"/>
      <c r="BY667" s="1065"/>
      <c r="BZ667" s="1065"/>
      <c r="CA667" s="1065"/>
      <c r="CB667" s="1065"/>
      <c r="CC667" s="1065"/>
      <c r="CD667" s="1065"/>
      <c r="CE667" s="1065"/>
      <c r="CF667" s="1065"/>
      <c r="CG667" s="1065"/>
      <c r="CH667" s="1065"/>
      <c r="CI667" s="1065"/>
      <c r="CJ667" s="1065"/>
      <c r="CK667" s="1065"/>
      <c r="CL667" s="1065"/>
      <c r="CM667" s="1065"/>
      <c r="CN667" s="1065"/>
      <c r="CO667" s="1065"/>
      <c r="CP667" s="1065"/>
      <c r="CQ667" s="1065"/>
      <c r="CR667" s="1065"/>
      <c r="CS667" s="1065"/>
      <c r="CT667" s="1065"/>
      <c r="CU667" s="1065"/>
      <c r="CV667" s="1065"/>
      <c r="CW667" s="1065"/>
      <c r="CX667" s="1065"/>
      <c r="CY667" s="1065"/>
      <c r="CZ667" s="1065"/>
      <c r="DA667" s="1065"/>
      <c r="DB667" s="1065"/>
    </row>
    <row r="668" spans="1:106" ht="15" customHeight="1">
      <c r="A668" s="1065"/>
      <c r="B668" s="1065"/>
      <c r="C668" s="1672"/>
      <c r="D668" s="1272">
        <v>103</v>
      </c>
      <c r="E668" s="1274" t="s">
        <v>1101</v>
      </c>
      <c r="F668" s="1272">
        <v>1691.26</v>
      </c>
      <c r="G668" s="1273" t="s">
        <v>1072</v>
      </c>
      <c r="H668" s="1223"/>
      <c r="I668" s="1223"/>
      <c r="J668" s="1224"/>
      <c r="K668" s="1224"/>
      <c r="L668" s="1224"/>
      <c r="M668" s="1225"/>
      <c r="N668" s="1225"/>
      <c r="O668" s="1226"/>
      <c r="P668" s="1227"/>
      <c r="Q668" s="1227"/>
      <c r="R668" s="1228"/>
      <c r="S668" s="1224"/>
      <c r="T668" s="1229"/>
      <c r="U668" s="1065"/>
      <c r="V668" s="1065"/>
      <c r="W668" s="1065"/>
      <c r="X668" s="1065"/>
      <c r="Y668" s="1065"/>
      <c r="Z668" s="1065"/>
      <c r="AA668" s="1065"/>
      <c r="AB668" s="1065"/>
      <c r="AC668" s="1065"/>
      <c r="AD668" s="1065"/>
      <c r="AE668" s="1065"/>
      <c r="AF668" s="1065"/>
      <c r="AG668" s="1065"/>
      <c r="AH668" s="1065"/>
      <c r="AI668" s="1065"/>
      <c r="AJ668" s="1065"/>
      <c r="AK668" s="1065"/>
      <c r="AL668" s="1065"/>
      <c r="AM668" s="1065"/>
      <c r="AN668" s="1065"/>
      <c r="AO668" s="1065"/>
      <c r="AP668" s="1065"/>
      <c r="AQ668" s="1065"/>
      <c r="AR668" s="1065"/>
      <c r="AS668" s="1065"/>
      <c r="AT668" s="1065"/>
      <c r="AU668" s="1065"/>
      <c r="AV668" s="1065"/>
      <c r="AW668" s="1065"/>
      <c r="AX668" s="1065"/>
      <c r="AY668" s="1065"/>
      <c r="AZ668" s="1065"/>
      <c r="BA668" s="1065"/>
      <c r="BB668" s="1065"/>
      <c r="BC668" s="1065"/>
      <c r="BD668" s="1065"/>
      <c r="BE668" s="1065"/>
      <c r="BF668" s="1065"/>
      <c r="BG668" s="1065"/>
      <c r="BH668" s="1065"/>
      <c r="BI668" s="1065"/>
      <c r="BJ668" s="1065"/>
      <c r="BK668" s="1065"/>
      <c r="BL668" s="1065"/>
      <c r="BM668" s="1065"/>
      <c r="BN668" s="1065"/>
      <c r="BO668" s="1065"/>
      <c r="BP668" s="1065"/>
      <c r="BQ668" s="1065"/>
      <c r="BR668" s="1065"/>
      <c r="BS668" s="1065"/>
      <c r="BT668" s="1065"/>
      <c r="BU668" s="1065"/>
      <c r="BV668" s="1065"/>
      <c r="BW668" s="1065"/>
      <c r="BX668" s="1065"/>
      <c r="BY668" s="1065"/>
      <c r="BZ668" s="1065"/>
      <c r="CA668" s="1065"/>
      <c r="CB668" s="1065"/>
      <c r="CC668" s="1065"/>
      <c r="CD668" s="1065"/>
      <c r="CE668" s="1065"/>
      <c r="CF668" s="1065"/>
      <c r="CG668" s="1065"/>
      <c r="CH668" s="1065"/>
      <c r="CI668" s="1065"/>
      <c r="CJ668" s="1065"/>
      <c r="CK668" s="1065"/>
      <c r="CL668" s="1065"/>
      <c r="CM668" s="1065"/>
      <c r="CN668" s="1065"/>
      <c r="CO668" s="1065"/>
      <c r="CP668" s="1065"/>
      <c r="CQ668" s="1065"/>
      <c r="CR668" s="1065"/>
      <c r="CS668" s="1065"/>
      <c r="CT668" s="1065"/>
      <c r="CU668" s="1065"/>
      <c r="CV668" s="1065"/>
      <c r="CW668" s="1065"/>
      <c r="CX668" s="1065"/>
      <c r="CY668" s="1065"/>
      <c r="CZ668" s="1065"/>
      <c r="DA668" s="1065"/>
      <c r="DB668" s="1065"/>
    </row>
    <row r="669" spans="1:106" ht="15" customHeight="1" thickBot="1">
      <c r="A669" s="1065"/>
      <c r="B669" s="1065"/>
      <c r="C669" s="1673" t="s">
        <v>1105</v>
      </c>
      <c r="D669" s="1673"/>
      <c r="E669" s="1673"/>
      <c r="F669" s="1673"/>
      <c r="G669" s="1673"/>
      <c r="H669" s="1673"/>
      <c r="I669" s="1673"/>
      <c r="J669" s="1673"/>
      <c r="K669" s="1673"/>
      <c r="L669" s="1673"/>
      <c r="M669" s="1673"/>
      <c r="N669" s="1673"/>
      <c r="O669" s="1673"/>
      <c r="P669" s="1673"/>
      <c r="Q669" s="1673"/>
      <c r="R669" s="1673"/>
      <c r="S669" s="1673"/>
      <c r="T669" s="1229"/>
      <c r="U669" s="1065"/>
      <c r="V669" s="1065"/>
      <c r="W669" s="1065"/>
      <c r="X669" s="1065"/>
      <c r="Y669" s="1065"/>
      <c r="Z669" s="1065"/>
      <c r="AA669" s="1065"/>
      <c r="AB669" s="1065"/>
      <c r="AC669" s="1065"/>
      <c r="AD669" s="1065"/>
      <c r="AE669" s="1065"/>
      <c r="AF669" s="1065"/>
      <c r="AG669" s="1065"/>
      <c r="AH669" s="1065"/>
      <c r="AI669" s="1065"/>
      <c r="AJ669" s="1065"/>
      <c r="AK669" s="1065"/>
      <c r="AL669" s="1065"/>
      <c r="AM669" s="1065"/>
      <c r="AN669" s="1065"/>
      <c r="AO669" s="1065"/>
      <c r="AP669" s="1065"/>
      <c r="AQ669" s="1065"/>
      <c r="AR669" s="1065"/>
      <c r="AS669" s="1065"/>
      <c r="AT669" s="1065"/>
      <c r="AU669" s="1065"/>
      <c r="AV669" s="1065"/>
      <c r="AW669" s="1065"/>
      <c r="AX669" s="1065"/>
      <c r="AY669" s="1065"/>
      <c r="AZ669" s="1065"/>
      <c r="BA669" s="1065"/>
      <c r="BB669" s="1065"/>
      <c r="BC669" s="1065"/>
      <c r="BD669" s="1065"/>
      <c r="BE669" s="1065"/>
      <c r="BF669" s="1065"/>
      <c r="BG669" s="1065"/>
      <c r="BH669" s="1065"/>
      <c r="BI669" s="1065"/>
      <c r="BJ669" s="1065"/>
      <c r="BK669" s="1065"/>
      <c r="BL669" s="1065"/>
      <c r="BM669" s="1065"/>
      <c r="BN669" s="1065"/>
      <c r="BO669" s="1065"/>
      <c r="BP669" s="1065"/>
      <c r="BQ669" s="1065"/>
      <c r="BR669" s="1065"/>
      <c r="BS669" s="1065"/>
      <c r="BT669" s="1065"/>
      <c r="BU669" s="1065"/>
      <c r="BV669" s="1065"/>
      <c r="BW669" s="1065"/>
      <c r="BX669" s="1065"/>
      <c r="BY669" s="1065"/>
      <c r="BZ669" s="1065"/>
      <c r="CA669" s="1065"/>
      <c r="CB669" s="1065"/>
      <c r="CC669" s="1065"/>
      <c r="CD669" s="1065"/>
      <c r="CE669" s="1065"/>
      <c r="CF669" s="1065"/>
      <c r="CG669" s="1065"/>
      <c r="CH669" s="1065"/>
      <c r="CI669" s="1065"/>
      <c r="CJ669" s="1065"/>
      <c r="CK669" s="1065"/>
      <c r="CL669" s="1065"/>
      <c r="CM669" s="1065"/>
      <c r="CN669" s="1065"/>
      <c r="CO669" s="1065"/>
      <c r="CP669" s="1065"/>
      <c r="CQ669" s="1065"/>
      <c r="CR669" s="1065"/>
      <c r="CS669" s="1065"/>
      <c r="CT669" s="1065"/>
      <c r="CU669" s="1065"/>
      <c r="CV669" s="1065"/>
      <c r="CW669" s="1065"/>
      <c r="CX669" s="1065"/>
      <c r="CY669" s="1065"/>
      <c r="CZ669" s="1065"/>
      <c r="DA669" s="1065"/>
      <c r="DB669" s="1065"/>
    </row>
    <row r="670" spans="1:106" ht="15" customHeight="1">
      <c r="A670" s="1065"/>
      <c r="B670" s="1065"/>
      <c r="C670" s="1664" t="s">
        <v>1106</v>
      </c>
      <c r="D670" s="1664"/>
      <c r="E670" s="1664"/>
      <c r="F670" s="1664"/>
      <c r="G670" s="1664"/>
      <c r="H670" s="1223"/>
      <c r="I670" s="1666" t="s">
        <v>1106</v>
      </c>
      <c r="J670" s="1666"/>
      <c r="K670" s="1666"/>
      <c r="L670" s="1666"/>
      <c r="M670" s="1666"/>
      <c r="N670" s="1225"/>
      <c r="O670" s="1665" t="s">
        <v>1107</v>
      </c>
      <c r="P670" s="1665"/>
      <c r="Q670" s="1665"/>
      <c r="R670" s="1665"/>
      <c r="S670" s="1665"/>
      <c r="T670" s="1229"/>
      <c r="U670" s="1664" t="s">
        <v>1106</v>
      </c>
      <c r="V670" s="1664"/>
      <c r="W670" s="1664"/>
      <c r="X670" s="1664"/>
      <c r="Y670" s="821"/>
      <c r="Z670" s="1667" t="s">
        <v>1106</v>
      </c>
      <c r="AA670" s="1667"/>
      <c r="AB670" s="1667"/>
      <c r="AC670" s="1667"/>
      <c r="AD670" s="1667"/>
      <c r="AE670" s="1065"/>
      <c r="AF670" s="1664" t="s">
        <v>1108</v>
      </c>
      <c r="AG670" s="1664"/>
      <c r="AH670" s="1664"/>
      <c r="AI670" s="1664"/>
      <c r="AJ670" s="1664"/>
      <c r="AK670" s="1065"/>
      <c r="AL670" s="1667" t="s">
        <v>1109</v>
      </c>
      <c r="AM670" s="1667"/>
      <c r="AN670" s="1667"/>
      <c r="AO670" s="1667"/>
      <c r="AP670" s="1667"/>
      <c r="AQ670" s="1065"/>
      <c r="AR670" s="1664" t="s">
        <v>1110</v>
      </c>
      <c r="AS670" s="1664"/>
      <c r="AT670" s="1664"/>
      <c r="AU670" s="1664"/>
      <c r="AV670" s="1664"/>
      <c r="AW670" s="1065"/>
      <c r="AX670" s="1667" t="s">
        <v>1110</v>
      </c>
      <c r="AY670" s="1667"/>
      <c r="AZ670" s="1667"/>
      <c r="BA670" s="1667"/>
      <c r="BB670" s="1667"/>
      <c r="BC670" s="1065"/>
      <c r="BD670" s="1065"/>
      <c r="BE670" s="1065"/>
      <c r="BF670" s="1065"/>
      <c r="BG670" s="1065"/>
      <c r="BH670" s="1065"/>
      <c r="BI670" s="1065"/>
      <c r="BJ670" s="1065"/>
      <c r="BK670" s="1065"/>
      <c r="BL670" s="1065"/>
      <c r="BM670" s="1065"/>
      <c r="BN670" s="1065"/>
      <c r="BO670" s="1065"/>
      <c r="BP670" s="1065"/>
      <c r="BQ670" s="1065"/>
      <c r="BR670" s="1065"/>
      <c r="BS670" s="1065"/>
      <c r="BT670" s="1065"/>
      <c r="BU670" s="1065"/>
      <c r="BV670" s="1065"/>
      <c r="BW670" s="1065"/>
      <c r="BX670" s="1065"/>
      <c r="BY670" s="1065"/>
      <c r="BZ670" s="1065"/>
      <c r="CA670" s="1065"/>
      <c r="CB670" s="1065"/>
      <c r="CC670" s="1065"/>
      <c r="CD670" s="1065"/>
      <c r="CE670" s="1065"/>
      <c r="CF670" s="1065"/>
      <c r="CG670" s="1065"/>
      <c r="CH670" s="1065"/>
      <c r="CI670" s="1065"/>
      <c r="CJ670" s="1065"/>
      <c r="CK670" s="1065"/>
      <c r="CL670" s="1065"/>
      <c r="CM670" s="1065"/>
      <c r="CN670" s="1065"/>
      <c r="CO670" s="1065"/>
      <c r="CP670" s="1065"/>
      <c r="CQ670" s="1065"/>
      <c r="CR670" s="1065"/>
      <c r="CS670" s="1065"/>
      <c r="CT670" s="1065"/>
      <c r="CU670" s="1065"/>
      <c r="CV670" s="1065"/>
      <c r="CW670" s="1065"/>
      <c r="CX670" s="1065"/>
      <c r="CY670" s="1065"/>
      <c r="CZ670" s="1065"/>
      <c r="DA670" s="1065"/>
      <c r="DB670" s="1065"/>
    </row>
    <row r="671" spans="1:106" ht="15" customHeight="1">
      <c r="A671" s="1065"/>
      <c r="B671" s="1065"/>
      <c r="C671" s="1664" t="s">
        <v>1111</v>
      </c>
      <c r="D671" s="1664"/>
      <c r="E671" s="1664"/>
      <c r="F671" s="1664"/>
      <c r="G671" s="1664"/>
      <c r="H671" s="1223"/>
      <c r="I671" s="1666" t="s">
        <v>1111</v>
      </c>
      <c r="J671" s="1666"/>
      <c r="K671" s="1666"/>
      <c r="L671" s="1666"/>
      <c r="M671" s="1666"/>
      <c r="N671" s="1225"/>
      <c r="O671" s="1668" t="s">
        <v>1111</v>
      </c>
      <c r="P671" s="1668"/>
      <c r="Q671" s="1668"/>
      <c r="R671" s="1668"/>
      <c r="S671" s="1668"/>
      <c r="T671" s="1229"/>
      <c r="U671" s="1664" t="s">
        <v>1111</v>
      </c>
      <c r="V671" s="1664"/>
      <c r="W671" s="1664"/>
      <c r="X671" s="1664"/>
      <c r="Y671" s="821"/>
      <c r="Z671" s="1669" t="s">
        <v>1111</v>
      </c>
      <c r="AA671" s="1669"/>
      <c r="AB671" s="1669"/>
      <c r="AC671" s="1669"/>
      <c r="AD671" s="1669"/>
      <c r="AE671" s="1065"/>
      <c r="AF671" s="1664" t="s">
        <v>1111</v>
      </c>
      <c r="AG671" s="1664"/>
      <c r="AH671" s="1664"/>
      <c r="AI671" s="1664"/>
      <c r="AJ671" s="1664"/>
      <c r="AK671" s="1065"/>
      <c r="AL671" s="1669" t="s">
        <v>1111</v>
      </c>
      <c r="AM671" s="1669"/>
      <c r="AN671" s="1669"/>
      <c r="AO671" s="1669"/>
      <c r="AP671" s="1669"/>
      <c r="AQ671" s="1065"/>
      <c r="AR671" s="1664" t="s">
        <v>1111</v>
      </c>
      <c r="AS671" s="1664"/>
      <c r="AT671" s="1664"/>
      <c r="AU671" s="1664"/>
      <c r="AV671" s="1664"/>
      <c r="AW671" s="1065"/>
      <c r="AX671" s="1669" t="s">
        <v>1111</v>
      </c>
      <c r="AY671" s="1669"/>
      <c r="AZ671" s="1669"/>
      <c r="BA671" s="1669"/>
      <c r="BB671" s="1669"/>
      <c r="BC671" s="1065"/>
      <c r="BD671" s="1065"/>
      <c r="BE671" s="1065"/>
      <c r="BF671" s="1065"/>
      <c r="BG671" s="1065"/>
      <c r="BH671" s="1065"/>
      <c r="BI671" s="1065"/>
      <c r="BJ671" s="1065"/>
      <c r="BK671" s="1065"/>
      <c r="BL671" s="1065"/>
      <c r="BM671" s="1065"/>
      <c r="BN671" s="1065"/>
      <c r="BO671" s="1065"/>
      <c r="BP671" s="1065"/>
      <c r="BQ671" s="1065"/>
      <c r="BR671" s="1065"/>
      <c r="BS671" s="1065"/>
      <c r="BT671" s="1065"/>
      <c r="BU671" s="1065"/>
      <c r="BV671" s="1065"/>
      <c r="BW671" s="1065"/>
      <c r="BX671" s="1065"/>
      <c r="BY671" s="1065"/>
      <c r="BZ671" s="1065"/>
      <c r="CA671" s="1065"/>
      <c r="CB671" s="1065"/>
      <c r="CC671" s="1065"/>
      <c r="CD671" s="1065"/>
      <c r="CE671" s="1065"/>
      <c r="CF671" s="1065"/>
      <c r="CG671" s="1065"/>
      <c r="CH671" s="1065"/>
      <c r="CI671" s="1065"/>
      <c r="CJ671" s="1065"/>
      <c r="CK671" s="1065"/>
      <c r="CL671" s="1065"/>
      <c r="CM671" s="1065"/>
      <c r="CN671" s="1065"/>
      <c r="CO671" s="1065"/>
      <c r="CP671" s="1065"/>
      <c r="CQ671" s="1065"/>
      <c r="CR671" s="1065"/>
      <c r="CS671" s="1065"/>
      <c r="CT671" s="1065"/>
      <c r="CU671" s="1065"/>
      <c r="CV671" s="1065"/>
      <c r="CW671" s="1065"/>
      <c r="CX671" s="1065"/>
      <c r="CY671" s="1065"/>
      <c r="CZ671" s="1065"/>
      <c r="DA671" s="1065"/>
      <c r="DB671" s="1065"/>
    </row>
    <row r="672" spans="1:106" ht="15" customHeight="1">
      <c r="A672" s="1065"/>
      <c r="B672" s="1065"/>
      <c r="C672" s="1273" t="s">
        <v>6</v>
      </c>
      <c r="D672" s="1274">
        <f>SUM(D673:D696)</f>
        <v>289695</v>
      </c>
      <c r="E672" s="1273" t="s">
        <v>1112</v>
      </c>
      <c r="F672" s="1274">
        <f>SUM(F673:F696)</f>
        <v>1089673.1000000001</v>
      </c>
      <c r="G672" s="1273" t="s">
        <v>1072</v>
      </c>
      <c r="H672" s="1223"/>
      <c r="I672" s="1282" t="s">
        <v>6</v>
      </c>
      <c r="J672" s="1244">
        <f>SUM(J673:J683)</f>
        <v>289695</v>
      </c>
      <c r="K672" s="1271" t="s">
        <v>1112</v>
      </c>
      <c r="L672" s="1244">
        <f>SUM(L673:L683)</f>
        <v>1307607.72</v>
      </c>
      <c r="M672" s="1271" t="s">
        <v>1072</v>
      </c>
      <c r="N672" s="1225"/>
      <c r="O672" s="1301" t="s">
        <v>6</v>
      </c>
      <c r="P672" s="1285">
        <f>SUM(P673:P683)</f>
        <v>88618.320485290504</v>
      </c>
      <c r="Q672" s="1286" t="s">
        <v>1112</v>
      </c>
      <c r="R672" s="1246">
        <f>SUM(R673:R683)</f>
        <v>400000.00000000006</v>
      </c>
      <c r="S672" s="1297" t="s">
        <v>1072</v>
      </c>
      <c r="T672" s="1229"/>
      <c r="U672" s="1273" t="s">
        <v>6</v>
      </c>
      <c r="V672" s="1273" t="s">
        <v>1112</v>
      </c>
      <c r="W672" s="1274">
        <f>SUM(W673:W696)</f>
        <v>777778.73999999987</v>
      </c>
      <c r="X672" s="1273" t="s">
        <v>1072</v>
      </c>
      <c r="Y672" s="821"/>
      <c r="Z672" s="1302" t="s">
        <v>6</v>
      </c>
      <c r="AA672" s="1272" t="e">
        <f>SUM(AA673:AA683)</f>
        <v>#REF!</v>
      </c>
      <c r="AB672" s="1273" t="s">
        <v>1112</v>
      </c>
      <c r="AC672" s="1272">
        <f>SUM(AC673:AC683)</f>
        <v>933334.48800000001</v>
      </c>
      <c r="AD672" s="1303" t="s">
        <v>1072</v>
      </c>
      <c r="AE672" s="1065"/>
      <c r="AF672" s="1273" t="s">
        <v>6</v>
      </c>
      <c r="AG672" s="1274">
        <f>SUM(BJ673:BO680)</f>
        <v>0</v>
      </c>
      <c r="AH672" s="1273" t="s">
        <v>1113</v>
      </c>
      <c r="AI672" s="1274">
        <f>SUM(BS670:BX680)</f>
        <v>0</v>
      </c>
      <c r="AJ672" s="1273" t="s">
        <v>1072</v>
      </c>
      <c r="AK672" s="1065"/>
      <c r="AL672" s="1302" t="s">
        <v>6</v>
      </c>
      <c r="AM672" s="1272">
        <f>SUM(AM673:AM680)</f>
        <v>67366</v>
      </c>
      <c r="AN672" s="1273" t="s">
        <v>1113</v>
      </c>
      <c r="AO672" s="1272">
        <f>SUM(AO673:AO680)</f>
        <v>4658.424</v>
      </c>
      <c r="AP672" s="1303" t="s">
        <v>1072</v>
      </c>
      <c r="AQ672" s="1065"/>
      <c r="AR672" s="1273" t="s">
        <v>6</v>
      </c>
      <c r="AS672" s="1274">
        <f>SUM(AS673:AS686)</f>
        <v>293463</v>
      </c>
      <c r="AT672" s="1273" t="s">
        <v>1112</v>
      </c>
      <c r="AU672" s="1274">
        <f>SUM(AU673:AU686)</f>
        <v>634702.82000000007</v>
      </c>
      <c r="AV672" s="1273" t="s">
        <v>1072</v>
      </c>
      <c r="AW672" s="1065"/>
      <c r="AX672" s="1302" t="s">
        <v>6</v>
      </c>
      <c r="AY672" s="1272">
        <f>SUM(AY673:AY683)</f>
        <v>293463</v>
      </c>
      <c r="AZ672" s="1273" t="s">
        <v>1112</v>
      </c>
      <c r="BA672" s="1272">
        <f>SUM(BA673:BA683)</f>
        <v>761643.38399999985</v>
      </c>
      <c r="BB672" s="1303" t="s">
        <v>1072</v>
      </c>
      <c r="BC672" s="1065"/>
      <c r="BD672" s="1065"/>
      <c r="BE672" s="1065"/>
      <c r="BF672" s="1065"/>
      <c r="BG672" s="1065"/>
      <c r="BH672" s="1065"/>
      <c r="BI672" s="1065"/>
      <c r="BJ672" s="1065"/>
      <c r="BK672" s="1065"/>
      <c r="BL672" s="1065"/>
      <c r="BM672" s="1065"/>
      <c r="BN672" s="1065"/>
      <c r="BO672" s="1065"/>
      <c r="BP672" s="1065"/>
      <c r="BQ672" s="1065"/>
      <c r="BR672" s="1065"/>
      <c r="BS672" s="1065"/>
      <c r="BT672" s="1065"/>
      <c r="BU672" s="1065"/>
      <c r="BV672" s="1065"/>
      <c r="BW672" s="1065"/>
      <c r="BX672" s="1065"/>
      <c r="BY672" s="1065"/>
      <c r="BZ672" s="1065"/>
      <c r="CA672" s="1065"/>
      <c r="CB672" s="1065"/>
      <c r="CC672" s="1065"/>
      <c r="CD672" s="1065"/>
      <c r="CE672" s="1065"/>
      <c r="CF672" s="1065"/>
      <c r="CG672" s="1065"/>
      <c r="CH672" s="1065"/>
      <c r="CI672" s="1065"/>
      <c r="CJ672" s="1065"/>
      <c r="CK672" s="1065"/>
      <c r="CL672" s="1065"/>
      <c r="CM672" s="1065"/>
      <c r="CN672" s="1065"/>
      <c r="CO672" s="1065"/>
      <c r="CP672" s="1065"/>
      <c r="CQ672" s="1065"/>
      <c r="CR672" s="1065"/>
      <c r="CS672" s="1065"/>
      <c r="CT672" s="1065"/>
      <c r="CU672" s="1065"/>
      <c r="CV672" s="1065"/>
      <c r="CW672" s="1065"/>
      <c r="CX672" s="1065"/>
      <c r="CY672" s="1065"/>
      <c r="CZ672" s="1065"/>
      <c r="DA672" s="1065"/>
      <c r="DB672" s="1065"/>
    </row>
    <row r="673" spans="1:106" ht="15" customHeight="1">
      <c r="A673" s="1065"/>
      <c r="B673" s="1065"/>
      <c r="C673" s="1273" t="s">
        <v>492</v>
      </c>
      <c r="D673" s="1272">
        <v>9404</v>
      </c>
      <c r="E673" s="1273" t="s">
        <v>1112</v>
      </c>
      <c r="F673" s="1272">
        <v>34969.06</v>
      </c>
      <c r="G673" s="1273" t="s">
        <v>1072</v>
      </c>
      <c r="H673" s="1223"/>
      <c r="I673" s="1282" t="s">
        <v>492</v>
      </c>
      <c r="J673" s="1283">
        <f>D673+D674+D692+D696</f>
        <v>18394</v>
      </c>
      <c r="K673" s="1271" t="s">
        <v>1112</v>
      </c>
      <c r="L673" s="1283">
        <f>1.2*(F673+F674+F692+F696)</f>
        <v>82078.368000000002</v>
      </c>
      <c r="M673" s="1271" t="s">
        <v>1072</v>
      </c>
      <c r="N673" s="1225"/>
      <c r="O673" s="1301" t="s">
        <v>660</v>
      </c>
      <c r="P673" s="1285">
        <f>J679*K686</f>
        <v>5494.0024367552678</v>
      </c>
      <c r="Q673" s="1286" t="s">
        <v>1112</v>
      </c>
      <c r="R673" s="1285">
        <f>K686*L679</f>
        <v>24515.535897876161</v>
      </c>
      <c r="S673" s="1297" t="s">
        <v>1072</v>
      </c>
      <c r="T673" s="1229"/>
      <c r="U673" s="1273" t="s">
        <v>492</v>
      </c>
      <c r="V673" s="1273" t="s">
        <v>1112</v>
      </c>
      <c r="W673" s="1272">
        <v>25615.74</v>
      </c>
      <c r="X673" s="1273" t="s">
        <v>1072</v>
      </c>
      <c r="Y673" s="821"/>
      <c r="Z673" s="1302" t="s">
        <v>492</v>
      </c>
      <c r="AA673" s="1274" t="e">
        <f>#REF!+#REF!+#REF!+#REF!</f>
        <v>#REF!</v>
      </c>
      <c r="AB673" s="1273" t="s">
        <v>1112</v>
      </c>
      <c r="AC673" s="1274">
        <f>1.2*(W673+W674+W692+W696)</f>
        <v>60131.388000000006</v>
      </c>
      <c r="AD673" s="1303" t="s">
        <v>1072</v>
      </c>
      <c r="AE673" s="1065"/>
      <c r="AF673" s="1273" t="s">
        <v>492</v>
      </c>
      <c r="AG673" s="1272">
        <v>19150</v>
      </c>
      <c r="AH673" s="1273" t="s">
        <v>1113</v>
      </c>
      <c r="AI673" s="1272">
        <v>894.32</v>
      </c>
      <c r="AJ673" s="1273" t="s">
        <v>1072</v>
      </c>
      <c r="AK673" s="1065"/>
      <c r="AL673" s="1302" t="s">
        <v>492</v>
      </c>
      <c r="AM673" s="1274">
        <f>AG673+AG674+AG675+AG676</f>
        <v>19150</v>
      </c>
      <c r="AN673" s="1273" t="s">
        <v>1113</v>
      </c>
      <c r="AO673" s="1274">
        <f>1.2*(AI676+AI675+AI674+AI673)</f>
        <v>1073.184</v>
      </c>
      <c r="AP673" s="1303" t="s">
        <v>1072</v>
      </c>
      <c r="AQ673" s="1065"/>
      <c r="AR673" s="1273" t="s">
        <v>492</v>
      </c>
      <c r="AS673" s="1272">
        <v>12650</v>
      </c>
      <c r="AT673" s="1273" t="s">
        <v>1112</v>
      </c>
      <c r="AU673" s="1272">
        <v>26520.22</v>
      </c>
      <c r="AV673" s="1273" t="s">
        <v>1072</v>
      </c>
      <c r="AW673" s="1065"/>
      <c r="AX673" s="1302" t="s">
        <v>492</v>
      </c>
      <c r="AY673" s="1274">
        <f>AS674+AS673</f>
        <v>25624</v>
      </c>
      <c r="AZ673" s="1273" t="s">
        <v>1112</v>
      </c>
      <c r="BA673" s="1274">
        <f>1.2*(AU674+AU673)</f>
        <v>64463.627999999997</v>
      </c>
      <c r="BB673" s="1303" t="s">
        <v>1072</v>
      </c>
      <c r="BC673" s="1065"/>
      <c r="BD673" s="1065"/>
      <c r="BE673" s="1065"/>
      <c r="BF673" s="1065"/>
      <c r="BG673" s="1065"/>
      <c r="BH673" s="1065"/>
      <c r="BI673" s="1065"/>
      <c r="BJ673" s="1065"/>
      <c r="BK673" s="1065"/>
      <c r="BL673" s="1065"/>
      <c r="BM673" s="1065"/>
      <c r="BN673" s="1065"/>
      <c r="BO673" s="1065"/>
      <c r="BP673" s="1065"/>
      <c r="BQ673" s="1065"/>
      <c r="BR673" s="1065"/>
      <c r="BS673" s="1065"/>
      <c r="BT673" s="1065"/>
      <c r="BU673" s="1065"/>
      <c r="BV673" s="1065"/>
      <c r="BW673" s="1065"/>
      <c r="BX673" s="1065"/>
      <c r="BY673" s="1065"/>
      <c r="BZ673" s="1065"/>
      <c r="CA673" s="1065"/>
      <c r="CB673" s="1065"/>
      <c r="CC673" s="1065"/>
      <c r="CD673" s="1065"/>
      <c r="CE673" s="1065"/>
      <c r="CF673" s="1065"/>
      <c r="CG673" s="1065"/>
      <c r="CH673" s="1065"/>
      <c r="CI673" s="1065"/>
      <c r="CJ673" s="1065"/>
      <c r="CK673" s="1065"/>
      <c r="CL673" s="1065"/>
      <c r="CM673" s="1065"/>
      <c r="CN673" s="1065"/>
      <c r="CO673" s="1065"/>
      <c r="CP673" s="1065"/>
      <c r="CQ673" s="1065"/>
      <c r="CR673" s="1065"/>
      <c r="CS673" s="1065"/>
      <c r="CT673" s="1065"/>
      <c r="CU673" s="1065"/>
      <c r="CV673" s="1065"/>
      <c r="CW673" s="1065"/>
      <c r="CX673" s="1065"/>
      <c r="CY673" s="1065"/>
      <c r="CZ673" s="1065"/>
      <c r="DA673" s="1065"/>
      <c r="DB673" s="1065"/>
    </row>
    <row r="674" spans="1:106" ht="15" customHeight="1">
      <c r="A674" s="1065"/>
      <c r="B674" s="1065"/>
      <c r="C674" s="1273" t="s">
        <v>492</v>
      </c>
      <c r="D674" s="1272">
        <v>8990</v>
      </c>
      <c r="E674" s="1273" t="s">
        <v>1112</v>
      </c>
      <c r="F674" s="1272">
        <v>33429.58</v>
      </c>
      <c r="G674" s="1273" t="s">
        <v>1072</v>
      </c>
      <c r="H674" s="1223"/>
      <c r="I674" s="1282" t="s">
        <v>662</v>
      </c>
      <c r="J674" s="1283">
        <f>0.65*(D675+D676)</f>
        <v>35241.700000000004</v>
      </c>
      <c r="K674" s="1271" t="s">
        <v>1112</v>
      </c>
      <c r="L674" s="1283">
        <f>1.2*0.65*(F675+F676)</f>
        <v>157256.78280000002</v>
      </c>
      <c r="M674" s="1271" t="s">
        <v>1072</v>
      </c>
      <c r="N674" s="1225"/>
      <c r="O674" s="1301" t="s">
        <v>492</v>
      </c>
      <c r="P674" s="1285">
        <f>J673*K686</f>
        <v>5626.7639655721823</v>
      </c>
      <c r="Q674" s="1286" t="s">
        <v>1112</v>
      </c>
      <c r="R674" s="1285">
        <f>L673*K686</f>
        <v>25107.948429671247</v>
      </c>
      <c r="S674" s="1297" t="s">
        <v>1072</v>
      </c>
      <c r="T674" s="1229"/>
      <c r="U674" s="1273" t="s">
        <v>492</v>
      </c>
      <c r="V674" s="1273" t="s">
        <v>1112</v>
      </c>
      <c r="W674" s="1272">
        <v>24493.75</v>
      </c>
      <c r="X674" s="1273" t="s">
        <v>1072</v>
      </c>
      <c r="Y674" s="821"/>
      <c r="Z674" s="1302" t="s">
        <v>662</v>
      </c>
      <c r="AA674" s="1274" t="e">
        <f>0.65*(#REF!+#REF!)</f>
        <v>#REF!</v>
      </c>
      <c r="AB674" s="1273" t="s">
        <v>1112</v>
      </c>
      <c r="AC674" s="1274">
        <f>1.2*0.65*(W675+W676)</f>
        <v>115207.1232</v>
      </c>
      <c r="AD674" s="1303" t="s">
        <v>1072</v>
      </c>
      <c r="AE674" s="1065"/>
      <c r="AF674" s="1273" t="s">
        <v>492</v>
      </c>
      <c r="AG674" s="1272">
        <v>0</v>
      </c>
      <c r="AH674" s="1273" t="s">
        <v>1113</v>
      </c>
      <c r="AI674" s="1272">
        <v>0</v>
      </c>
      <c r="AJ674" s="1273" t="s">
        <v>1072</v>
      </c>
      <c r="AK674" s="1065"/>
      <c r="AL674" s="1302" t="s">
        <v>662</v>
      </c>
      <c r="AM674" s="1274">
        <f>0.65*(AG680+AG679+AG678+AG677)</f>
        <v>9332.7000000000007</v>
      </c>
      <c r="AN674" s="1273" t="s">
        <v>1113</v>
      </c>
      <c r="AO674" s="1274">
        <f>1.2*0.65*(AI680+AI679+AI678+AI677)</f>
        <v>625.90320000000008</v>
      </c>
      <c r="AP674" s="1303" t="s">
        <v>1072</v>
      </c>
      <c r="AQ674" s="1065"/>
      <c r="AR674" s="1273" t="s">
        <v>492</v>
      </c>
      <c r="AS674" s="1272">
        <v>12974</v>
      </c>
      <c r="AT674" s="1273" t="s">
        <v>1112</v>
      </c>
      <c r="AU674" s="1272">
        <v>27199.47</v>
      </c>
      <c r="AV674" s="1273" t="s">
        <v>1072</v>
      </c>
      <c r="AW674" s="1065"/>
      <c r="AX674" s="1302" t="s">
        <v>662</v>
      </c>
      <c r="AY674" s="1274">
        <f>0.65*(AS676+AS675)</f>
        <v>34522.800000000003</v>
      </c>
      <c r="AZ674" s="1273" t="s">
        <v>1112</v>
      </c>
      <c r="BA674" s="1274">
        <f>1.2*0.65*(AU676+AU675)</f>
        <v>86850.808199999999</v>
      </c>
      <c r="BB674" s="1303" t="s">
        <v>1072</v>
      </c>
      <c r="BC674" s="1065"/>
      <c r="BD674" s="1065"/>
      <c r="BE674" s="1065"/>
      <c r="BF674" s="1065"/>
      <c r="BG674" s="1065"/>
      <c r="BH674" s="1065"/>
      <c r="BI674" s="1065"/>
      <c r="BJ674" s="1065"/>
      <c r="BK674" s="1065"/>
      <c r="BL674" s="1065"/>
      <c r="BM674" s="1065"/>
      <c r="BN674" s="1065"/>
      <c r="BO674" s="1065"/>
      <c r="BP674" s="1065"/>
      <c r="BQ674" s="1065"/>
      <c r="BR674" s="1065"/>
      <c r="BS674" s="1065"/>
      <c r="BT674" s="1065"/>
      <c r="BU674" s="1065"/>
      <c r="BV674" s="1065"/>
      <c r="BW674" s="1065"/>
      <c r="BX674" s="1065"/>
      <c r="BY674" s="1065"/>
      <c r="BZ674" s="1065"/>
      <c r="CA674" s="1065"/>
      <c r="CB674" s="1065"/>
      <c r="CC674" s="1065"/>
      <c r="CD674" s="1065"/>
      <c r="CE674" s="1065"/>
      <c r="CF674" s="1065"/>
      <c r="CG674" s="1065"/>
      <c r="CH674" s="1065"/>
      <c r="CI674" s="1065"/>
      <c r="CJ674" s="1065"/>
      <c r="CK674" s="1065"/>
      <c r="CL674" s="1065"/>
      <c r="CM674" s="1065"/>
      <c r="CN674" s="1065"/>
      <c r="CO674" s="1065"/>
      <c r="CP674" s="1065"/>
      <c r="CQ674" s="1065"/>
      <c r="CR674" s="1065"/>
      <c r="CS674" s="1065"/>
      <c r="CT674" s="1065"/>
      <c r="CU674" s="1065"/>
      <c r="CV674" s="1065"/>
      <c r="CW674" s="1065"/>
      <c r="CX674" s="1065"/>
      <c r="CY674" s="1065"/>
      <c r="CZ674" s="1065"/>
      <c r="DA674" s="1065"/>
      <c r="DB674" s="1065"/>
    </row>
    <row r="675" spans="1:106" ht="15" customHeight="1">
      <c r="A675" s="1065"/>
      <c r="B675" s="1065"/>
      <c r="C675" s="1273" t="s">
        <v>662</v>
      </c>
      <c r="D675" s="1272">
        <v>27293</v>
      </c>
      <c r="E675" s="1273" t="s">
        <v>1112</v>
      </c>
      <c r="F675" s="1272">
        <v>101489.84</v>
      </c>
      <c r="G675" s="1273" t="s">
        <v>1072</v>
      </c>
      <c r="H675" s="1223"/>
      <c r="I675" s="1282" t="s">
        <v>703</v>
      </c>
      <c r="J675" s="1283">
        <f>0.35*(D675+D676)</f>
        <v>18976.3</v>
      </c>
      <c r="K675" s="1271" t="s">
        <v>1112</v>
      </c>
      <c r="L675" s="1283">
        <f>1.2*0.35*(F675+F676)</f>
        <v>84676.729200000002</v>
      </c>
      <c r="M675" s="1271" t="s">
        <v>1072</v>
      </c>
      <c r="N675" s="1225"/>
      <c r="O675" s="1301" t="s">
        <v>662</v>
      </c>
      <c r="P675" s="1285">
        <f>J674*K686</f>
        <v>10780.511451859586</v>
      </c>
      <c r="Q675" s="1286" t="s">
        <v>1112</v>
      </c>
      <c r="R675" s="1285">
        <f>K686*L674</f>
        <v>48105.186408657792</v>
      </c>
      <c r="S675" s="1297" t="s">
        <v>1072</v>
      </c>
      <c r="T675" s="1229"/>
      <c r="U675" s="1273" t="s">
        <v>662</v>
      </c>
      <c r="V675" s="1273" t="s">
        <v>1112</v>
      </c>
      <c r="W675" s="1272">
        <v>74352.899999999994</v>
      </c>
      <c r="X675" s="1273" t="s">
        <v>1072</v>
      </c>
      <c r="Y675" s="821"/>
      <c r="Z675" s="1302" t="s">
        <v>703</v>
      </c>
      <c r="AA675" s="1274" t="e">
        <f>0.35*(#REF!+#REF!)</f>
        <v>#REF!</v>
      </c>
      <c r="AB675" s="1273" t="s">
        <v>1112</v>
      </c>
      <c r="AC675" s="1274">
        <f>1.2*0.35*(W675+W676)</f>
        <v>62034.604800000001</v>
      </c>
      <c r="AD675" s="1303" t="s">
        <v>1072</v>
      </c>
      <c r="AE675" s="1065"/>
      <c r="AF675" s="1273" t="s">
        <v>492</v>
      </c>
      <c r="AG675" s="1272">
        <v>0</v>
      </c>
      <c r="AH675" s="1273" t="s">
        <v>1113</v>
      </c>
      <c r="AI675" s="1272">
        <v>0</v>
      </c>
      <c r="AJ675" s="1273" t="s">
        <v>1072</v>
      </c>
      <c r="AK675" s="1065"/>
      <c r="AL675" s="1302" t="s">
        <v>703</v>
      </c>
      <c r="AM675" s="1274">
        <f>0.35*(AG680+AG679+AG678+AG677)</f>
        <v>5025.2999999999993</v>
      </c>
      <c r="AN675" s="1273" t="s">
        <v>1113</v>
      </c>
      <c r="AO675" s="1274">
        <f>1.2*0.35*(AI680+AI679+AI678+AI677)</f>
        <v>337.02480000000003</v>
      </c>
      <c r="AP675" s="1303" t="s">
        <v>1072</v>
      </c>
      <c r="AQ675" s="1065"/>
      <c r="AR675" s="1273" t="s">
        <v>662</v>
      </c>
      <c r="AS675" s="1272">
        <v>17560</v>
      </c>
      <c r="AT675" s="1273" t="s">
        <v>1112</v>
      </c>
      <c r="AU675" s="1272">
        <v>36813.839999999997</v>
      </c>
      <c r="AV675" s="1273" t="s">
        <v>1072</v>
      </c>
      <c r="AW675" s="1065"/>
      <c r="AX675" s="1302" t="s">
        <v>703</v>
      </c>
      <c r="AY675" s="1274">
        <f>0.35*(AS676+AS675)</f>
        <v>18589.199999999997</v>
      </c>
      <c r="AZ675" s="1273" t="s">
        <v>1112</v>
      </c>
      <c r="BA675" s="1274">
        <f>1.2*0.35*(AU676+AU675)</f>
        <v>46765.819799999997</v>
      </c>
      <c r="BB675" s="1303" t="s">
        <v>1072</v>
      </c>
      <c r="BC675" s="1065"/>
      <c r="BD675" s="1065"/>
      <c r="BE675" s="1065"/>
      <c r="BF675" s="1065"/>
      <c r="BG675" s="1065"/>
      <c r="BH675" s="1065"/>
      <c r="BI675" s="1065"/>
      <c r="BJ675" s="1065"/>
      <c r="BK675" s="1065"/>
      <c r="BL675" s="1065"/>
      <c r="BM675" s="1065"/>
      <c r="BN675" s="1065"/>
      <c r="BO675" s="1065"/>
      <c r="BP675" s="1065"/>
      <c r="BQ675" s="1065"/>
      <c r="BR675" s="1065"/>
      <c r="BS675" s="1065"/>
      <c r="BT675" s="1065"/>
      <c r="BU675" s="1065"/>
      <c r="BV675" s="1065"/>
      <c r="BW675" s="1065"/>
      <c r="BX675" s="1065"/>
      <c r="BY675" s="1065"/>
      <c r="BZ675" s="1065"/>
      <c r="CA675" s="1065"/>
      <c r="CB675" s="1065"/>
      <c r="CC675" s="1065"/>
      <c r="CD675" s="1065"/>
      <c r="CE675" s="1065"/>
      <c r="CF675" s="1065"/>
      <c r="CG675" s="1065"/>
      <c r="CH675" s="1065"/>
      <c r="CI675" s="1065"/>
      <c r="CJ675" s="1065"/>
      <c r="CK675" s="1065"/>
      <c r="CL675" s="1065"/>
      <c r="CM675" s="1065"/>
      <c r="CN675" s="1065"/>
      <c r="CO675" s="1065"/>
      <c r="CP675" s="1065"/>
      <c r="CQ675" s="1065"/>
      <c r="CR675" s="1065"/>
      <c r="CS675" s="1065"/>
      <c r="CT675" s="1065"/>
      <c r="CU675" s="1065"/>
      <c r="CV675" s="1065"/>
      <c r="CW675" s="1065"/>
      <c r="CX675" s="1065"/>
      <c r="CY675" s="1065"/>
      <c r="CZ675" s="1065"/>
      <c r="DA675" s="1065"/>
      <c r="DB675" s="1065"/>
    </row>
    <row r="676" spans="1:106" ht="15" customHeight="1">
      <c r="A676" s="1065"/>
      <c r="B676" s="1065"/>
      <c r="C676" s="1273" t="s">
        <v>662</v>
      </c>
      <c r="D676" s="1272">
        <v>26925</v>
      </c>
      <c r="E676" s="1273" t="s">
        <v>1112</v>
      </c>
      <c r="F676" s="1272">
        <v>100121.42</v>
      </c>
      <c r="G676" s="1273" t="s">
        <v>1072</v>
      </c>
      <c r="H676" s="1223"/>
      <c r="I676" s="1282" t="s">
        <v>686</v>
      </c>
      <c r="J676" s="1283">
        <f>D685+D686</f>
        <v>35126</v>
      </c>
      <c r="K676" s="1271" t="s">
        <v>1112</v>
      </c>
      <c r="L676" s="1283">
        <f>1.2*(F685+F686)</f>
        <v>171660.76799999998</v>
      </c>
      <c r="M676" s="1271" t="s">
        <v>1072</v>
      </c>
      <c r="N676" s="1225"/>
      <c r="O676" s="1301" t="s">
        <v>703</v>
      </c>
      <c r="P676" s="1285">
        <f>J675*K686</f>
        <v>5804.8907817705449</v>
      </c>
      <c r="Q676" s="1286" t="s">
        <v>1112</v>
      </c>
      <c r="R676" s="1285">
        <f>K686*L675</f>
        <v>25902.792681584964</v>
      </c>
      <c r="S676" s="1297" t="s">
        <v>1072</v>
      </c>
      <c r="T676" s="1229"/>
      <c r="U676" s="1273" t="s">
        <v>662</v>
      </c>
      <c r="V676" s="1273" t="s">
        <v>1112</v>
      </c>
      <c r="W676" s="1272">
        <v>73348.539999999994</v>
      </c>
      <c r="X676" s="1273" t="s">
        <v>1072</v>
      </c>
      <c r="Y676" s="821"/>
      <c r="Z676" s="1302" t="s">
        <v>686</v>
      </c>
      <c r="AA676" s="1274" t="e">
        <f>#REF!+#REF!</f>
        <v>#REF!</v>
      </c>
      <c r="AB676" s="1273" t="s">
        <v>1112</v>
      </c>
      <c r="AC676" s="1274">
        <f>1.2*(W685+W686)</f>
        <v>128647.46399999999</v>
      </c>
      <c r="AD676" s="1303" t="s">
        <v>1072</v>
      </c>
      <c r="AE676" s="1065"/>
      <c r="AF676" s="1273" t="s">
        <v>492</v>
      </c>
      <c r="AG676" s="1272">
        <v>0</v>
      </c>
      <c r="AH676" s="1273" t="s">
        <v>1113</v>
      </c>
      <c r="AI676" s="1272">
        <v>0</v>
      </c>
      <c r="AJ676" s="1273" t="s">
        <v>1072</v>
      </c>
      <c r="AK676" s="1065"/>
      <c r="AL676" s="1302" t="s">
        <v>665</v>
      </c>
      <c r="AM676" s="1274">
        <f>AG684+AG683+AG682+AG681</f>
        <v>10252</v>
      </c>
      <c r="AN676" s="1273" t="s">
        <v>1113</v>
      </c>
      <c r="AO676" s="1274">
        <f>1.2*(AI684+AI683+AI682+AI681)</f>
        <v>768.31200000000001</v>
      </c>
      <c r="AP676" s="1303" t="s">
        <v>1072</v>
      </c>
      <c r="AQ676" s="1065"/>
      <c r="AR676" s="1273" t="s">
        <v>662</v>
      </c>
      <c r="AS676" s="1272">
        <v>35552</v>
      </c>
      <c r="AT676" s="1273" t="s">
        <v>1112</v>
      </c>
      <c r="AU676" s="1272">
        <v>74533.350000000006</v>
      </c>
      <c r="AV676" s="1273" t="s">
        <v>1072</v>
      </c>
      <c r="AW676" s="1065"/>
      <c r="AX676" s="1302" t="s">
        <v>686</v>
      </c>
      <c r="AY676" s="1274">
        <f>AS685+AS684</f>
        <v>50604</v>
      </c>
      <c r="AZ676" s="1273" t="s">
        <v>1112</v>
      </c>
      <c r="BA676" s="1274">
        <f>1.2*(AU685+AU684)</f>
        <v>150670.36799999999</v>
      </c>
      <c r="BB676" s="1303" t="s">
        <v>1072</v>
      </c>
      <c r="BC676" s="1065"/>
      <c r="BD676" s="1065"/>
      <c r="BE676" s="1065"/>
      <c r="BF676" s="1065"/>
      <c r="BG676" s="1065"/>
      <c r="BH676" s="1065"/>
      <c r="BI676" s="1065"/>
      <c r="BJ676" s="1065"/>
      <c r="BK676" s="1065"/>
      <c r="BL676" s="1065"/>
      <c r="BM676" s="1065"/>
      <c r="BN676" s="1065"/>
      <c r="BO676" s="1065"/>
      <c r="BP676" s="1065"/>
      <c r="BQ676" s="1065"/>
      <c r="BR676" s="1065"/>
      <c r="BS676" s="1065"/>
      <c r="BT676" s="1065"/>
      <c r="BU676" s="1065"/>
      <c r="BV676" s="1065"/>
      <c r="BW676" s="1065"/>
      <c r="BX676" s="1065"/>
      <c r="BY676" s="1065"/>
      <c r="BZ676" s="1065"/>
      <c r="CA676" s="1065"/>
      <c r="CB676" s="1065"/>
      <c r="CC676" s="1065"/>
      <c r="CD676" s="1065"/>
      <c r="CE676" s="1065"/>
      <c r="CF676" s="1065"/>
      <c r="CG676" s="1065"/>
      <c r="CH676" s="1065"/>
      <c r="CI676" s="1065"/>
      <c r="CJ676" s="1065"/>
      <c r="CK676" s="1065"/>
      <c r="CL676" s="1065"/>
      <c r="CM676" s="1065"/>
      <c r="CN676" s="1065"/>
      <c r="CO676" s="1065"/>
      <c r="CP676" s="1065"/>
      <c r="CQ676" s="1065"/>
      <c r="CR676" s="1065"/>
      <c r="CS676" s="1065"/>
      <c r="CT676" s="1065"/>
      <c r="CU676" s="1065"/>
      <c r="CV676" s="1065"/>
      <c r="CW676" s="1065"/>
      <c r="CX676" s="1065"/>
      <c r="CY676" s="1065"/>
      <c r="CZ676" s="1065"/>
      <c r="DA676" s="1065"/>
      <c r="DB676" s="1065"/>
    </row>
    <row r="677" spans="1:106" ht="15" customHeight="1">
      <c r="A677" s="1065"/>
      <c r="B677" s="1065"/>
      <c r="C677" s="1273" t="s">
        <v>496</v>
      </c>
      <c r="D677" s="1272">
        <v>20263</v>
      </c>
      <c r="E677" s="1273" t="s">
        <v>1112</v>
      </c>
      <c r="F677" s="1272">
        <v>75348.570000000007</v>
      </c>
      <c r="G677" s="1273" t="s">
        <v>1072</v>
      </c>
      <c r="H677" s="1223"/>
      <c r="I677" s="1282" t="s">
        <v>496</v>
      </c>
      <c r="J677" s="1283">
        <f>D677+D688</f>
        <v>20263</v>
      </c>
      <c r="K677" s="1271" t="s">
        <v>1112</v>
      </c>
      <c r="L677" s="1283">
        <f>1.2*(F677+F688)</f>
        <v>90418.284</v>
      </c>
      <c r="M677" s="1271" t="s">
        <v>1072</v>
      </c>
      <c r="N677" s="1225"/>
      <c r="O677" s="1301" t="s">
        <v>686</v>
      </c>
      <c r="P677" s="1285">
        <f>K686*J676</f>
        <v>10745.118574246411</v>
      </c>
      <c r="Q677" s="1286" t="s">
        <v>1112</v>
      </c>
      <c r="R677" s="1285">
        <f>L676*K686</f>
        <v>52511.396307755043</v>
      </c>
      <c r="S677" s="1297" t="s">
        <v>1072</v>
      </c>
      <c r="T677" s="1229"/>
      <c r="U677" s="1273" t="s">
        <v>496</v>
      </c>
      <c r="V677" s="1273" t="s">
        <v>1112</v>
      </c>
      <c r="W677" s="1272">
        <v>59546.86</v>
      </c>
      <c r="X677" s="1273" t="s">
        <v>1072</v>
      </c>
      <c r="Y677" s="821"/>
      <c r="Z677" s="1302" t="s">
        <v>496</v>
      </c>
      <c r="AA677" s="1274" t="e">
        <f>#REF!+#REF!</f>
        <v>#REF!</v>
      </c>
      <c r="AB677" s="1273" t="s">
        <v>1112</v>
      </c>
      <c r="AC677" s="1274">
        <f>1.2*(W677+W688)</f>
        <v>71456.232000000004</v>
      </c>
      <c r="AD677" s="1303" t="s">
        <v>1072</v>
      </c>
      <c r="AE677" s="1065"/>
      <c r="AF677" s="1273" t="s">
        <v>662</v>
      </c>
      <c r="AG677" s="1272">
        <v>14358</v>
      </c>
      <c r="AH677" s="1273" t="s">
        <v>1113</v>
      </c>
      <c r="AI677" s="1272">
        <v>802.44</v>
      </c>
      <c r="AJ677" s="1273" t="s">
        <v>1072</v>
      </c>
      <c r="AK677" s="1065"/>
      <c r="AL677" s="1302" t="s">
        <v>668</v>
      </c>
      <c r="AM677" s="1274">
        <f>AG686+AG685</f>
        <v>11147</v>
      </c>
      <c r="AN677" s="1273" t="s">
        <v>1113</v>
      </c>
      <c r="AO677" s="1274">
        <f>1.2*(AI686+AI685)</f>
        <v>836.60399999999993</v>
      </c>
      <c r="AP677" s="1303" t="s">
        <v>1072</v>
      </c>
      <c r="AQ677" s="1065"/>
      <c r="AR677" s="1273" t="s">
        <v>496</v>
      </c>
      <c r="AS677" s="1272">
        <v>19310</v>
      </c>
      <c r="AT677" s="1273" t="s">
        <v>1112</v>
      </c>
      <c r="AU677" s="1272">
        <v>40482.639999999999</v>
      </c>
      <c r="AV677" s="1273" t="s">
        <v>1072</v>
      </c>
      <c r="AW677" s="1065"/>
      <c r="AX677" s="1302" t="s">
        <v>496</v>
      </c>
      <c r="AY677" s="1274">
        <f>AS677</f>
        <v>19310</v>
      </c>
      <c r="AZ677" s="1273" t="s">
        <v>1112</v>
      </c>
      <c r="BA677" s="1274">
        <f>1.2*AU677</f>
        <v>48579.167999999998</v>
      </c>
      <c r="BB677" s="1303" t="s">
        <v>1072</v>
      </c>
      <c r="BC677" s="1065"/>
      <c r="BD677" s="1065"/>
      <c r="BE677" s="1065"/>
      <c r="BF677" s="1065"/>
      <c r="BG677" s="1065"/>
      <c r="BH677" s="1065"/>
      <c r="BI677" s="1065"/>
      <c r="BJ677" s="1065"/>
      <c r="BK677" s="1065"/>
      <c r="BL677" s="1065"/>
      <c r="BM677" s="1065"/>
      <c r="BN677" s="1065"/>
      <c r="BO677" s="1065"/>
      <c r="BP677" s="1065"/>
      <c r="BQ677" s="1065"/>
      <c r="BR677" s="1065"/>
      <c r="BS677" s="1065"/>
      <c r="BT677" s="1065"/>
      <c r="BU677" s="1065"/>
      <c r="BV677" s="1065"/>
      <c r="BW677" s="1065"/>
      <c r="BX677" s="1065"/>
      <c r="BY677" s="1065"/>
      <c r="BZ677" s="1065"/>
      <c r="CA677" s="1065"/>
      <c r="CB677" s="1065"/>
      <c r="CC677" s="1065"/>
      <c r="CD677" s="1065"/>
      <c r="CE677" s="1065"/>
      <c r="CF677" s="1065"/>
      <c r="CG677" s="1065"/>
      <c r="CH677" s="1065"/>
      <c r="CI677" s="1065"/>
      <c r="CJ677" s="1065"/>
      <c r="CK677" s="1065"/>
      <c r="CL677" s="1065"/>
      <c r="CM677" s="1065"/>
      <c r="CN677" s="1065"/>
      <c r="CO677" s="1065"/>
      <c r="CP677" s="1065"/>
      <c r="CQ677" s="1065"/>
      <c r="CR677" s="1065"/>
      <c r="CS677" s="1065"/>
      <c r="CT677" s="1065"/>
      <c r="CU677" s="1065"/>
      <c r="CV677" s="1065"/>
      <c r="CW677" s="1065"/>
      <c r="CX677" s="1065"/>
      <c r="CY677" s="1065"/>
      <c r="CZ677" s="1065"/>
      <c r="DA677" s="1065"/>
      <c r="DB677" s="1065"/>
    </row>
    <row r="678" spans="1:106" ht="15" customHeight="1">
      <c r="A678" s="1065"/>
      <c r="B678" s="1065"/>
      <c r="C678" s="1273" t="s">
        <v>665</v>
      </c>
      <c r="D678" s="1272">
        <v>26978</v>
      </c>
      <c r="E678" s="1273" t="s">
        <v>1112</v>
      </c>
      <c r="F678" s="1272">
        <v>100318.5</v>
      </c>
      <c r="G678" s="1273" t="s">
        <v>1072</v>
      </c>
      <c r="H678" s="1223"/>
      <c r="I678" s="1282" t="s">
        <v>665</v>
      </c>
      <c r="J678" s="1283">
        <f>D678+D679+D681+D693+D694</f>
        <v>45339</v>
      </c>
      <c r="K678" s="1271" t="s">
        <v>1112</v>
      </c>
      <c r="L678" s="1283">
        <f>1.2*(F678+F681+F679+F693+F694)</f>
        <v>202313.31599999999</v>
      </c>
      <c r="M678" s="1271" t="s">
        <v>1072</v>
      </c>
      <c r="N678" s="1225"/>
      <c r="O678" s="1301" t="s">
        <v>496</v>
      </c>
      <c r="P678" s="1285">
        <f>K686*J677</f>
        <v>6198.4950654772829</v>
      </c>
      <c r="Q678" s="1286" t="s">
        <v>1112</v>
      </c>
      <c r="R678" s="1285">
        <f>K686*L677</f>
        <v>27659.146582585181</v>
      </c>
      <c r="S678" s="1297" t="s">
        <v>1072</v>
      </c>
      <c r="T678" s="1229"/>
      <c r="U678" s="1273" t="s">
        <v>665</v>
      </c>
      <c r="V678" s="1273" t="s">
        <v>1112</v>
      </c>
      <c r="W678" s="1272">
        <v>70157.5</v>
      </c>
      <c r="X678" s="1273" t="s">
        <v>1072</v>
      </c>
      <c r="Y678" s="821"/>
      <c r="Z678" s="1302" t="s">
        <v>665</v>
      </c>
      <c r="AA678" s="1274" t="e">
        <f>#REF!+#REF!+#REF!+#REF!+#REF!</f>
        <v>#REF!</v>
      </c>
      <c r="AB678" s="1273" t="s">
        <v>1112</v>
      </c>
      <c r="AC678" s="1274">
        <f>1.2*(W678+W679+W693+W681+W694)</f>
        <v>134001.696</v>
      </c>
      <c r="AD678" s="1303" t="s">
        <v>1072</v>
      </c>
      <c r="AE678" s="1065"/>
      <c r="AF678" s="1273" t="s">
        <v>662</v>
      </c>
      <c r="AG678" s="1272">
        <v>0</v>
      </c>
      <c r="AH678" s="1273" t="s">
        <v>1113</v>
      </c>
      <c r="AI678" s="1272">
        <v>0</v>
      </c>
      <c r="AJ678" s="1273" t="s">
        <v>1072</v>
      </c>
      <c r="AK678" s="1065"/>
      <c r="AL678" s="1302" t="s">
        <v>670</v>
      </c>
      <c r="AM678" s="1274">
        <f>0.7*(AG690+AG689+AG688+AG687)</f>
        <v>0</v>
      </c>
      <c r="AN678" s="1273" t="s">
        <v>1113</v>
      </c>
      <c r="AO678" s="1274">
        <f>1.2*0.7*(AI690+AI689+AI688+AI687)</f>
        <v>0</v>
      </c>
      <c r="AP678" s="1303" t="s">
        <v>1072</v>
      </c>
      <c r="AQ678" s="1065"/>
      <c r="AR678" s="1273" t="s">
        <v>665</v>
      </c>
      <c r="AS678" s="1272">
        <v>24761</v>
      </c>
      <c r="AT678" s="1273" t="s">
        <v>1112</v>
      </c>
      <c r="AU678" s="1272">
        <v>51910.45</v>
      </c>
      <c r="AV678" s="1273" t="s">
        <v>1072</v>
      </c>
      <c r="AW678" s="1065"/>
      <c r="AX678" s="1302" t="s">
        <v>665</v>
      </c>
      <c r="AY678" s="1274">
        <f>AS678+AS680</f>
        <v>41023</v>
      </c>
      <c r="AZ678" s="1273" t="s">
        <v>1112</v>
      </c>
      <c r="BA678" s="1274">
        <f>1.2*(AU678+AU680)</f>
        <v>103203.69599999998</v>
      </c>
      <c r="BB678" s="1303" t="s">
        <v>1072</v>
      </c>
      <c r="BC678" s="1065"/>
      <c r="BD678" s="1065"/>
      <c r="BE678" s="1065"/>
      <c r="BF678" s="1065"/>
      <c r="BG678" s="1065"/>
      <c r="BH678" s="1065"/>
      <c r="BI678" s="1065"/>
      <c r="BJ678" s="1065"/>
      <c r="BK678" s="1065"/>
      <c r="BL678" s="1065"/>
      <c r="BM678" s="1065"/>
      <c r="BN678" s="1065"/>
      <c r="BO678" s="1065"/>
      <c r="BP678" s="1065"/>
      <c r="BQ678" s="1065"/>
      <c r="BR678" s="1065"/>
      <c r="BS678" s="1065"/>
      <c r="BT678" s="1065"/>
      <c r="BU678" s="1065"/>
      <c r="BV678" s="1065"/>
      <c r="BW678" s="1065"/>
      <c r="BX678" s="1065"/>
      <c r="BY678" s="1065"/>
      <c r="BZ678" s="1065"/>
      <c r="CA678" s="1065"/>
      <c r="CB678" s="1065"/>
      <c r="CC678" s="1065"/>
      <c r="CD678" s="1065"/>
      <c r="CE678" s="1065"/>
      <c r="CF678" s="1065"/>
      <c r="CG678" s="1065"/>
      <c r="CH678" s="1065"/>
      <c r="CI678" s="1065"/>
      <c r="CJ678" s="1065"/>
      <c r="CK678" s="1065"/>
      <c r="CL678" s="1065"/>
      <c r="CM678" s="1065"/>
      <c r="CN678" s="1065"/>
      <c r="CO678" s="1065"/>
      <c r="CP678" s="1065"/>
      <c r="CQ678" s="1065"/>
      <c r="CR678" s="1065"/>
      <c r="CS678" s="1065"/>
      <c r="CT678" s="1065"/>
      <c r="CU678" s="1065"/>
      <c r="CV678" s="1065"/>
      <c r="CW678" s="1065"/>
      <c r="CX678" s="1065"/>
      <c r="CY678" s="1065"/>
      <c r="CZ678" s="1065"/>
      <c r="DA678" s="1065"/>
      <c r="DB678" s="1065"/>
    </row>
    <row r="679" spans="1:106" ht="15" customHeight="1">
      <c r="A679" s="1065"/>
      <c r="B679" s="1065"/>
      <c r="C679" s="1273" t="s">
        <v>665</v>
      </c>
      <c r="D679" s="1272">
        <v>0</v>
      </c>
      <c r="E679" s="1273" t="s">
        <v>1112</v>
      </c>
      <c r="F679" s="1272">
        <v>0</v>
      </c>
      <c r="G679" s="1273" t="s">
        <v>1072</v>
      </c>
      <c r="H679" s="1223"/>
      <c r="I679" s="1282" t="s">
        <v>660</v>
      </c>
      <c r="J679" s="1283">
        <f>D687</f>
        <v>17960</v>
      </c>
      <c r="K679" s="1271" t="s">
        <v>1112</v>
      </c>
      <c r="L679" s="1283">
        <f>1.2*F687</f>
        <v>80141.759999999995</v>
      </c>
      <c r="M679" s="1271" t="s">
        <v>1072</v>
      </c>
      <c r="N679" s="1225"/>
      <c r="O679" s="1301" t="s">
        <v>665</v>
      </c>
      <c r="P679" s="1285">
        <f>K686*J678</f>
        <v>13869.297131405739</v>
      </c>
      <c r="Q679" s="1286" t="s">
        <v>1112</v>
      </c>
      <c r="R679" s="1285">
        <f>L678*K686</f>
        <v>61888.076341427535</v>
      </c>
      <c r="S679" s="1297" t="s">
        <v>1072</v>
      </c>
      <c r="T679" s="1229"/>
      <c r="U679" s="1273" t="s">
        <v>665</v>
      </c>
      <c r="V679" s="1273" t="s">
        <v>1112</v>
      </c>
      <c r="W679" s="1272">
        <v>0</v>
      </c>
      <c r="X679" s="1273" t="s">
        <v>1072</v>
      </c>
      <c r="Y679" s="821"/>
      <c r="Z679" s="1302" t="s">
        <v>660</v>
      </c>
      <c r="AA679" s="1274" t="e">
        <f>#REF!</f>
        <v>#REF!</v>
      </c>
      <c r="AB679" s="1273" t="s">
        <v>1112</v>
      </c>
      <c r="AC679" s="1274">
        <f>1.2*W687</f>
        <v>41665.607999999993</v>
      </c>
      <c r="AD679" s="1303" t="s">
        <v>1072</v>
      </c>
      <c r="AE679" s="1065"/>
      <c r="AF679" s="1273" t="s">
        <v>662</v>
      </c>
      <c r="AG679" s="1272">
        <v>0</v>
      </c>
      <c r="AH679" s="1273" t="s">
        <v>1113</v>
      </c>
      <c r="AI679" s="1272">
        <v>0</v>
      </c>
      <c r="AJ679" s="1273" t="s">
        <v>1072</v>
      </c>
      <c r="AK679" s="1065"/>
      <c r="AL679" s="1302" t="s">
        <v>1114</v>
      </c>
      <c r="AM679" s="1274">
        <f>0.3*(AG690+AG689+AG688+AG687)</f>
        <v>0</v>
      </c>
      <c r="AN679" s="1273" t="s">
        <v>1113</v>
      </c>
      <c r="AO679" s="1274">
        <f>1.2*0.3*(AI690+AI689+AI688+AI687)</f>
        <v>0</v>
      </c>
      <c r="AP679" s="1303" t="s">
        <v>1072</v>
      </c>
      <c r="AQ679" s="1065"/>
      <c r="AR679" s="1273" t="s">
        <v>488</v>
      </c>
      <c r="AS679" s="1272">
        <v>13510</v>
      </c>
      <c r="AT679" s="1273" t="s">
        <v>1112</v>
      </c>
      <c r="AU679" s="1272">
        <v>28323.17</v>
      </c>
      <c r="AV679" s="1273" t="s">
        <v>1072</v>
      </c>
      <c r="AW679" s="1065"/>
      <c r="AX679" s="1302" t="s">
        <v>668</v>
      </c>
      <c r="AY679" s="1274">
        <f>AS681</f>
        <v>18039</v>
      </c>
      <c r="AZ679" s="1273" t="s">
        <v>1112</v>
      </c>
      <c r="BA679" s="1274">
        <f>1.2*AU681</f>
        <v>45381.648000000001</v>
      </c>
      <c r="BB679" s="1303" t="s">
        <v>1072</v>
      </c>
      <c r="BC679" s="1065"/>
      <c r="BD679" s="1065"/>
      <c r="BE679" s="1065"/>
      <c r="BF679" s="1065"/>
      <c r="BG679" s="1065"/>
      <c r="BH679" s="1065"/>
      <c r="BI679" s="1065"/>
      <c r="BJ679" s="1065"/>
      <c r="BK679" s="1065"/>
      <c r="BL679" s="1065"/>
      <c r="BM679" s="1065"/>
      <c r="BN679" s="1065"/>
      <c r="BO679" s="1065"/>
      <c r="BP679" s="1065"/>
      <c r="BQ679" s="1065"/>
      <c r="BR679" s="1065"/>
      <c r="BS679" s="1065"/>
      <c r="BT679" s="1065"/>
      <c r="BU679" s="1065"/>
      <c r="BV679" s="1065"/>
      <c r="BW679" s="1065"/>
      <c r="BX679" s="1065"/>
      <c r="BY679" s="1065"/>
      <c r="BZ679" s="1065"/>
      <c r="CA679" s="1065"/>
      <c r="CB679" s="1065"/>
      <c r="CC679" s="1065"/>
      <c r="CD679" s="1065"/>
      <c r="CE679" s="1065"/>
      <c r="CF679" s="1065"/>
      <c r="CG679" s="1065"/>
      <c r="CH679" s="1065"/>
      <c r="CI679" s="1065"/>
      <c r="CJ679" s="1065"/>
      <c r="CK679" s="1065"/>
      <c r="CL679" s="1065"/>
      <c r="CM679" s="1065"/>
      <c r="CN679" s="1065"/>
      <c r="CO679" s="1065"/>
      <c r="CP679" s="1065"/>
      <c r="CQ679" s="1065"/>
      <c r="CR679" s="1065"/>
      <c r="CS679" s="1065"/>
      <c r="CT679" s="1065"/>
      <c r="CU679" s="1065"/>
      <c r="CV679" s="1065"/>
      <c r="CW679" s="1065"/>
      <c r="CX679" s="1065"/>
      <c r="CY679" s="1065"/>
      <c r="CZ679" s="1065"/>
      <c r="DA679" s="1065"/>
      <c r="DB679" s="1065"/>
    </row>
    <row r="680" spans="1:106" ht="15" customHeight="1" thickBot="1">
      <c r="A680" s="1065"/>
      <c r="B680" s="1065"/>
      <c r="C680" s="1273" t="s">
        <v>488</v>
      </c>
      <c r="D680" s="1272">
        <v>12214</v>
      </c>
      <c r="E680" s="1273" t="s">
        <v>1112</v>
      </c>
      <c r="F680" s="1272">
        <v>45418.13</v>
      </c>
      <c r="G680" s="1273" t="s">
        <v>1072</v>
      </c>
      <c r="H680" s="1223"/>
      <c r="I680" s="1282" t="s">
        <v>668</v>
      </c>
      <c r="J680" s="1283">
        <f>D682+D695</f>
        <v>16574</v>
      </c>
      <c r="K680" s="1271" t="s">
        <v>1112</v>
      </c>
      <c r="L680" s="1283">
        <f>1.2*(F682+F695)</f>
        <v>73957.103999999992</v>
      </c>
      <c r="M680" s="1271" t="s">
        <v>1072</v>
      </c>
      <c r="N680" s="1225"/>
      <c r="O680" s="1301" t="s">
        <v>668</v>
      </c>
      <c r="P680" s="1285">
        <f>K686*J680</f>
        <v>5070.0220705335087</v>
      </c>
      <c r="Q680" s="1286" t="s">
        <v>1112</v>
      </c>
      <c r="R680" s="1285">
        <f>L680*K686</f>
        <v>22623.636391501266</v>
      </c>
      <c r="S680" s="1297" t="s">
        <v>1072</v>
      </c>
      <c r="T680" s="1229"/>
      <c r="U680" s="1273" t="s">
        <v>488</v>
      </c>
      <c r="V680" s="1273" t="s">
        <v>1112</v>
      </c>
      <c r="W680" s="1272">
        <v>33270.6</v>
      </c>
      <c r="X680" s="1273" t="s">
        <v>1072</v>
      </c>
      <c r="Y680" s="821"/>
      <c r="Z680" s="1302" t="s">
        <v>668</v>
      </c>
      <c r="AA680" s="1274" t="e">
        <f>#REF!+#REF!</f>
        <v>#REF!</v>
      </c>
      <c r="AB680" s="1273" t="s">
        <v>1112</v>
      </c>
      <c r="AC680" s="1274">
        <f>1.2*(W682+W695)</f>
        <v>54184.835999999996</v>
      </c>
      <c r="AD680" s="1303" t="s">
        <v>1072</v>
      </c>
      <c r="AE680" s="1065"/>
      <c r="AF680" s="1273" t="s">
        <v>662</v>
      </c>
      <c r="AG680" s="1272">
        <v>0</v>
      </c>
      <c r="AH680" s="1273" t="s">
        <v>1113</v>
      </c>
      <c r="AI680" s="1272">
        <v>0</v>
      </c>
      <c r="AJ680" s="1273" t="s">
        <v>1072</v>
      </c>
      <c r="AK680" s="1065"/>
      <c r="AL680" s="1304" t="s">
        <v>660</v>
      </c>
      <c r="AM680" s="1305">
        <f>AG692+AG691</f>
        <v>12459</v>
      </c>
      <c r="AN680" s="1306" t="s">
        <v>1113</v>
      </c>
      <c r="AO680" s="1305">
        <f>1.2*(AI692+AI691)</f>
        <v>1017.396</v>
      </c>
      <c r="AP680" s="1307" t="s">
        <v>1072</v>
      </c>
      <c r="AQ680" s="1065"/>
      <c r="AR680" s="1273" t="s">
        <v>665</v>
      </c>
      <c r="AS680" s="1272">
        <v>16262</v>
      </c>
      <c r="AT680" s="1273" t="s">
        <v>1112</v>
      </c>
      <c r="AU680" s="1272">
        <v>34092.629999999997</v>
      </c>
      <c r="AV680" s="1273" t="s">
        <v>1072</v>
      </c>
      <c r="AW680" s="1065"/>
      <c r="AX680" s="1302" t="s">
        <v>488</v>
      </c>
      <c r="AY680" s="1274">
        <f>AS679</f>
        <v>13510</v>
      </c>
      <c r="AZ680" s="1273" t="s">
        <v>1112</v>
      </c>
      <c r="BA680" s="1274">
        <f>1.2*AU679</f>
        <v>33987.803999999996</v>
      </c>
      <c r="BB680" s="1303" t="s">
        <v>1072</v>
      </c>
      <c r="BC680" s="1065"/>
      <c r="BD680" s="1065"/>
      <c r="BE680" s="1065"/>
      <c r="BF680" s="1065"/>
      <c r="BG680" s="1065"/>
      <c r="BH680" s="1065"/>
      <c r="BI680" s="1065"/>
      <c r="BJ680" s="1065"/>
      <c r="BK680" s="1065"/>
      <c r="BL680" s="1065"/>
      <c r="BM680" s="1065"/>
      <c r="BN680" s="1065"/>
      <c r="BO680" s="1065"/>
      <c r="BP680" s="1065"/>
      <c r="BQ680" s="1065"/>
      <c r="BR680" s="1065"/>
      <c r="BS680" s="1065"/>
      <c r="BT680" s="1065"/>
      <c r="BU680" s="1065"/>
      <c r="BV680" s="1065"/>
      <c r="BW680" s="1065"/>
      <c r="BX680" s="1065"/>
      <c r="BY680" s="1065"/>
      <c r="BZ680" s="1065"/>
      <c r="CA680" s="1065"/>
      <c r="CB680" s="1065"/>
      <c r="CC680" s="1065"/>
      <c r="CD680" s="1065"/>
      <c r="CE680" s="1065"/>
      <c r="CF680" s="1065"/>
      <c r="CG680" s="1065"/>
      <c r="CH680" s="1065"/>
      <c r="CI680" s="1065"/>
      <c r="CJ680" s="1065"/>
      <c r="CK680" s="1065"/>
      <c r="CL680" s="1065"/>
      <c r="CM680" s="1065"/>
      <c r="CN680" s="1065"/>
      <c r="CO680" s="1065"/>
      <c r="CP680" s="1065"/>
      <c r="CQ680" s="1065"/>
      <c r="CR680" s="1065"/>
      <c r="CS680" s="1065"/>
      <c r="CT680" s="1065"/>
      <c r="CU680" s="1065"/>
      <c r="CV680" s="1065"/>
      <c r="CW680" s="1065"/>
      <c r="CX680" s="1065"/>
      <c r="CY680" s="1065"/>
      <c r="CZ680" s="1065"/>
      <c r="DA680" s="1065"/>
      <c r="DB680" s="1065"/>
    </row>
    <row r="681" spans="1:106" ht="15" customHeight="1" thickBot="1">
      <c r="A681" s="1065"/>
      <c r="B681" s="1065"/>
      <c r="C681" s="1273" t="s">
        <v>665</v>
      </c>
      <c r="D681" s="1272">
        <v>18361</v>
      </c>
      <c r="E681" s="1273" t="s">
        <v>1112</v>
      </c>
      <c r="F681" s="1272">
        <v>68275.929999999993</v>
      </c>
      <c r="G681" s="1273" t="s">
        <v>1072</v>
      </c>
      <c r="H681" s="1223"/>
      <c r="I681" s="1282" t="s">
        <v>488</v>
      </c>
      <c r="J681" s="1283">
        <f>D680+D689</f>
        <v>12214</v>
      </c>
      <c r="K681" s="1271" t="s">
        <v>1112</v>
      </c>
      <c r="L681" s="1283">
        <f>1.2*(F680+F689)</f>
        <v>54501.755999999994</v>
      </c>
      <c r="M681" s="1271" t="s">
        <v>1072</v>
      </c>
      <c r="N681" s="1225"/>
      <c r="O681" s="1301" t="s">
        <v>488</v>
      </c>
      <c r="P681" s="1285">
        <f>K686*J681</f>
        <v>3736.2887395617395</v>
      </c>
      <c r="Q681" s="1286" t="s">
        <v>1112</v>
      </c>
      <c r="R681" s="1285">
        <f>L681*K686</f>
        <v>16672.203801305179</v>
      </c>
      <c r="S681" s="1297" t="s">
        <v>1072</v>
      </c>
      <c r="T681" s="1229"/>
      <c r="U681" s="1273" t="s">
        <v>665</v>
      </c>
      <c r="V681" s="1273" t="s">
        <v>1112</v>
      </c>
      <c r="W681" s="1272">
        <v>41510.58</v>
      </c>
      <c r="X681" s="1273" t="s">
        <v>1072</v>
      </c>
      <c r="Y681" s="821"/>
      <c r="Z681" s="1302" t="s">
        <v>488</v>
      </c>
      <c r="AA681" s="1274" t="e">
        <f>#REF!+#REF!</f>
        <v>#REF!</v>
      </c>
      <c r="AB681" s="1273" t="s">
        <v>1112</v>
      </c>
      <c r="AC681" s="1274">
        <f>1.2*(W680+W689)</f>
        <v>39924.719999999994</v>
      </c>
      <c r="AD681" s="1303" t="s">
        <v>1072</v>
      </c>
      <c r="AE681" s="1065"/>
      <c r="AF681" s="1273" t="s">
        <v>665</v>
      </c>
      <c r="AG681" s="1272">
        <v>10252</v>
      </c>
      <c r="AH681" s="1273" t="s">
        <v>1113</v>
      </c>
      <c r="AI681" s="1272">
        <v>640.26</v>
      </c>
      <c r="AJ681" s="1273" t="s">
        <v>1072</v>
      </c>
      <c r="AK681" s="1065"/>
      <c r="AL681" s="1065"/>
      <c r="AM681" s="1065"/>
      <c r="AN681" s="1065"/>
      <c r="AO681" s="1065"/>
      <c r="AP681" s="1065"/>
      <c r="AQ681" s="1065"/>
      <c r="AR681" s="1273" t="s">
        <v>668</v>
      </c>
      <c r="AS681" s="1272">
        <v>18039</v>
      </c>
      <c r="AT681" s="1273" t="s">
        <v>1112</v>
      </c>
      <c r="AU681" s="1272">
        <v>37818.04</v>
      </c>
      <c r="AV681" s="1273" t="s">
        <v>1072</v>
      </c>
      <c r="AW681" s="1065"/>
      <c r="AX681" s="1302" t="s">
        <v>670</v>
      </c>
      <c r="AY681" s="1274">
        <f>0.7*(AS683+AS682)</f>
        <v>33437.599999999999</v>
      </c>
      <c r="AZ681" s="1273" t="s">
        <v>1112</v>
      </c>
      <c r="BA681" s="1274">
        <f>1.2*0.7*(AU683+AU682)</f>
        <v>84120.708000000013</v>
      </c>
      <c r="BB681" s="1303" t="s">
        <v>1072</v>
      </c>
      <c r="BC681" s="1065"/>
      <c r="BD681" s="1065"/>
      <c r="BE681" s="1065"/>
      <c r="BF681" s="1065"/>
      <c r="BG681" s="1065"/>
      <c r="BH681" s="1065"/>
      <c r="BI681" s="1065"/>
      <c r="BJ681" s="1065"/>
      <c r="BK681" s="1065"/>
      <c r="BL681" s="1065"/>
      <c r="BM681" s="1065"/>
      <c r="BN681" s="1065"/>
      <c r="BO681" s="1065"/>
      <c r="BP681" s="1065"/>
      <c r="BQ681" s="1065"/>
      <c r="BR681" s="1065"/>
      <c r="BS681" s="1065"/>
      <c r="BT681" s="1065"/>
      <c r="BU681" s="1065"/>
      <c r="BV681" s="1065"/>
      <c r="BW681" s="1065"/>
      <c r="BX681" s="1065"/>
      <c r="BY681" s="1065"/>
      <c r="BZ681" s="1065"/>
      <c r="CA681" s="1065"/>
      <c r="CB681" s="1065"/>
      <c r="CC681" s="1065"/>
      <c r="CD681" s="1065"/>
      <c r="CE681" s="1065"/>
      <c r="CF681" s="1065"/>
      <c r="CG681" s="1065"/>
      <c r="CH681" s="1065"/>
      <c r="CI681" s="1065"/>
      <c r="CJ681" s="1065"/>
      <c r="CK681" s="1065"/>
      <c r="CL681" s="1065"/>
      <c r="CM681" s="1065"/>
      <c r="CN681" s="1065"/>
      <c r="CO681" s="1065"/>
      <c r="CP681" s="1065"/>
      <c r="CQ681" s="1065"/>
      <c r="CR681" s="1065"/>
      <c r="CS681" s="1065"/>
      <c r="CT681" s="1065"/>
      <c r="CU681" s="1065"/>
      <c r="CV681" s="1065"/>
      <c r="CW681" s="1065"/>
      <c r="CX681" s="1065"/>
      <c r="CY681" s="1065"/>
      <c r="CZ681" s="1065"/>
      <c r="DA681" s="1065"/>
      <c r="DB681" s="1065"/>
    </row>
    <row r="682" spans="1:106" ht="15" customHeight="1" thickBot="1">
      <c r="A682" s="1065"/>
      <c r="B682" s="1065"/>
      <c r="C682" s="1273" t="s">
        <v>668</v>
      </c>
      <c r="D682" s="1272">
        <v>16574</v>
      </c>
      <c r="E682" s="1273" t="s">
        <v>1112</v>
      </c>
      <c r="F682" s="1272">
        <v>61630.92</v>
      </c>
      <c r="G682" s="1273" t="s">
        <v>1072</v>
      </c>
      <c r="H682" s="1223"/>
      <c r="I682" s="1282" t="s">
        <v>670</v>
      </c>
      <c r="J682" s="1283">
        <f>0.7*(D683+D684+D690+D691)</f>
        <v>48724.899999999994</v>
      </c>
      <c r="K682" s="1271" t="s">
        <v>1112</v>
      </c>
      <c r="L682" s="1283">
        <f>1.2*0.7*(F683+F684+F690+F691)</f>
        <v>217421.99639999997</v>
      </c>
      <c r="M682" s="1271" t="s">
        <v>1072</v>
      </c>
      <c r="N682" s="1308"/>
      <c r="O682" s="1301" t="s">
        <v>670</v>
      </c>
      <c r="P682" s="1285">
        <f>J682*K686</f>
        <v>14905.051187675765</v>
      </c>
      <c r="Q682" s="1286" t="s">
        <v>1112</v>
      </c>
      <c r="R682" s="1285">
        <f>L682*K686</f>
        <v>66509.854010344934</v>
      </c>
      <c r="S682" s="1297" t="s">
        <v>1072</v>
      </c>
      <c r="T682" s="1229"/>
      <c r="U682" s="1273" t="s">
        <v>668</v>
      </c>
      <c r="V682" s="1273" t="s">
        <v>1112</v>
      </c>
      <c r="W682" s="1272">
        <v>45154.03</v>
      </c>
      <c r="X682" s="1273" t="s">
        <v>1072</v>
      </c>
      <c r="Y682" s="821"/>
      <c r="Z682" s="1302" t="s">
        <v>670</v>
      </c>
      <c r="AA682" s="1274" t="e">
        <f>0.7*(#REF!+#REF!+#REF!+#REF!)</f>
        <v>#REF!</v>
      </c>
      <c r="AB682" s="1273" t="s">
        <v>1112</v>
      </c>
      <c r="AC682" s="1274">
        <f>1.2*0.7*(W683+W684+W690+W691)</f>
        <v>158256.57119999998</v>
      </c>
      <c r="AD682" s="1303" t="s">
        <v>1072</v>
      </c>
      <c r="AE682" s="1065"/>
      <c r="AF682" s="1273" t="s">
        <v>665</v>
      </c>
      <c r="AG682" s="1272">
        <v>0</v>
      </c>
      <c r="AH682" s="1273" t="s">
        <v>1113</v>
      </c>
      <c r="AI682" s="1272">
        <v>0</v>
      </c>
      <c r="AJ682" s="1273" t="s">
        <v>1072</v>
      </c>
      <c r="AK682" s="1065"/>
      <c r="AL682" s="1670" t="s">
        <v>1109</v>
      </c>
      <c r="AM682" s="1670"/>
      <c r="AN682" s="1670"/>
      <c r="AO682" s="1670"/>
      <c r="AP682" s="1670"/>
      <c r="AQ682" s="1065"/>
      <c r="AR682" s="1273" t="s">
        <v>670</v>
      </c>
      <c r="AS682" s="1272">
        <v>29452</v>
      </c>
      <c r="AT682" s="1273" t="s">
        <v>1112</v>
      </c>
      <c r="AU682" s="1272">
        <v>61744.94</v>
      </c>
      <c r="AV682" s="1273" t="s">
        <v>1072</v>
      </c>
      <c r="AW682" s="1065"/>
      <c r="AX682" s="1304" t="s">
        <v>1114</v>
      </c>
      <c r="AY682" s="1305">
        <f>0.3*(AS683+AS682)</f>
        <v>14330.4</v>
      </c>
      <c r="AZ682" s="1306" t="s">
        <v>1112</v>
      </c>
      <c r="BA682" s="1305">
        <f>1.2*0.3*(AU683+AU682)</f>
        <v>36051.732000000004</v>
      </c>
      <c r="BB682" s="1307" t="s">
        <v>1072</v>
      </c>
      <c r="BC682" s="1065"/>
      <c r="BD682" s="1065"/>
      <c r="BE682" s="1065"/>
      <c r="BF682" s="1065"/>
      <c r="BG682" s="1065"/>
      <c r="BH682" s="1065"/>
      <c r="BI682" s="1065"/>
      <c r="BJ682" s="1065"/>
      <c r="BK682" s="1065"/>
      <c r="BL682" s="1065"/>
      <c r="BM682" s="1065"/>
      <c r="BN682" s="1065"/>
      <c r="BO682" s="1065"/>
      <c r="BP682" s="1065"/>
      <c r="BQ682" s="1065"/>
      <c r="BR682" s="1065"/>
      <c r="BS682" s="1065"/>
      <c r="BT682" s="1065"/>
      <c r="BU682" s="1065"/>
      <c r="BV682" s="1065"/>
      <c r="BW682" s="1065"/>
      <c r="BX682" s="1065"/>
      <c r="BY682" s="1065"/>
      <c r="BZ682" s="1065"/>
      <c r="CA682" s="1065"/>
      <c r="CB682" s="1065"/>
      <c r="CC682" s="1065"/>
      <c r="CD682" s="1065"/>
      <c r="CE682" s="1065"/>
      <c r="CF682" s="1065"/>
      <c r="CG682" s="1065"/>
      <c r="CH682" s="1065"/>
      <c r="CI682" s="1065"/>
      <c r="CJ682" s="1065"/>
      <c r="CK682" s="1065"/>
      <c r="CL682" s="1065"/>
      <c r="CM682" s="1065"/>
      <c r="CN682" s="1065"/>
      <c r="CO682" s="1065"/>
      <c r="CP682" s="1065"/>
      <c r="CQ682" s="1065"/>
      <c r="CR682" s="1065"/>
      <c r="CS682" s="1065"/>
      <c r="CT682" s="1065"/>
      <c r="CU682" s="1065"/>
      <c r="CV682" s="1065"/>
      <c r="CW682" s="1065"/>
      <c r="CX682" s="1065"/>
      <c r="CY682" s="1065"/>
      <c r="CZ682" s="1065"/>
      <c r="DA682" s="1065"/>
      <c r="DB682" s="1065"/>
    </row>
    <row r="683" spans="1:106" ht="15" customHeight="1" thickBot="1">
      <c r="A683" s="1065"/>
      <c r="B683" s="1065"/>
      <c r="C683" s="1273" t="s">
        <v>670</v>
      </c>
      <c r="D683" s="1272">
        <v>53440</v>
      </c>
      <c r="E683" s="1273" t="s">
        <v>1112</v>
      </c>
      <c r="F683" s="1272">
        <v>198718.24</v>
      </c>
      <c r="G683" s="1273" t="s">
        <v>1072</v>
      </c>
      <c r="H683" s="1223"/>
      <c r="I683" s="1282" t="s">
        <v>1114</v>
      </c>
      <c r="J683" s="1283">
        <f>0.3*(D683+D684+D690+D691)</f>
        <v>20882.099999999999</v>
      </c>
      <c r="K683" s="1271" t="s">
        <v>1112</v>
      </c>
      <c r="L683" s="1283">
        <f>1.2*0.3*(F683+F684+F690+F691)</f>
        <v>93180.855599999995</v>
      </c>
      <c r="M683" s="1271" t="s">
        <v>1072</v>
      </c>
      <c r="N683" s="1225"/>
      <c r="O683" s="1309" t="s">
        <v>1114</v>
      </c>
      <c r="P683" s="1310">
        <f>J683*K686</f>
        <v>6387.8790804324708</v>
      </c>
      <c r="Q683" s="1311" t="s">
        <v>1112</v>
      </c>
      <c r="R683" s="1310">
        <f>L683*K686</f>
        <v>28504.223147290686</v>
      </c>
      <c r="S683" s="1300" t="s">
        <v>1072</v>
      </c>
      <c r="T683" s="1229"/>
      <c r="U683" s="1273" t="s">
        <v>670</v>
      </c>
      <c r="V683" s="1273" t="s">
        <v>1112</v>
      </c>
      <c r="W683" s="1272">
        <v>145581.10999999999</v>
      </c>
      <c r="X683" s="1273" t="s">
        <v>1072</v>
      </c>
      <c r="Y683" s="821"/>
      <c r="Z683" s="1304" t="s">
        <v>1114</v>
      </c>
      <c r="AA683" s="1305" t="e">
        <f>0.3*(#REF!+#REF!+#REF!+#REF!)</f>
        <v>#REF!</v>
      </c>
      <c r="AB683" s="1306" t="s">
        <v>1112</v>
      </c>
      <c r="AC683" s="1305">
        <f>1.2*0.3*(W683+W684+W690+W691)</f>
        <v>67824.2448</v>
      </c>
      <c r="AD683" s="1307" t="s">
        <v>1072</v>
      </c>
      <c r="AE683" s="1065"/>
      <c r="AF683" s="1273" t="s">
        <v>665</v>
      </c>
      <c r="AG683" s="1272">
        <v>0</v>
      </c>
      <c r="AH683" s="1273" t="s">
        <v>1113</v>
      </c>
      <c r="AI683" s="1272">
        <v>0</v>
      </c>
      <c r="AJ683" s="1273" t="s">
        <v>1072</v>
      </c>
      <c r="AK683" s="1065"/>
      <c r="AL683" s="1671" t="s">
        <v>1111</v>
      </c>
      <c r="AM683" s="1671"/>
      <c r="AN683" s="1671"/>
      <c r="AO683" s="1671"/>
      <c r="AP683" s="1671"/>
      <c r="AQ683" s="1065"/>
      <c r="AR683" s="1273" t="s">
        <v>670</v>
      </c>
      <c r="AS683" s="1272">
        <v>18316</v>
      </c>
      <c r="AT683" s="1273" t="s">
        <v>1112</v>
      </c>
      <c r="AU683" s="1272">
        <v>38398.76</v>
      </c>
      <c r="AV683" s="1273" t="s">
        <v>1072</v>
      </c>
      <c r="AW683" s="1065"/>
      <c r="AX683" s="1312" t="s">
        <v>660</v>
      </c>
      <c r="AY683" s="1313">
        <f>AS686</f>
        <v>24473</v>
      </c>
      <c r="AZ683" s="1312" t="s">
        <v>1112</v>
      </c>
      <c r="BA683" s="1313">
        <f>1.2*AU686</f>
        <v>61568.003999999994</v>
      </c>
      <c r="BB683" s="1312" t="s">
        <v>1072</v>
      </c>
      <c r="BC683" s="1065"/>
      <c r="BD683" s="1065"/>
      <c r="BE683" s="1065"/>
      <c r="BF683" s="1065"/>
      <c r="BG683" s="1065"/>
      <c r="BH683" s="1065"/>
      <c r="BI683" s="1065"/>
      <c r="BJ683" s="1065"/>
      <c r="BK683" s="1065"/>
      <c r="BL683" s="1065"/>
      <c r="BM683" s="1065"/>
      <c r="BN683" s="1065"/>
      <c r="BO683" s="1065"/>
      <c r="BP683" s="1065"/>
      <c r="BQ683" s="1065"/>
      <c r="BR683" s="1065"/>
      <c r="BS683" s="1065"/>
      <c r="BT683" s="1065"/>
      <c r="BU683" s="1065"/>
      <c r="BV683" s="1065"/>
      <c r="BW683" s="1065"/>
      <c r="BX683" s="1065"/>
      <c r="BY683" s="1065"/>
      <c r="BZ683" s="1065"/>
      <c r="CA683" s="1065"/>
      <c r="CB683" s="1065"/>
      <c r="CC683" s="1065"/>
      <c r="CD683" s="1065"/>
      <c r="CE683" s="1065"/>
      <c r="CF683" s="1065"/>
      <c r="CG683" s="1065"/>
      <c r="CH683" s="1065"/>
      <c r="CI683" s="1065"/>
      <c r="CJ683" s="1065"/>
      <c r="CK683" s="1065"/>
      <c r="CL683" s="1065"/>
      <c r="CM683" s="1065"/>
      <c r="CN683" s="1065"/>
      <c r="CO683" s="1065"/>
      <c r="CP683" s="1065"/>
      <c r="CQ683" s="1065"/>
      <c r="CR683" s="1065"/>
      <c r="CS683" s="1065"/>
      <c r="CT683" s="1065"/>
      <c r="CU683" s="1065"/>
      <c r="CV683" s="1065"/>
      <c r="CW683" s="1065"/>
      <c r="CX683" s="1065"/>
      <c r="CY683" s="1065"/>
      <c r="CZ683" s="1065"/>
      <c r="DA683" s="1065"/>
      <c r="DB683" s="1065"/>
    </row>
    <row r="684" spans="1:106" ht="15" customHeight="1">
      <c r="A684" s="1065"/>
      <c r="B684" s="1065"/>
      <c r="C684" s="1273" t="s">
        <v>670</v>
      </c>
      <c r="D684" s="1272">
        <v>16167</v>
      </c>
      <c r="E684" s="1273" t="s">
        <v>1112</v>
      </c>
      <c r="F684" s="1272">
        <v>60117.47</v>
      </c>
      <c r="G684" s="1273" t="s">
        <v>1072</v>
      </c>
      <c r="H684" s="1223"/>
      <c r="I684" s="1314"/>
      <c r="J684" s="1315"/>
      <c r="K684" s="1315"/>
      <c r="L684" s="1315"/>
      <c r="M684" s="1308"/>
      <c r="N684" s="1225"/>
      <c r="O684" s="1226"/>
      <c r="P684" s="1227"/>
      <c r="Q684" s="1227"/>
      <c r="R684" s="1228"/>
      <c r="S684" s="1224"/>
      <c r="T684" s="1229"/>
      <c r="U684" s="1273" t="s">
        <v>670</v>
      </c>
      <c r="V684" s="1273" t="s">
        <v>1112</v>
      </c>
      <c r="W684" s="1272">
        <v>42819.57</v>
      </c>
      <c r="X684" s="1273" t="s">
        <v>1072</v>
      </c>
      <c r="Y684" s="821"/>
      <c r="Z684" s="821"/>
      <c r="AA684" s="821"/>
      <c r="AB684" s="821"/>
      <c r="AC684" s="821"/>
      <c r="AD684" s="821"/>
      <c r="AE684" s="821"/>
      <c r="AF684" s="1273" t="s">
        <v>665</v>
      </c>
      <c r="AG684" s="1272">
        <v>0</v>
      </c>
      <c r="AH684" s="1273" t="s">
        <v>1113</v>
      </c>
      <c r="AI684" s="1272">
        <v>0</v>
      </c>
      <c r="AJ684" s="1273" t="s">
        <v>1072</v>
      </c>
      <c r="AK684" s="1065"/>
      <c r="AL684" s="1316" t="s">
        <v>6</v>
      </c>
      <c r="AM684" s="1317"/>
      <c r="AN684" s="1318" t="s">
        <v>1113</v>
      </c>
      <c r="AO684" s="1317">
        <v>6103.24</v>
      </c>
      <c r="AP684" s="1319" t="s">
        <v>1072</v>
      </c>
      <c r="AQ684" s="1065"/>
      <c r="AR684" s="1273" t="s">
        <v>686</v>
      </c>
      <c r="AS684" s="1272">
        <v>50551</v>
      </c>
      <c r="AT684" s="1273" t="s">
        <v>1112</v>
      </c>
      <c r="AU684" s="1272">
        <v>125427.14</v>
      </c>
      <c r="AV684" s="1273" t="s">
        <v>1072</v>
      </c>
      <c r="AW684" s="1065"/>
      <c r="AX684" s="1065"/>
      <c r="AY684" s="1065"/>
      <c r="AZ684" s="1065"/>
      <c r="BA684" s="1065"/>
      <c r="BB684" s="1065"/>
      <c r="BC684" s="1065"/>
      <c r="BD684" s="1065"/>
      <c r="BE684" s="1065"/>
      <c r="BF684" s="1065"/>
      <c r="BG684" s="1065"/>
      <c r="BH684" s="1065"/>
      <c r="BI684" s="1065"/>
      <c r="BJ684" s="1065"/>
      <c r="BK684" s="1065"/>
      <c r="BL684" s="1065"/>
      <c r="BM684" s="1065"/>
      <c r="BN684" s="1065"/>
      <c r="BO684" s="1065"/>
      <c r="BP684" s="1065"/>
      <c r="BQ684" s="1065"/>
      <c r="BR684" s="1065"/>
      <c r="BS684" s="1065"/>
      <c r="BT684" s="1065"/>
      <c r="BU684" s="1065"/>
      <c r="BV684" s="1065"/>
      <c r="BW684" s="1065"/>
      <c r="BX684" s="1065"/>
      <c r="BY684" s="1065"/>
      <c r="BZ684" s="1065"/>
      <c r="CA684" s="1065"/>
      <c r="CB684" s="1065"/>
      <c r="CC684" s="1065"/>
      <c r="CD684" s="1065"/>
      <c r="CE684" s="1065"/>
      <c r="CF684" s="1065"/>
      <c r="CG684" s="1065"/>
      <c r="CH684" s="1065"/>
      <c r="CI684" s="1065"/>
      <c r="CJ684" s="1065"/>
      <c r="CK684" s="1065"/>
      <c r="CL684" s="1065"/>
      <c r="CM684" s="1065"/>
      <c r="CN684" s="1065"/>
      <c r="CO684" s="1065"/>
      <c r="CP684" s="1065"/>
      <c r="CQ684" s="1065"/>
      <c r="CR684" s="1065"/>
      <c r="CS684" s="1065"/>
      <c r="CT684" s="1065"/>
      <c r="CU684" s="1065"/>
      <c r="CV684" s="1065"/>
      <c r="CW684" s="1065"/>
      <c r="CX684" s="1065"/>
      <c r="CY684" s="1065"/>
      <c r="CZ684" s="1065"/>
      <c r="DA684" s="1065"/>
      <c r="DB684" s="1065"/>
    </row>
    <row r="685" spans="1:106" ht="15" customHeight="1">
      <c r="A685" s="1065"/>
      <c r="B685" s="1065"/>
      <c r="C685" s="1273" t="s">
        <v>686</v>
      </c>
      <c r="D685" s="1272">
        <v>35099</v>
      </c>
      <c r="E685" s="1273" t="s">
        <v>1112</v>
      </c>
      <c r="F685" s="1272">
        <v>142940.68</v>
      </c>
      <c r="G685" s="1273" t="s">
        <v>1072</v>
      </c>
      <c r="H685" s="1223"/>
      <c r="I685" s="1663" t="s">
        <v>1115</v>
      </c>
      <c r="J685" s="1663"/>
      <c r="K685" s="1320">
        <v>400000</v>
      </c>
      <c r="L685" s="1321" t="s">
        <v>1072</v>
      </c>
      <c r="M685" s="1225"/>
      <c r="N685" s="1225"/>
      <c r="O685" s="1226"/>
      <c r="P685" s="1227"/>
      <c r="Q685" s="1227"/>
      <c r="R685" s="1228"/>
      <c r="S685" s="1224"/>
      <c r="T685" s="1229"/>
      <c r="U685" s="1273" t="s">
        <v>686</v>
      </c>
      <c r="V685" s="1273" t="s">
        <v>1112</v>
      </c>
      <c r="W685" s="1272">
        <v>107206.22</v>
      </c>
      <c r="X685" s="1273" t="s">
        <v>1072</v>
      </c>
      <c r="Y685" s="821"/>
      <c r="Z685" s="821"/>
      <c r="AA685" s="821"/>
      <c r="AB685" s="821"/>
      <c r="AC685" s="821"/>
      <c r="AD685" s="821"/>
      <c r="AE685" s="821"/>
      <c r="AF685" s="1273" t="s">
        <v>668</v>
      </c>
      <c r="AG685" s="1272">
        <v>11147</v>
      </c>
      <c r="AH685" s="1273" t="s">
        <v>1113</v>
      </c>
      <c r="AI685" s="1272">
        <v>697.17</v>
      </c>
      <c r="AJ685" s="1273" t="s">
        <v>1072</v>
      </c>
      <c r="AK685" s="1065"/>
      <c r="AL685" s="1316" t="s">
        <v>492</v>
      </c>
      <c r="AM685" s="1317">
        <v>0.1</v>
      </c>
      <c r="AN685" s="1318" t="s">
        <v>1113</v>
      </c>
      <c r="AO685" s="1317">
        <f t="shared" ref="AO685:AO692" si="2">AM685*$AO$684</f>
        <v>610.32399999999996</v>
      </c>
      <c r="AP685" s="1319" t="s">
        <v>1072</v>
      </c>
      <c r="AQ685" s="1065"/>
      <c r="AR685" s="1273" t="s">
        <v>686</v>
      </c>
      <c r="AS685" s="1272">
        <v>53</v>
      </c>
      <c r="AT685" s="1273" t="s">
        <v>1112</v>
      </c>
      <c r="AU685" s="1272">
        <v>131.5</v>
      </c>
      <c r="AV685" s="1273" t="s">
        <v>1072</v>
      </c>
      <c r="AW685" s="1065"/>
      <c r="AX685" s="1065"/>
      <c r="AY685" s="1065"/>
      <c r="AZ685" s="1065"/>
      <c r="BA685" s="1065"/>
      <c r="BB685" s="1065"/>
      <c r="BC685" s="1065"/>
      <c r="BD685" s="1065"/>
      <c r="BE685" s="1065"/>
      <c r="BF685" s="1065"/>
      <c r="BG685" s="1065"/>
      <c r="BH685" s="1065"/>
      <c r="BI685" s="1065"/>
      <c r="BJ685" s="1065"/>
      <c r="BK685" s="1065"/>
      <c r="BL685" s="1065"/>
      <c r="BM685" s="1065"/>
      <c r="BN685" s="1065"/>
      <c r="BO685" s="1065"/>
      <c r="BP685" s="1065"/>
      <c r="BQ685" s="1065"/>
      <c r="BR685" s="1065"/>
      <c r="BS685" s="1065"/>
      <c r="BT685" s="1065"/>
      <c r="BU685" s="1065"/>
      <c r="BV685" s="1065"/>
      <c r="BW685" s="1065"/>
      <c r="BX685" s="1065"/>
      <c r="BY685" s="1065"/>
      <c r="BZ685" s="1065"/>
      <c r="CA685" s="1065"/>
      <c r="CB685" s="1065"/>
      <c r="CC685" s="1065"/>
      <c r="CD685" s="1065"/>
      <c r="CE685" s="1065"/>
      <c r="CF685" s="1065"/>
      <c r="CG685" s="1065"/>
      <c r="CH685" s="1065"/>
      <c r="CI685" s="1065"/>
      <c r="CJ685" s="1065"/>
      <c r="CK685" s="1065"/>
      <c r="CL685" s="1065"/>
      <c r="CM685" s="1065"/>
      <c r="CN685" s="1065"/>
      <c r="CO685" s="1065"/>
      <c r="CP685" s="1065"/>
      <c r="CQ685" s="1065"/>
      <c r="CR685" s="1065"/>
      <c r="CS685" s="1065"/>
      <c r="CT685" s="1065"/>
      <c r="CU685" s="1065"/>
      <c r="CV685" s="1065"/>
      <c r="CW685" s="1065"/>
      <c r="CX685" s="1065"/>
      <c r="CY685" s="1065"/>
      <c r="CZ685" s="1065"/>
      <c r="DA685" s="1065"/>
      <c r="DB685" s="1065"/>
    </row>
    <row r="686" spans="1:106" ht="15" customHeight="1">
      <c r="A686" s="1065"/>
      <c r="B686" s="1065"/>
      <c r="C686" s="1273" t="s">
        <v>686</v>
      </c>
      <c r="D686" s="1272">
        <v>27</v>
      </c>
      <c r="E686" s="1273" t="s">
        <v>1112</v>
      </c>
      <c r="F686" s="1272">
        <v>109.96</v>
      </c>
      <c r="G686" s="1273" t="s">
        <v>1072</v>
      </c>
      <c r="H686" s="1223"/>
      <c r="I686" s="1663" t="s">
        <v>1116</v>
      </c>
      <c r="J686" s="1663"/>
      <c r="K686" s="1320">
        <f>K685/L672</f>
        <v>0.30590214013113964</v>
      </c>
      <c r="L686" s="1322"/>
      <c r="M686" s="1225"/>
      <c r="N686" s="1225"/>
      <c r="O686" s="1226"/>
      <c r="P686" s="1227"/>
      <c r="Q686" s="1227"/>
      <c r="R686" s="1228"/>
      <c r="S686" s="1224"/>
      <c r="T686" s="1229"/>
      <c r="U686" s="1273" t="s">
        <v>686</v>
      </c>
      <c r="V686" s="1273" t="s">
        <v>1112</v>
      </c>
      <c r="W686" s="1272">
        <v>0</v>
      </c>
      <c r="X686" s="1273" t="s">
        <v>1072</v>
      </c>
      <c r="Y686" s="821"/>
      <c r="Z686" s="821"/>
      <c r="AA686" s="821"/>
      <c r="AB686" s="821"/>
      <c r="AC686" s="821"/>
      <c r="AD686" s="821"/>
      <c r="AE686" s="821"/>
      <c r="AF686" s="1273" t="s">
        <v>668</v>
      </c>
      <c r="AG686" s="1272">
        <v>0</v>
      </c>
      <c r="AH686" s="1273" t="s">
        <v>1113</v>
      </c>
      <c r="AI686" s="1272">
        <v>0</v>
      </c>
      <c r="AJ686" s="1273" t="s">
        <v>1072</v>
      </c>
      <c r="AK686" s="1065"/>
      <c r="AL686" s="1316" t="s">
        <v>662</v>
      </c>
      <c r="AM686" s="1317">
        <v>0.16500000000000001</v>
      </c>
      <c r="AN686" s="1318" t="s">
        <v>1113</v>
      </c>
      <c r="AO686" s="1317">
        <f t="shared" si="2"/>
        <v>1007.0346</v>
      </c>
      <c r="AP686" s="1319" t="s">
        <v>1072</v>
      </c>
      <c r="AQ686" s="1065"/>
      <c r="AR686" s="1273" t="s">
        <v>660</v>
      </c>
      <c r="AS686" s="1272">
        <v>24473</v>
      </c>
      <c r="AT686" s="1273" t="s">
        <v>1112</v>
      </c>
      <c r="AU686" s="1272">
        <v>51306.67</v>
      </c>
      <c r="AV686" s="1273" t="s">
        <v>1072</v>
      </c>
      <c r="AW686" s="1065"/>
      <c r="AX686" s="1065"/>
      <c r="AY686" s="1065"/>
      <c r="AZ686" s="1065"/>
      <c r="BA686" s="1065"/>
      <c r="BB686" s="1065"/>
      <c r="BC686" s="1065"/>
      <c r="BD686" s="1065"/>
      <c r="BE686" s="1065"/>
      <c r="BF686" s="1065"/>
      <c r="BG686" s="1065"/>
      <c r="BH686" s="1065"/>
      <c r="BI686" s="1065"/>
      <c r="BJ686" s="1065"/>
      <c r="BK686" s="1065"/>
      <c r="BL686" s="1065"/>
      <c r="BM686" s="1065"/>
      <c r="BN686" s="1065"/>
      <c r="BO686" s="1065"/>
      <c r="BP686" s="1065"/>
      <c r="BQ686" s="1065"/>
      <c r="BR686" s="1065"/>
      <c r="BS686" s="1065"/>
      <c r="BT686" s="1065"/>
      <c r="BU686" s="1065"/>
      <c r="BV686" s="1065"/>
      <c r="BW686" s="1065"/>
      <c r="BX686" s="1065"/>
      <c r="BY686" s="1065"/>
      <c r="BZ686" s="1065"/>
      <c r="CA686" s="1065"/>
      <c r="CB686" s="1065"/>
      <c r="CC686" s="1065"/>
      <c r="CD686" s="1065"/>
      <c r="CE686" s="1065"/>
      <c r="CF686" s="1065"/>
      <c r="CG686" s="1065"/>
      <c r="CH686" s="1065"/>
      <c r="CI686" s="1065"/>
      <c r="CJ686" s="1065"/>
      <c r="CK686" s="1065"/>
      <c r="CL686" s="1065"/>
      <c r="CM686" s="1065"/>
      <c r="CN686" s="1065"/>
      <c r="CO686" s="1065"/>
      <c r="CP686" s="1065"/>
      <c r="CQ686" s="1065"/>
      <c r="CR686" s="1065"/>
      <c r="CS686" s="1065"/>
      <c r="CT686" s="1065"/>
      <c r="CU686" s="1065"/>
      <c r="CV686" s="1065"/>
      <c r="CW686" s="1065"/>
      <c r="CX686" s="1065"/>
      <c r="CY686" s="1065"/>
      <c r="CZ686" s="1065"/>
      <c r="DA686" s="1065"/>
      <c r="DB686" s="1065"/>
    </row>
    <row r="687" spans="1:106" ht="15" customHeight="1">
      <c r="A687" s="1065"/>
      <c r="B687" s="1065"/>
      <c r="C687" s="1273" t="s">
        <v>660</v>
      </c>
      <c r="D687" s="1272">
        <v>17960</v>
      </c>
      <c r="E687" s="1273" t="s">
        <v>1112</v>
      </c>
      <c r="F687" s="1272">
        <v>66784.800000000003</v>
      </c>
      <c r="G687" s="1273" t="s">
        <v>1072</v>
      </c>
      <c r="H687" s="1223"/>
      <c r="I687" s="1223"/>
      <c r="J687" s="1224"/>
      <c r="K687" s="1224"/>
      <c r="L687" s="1224"/>
      <c r="M687" s="1225"/>
      <c r="N687" s="1225"/>
      <c r="O687" s="1226"/>
      <c r="P687" s="1227"/>
      <c r="Q687" s="1227"/>
      <c r="R687" s="1228"/>
      <c r="S687" s="1224"/>
      <c r="T687" s="1229"/>
      <c r="U687" s="1273" t="s">
        <v>660</v>
      </c>
      <c r="V687" s="1273" t="s">
        <v>1112</v>
      </c>
      <c r="W687" s="1272">
        <v>34721.339999999997</v>
      </c>
      <c r="X687" s="1273" t="s">
        <v>1072</v>
      </c>
      <c r="Y687" s="821"/>
      <c r="Z687" s="821"/>
      <c r="AA687" s="821"/>
      <c r="AB687" s="821"/>
      <c r="AC687" s="821"/>
      <c r="AD687" s="821"/>
      <c r="AE687" s="821"/>
      <c r="AF687" s="1273" t="s">
        <v>670</v>
      </c>
      <c r="AG687" s="1272">
        <v>0</v>
      </c>
      <c r="AH687" s="1273" t="s">
        <v>1113</v>
      </c>
      <c r="AI687" s="1272">
        <v>0</v>
      </c>
      <c r="AJ687" s="1273" t="s">
        <v>1072</v>
      </c>
      <c r="AK687" s="1065"/>
      <c r="AL687" s="1316" t="s">
        <v>703</v>
      </c>
      <c r="AM687" s="1317">
        <v>0.13500000000000001</v>
      </c>
      <c r="AN687" s="1318" t="s">
        <v>1113</v>
      </c>
      <c r="AO687" s="1317">
        <f t="shared" si="2"/>
        <v>823.93740000000003</v>
      </c>
      <c r="AP687" s="1319" t="s">
        <v>1072</v>
      </c>
      <c r="AQ687" s="1065"/>
      <c r="AR687" s="1065"/>
      <c r="AS687" s="1065"/>
      <c r="AT687" s="1065"/>
      <c r="AU687" s="1065"/>
      <c r="AV687" s="1065"/>
      <c r="AW687" s="1065"/>
      <c r="AX687" s="1065"/>
      <c r="AY687" s="1065"/>
      <c r="AZ687" s="1065"/>
      <c r="BA687" s="1065"/>
      <c r="BB687" s="1065"/>
      <c r="BC687" s="1065"/>
      <c r="BD687" s="1065"/>
      <c r="BE687" s="1065"/>
      <c r="BF687" s="1065"/>
      <c r="BG687" s="1065"/>
      <c r="BH687" s="1065"/>
      <c r="BI687" s="1065"/>
      <c r="BJ687" s="1065"/>
      <c r="BK687" s="1065"/>
      <c r="BL687" s="1065"/>
      <c r="BM687" s="1065"/>
      <c r="BN687" s="1065"/>
      <c r="BO687" s="1065"/>
      <c r="BP687" s="1065"/>
      <c r="BQ687" s="1065"/>
      <c r="BR687" s="1065"/>
      <c r="BS687" s="1065"/>
      <c r="BT687" s="1065"/>
      <c r="BU687" s="1065"/>
      <c r="BV687" s="1065"/>
      <c r="BW687" s="1065"/>
      <c r="BX687" s="1065"/>
      <c r="BY687" s="1065"/>
      <c r="BZ687" s="1065"/>
      <c r="CA687" s="1065"/>
      <c r="CB687" s="1065"/>
      <c r="CC687" s="1065"/>
      <c r="CD687" s="1065"/>
      <c r="CE687" s="1065"/>
      <c r="CF687" s="1065"/>
      <c r="CG687" s="1065"/>
      <c r="CH687" s="1065"/>
      <c r="CI687" s="1065"/>
      <c r="CJ687" s="1065"/>
      <c r="CK687" s="1065"/>
      <c r="CL687" s="1065"/>
      <c r="CM687" s="1065"/>
      <c r="CN687" s="1065"/>
      <c r="CO687" s="1065"/>
      <c r="CP687" s="1065"/>
      <c r="CQ687" s="1065"/>
      <c r="CR687" s="1065"/>
      <c r="CS687" s="1065"/>
      <c r="CT687" s="1065"/>
      <c r="CU687" s="1065"/>
      <c r="CV687" s="1065"/>
      <c r="CW687" s="1065"/>
      <c r="CX687" s="1065"/>
      <c r="CY687" s="1065"/>
      <c r="CZ687" s="1065"/>
      <c r="DA687" s="1065"/>
      <c r="DB687" s="1065"/>
    </row>
    <row r="688" spans="1:106" ht="15" customHeight="1">
      <c r="A688" s="1065"/>
      <c r="B688" s="1065"/>
      <c r="C688" s="1273" t="s">
        <v>496</v>
      </c>
      <c r="D688" s="1272">
        <v>0</v>
      </c>
      <c r="E688" s="1273" t="s">
        <v>1112</v>
      </c>
      <c r="F688" s="1272">
        <v>0</v>
      </c>
      <c r="G688" s="1273" t="s">
        <v>1072</v>
      </c>
      <c r="H688" s="1223"/>
      <c r="I688" s="1223"/>
      <c r="J688" s="1224"/>
      <c r="K688" s="1224"/>
      <c r="L688" s="1224"/>
      <c r="M688" s="1225"/>
      <c r="N688" s="1225"/>
      <c r="O688" s="1226"/>
      <c r="P688" s="1227"/>
      <c r="Q688" s="1227"/>
      <c r="R688" s="1228"/>
      <c r="S688" s="1224"/>
      <c r="T688" s="1229"/>
      <c r="U688" s="1273" t="s">
        <v>496</v>
      </c>
      <c r="V688" s="1273" t="s">
        <v>1112</v>
      </c>
      <c r="W688" s="1272">
        <v>0</v>
      </c>
      <c r="X688" s="1273" t="s">
        <v>1072</v>
      </c>
      <c r="Y688" s="821"/>
      <c r="Z688" s="821"/>
      <c r="AA688" s="821"/>
      <c r="AB688" s="821"/>
      <c r="AC688" s="821"/>
      <c r="AD688" s="821"/>
      <c r="AE688" s="821"/>
      <c r="AF688" s="1273" t="s">
        <v>670</v>
      </c>
      <c r="AG688" s="1272">
        <v>0</v>
      </c>
      <c r="AH688" s="1273" t="s">
        <v>1113</v>
      </c>
      <c r="AI688" s="1272">
        <v>0</v>
      </c>
      <c r="AJ688" s="1273" t="s">
        <v>1072</v>
      </c>
      <c r="AK688" s="1065"/>
      <c r="AL688" s="1316" t="s">
        <v>665</v>
      </c>
      <c r="AM688" s="1317">
        <v>0.2</v>
      </c>
      <c r="AN688" s="1318" t="s">
        <v>1113</v>
      </c>
      <c r="AO688" s="1317">
        <f t="shared" si="2"/>
        <v>1220.6479999999999</v>
      </c>
      <c r="AP688" s="1319" t="s">
        <v>1072</v>
      </c>
      <c r="AQ688" s="1065"/>
      <c r="AR688" s="1065"/>
      <c r="AS688" s="1065"/>
      <c r="AT688" s="1065"/>
      <c r="AU688" s="1065"/>
      <c r="AV688" s="1065"/>
      <c r="AW688" s="1065"/>
      <c r="AX688" s="1065"/>
      <c r="AY688" s="1065"/>
      <c r="AZ688" s="1065"/>
      <c r="BA688" s="1065"/>
      <c r="BB688" s="1065"/>
      <c r="BC688" s="1065"/>
      <c r="BD688" s="1065"/>
      <c r="BE688" s="1065"/>
      <c r="BF688" s="1065"/>
      <c r="BG688" s="1065"/>
      <c r="BH688" s="1065"/>
      <c r="BI688" s="1065"/>
      <c r="BJ688" s="1065"/>
      <c r="BK688" s="1065"/>
      <c r="BL688" s="1065"/>
      <c r="BM688" s="1065"/>
      <c r="BN688" s="1065"/>
      <c r="BO688" s="1065"/>
      <c r="BP688" s="1065"/>
      <c r="BQ688" s="1065"/>
      <c r="BR688" s="1065"/>
      <c r="BS688" s="1065"/>
      <c r="BT688" s="1065"/>
      <c r="BU688" s="1065"/>
      <c r="BV688" s="1065"/>
      <c r="BW688" s="1065"/>
      <c r="BX688" s="1065"/>
      <c r="BY688" s="1065"/>
      <c r="BZ688" s="1065"/>
      <c r="CA688" s="1065"/>
      <c r="CB688" s="1065"/>
      <c r="CC688" s="1065"/>
      <c r="CD688" s="1065"/>
      <c r="CE688" s="1065"/>
      <c r="CF688" s="1065"/>
      <c r="CG688" s="1065"/>
      <c r="CH688" s="1065"/>
      <c r="CI688" s="1065"/>
      <c r="CJ688" s="1065"/>
      <c r="CK688" s="1065"/>
      <c r="CL688" s="1065"/>
      <c r="CM688" s="1065"/>
      <c r="CN688" s="1065"/>
      <c r="CO688" s="1065"/>
      <c r="CP688" s="1065"/>
      <c r="CQ688" s="1065"/>
      <c r="CR688" s="1065"/>
      <c r="CS688" s="1065"/>
      <c r="CT688" s="1065"/>
      <c r="CU688" s="1065"/>
      <c r="CV688" s="1065"/>
      <c r="CW688" s="1065"/>
      <c r="CX688" s="1065"/>
      <c r="CY688" s="1065"/>
      <c r="CZ688" s="1065"/>
      <c r="DA688" s="1065"/>
      <c r="DB688" s="1065"/>
    </row>
    <row r="689" spans="1:106" ht="15" customHeight="1">
      <c r="A689" s="1065"/>
      <c r="B689" s="1065"/>
      <c r="C689" s="1273" t="s">
        <v>488</v>
      </c>
      <c r="D689" s="1272">
        <v>0</v>
      </c>
      <c r="E689" s="1273" t="s">
        <v>1112</v>
      </c>
      <c r="F689" s="1272">
        <v>0</v>
      </c>
      <c r="G689" s="1273" t="s">
        <v>1072</v>
      </c>
      <c r="H689" s="1223"/>
      <c r="I689" s="1223"/>
      <c r="J689" s="1224"/>
      <c r="K689" s="1224"/>
      <c r="L689" s="1224"/>
      <c r="M689" s="1225"/>
      <c r="N689" s="1225"/>
      <c r="O689" s="1226"/>
      <c r="P689" s="1227"/>
      <c r="Q689" s="1227"/>
      <c r="R689" s="1228"/>
      <c r="S689" s="1224"/>
      <c r="T689" s="1229"/>
      <c r="U689" s="1273" t="s">
        <v>488</v>
      </c>
      <c r="V689" s="1273" t="s">
        <v>1112</v>
      </c>
      <c r="W689" s="1272">
        <v>0</v>
      </c>
      <c r="X689" s="1273" t="s">
        <v>1072</v>
      </c>
      <c r="Y689" s="821"/>
      <c r="Z689" s="821"/>
      <c r="AA689" s="821"/>
      <c r="AB689" s="821"/>
      <c r="AC689" s="821"/>
      <c r="AD689" s="821"/>
      <c r="AE689" s="821"/>
      <c r="AF689" s="1273" t="s">
        <v>670</v>
      </c>
      <c r="AG689" s="1272">
        <v>0</v>
      </c>
      <c r="AH689" s="1273" t="s">
        <v>1113</v>
      </c>
      <c r="AI689" s="1272">
        <v>0</v>
      </c>
      <c r="AJ689" s="1273" t="s">
        <v>1072</v>
      </c>
      <c r="AK689" s="1065"/>
      <c r="AL689" s="1316" t="s">
        <v>668</v>
      </c>
      <c r="AM689" s="1317">
        <v>0.1</v>
      </c>
      <c r="AN689" s="1318" t="s">
        <v>1113</v>
      </c>
      <c r="AO689" s="1317">
        <f t="shared" si="2"/>
        <v>610.32399999999996</v>
      </c>
      <c r="AP689" s="1319" t="s">
        <v>1072</v>
      </c>
      <c r="AQ689" s="1065"/>
      <c r="AR689" s="1065"/>
      <c r="AS689" s="1065"/>
      <c r="AT689" s="1065"/>
      <c r="AU689" s="1065"/>
      <c r="AV689" s="1065"/>
      <c r="AW689" s="1065"/>
      <c r="AX689" s="1065"/>
      <c r="AY689" s="1065"/>
      <c r="AZ689" s="1065"/>
      <c r="BA689" s="1065"/>
      <c r="BB689" s="1065"/>
      <c r="BC689" s="1065"/>
      <c r="BD689" s="1065"/>
      <c r="BE689" s="1065"/>
      <c r="BF689" s="1065"/>
      <c r="BG689" s="1065"/>
      <c r="BH689" s="1065"/>
      <c r="BI689" s="1065"/>
      <c r="BJ689" s="1065"/>
      <c r="BK689" s="1065"/>
      <c r="BL689" s="1065"/>
      <c r="BM689" s="1065"/>
      <c r="BN689" s="1065"/>
      <c r="BO689" s="1065"/>
      <c r="BP689" s="1065"/>
      <c r="BQ689" s="1065"/>
      <c r="BR689" s="1065"/>
      <c r="BS689" s="1065"/>
      <c r="BT689" s="1065"/>
      <c r="BU689" s="1065"/>
      <c r="BV689" s="1065"/>
      <c r="BW689" s="1065"/>
      <c r="BX689" s="1065"/>
      <c r="BY689" s="1065"/>
      <c r="BZ689" s="1065"/>
      <c r="CA689" s="1065"/>
      <c r="CB689" s="1065"/>
      <c r="CC689" s="1065"/>
      <c r="CD689" s="1065"/>
      <c r="CE689" s="1065"/>
      <c r="CF689" s="1065"/>
      <c r="CG689" s="1065"/>
      <c r="CH689" s="1065"/>
      <c r="CI689" s="1065"/>
      <c r="CJ689" s="1065"/>
      <c r="CK689" s="1065"/>
      <c r="CL689" s="1065"/>
      <c r="CM689" s="1065"/>
      <c r="CN689" s="1065"/>
      <c r="CO689" s="1065"/>
      <c r="CP689" s="1065"/>
      <c r="CQ689" s="1065"/>
      <c r="CR689" s="1065"/>
      <c r="CS689" s="1065"/>
      <c r="CT689" s="1065"/>
      <c r="CU689" s="1065"/>
      <c r="CV689" s="1065"/>
      <c r="CW689" s="1065"/>
      <c r="CX689" s="1065"/>
      <c r="CY689" s="1065"/>
      <c r="CZ689" s="1065"/>
      <c r="DA689" s="1065"/>
      <c r="DB689" s="1065"/>
    </row>
    <row r="690" spans="1:106" ht="15" customHeight="1">
      <c r="A690" s="1065"/>
      <c r="B690" s="1065"/>
      <c r="C690" s="1273" t="s">
        <v>670</v>
      </c>
      <c r="D690" s="1272">
        <v>0</v>
      </c>
      <c r="E690" s="1273" t="s">
        <v>1112</v>
      </c>
      <c r="F690" s="1272">
        <v>0</v>
      </c>
      <c r="G690" s="1273" t="s">
        <v>1072</v>
      </c>
      <c r="H690" s="1223"/>
      <c r="I690" s="1223"/>
      <c r="J690" s="1224"/>
      <c r="K690" s="1224"/>
      <c r="L690" s="1224"/>
      <c r="M690" s="1225"/>
      <c r="N690" s="1225"/>
      <c r="O690" s="1226"/>
      <c r="P690" s="1227"/>
      <c r="Q690" s="1227"/>
      <c r="R690" s="1228"/>
      <c r="S690" s="1224"/>
      <c r="T690" s="1229"/>
      <c r="U690" s="1273" t="s">
        <v>670</v>
      </c>
      <c r="V690" s="1273" t="s">
        <v>1112</v>
      </c>
      <c r="W690" s="1272">
        <v>0</v>
      </c>
      <c r="X690" s="1273" t="s">
        <v>1072</v>
      </c>
      <c r="Y690" s="821"/>
      <c r="Z690" s="821"/>
      <c r="AA690" s="821"/>
      <c r="AB690" s="821"/>
      <c r="AC690" s="821"/>
      <c r="AD690" s="821"/>
      <c r="AE690" s="821"/>
      <c r="AF690" s="1273" t="s">
        <v>670</v>
      </c>
      <c r="AG690" s="1272">
        <v>0</v>
      </c>
      <c r="AH690" s="1273" t="s">
        <v>1113</v>
      </c>
      <c r="AI690" s="1272">
        <v>0</v>
      </c>
      <c r="AJ690" s="1273" t="s">
        <v>1072</v>
      </c>
      <c r="AK690" s="1065"/>
      <c r="AL690" s="1316" t="s">
        <v>670</v>
      </c>
      <c r="AM690" s="1317">
        <v>0.2</v>
      </c>
      <c r="AN690" s="1318" t="s">
        <v>1113</v>
      </c>
      <c r="AO690" s="1317">
        <f t="shared" si="2"/>
        <v>1220.6479999999999</v>
      </c>
      <c r="AP690" s="1319" t="s">
        <v>1072</v>
      </c>
      <c r="AQ690" s="1065"/>
      <c r="AR690" s="1065"/>
      <c r="AS690" s="1065"/>
      <c r="AT690" s="1065"/>
      <c r="AU690" s="1065"/>
      <c r="AV690" s="1065"/>
      <c r="AW690" s="1065"/>
      <c r="AX690" s="1065"/>
      <c r="AY690" s="1065"/>
      <c r="AZ690" s="1065"/>
      <c r="BA690" s="1065"/>
      <c r="BB690" s="1065"/>
      <c r="BC690" s="1065"/>
      <c r="BD690" s="1065"/>
      <c r="BE690" s="1065"/>
      <c r="BF690" s="1065"/>
      <c r="BG690" s="1065"/>
      <c r="BH690" s="1065"/>
      <c r="BI690" s="1065"/>
      <c r="BJ690" s="1065"/>
      <c r="BK690" s="1065"/>
      <c r="BL690" s="1065"/>
      <c r="BM690" s="1065"/>
      <c r="BN690" s="1065"/>
      <c r="BO690" s="1065"/>
      <c r="BP690" s="1065"/>
      <c r="BQ690" s="1065"/>
      <c r="BR690" s="1065"/>
      <c r="BS690" s="1065"/>
      <c r="BT690" s="1065"/>
      <c r="BU690" s="1065"/>
      <c r="BV690" s="1065"/>
      <c r="BW690" s="1065"/>
      <c r="BX690" s="1065"/>
      <c r="BY690" s="1065"/>
      <c r="BZ690" s="1065"/>
      <c r="CA690" s="1065"/>
      <c r="CB690" s="1065"/>
      <c r="CC690" s="1065"/>
      <c r="CD690" s="1065"/>
      <c r="CE690" s="1065"/>
      <c r="CF690" s="1065"/>
      <c r="CG690" s="1065"/>
      <c r="CH690" s="1065"/>
      <c r="CI690" s="1065"/>
      <c r="CJ690" s="1065"/>
      <c r="CK690" s="1065"/>
      <c r="CL690" s="1065"/>
      <c r="CM690" s="1065"/>
      <c r="CN690" s="1065"/>
      <c r="CO690" s="1065"/>
      <c r="CP690" s="1065"/>
      <c r="CQ690" s="1065"/>
      <c r="CR690" s="1065"/>
      <c r="CS690" s="1065"/>
      <c r="CT690" s="1065"/>
      <c r="CU690" s="1065"/>
      <c r="CV690" s="1065"/>
      <c r="CW690" s="1065"/>
      <c r="CX690" s="1065"/>
      <c r="CY690" s="1065"/>
      <c r="CZ690" s="1065"/>
      <c r="DA690" s="1065"/>
      <c r="DB690" s="1065"/>
    </row>
    <row r="691" spans="1:106" ht="15" customHeight="1">
      <c r="A691" s="1065"/>
      <c r="B691" s="1065"/>
      <c r="C691" s="1273" t="s">
        <v>670</v>
      </c>
      <c r="D691" s="1272">
        <v>0</v>
      </c>
      <c r="E691" s="1273" t="s">
        <v>1112</v>
      </c>
      <c r="F691" s="1272">
        <v>0</v>
      </c>
      <c r="G691" s="1273" t="s">
        <v>1072</v>
      </c>
      <c r="H691" s="1223"/>
      <c r="I691" s="1223"/>
      <c r="J691" s="1224"/>
      <c r="K691" s="1224"/>
      <c r="L691" s="1224"/>
      <c r="M691" s="1225"/>
      <c r="N691" s="1225"/>
      <c r="O691" s="1226"/>
      <c r="P691" s="1227"/>
      <c r="Q691" s="1227"/>
      <c r="R691" s="1228"/>
      <c r="S691" s="1224"/>
      <c r="T691" s="1229"/>
      <c r="U691" s="1273" t="s">
        <v>670</v>
      </c>
      <c r="V691" s="1273" t="s">
        <v>1112</v>
      </c>
      <c r="W691" s="1272">
        <v>0</v>
      </c>
      <c r="X691" s="1273" t="s">
        <v>1072</v>
      </c>
      <c r="Y691" s="821"/>
      <c r="Z691" s="821"/>
      <c r="AA691" s="821"/>
      <c r="AB691" s="821"/>
      <c r="AC691" s="821"/>
      <c r="AD691" s="821"/>
      <c r="AE691" s="821"/>
      <c r="AF691" s="1273" t="s">
        <v>660</v>
      </c>
      <c r="AG691" s="1272">
        <v>12459</v>
      </c>
      <c r="AH691" s="1273" t="s">
        <v>1113</v>
      </c>
      <c r="AI691" s="1272">
        <v>847.83</v>
      </c>
      <c r="AJ691" s="1273" t="s">
        <v>1072</v>
      </c>
      <c r="AK691" s="1065"/>
      <c r="AL691" s="1316" t="s">
        <v>1114</v>
      </c>
      <c r="AM691" s="1317">
        <f>0.3*(AG702+AG701+AG700+AG699)</f>
        <v>0</v>
      </c>
      <c r="AN691" s="1318" t="s">
        <v>1113</v>
      </c>
      <c r="AO691" s="1317">
        <f t="shared" si="2"/>
        <v>0</v>
      </c>
      <c r="AP691" s="1319" t="s">
        <v>1072</v>
      </c>
      <c r="AQ691" s="1065"/>
      <c r="AR691" s="1065"/>
      <c r="AS691" s="1065"/>
      <c r="AT691" s="1065"/>
      <c r="AU691" s="1065"/>
      <c r="AV691" s="1065"/>
      <c r="AW691" s="1065"/>
      <c r="AX691" s="1065"/>
      <c r="AY691" s="1065"/>
      <c r="AZ691" s="1065"/>
      <c r="BA691" s="1065"/>
      <c r="BB691" s="1065"/>
      <c r="BC691" s="1065"/>
      <c r="BD691" s="1065"/>
      <c r="BE691" s="1065"/>
      <c r="BF691" s="1065"/>
      <c r="BG691" s="1065"/>
      <c r="BH691" s="1065"/>
      <c r="BI691" s="1065"/>
      <c r="BJ691" s="1065"/>
      <c r="BK691" s="1065"/>
      <c r="BL691" s="1065"/>
      <c r="BM691" s="1065"/>
      <c r="BN691" s="1065"/>
      <c r="BO691" s="1065"/>
      <c r="BP691" s="1065"/>
      <c r="BQ691" s="1065"/>
      <c r="BR691" s="1065"/>
      <c r="BS691" s="1065"/>
      <c r="BT691" s="1065"/>
      <c r="BU691" s="1065"/>
      <c r="BV691" s="1065"/>
      <c r="BW691" s="1065"/>
      <c r="BX691" s="1065"/>
      <c r="BY691" s="1065"/>
      <c r="BZ691" s="1065"/>
      <c r="CA691" s="1065"/>
      <c r="CB691" s="1065"/>
      <c r="CC691" s="1065"/>
      <c r="CD691" s="1065"/>
      <c r="CE691" s="1065"/>
      <c r="CF691" s="1065"/>
      <c r="CG691" s="1065"/>
      <c r="CH691" s="1065"/>
      <c r="CI691" s="1065"/>
      <c r="CJ691" s="1065"/>
      <c r="CK691" s="1065"/>
      <c r="CL691" s="1065"/>
      <c r="CM691" s="1065"/>
      <c r="CN691" s="1065"/>
      <c r="CO691" s="1065"/>
      <c r="CP691" s="1065"/>
      <c r="CQ691" s="1065"/>
      <c r="CR691" s="1065"/>
      <c r="CS691" s="1065"/>
      <c r="CT691" s="1065"/>
      <c r="CU691" s="1065"/>
      <c r="CV691" s="1065"/>
      <c r="CW691" s="1065"/>
      <c r="CX691" s="1065"/>
      <c r="CY691" s="1065"/>
      <c r="CZ691" s="1065"/>
      <c r="DA691" s="1065"/>
      <c r="DB691" s="1065"/>
    </row>
    <row r="692" spans="1:106" ht="15" customHeight="1" thickBot="1">
      <c r="A692" s="1065"/>
      <c r="B692" s="1065"/>
      <c r="C692" s="1273" t="s">
        <v>492</v>
      </c>
      <c r="D692" s="1272">
        <v>0</v>
      </c>
      <c r="E692" s="1273" t="s">
        <v>1112</v>
      </c>
      <c r="F692" s="1272">
        <v>0</v>
      </c>
      <c r="G692" s="1273" t="s">
        <v>1072</v>
      </c>
      <c r="H692" s="1223"/>
      <c r="I692" s="1223"/>
      <c r="J692" s="1224"/>
      <c r="K692" s="1224"/>
      <c r="L692" s="1224"/>
      <c r="M692" s="1225"/>
      <c r="N692" s="1225"/>
      <c r="O692" s="1226"/>
      <c r="P692" s="1227"/>
      <c r="Q692" s="1227"/>
      <c r="R692" s="1228"/>
      <c r="S692" s="1224"/>
      <c r="T692" s="1229"/>
      <c r="U692" s="1273" t="s">
        <v>492</v>
      </c>
      <c r="V692" s="1273" t="s">
        <v>1112</v>
      </c>
      <c r="W692" s="1272">
        <v>0</v>
      </c>
      <c r="X692" s="1273" t="s">
        <v>1072</v>
      </c>
      <c r="Y692" s="1065"/>
      <c r="Z692" s="1065"/>
      <c r="AA692" s="1065"/>
      <c r="AB692" s="1065"/>
      <c r="AC692" s="1065"/>
      <c r="AD692" s="1065"/>
      <c r="AE692" s="1065"/>
      <c r="AF692" s="1273" t="s">
        <v>660</v>
      </c>
      <c r="AG692" s="1272">
        <v>0</v>
      </c>
      <c r="AH692" s="1273" t="s">
        <v>1113</v>
      </c>
      <c r="AI692" s="1272">
        <v>0</v>
      </c>
      <c r="AJ692" s="1273" t="s">
        <v>1072</v>
      </c>
      <c r="AK692" s="1065"/>
      <c r="AL692" s="1323" t="s">
        <v>660</v>
      </c>
      <c r="AM692" s="1324">
        <v>0.1</v>
      </c>
      <c r="AN692" s="1325" t="s">
        <v>1113</v>
      </c>
      <c r="AO692" s="1317">
        <f t="shared" si="2"/>
        <v>610.32399999999996</v>
      </c>
      <c r="AP692" s="1326" t="s">
        <v>1072</v>
      </c>
      <c r="AQ692" s="1065"/>
      <c r="AR692" s="1065"/>
      <c r="AS692" s="1065"/>
      <c r="AT692" s="1065"/>
      <c r="AU692" s="1065"/>
      <c r="AV692" s="1065"/>
      <c r="AW692" s="1065"/>
      <c r="AX692" s="1065"/>
      <c r="AY692" s="1065"/>
      <c r="AZ692" s="1065"/>
      <c r="BA692" s="1065"/>
      <c r="BB692" s="1065"/>
      <c r="BC692" s="1065"/>
      <c r="BD692" s="1065"/>
      <c r="BE692" s="1065"/>
      <c r="BF692" s="1065"/>
      <c r="BG692" s="1065"/>
      <c r="BH692" s="1065"/>
      <c r="BI692" s="1065"/>
      <c r="BJ692" s="1065"/>
      <c r="BK692" s="1065"/>
      <c r="BL692" s="1065"/>
      <c r="BM692" s="1065"/>
      <c r="BN692" s="1065"/>
      <c r="BO692" s="1065"/>
      <c r="BP692" s="1065"/>
      <c r="BQ692" s="1065"/>
      <c r="BR692" s="1065"/>
      <c r="BS692" s="1065"/>
      <c r="BT692" s="1065"/>
      <c r="BU692" s="1065"/>
      <c r="BV692" s="1065"/>
      <c r="BW692" s="1065"/>
      <c r="BX692" s="1065"/>
      <c r="BY692" s="1065"/>
      <c r="BZ692" s="1065"/>
      <c r="CA692" s="1065"/>
      <c r="CB692" s="1065"/>
      <c r="CC692" s="1065"/>
      <c r="CD692" s="1065"/>
      <c r="CE692" s="1065"/>
      <c r="CF692" s="1065"/>
      <c r="CG692" s="1065"/>
      <c r="CH692" s="1065"/>
      <c r="CI692" s="1065"/>
      <c r="CJ692" s="1065"/>
      <c r="CK692" s="1065"/>
      <c r="CL692" s="1065"/>
      <c r="CM692" s="1065"/>
      <c r="CN692" s="1065"/>
      <c r="CO692" s="1065"/>
      <c r="CP692" s="1065"/>
      <c r="CQ692" s="1065"/>
      <c r="CR692" s="1065"/>
      <c r="CS692" s="1065"/>
      <c r="CT692" s="1065"/>
      <c r="CU692" s="1065"/>
      <c r="CV692" s="1065"/>
      <c r="CW692" s="1065"/>
      <c r="CX692" s="1065"/>
      <c r="CY692" s="1065"/>
      <c r="CZ692" s="1065"/>
      <c r="DA692" s="1065"/>
      <c r="DB692" s="1065"/>
    </row>
    <row r="693" spans="1:106" ht="15" customHeight="1">
      <c r="A693" s="1065"/>
      <c r="B693" s="1065"/>
      <c r="C693" s="1273" t="s">
        <v>665</v>
      </c>
      <c r="D693" s="1272">
        <v>0</v>
      </c>
      <c r="E693" s="1273" t="s">
        <v>1112</v>
      </c>
      <c r="F693" s="1272">
        <v>0</v>
      </c>
      <c r="G693" s="1273" t="s">
        <v>1072</v>
      </c>
      <c r="H693" s="1223"/>
      <c r="I693" s="1223"/>
      <c r="J693" s="1224"/>
      <c r="K693" s="1224"/>
      <c r="L693" s="1224"/>
      <c r="M693" s="1225"/>
      <c r="N693" s="1225"/>
      <c r="O693" s="1226"/>
      <c r="P693" s="1227"/>
      <c r="Q693" s="1227"/>
      <c r="R693" s="1228"/>
      <c r="S693" s="1224"/>
      <c r="T693" s="1229"/>
      <c r="U693" s="1273" t="s">
        <v>665</v>
      </c>
      <c r="V693" s="1273" t="s">
        <v>1112</v>
      </c>
      <c r="W693" s="1272">
        <v>0</v>
      </c>
      <c r="X693" s="1273" t="s">
        <v>1072</v>
      </c>
      <c r="Y693" s="1065"/>
      <c r="Z693" s="1065"/>
      <c r="AA693" s="1065"/>
      <c r="AB693" s="1065"/>
      <c r="AC693" s="1065"/>
      <c r="AD693" s="1065"/>
      <c r="AE693" s="1065"/>
      <c r="AF693" s="1065"/>
      <c r="AG693" s="1065"/>
      <c r="AH693" s="1065"/>
      <c r="AI693" s="1065"/>
      <c r="AJ693" s="1065"/>
      <c r="AK693" s="1065"/>
      <c r="AL693" s="1065"/>
      <c r="AM693" s="1065"/>
      <c r="AN693" s="1065"/>
      <c r="AO693" s="1065"/>
      <c r="AP693" s="821"/>
      <c r="AQ693" s="821"/>
      <c r="AR693" s="821"/>
      <c r="AS693" s="821"/>
      <c r="AT693" s="821"/>
      <c r="AU693" s="821"/>
      <c r="AV693" s="821"/>
      <c r="AW693" s="1065"/>
      <c r="AX693" s="1065"/>
      <c r="AY693" s="1065"/>
      <c r="AZ693" s="1065"/>
      <c r="BA693" s="1065"/>
      <c r="BB693" s="1065"/>
      <c r="BC693" s="1065"/>
      <c r="BD693" s="1065"/>
      <c r="BE693" s="1065"/>
      <c r="BF693" s="1065"/>
      <c r="BG693" s="1065"/>
      <c r="BH693" s="1065"/>
      <c r="BI693" s="1065"/>
      <c r="BJ693" s="1065"/>
      <c r="BK693" s="1065"/>
      <c r="BL693" s="1065"/>
      <c r="BM693" s="1065"/>
      <c r="BN693" s="1065"/>
      <c r="BO693" s="1065"/>
      <c r="BP693" s="1065"/>
      <c r="BQ693" s="1065"/>
      <c r="BR693" s="1065"/>
      <c r="BS693" s="1065"/>
      <c r="BT693" s="1065"/>
      <c r="BU693" s="1065"/>
      <c r="BV693" s="1065"/>
      <c r="BW693" s="1065"/>
      <c r="BX693" s="1065"/>
      <c r="BY693" s="1065"/>
      <c r="BZ693" s="1065"/>
      <c r="CA693" s="1065"/>
      <c r="CB693" s="1065"/>
      <c r="CC693" s="1065"/>
      <c r="CD693" s="1065"/>
      <c r="CE693" s="1065"/>
      <c r="CF693" s="1065"/>
      <c r="CG693" s="1065"/>
      <c r="CH693" s="1065"/>
      <c r="CI693" s="1065"/>
      <c r="CJ693" s="1065"/>
      <c r="CK693" s="1065"/>
      <c r="CL693" s="1065"/>
      <c r="CM693" s="1065"/>
      <c r="CN693" s="1065"/>
      <c r="CO693" s="1065"/>
      <c r="CP693" s="1065"/>
      <c r="CQ693" s="1065"/>
      <c r="CR693" s="1065"/>
      <c r="CS693" s="1065"/>
      <c r="CT693" s="1065"/>
      <c r="CU693" s="1065"/>
      <c r="CV693" s="1065"/>
      <c r="CW693" s="1065"/>
      <c r="CX693" s="1065"/>
      <c r="CY693" s="1065"/>
      <c r="CZ693" s="1065"/>
      <c r="DA693" s="1065"/>
      <c r="DB693" s="1065"/>
    </row>
    <row r="694" spans="1:106" ht="15" customHeight="1">
      <c r="A694" s="1065"/>
      <c r="B694" s="1065"/>
      <c r="C694" s="1273" t="s">
        <v>665</v>
      </c>
      <c r="D694" s="1272">
        <v>0</v>
      </c>
      <c r="E694" s="1273" t="s">
        <v>1112</v>
      </c>
      <c r="F694" s="1272">
        <v>0</v>
      </c>
      <c r="G694" s="1273" t="s">
        <v>1072</v>
      </c>
      <c r="H694" s="1223"/>
      <c r="I694" s="1223"/>
      <c r="J694" s="1224"/>
      <c r="K694" s="1224"/>
      <c r="L694" s="1224"/>
      <c r="M694" s="1225"/>
      <c r="N694" s="1225"/>
      <c r="O694" s="1226"/>
      <c r="P694" s="1227"/>
      <c r="Q694" s="1227"/>
      <c r="R694" s="1228"/>
      <c r="S694" s="1224"/>
      <c r="T694" s="1229"/>
      <c r="U694" s="1273" t="s">
        <v>665</v>
      </c>
      <c r="V694" s="1273" t="s">
        <v>1112</v>
      </c>
      <c r="W694" s="1272">
        <v>0</v>
      </c>
      <c r="X694" s="1273" t="s">
        <v>1072</v>
      </c>
      <c r="Y694" s="1065"/>
      <c r="Z694" s="1065"/>
      <c r="AA694" s="1065"/>
      <c r="AB694" s="1065"/>
      <c r="AC694" s="1065"/>
      <c r="AD694" s="1065"/>
      <c r="AE694" s="1065"/>
      <c r="AF694" s="1065"/>
      <c r="AG694" s="1065"/>
      <c r="AH694" s="1065"/>
      <c r="AI694" s="1065"/>
      <c r="AJ694" s="1065"/>
      <c r="AK694" s="1065"/>
      <c r="AL694" s="1065"/>
      <c r="AM694" s="1065"/>
      <c r="AN694" s="1065"/>
      <c r="AO694" s="1065"/>
      <c r="AP694" s="1065"/>
      <c r="AQ694" s="1065"/>
      <c r="AR694" s="1065"/>
      <c r="AS694" s="1065"/>
      <c r="AT694" s="1065"/>
      <c r="AU694" s="1065"/>
      <c r="AV694" s="1065"/>
      <c r="AW694" s="1065"/>
      <c r="AX694" s="1065"/>
      <c r="AY694" s="1065"/>
      <c r="AZ694" s="1065"/>
      <c r="BA694" s="1065"/>
      <c r="BB694" s="1065"/>
      <c r="BC694" s="1065"/>
      <c r="BD694" s="1065"/>
      <c r="BE694" s="1065"/>
      <c r="BF694" s="1065"/>
      <c r="BG694" s="1065"/>
      <c r="BH694" s="1065"/>
      <c r="BI694" s="1065"/>
      <c r="BJ694" s="1065"/>
      <c r="BK694" s="1065"/>
      <c r="BL694" s="1065"/>
      <c r="BM694" s="1065"/>
      <c r="BN694" s="1065"/>
      <c r="BO694" s="1065"/>
      <c r="BP694" s="1065"/>
      <c r="BQ694" s="1065"/>
      <c r="BR694" s="1065"/>
      <c r="BS694" s="1065"/>
      <c r="BT694" s="1065"/>
      <c r="BU694" s="1065"/>
      <c r="BV694" s="1065"/>
      <c r="BW694" s="1065"/>
      <c r="BX694" s="1065"/>
      <c r="BY694" s="1065"/>
      <c r="BZ694" s="1065"/>
      <c r="CA694" s="1065"/>
      <c r="CB694" s="1065"/>
      <c r="CC694" s="1065"/>
      <c r="CD694" s="1065"/>
      <c r="CE694" s="1065"/>
      <c r="CF694" s="1065"/>
      <c r="CG694" s="1065"/>
      <c r="CH694" s="1065"/>
      <c r="CI694" s="1065"/>
      <c r="CJ694" s="1065"/>
      <c r="CK694" s="1065"/>
      <c r="CL694" s="1065"/>
      <c r="CM694" s="1065"/>
      <c r="CN694" s="1065"/>
      <c r="CO694" s="1065"/>
      <c r="CP694" s="1065"/>
      <c r="CQ694" s="1065"/>
      <c r="CR694" s="1065"/>
      <c r="CS694" s="1065"/>
      <c r="CT694" s="1065"/>
      <c r="CU694" s="1065"/>
      <c r="CV694" s="1065"/>
      <c r="CW694" s="1065"/>
      <c r="CX694" s="1065"/>
      <c r="CY694" s="1065"/>
      <c r="CZ694" s="1065"/>
      <c r="DA694" s="1065"/>
      <c r="DB694" s="1065"/>
    </row>
    <row r="695" spans="1:106" ht="15" customHeight="1">
      <c r="A695" s="1065"/>
      <c r="B695" s="1065"/>
      <c r="C695" s="1273" t="s">
        <v>668</v>
      </c>
      <c r="D695" s="1272">
        <v>0</v>
      </c>
      <c r="E695" s="1273" t="s">
        <v>1112</v>
      </c>
      <c r="F695" s="1272">
        <v>0</v>
      </c>
      <c r="G695" s="1273" t="s">
        <v>1072</v>
      </c>
      <c r="H695" s="1223"/>
      <c r="I695" s="1223"/>
      <c r="J695" s="1224"/>
      <c r="K695" s="1224"/>
      <c r="L695" s="1224"/>
      <c r="M695" s="1225"/>
      <c r="N695" s="1225"/>
      <c r="O695" s="1226"/>
      <c r="P695" s="1227"/>
      <c r="Q695" s="1227"/>
      <c r="R695" s="1228"/>
      <c r="S695" s="1224"/>
      <c r="T695" s="1229"/>
      <c r="U695" s="1273" t="s">
        <v>668</v>
      </c>
      <c r="V695" s="1273" t="s">
        <v>1112</v>
      </c>
      <c r="W695" s="1272">
        <v>0</v>
      </c>
      <c r="X695" s="1273" t="s">
        <v>1072</v>
      </c>
      <c r="Y695" s="1065"/>
      <c r="Z695" s="1065"/>
      <c r="AA695" s="1065"/>
      <c r="AB695" s="1065"/>
      <c r="AC695" s="1065"/>
      <c r="AD695" s="1065"/>
      <c r="AE695" s="1065"/>
      <c r="AF695" s="1065"/>
      <c r="AG695" s="1065"/>
      <c r="AH695" s="1065"/>
      <c r="AI695" s="1065"/>
      <c r="AJ695" s="1065"/>
      <c r="AK695" s="1065"/>
      <c r="AL695" s="1065"/>
      <c r="AM695" s="1065"/>
      <c r="AN695" s="1065"/>
      <c r="AO695" s="1065"/>
      <c r="AP695" s="1065"/>
      <c r="AQ695" s="1065"/>
      <c r="AR695" s="1065"/>
      <c r="AS695" s="1065"/>
      <c r="AT695" s="1065"/>
      <c r="AU695" s="1065"/>
      <c r="AV695" s="1065"/>
      <c r="AW695" s="1065"/>
      <c r="AX695" s="1065"/>
      <c r="AY695" s="1065"/>
      <c r="AZ695" s="1065"/>
      <c r="BA695" s="1065"/>
      <c r="BB695" s="1065"/>
      <c r="BC695" s="1065"/>
      <c r="BD695" s="1065"/>
      <c r="BE695" s="1065"/>
      <c r="BF695" s="1065"/>
      <c r="BG695" s="1065"/>
      <c r="BH695" s="1065"/>
      <c r="BI695" s="1065"/>
      <c r="BJ695" s="1065"/>
      <c r="BK695" s="1065"/>
      <c r="BL695" s="1065"/>
      <c r="BM695" s="1065"/>
      <c r="BN695" s="1065"/>
      <c r="BO695" s="1065"/>
      <c r="BP695" s="1065"/>
      <c r="BQ695" s="1065"/>
      <c r="BR695" s="1065"/>
      <c r="BS695" s="1065"/>
      <c r="BT695" s="1065"/>
      <c r="BU695" s="1065"/>
      <c r="BV695" s="1065"/>
      <c r="BW695" s="1065"/>
      <c r="BX695" s="1065"/>
      <c r="BY695" s="1065"/>
      <c r="BZ695" s="1065"/>
      <c r="CA695" s="1065"/>
      <c r="CB695" s="1065"/>
      <c r="CC695" s="1065"/>
      <c r="CD695" s="1065"/>
      <c r="CE695" s="1065"/>
      <c r="CF695" s="1065"/>
      <c r="CG695" s="1065"/>
      <c r="CH695" s="1065"/>
      <c r="CI695" s="1065"/>
      <c r="CJ695" s="1065"/>
      <c r="CK695" s="1065"/>
      <c r="CL695" s="1065"/>
      <c r="CM695" s="1065"/>
      <c r="CN695" s="1065"/>
      <c r="CO695" s="1065"/>
      <c r="CP695" s="1065"/>
      <c r="CQ695" s="1065"/>
      <c r="CR695" s="1065"/>
      <c r="CS695" s="1065"/>
      <c r="CT695" s="1065"/>
      <c r="CU695" s="1065"/>
      <c r="CV695" s="1065"/>
      <c r="CW695" s="1065"/>
      <c r="CX695" s="1065"/>
      <c r="CY695" s="1065"/>
      <c r="CZ695" s="1065"/>
      <c r="DA695" s="1065"/>
      <c r="DB695" s="1065"/>
    </row>
    <row r="696" spans="1:106" ht="15" customHeight="1">
      <c r="A696" s="1065"/>
      <c r="B696" s="1065"/>
      <c r="C696" s="1273" t="s">
        <v>492</v>
      </c>
      <c r="D696" s="1272">
        <v>0</v>
      </c>
      <c r="E696" s="1273" t="s">
        <v>1112</v>
      </c>
      <c r="F696" s="1272">
        <v>0</v>
      </c>
      <c r="G696" s="1273" t="s">
        <v>1072</v>
      </c>
      <c r="H696" s="1223"/>
      <c r="I696" s="1223"/>
      <c r="J696" s="1224"/>
      <c r="K696" s="1224"/>
      <c r="L696" s="1224"/>
      <c r="M696" s="1225"/>
      <c r="N696" s="1225"/>
      <c r="O696" s="1226"/>
      <c r="P696" s="1227"/>
      <c r="Q696" s="1227"/>
      <c r="R696" s="1228"/>
      <c r="S696" s="1224"/>
      <c r="T696" s="1229"/>
      <c r="U696" s="1273" t="s">
        <v>492</v>
      </c>
      <c r="V696" s="1273" t="s">
        <v>1112</v>
      </c>
      <c r="W696" s="1272">
        <v>0</v>
      </c>
      <c r="X696" s="1273" t="s">
        <v>1072</v>
      </c>
      <c r="Y696" s="1065"/>
      <c r="Z696" s="1065"/>
      <c r="AA696" s="1065"/>
      <c r="AB696" s="1065"/>
      <c r="AC696" s="1065"/>
      <c r="AD696" s="1065"/>
      <c r="AE696" s="1065"/>
      <c r="AF696" s="1065"/>
      <c r="AG696" s="1065"/>
      <c r="AH696" s="1065"/>
      <c r="AI696" s="1065"/>
      <c r="AJ696" s="1065"/>
      <c r="AK696" s="1065"/>
      <c r="AL696" s="1065"/>
      <c r="AM696" s="1065"/>
      <c r="AN696" s="1065"/>
      <c r="AO696" s="1065"/>
      <c r="AP696" s="1065"/>
      <c r="AQ696" s="1065"/>
      <c r="AR696" s="1065"/>
      <c r="AS696" s="1065"/>
      <c r="AT696" s="1065"/>
      <c r="AU696" s="1065"/>
      <c r="AV696" s="1065"/>
      <c r="AW696" s="1065"/>
      <c r="AX696" s="1065"/>
      <c r="AY696" s="1065"/>
      <c r="AZ696" s="1065"/>
      <c r="BA696" s="1065"/>
      <c r="BB696" s="1065"/>
      <c r="BC696" s="1065"/>
      <c r="BD696" s="1065"/>
      <c r="BE696" s="1065"/>
      <c r="BF696" s="1065"/>
      <c r="BG696" s="1065"/>
      <c r="BH696" s="1065"/>
      <c r="BI696" s="1065"/>
      <c r="BJ696" s="1065"/>
      <c r="BK696" s="1065"/>
      <c r="BL696" s="1065"/>
      <c r="BM696" s="1065"/>
      <c r="BN696" s="1065"/>
      <c r="BO696" s="1065"/>
      <c r="BP696" s="1065"/>
      <c r="BQ696" s="1065"/>
      <c r="BR696" s="1065"/>
      <c r="BS696" s="1065"/>
      <c r="BT696" s="1065"/>
      <c r="BU696" s="1065"/>
      <c r="BV696" s="1065"/>
      <c r="BW696" s="1065"/>
      <c r="BX696" s="1065"/>
      <c r="BY696" s="1065"/>
      <c r="BZ696" s="1065"/>
      <c r="CA696" s="1065"/>
      <c r="CB696" s="1065"/>
      <c r="CC696" s="1065"/>
      <c r="CD696" s="1065"/>
      <c r="CE696" s="1065"/>
      <c r="CF696" s="1065"/>
      <c r="CG696" s="1065"/>
      <c r="CH696" s="1065"/>
      <c r="CI696" s="1065"/>
      <c r="CJ696" s="1065"/>
      <c r="CK696" s="1065"/>
      <c r="CL696" s="1065"/>
      <c r="CM696" s="1065"/>
      <c r="CN696" s="1065"/>
      <c r="CO696" s="1065"/>
      <c r="CP696" s="1065"/>
      <c r="CQ696" s="1065"/>
      <c r="CR696" s="1065"/>
      <c r="CS696" s="1065"/>
      <c r="CT696" s="1065"/>
      <c r="CU696" s="1065"/>
      <c r="CV696" s="1065"/>
      <c r="CW696" s="1065"/>
      <c r="CX696" s="1065"/>
      <c r="CY696" s="1065"/>
      <c r="CZ696" s="1065"/>
      <c r="DA696" s="1065"/>
      <c r="DB696" s="1065"/>
    </row>
    <row r="697" spans="1:106" ht="15" customHeight="1" thickBot="1">
      <c r="A697" s="1065"/>
      <c r="B697" s="1065"/>
      <c r="C697" s="1065"/>
      <c r="D697" s="1065"/>
      <c r="E697" s="1065"/>
      <c r="F697" s="1065"/>
      <c r="G697" s="1065"/>
      <c r="H697" s="1223"/>
      <c r="I697" s="1223"/>
      <c r="J697" s="1224"/>
      <c r="K697" s="1224"/>
      <c r="L697" s="1224"/>
      <c r="M697" s="1225"/>
      <c r="N697" s="1225"/>
      <c r="O697" s="1226"/>
      <c r="P697" s="1227"/>
      <c r="Q697" s="1227"/>
      <c r="R697" s="1228"/>
      <c r="S697" s="1224"/>
      <c r="T697" s="1229"/>
      <c r="U697" s="1065"/>
      <c r="V697" s="1065"/>
      <c r="W697" s="1065"/>
      <c r="X697" s="1065"/>
      <c r="Y697" s="1065"/>
      <c r="Z697" s="1065"/>
      <c r="AA697" s="1065"/>
      <c r="AB697" s="1065"/>
      <c r="AC697" s="1065"/>
      <c r="AD697" s="1065"/>
      <c r="AE697" s="1065"/>
      <c r="AF697" s="1065"/>
      <c r="AG697" s="1065"/>
      <c r="AH697" s="1065"/>
      <c r="AI697" s="1065"/>
      <c r="AJ697" s="1065"/>
      <c r="AK697" s="1065"/>
      <c r="AL697" s="1065"/>
      <c r="AM697" s="1065"/>
      <c r="AN697" s="1065"/>
      <c r="AO697" s="1065"/>
      <c r="AP697" s="1065"/>
      <c r="AQ697" s="1065"/>
      <c r="AR697" s="1065"/>
      <c r="AS697" s="1065"/>
      <c r="AT697" s="1065"/>
      <c r="AU697" s="1065"/>
      <c r="AV697" s="1065"/>
      <c r="AW697" s="1065"/>
      <c r="AX697" s="1065"/>
      <c r="AY697" s="1065"/>
      <c r="AZ697" s="1065"/>
      <c r="BA697" s="1065"/>
      <c r="BB697" s="1065"/>
      <c r="BC697" s="1065"/>
      <c r="BD697" s="1065"/>
      <c r="BE697" s="1065"/>
      <c r="BF697" s="1065"/>
      <c r="BG697" s="1065"/>
      <c r="BH697" s="1065"/>
      <c r="BI697" s="1065"/>
      <c r="BJ697" s="1065"/>
      <c r="BK697" s="1065"/>
      <c r="BL697" s="1065"/>
      <c r="BM697" s="1065"/>
      <c r="BN697" s="1065"/>
      <c r="BO697" s="1065"/>
      <c r="BP697" s="1065"/>
      <c r="BQ697" s="1065"/>
      <c r="BR697" s="1065"/>
      <c r="BS697" s="1065"/>
      <c r="BT697" s="1065"/>
      <c r="BU697" s="1065"/>
      <c r="BV697" s="1065"/>
      <c r="BW697" s="1065"/>
      <c r="BX697" s="1065"/>
      <c r="BY697" s="1065"/>
      <c r="BZ697" s="1065"/>
      <c r="CA697" s="1065"/>
      <c r="CB697" s="1065"/>
      <c r="CC697" s="1065"/>
      <c r="CD697" s="1065"/>
      <c r="CE697" s="1065"/>
      <c r="CF697" s="1065"/>
      <c r="CG697" s="1065"/>
      <c r="CH697" s="1065"/>
      <c r="CI697" s="1065"/>
      <c r="CJ697" s="1065"/>
      <c r="CK697" s="1065"/>
      <c r="CL697" s="1065"/>
      <c r="CM697" s="1065"/>
      <c r="CN697" s="1065"/>
      <c r="CO697" s="1065"/>
      <c r="CP697" s="1065"/>
      <c r="CQ697" s="1065"/>
      <c r="CR697" s="1065"/>
      <c r="CS697" s="1065"/>
      <c r="CT697" s="1065"/>
      <c r="CU697" s="1065"/>
      <c r="CV697" s="1065"/>
      <c r="CW697" s="1065"/>
      <c r="CX697" s="1065"/>
      <c r="CY697" s="1065"/>
      <c r="CZ697" s="1065"/>
      <c r="DA697" s="1065"/>
      <c r="DB697" s="1065"/>
    </row>
    <row r="698" spans="1:106" ht="15" customHeight="1">
      <c r="A698" s="1065"/>
      <c r="B698" s="1065"/>
      <c r="C698" s="1664" t="s">
        <v>1106</v>
      </c>
      <c r="D698" s="1664"/>
      <c r="E698" s="1664"/>
      <c r="F698" s="1664"/>
      <c r="G698" s="1664"/>
      <c r="H698" s="1327"/>
      <c r="I698" s="1665" t="s">
        <v>1106</v>
      </c>
      <c r="J698" s="1665"/>
      <c r="K698" s="1665"/>
      <c r="L698" s="1665"/>
      <c r="M698" s="1665"/>
      <c r="N698" s="1328"/>
      <c r="O698" s="1666" t="s">
        <v>1110</v>
      </c>
      <c r="P698" s="1666"/>
      <c r="Q698" s="1666"/>
      <c r="R698" s="1666"/>
      <c r="S698" s="1666"/>
      <c r="T698" s="1329"/>
      <c r="U698" s="1667" t="s">
        <v>1110</v>
      </c>
      <c r="V698" s="1667"/>
      <c r="W698" s="1667"/>
      <c r="X698" s="1667"/>
      <c r="Y698" s="1065"/>
      <c r="Z698" s="1065"/>
      <c r="AA698" s="1065"/>
      <c r="AB698" s="1065"/>
      <c r="AC698" s="1065"/>
      <c r="AD698" s="1065"/>
      <c r="AE698" s="1065"/>
      <c r="AF698" s="1065"/>
      <c r="AG698" s="1065"/>
      <c r="AH698" s="1065"/>
      <c r="AI698" s="1065"/>
      <c r="AJ698" s="1065"/>
      <c r="AK698" s="1065"/>
      <c r="AL698" s="1065"/>
      <c r="AM698" s="1065"/>
      <c r="AN698" s="1065"/>
      <c r="AO698" s="1065"/>
      <c r="AP698" s="1065"/>
      <c r="AQ698" s="1065"/>
      <c r="AR698" s="1065"/>
      <c r="AS698" s="1065"/>
      <c r="AT698" s="1065"/>
      <c r="AU698" s="1065"/>
      <c r="AV698" s="1065"/>
      <c r="AW698" s="1065"/>
      <c r="AX698" s="1065"/>
      <c r="AY698" s="1065"/>
      <c r="AZ698" s="1065"/>
      <c r="BA698" s="1065"/>
      <c r="BB698" s="1065"/>
      <c r="BC698" s="1065"/>
      <c r="BD698" s="1065"/>
      <c r="BE698" s="1065"/>
      <c r="BF698" s="1065"/>
      <c r="BG698" s="1065"/>
      <c r="BH698" s="1065"/>
      <c r="BI698" s="1065"/>
      <c r="BJ698" s="1065"/>
      <c r="BK698" s="1065"/>
      <c r="BL698" s="1065"/>
      <c r="BM698" s="1065"/>
      <c r="BN698" s="1065"/>
      <c r="BO698" s="1065"/>
      <c r="BP698" s="1065"/>
      <c r="BQ698" s="1065"/>
      <c r="BR698" s="1065"/>
      <c r="BS698" s="1065"/>
      <c r="BT698" s="1065"/>
      <c r="BU698" s="1065"/>
      <c r="BV698" s="1065"/>
      <c r="BW698" s="1065"/>
      <c r="BX698" s="1065"/>
      <c r="BY698" s="1065"/>
      <c r="BZ698" s="1065"/>
      <c r="CA698" s="1065"/>
      <c r="CB698" s="1065"/>
      <c r="CC698" s="1065"/>
      <c r="CD698" s="1065"/>
      <c r="CE698" s="1065"/>
      <c r="CF698" s="1065"/>
      <c r="CG698" s="1065"/>
      <c r="CH698" s="1065"/>
      <c r="CI698" s="1065"/>
      <c r="CJ698" s="1065"/>
      <c r="CK698" s="1065"/>
      <c r="CL698" s="1065"/>
      <c r="CM698" s="1065"/>
      <c r="CN698" s="1065"/>
      <c r="CO698" s="1065"/>
      <c r="CP698" s="1065"/>
      <c r="CQ698" s="1065"/>
      <c r="CR698" s="1065"/>
      <c r="CS698" s="1065"/>
      <c r="CT698" s="1065"/>
      <c r="CU698" s="1065"/>
      <c r="CV698" s="1065"/>
      <c r="CW698" s="1065"/>
      <c r="CX698" s="1065"/>
      <c r="CY698" s="1065"/>
      <c r="CZ698" s="1065"/>
      <c r="DA698" s="1065"/>
      <c r="DB698" s="1065"/>
    </row>
    <row r="699" spans="1:106" ht="15" customHeight="1">
      <c r="A699" s="1065"/>
      <c r="B699" s="1065"/>
      <c r="C699" s="1664" t="s">
        <v>1117</v>
      </c>
      <c r="D699" s="1664"/>
      <c r="E699" s="1664"/>
      <c r="F699" s="1664"/>
      <c r="G699" s="1664"/>
      <c r="H699" s="1327"/>
      <c r="I699" s="1668" t="s">
        <v>1117</v>
      </c>
      <c r="J699" s="1668"/>
      <c r="K699" s="1668"/>
      <c r="L699" s="1668"/>
      <c r="M699" s="1668"/>
      <c r="N699" s="1328"/>
      <c r="O699" s="1666" t="s">
        <v>1117</v>
      </c>
      <c r="P699" s="1666"/>
      <c r="Q699" s="1666"/>
      <c r="R699" s="1666"/>
      <c r="S699" s="1666"/>
      <c r="T699" s="1329"/>
      <c r="U699" s="1669" t="s">
        <v>1117</v>
      </c>
      <c r="V699" s="1669"/>
      <c r="W699" s="1669"/>
      <c r="X699" s="1669"/>
      <c r="Y699" s="1065"/>
      <c r="Z699" s="1065"/>
      <c r="AA699" s="1065"/>
      <c r="AB699" s="1065"/>
      <c r="AC699" s="1065"/>
      <c r="AD699" s="1065"/>
      <c r="AE699" s="1065"/>
      <c r="AF699" s="1065"/>
      <c r="AG699" s="1065"/>
      <c r="AH699" s="1065"/>
      <c r="AI699" s="1065"/>
      <c r="AJ699" s="1065"/>
      <c r="AK699" s="1065"/>
      <c r="AL699" s="1065"/>
      <c r="AM699" s="1065"/>
      <c r="AN699" s="1065"/>
      <c r="AO699" s="1065"/>
      <c r="AP699" s="1065"/>
      <c r="AQ699" s="1065"/>
      <c r="AR699" s="1065"/>
      <c r="AS699" s="1065"/>
      <c r="AT699" s="1065"/>
      <c r="AU699" s="1065"/>
      <c r="AV699" s="1065"/>
      <c r="AW699" s="1065"/>
      <c r="AX699" s="1065"/>
      <c r="AY699" s="1065"/>
      <c r="AZ699" s="1065"/>
      <c r="BA699" s="1065"/>
      <c r="BB699" s="1065"/>
      <c r="BC699" s="1065"/>
      <c r="BD699" s="1065"/>
      <c r="BE699" s="1065"/>
      <c r="BF699" s="1065"/>
      <c r="BG699" s="1065"/>
      <c r="BH699" s="1065"/>
      <c r="BI699" s="1065"/>
      <c r="BJ699" s="1065"/>
      <c r="BK699" s="1065"/>
      <c r="BL699" s="1065"/>
      <c r="BM699" s="1065"/>
      <c r="BN699" s="1065"/>
      <c r="BO699" s="1065"/>
      <c r="BP699" s="1065"/>
      <c r="BQ699" s="1065"/>
      <c r="BR699" s="1065"/>
      <c r="BS699" s="1065"/>
      <c r="BT699" s="1065"/>
      <c r="BU699" s="1065"/>
      <c r="BV699" s="1065"/>
      <c r="BW699" s="1065"/>
      <c r="BX699" s="1065"/>
      <c r="BY699" s="1065"/>
      <c r="BZ699" s="1065"/>
      <c r="CA699" s="1065"/>
      <c r="CB699" s="1065"/>
      <c r="CC699" s="1065"/>
      <c r="CD699" s="1065"/>
      <c r="CE699" s="1065"/>
      <c r="CF699" s="1065"/>
      <c r="CG699" s="1065"/>
      <c r="CH699" s="1065"/>
      <c r="CI699" s="1065"/>
      <c r="CJ699" s="1065"/>
      <c r="CK699" s="1065"/>
      <c r="CL699" s="1065"/>
      <c r="CM699" s="1065"/>
      <c r="CN699" s="1065"/>
      <c r="CO699" s="1065"/>
      <c r="CP699" s="1065"/>
      <c r="CQ699" s="1065"/>
      <c r="CR699" s="1065"/>
      <c r="CS699" s="1065"/>
      <c r="CT699" s="1065"/>
      <c r="CU699" s="1065"/>
      <c r="CV699" s="1065"/>
      <c r="CW699" s="1065"/>
      <c r="CX699" s="1065"/>
      <c r="CY699" s="1065"/>
      <c r="CZ699" s="1065"/>
      <c r="DA699" s="1065"/>
      <c r="DB699" s="1065"/>
    </row>
    <row r="700" spans="1:106" ht="15" customHeight="1">
      <c r="A700" s="1065"/>
      <c r="B700" s="1065"/>
      <c r="C700" s="1330" t="s">
        <v>6</v>
      </c>
      <c r="D700" s="1331">
        <f>SUM(D701:D705)</f>
        <v>42000</v>
      </c>
      <c r="E700" s="1330" t="s">
        <v>1112</v>
      </c>
      <c r="F700" s="1274">
        <f>SUM(F701:F705)</f>
        <v>190906.128</v>
      </c>
      <c r="G700" s="1330" t="s">
        <v>1072</v>
      </c>
      <c r="H700" s="1223"/>
      <c r="I700" s="1296" t="s">
        <v>6</v>
      </c>
      <c r="J700" s="1283">
        <f>SUM(J701:J702)</f>
        <v>42000.000440006828</v>
      </c>
      <c r="K700" s="1271" t="s">
        <v>1112</v>
      </c>
      <c r="L700" s="1283">
        <f>SUM(L701:L702)</f>
        <v>190906.13</v>
      </c>
      <c r="M700" s="1297" t="s">
        <v>1072</v>
      </c>
      <c r="N700" s="1332"/>
      <c r="O700" s="1284" t="s">
        <v>6</v>
      </c>
      <c r="P700" s="1285">
        <f>SUM(P701:P705)</f>
        <v>0</v>
      </c>
      <c r="Q700" s="1286" t="s">
        <v>1112</v>
      </c>
      <c r="R700" s="1285">
        <f>SUM(R701:R705)</f>
        <v>0</v>
      </c>
      <c r="S700" s="1271" t="s">
        <v>1072</v>
      </c>
      <c r="T700" s="1333"/>
      <c r="U700" s="1302" t="s">
        <v>6</v>
      </c>
      <c r="V700" s="1273" t="s">
        <v>1112</v>
      </c>
      <c r="W700" s="1272">
        <f>SUM(W701:W702)</f>
        <v>0</v>
      </c>
      <c r="X700" s="1303" t="s">
        <v>1072</v>
      </c>
      <c r="Y700" s="1065"/>
      <c r="Z700" s="1065"/>
      <c r="AA700" s="1065"/>
      <c r="AB700" s="1065"/>
      <c r="AC700" s="1065"/>
      <c r="AD700" s="1065"/>
      <c r="AE700" s="1065"/>
      <c r="AF700" s="1065"/>
      <c r="AG700" s="1065"/>
      <c r="AH700" s="1065"/>
      <c r="AI700" s="1065"/>
      <c r="AJ700" s="1065"/>
      <c r="AK700" s="1065"/>
      <c r="AL700" s="1065"/>
      <c r="AM700" s="1065"/>
      <c r="AN700" s="1065"/>
      <c r="AO700" s="1065"/>
      <c r="AP700" s="1065"/>
      <c r="AQ700" s="1065"/>
      <c r="AR700" s="1065"/>
      <c r="AS700" s="1065"/>
      <c r="AT700" s="1065"/>
      <c r="AU700" s="1065"/>
      <c r="AV700" s="1065"/>
      <c r="AW700" s="1065"/>
      <c r="AX700" s="1065"/>
      <c r="AY700" s="1065"/>
      <c r="AZ700" s="1065"/>
      <c r="BA700" s="1065"/>
      <c r="BB700" s="1065"/>
      <c r="BC700" s="1065"/>
      <c r="BD700" s="1065"/>
      <c r="BE700" s="1065"/>
      <c r="BF700" s="1065"/>
      <c r="BG700" s="1065"/>
      <c r="BH700" s="1065"/>
      <c r="BI700" s="1065"/>
      <c r="BJ700" s="1065"/>
      <c r="BK700" s="1065"/>
      <c r="BL700" s="1065"/>
      <c r="BM700" s="1065"/>
      <c r="BN700" s="1065"/>
      <c r="BO700" s="1065"/>
      <c r="BP700" s="1065"/>
      <c r="BQ700" s="1065"/>
      <c r="BR700" s="1065"/>
      <c r="BS700" s="1065"/>
      <c r="BT700" s="1065"/>
      <c r="BU700" s="1065"/>
      <c r="BV700" s="1065"/>
      <c r="BW700" s="1065"/>
      <c r="BX700" s="1065"/>
      <c r="BY700" s="1065"/>
      <c r="BZ700" s="1065"/>
      <c r="CA700" s="1065"/>
      <c r="CB700" s="1065"/>
      <c r="CC700" s="1065"/>
      <c r="CD700" s="1065"/>
      <c r="CE700" s="1065"/>
      <c r="CF700" s="1065"/>
      <c r="CG700" s="1065"/>
      <c r="CH700" s="1065"/>
      <c r="CI700" s="1065"/>
      <c r="CJ700" s="1065"/>
      <c r="CK700" s="1065"/>
      <c r="CL700" s="1065"/>
      <c r="CM700" s="1065"/>
      <c r="CN700" s="1065"/>
      <c r="CO700" s="1065"/>
      <c r="CP700" s="1065"/>
      <c r="CQ700" s="1065"/>
      <c r="CR700" s="1065"/>
      <c r="CS700" s="1065"/>
      <c r="CT700" s="1065"/>
      <c r="CU700" s="1065"/>
      <c r="CV700" s="1065"/>
      <c r="CW700" s="1065"/>
      <c r="CX700" s="1065"/>
      <c r="CY700" s="1065"/>
      <c r="CZ700" s="1065"/>
      <c r="DA700" s="1065"/>
      <c r="DB700" s="1065"/>
    </row>
    <row r="701" spans="1:106" ht="15" customHeight="1">
      <c r="A701" s="1065"/>
      <c r="B701" s="1065"/>
      <c r="C701" s="1273" t="s">
        <v>110</v>
      </c>
      <c r="D701" s="1334">
        <v>0</v>
      </c>
      <c r="E701" s="1330" t="s">
        <v>1112</v>
      </c>
      <c r="F701" s="1272">
        <v>0</v>
      </c>
      <c r="G701" s="1330" t="s">
        <v>1072</v>
      </c>
      <c r="H701" s="1223"/>
      <c r="I701" s="1296" t="s">
        <v>110</v>
      </c>
      <c r="J701" s="1283">
        <f>(D701+D702+D704+D705)*K705</f>
        <v>22329.00023392649</v>
      </c>
      <c r="K701" s="1271" t="s">
        <v>1112</v>
      </c>
      <c r="L701" s="1283">
        <f>(F701+F702+F704+F705)*K705</f>
        <v>101493.87706328568</v>
      </c>
      <c r="M701" s="1297" t="s">
        <v>1072</v>
      </c>
      <c r="N701" s="1332"/>
      <c r="O701" s="1284" t="s">
        <v>110</v>
      </c>
      <c r="P701" s="1285">
        <v>0</v>
      </c>
      <c r="Q701" s="1286" t="s">
        <v>1112</v>
      </c>
      <c r="R701" s="1285">
        <v>0</v>
      </c>
      <c r="S701" s="1271" t="s">
        <v>1072</v>
      </c>
      <c r="T701" s="1333"/>
      <c r="U701" s="1302" t="s">
        <v>110</v>
      </c>
      <c r="V701" s="1273" t="s">
        <v>1112</v>
      </c>
      <c r="W701" s="1274">
        <f>R701+R702+R704+R705</f>
        <v>0</v>
      </c>
      <c r="X701" s="1303" t="s">
        <v>1072</v>
      </c>
      <c r="Y701" s="1065"/>
      <c r="Z701" s="1065"/>
      <c r="AA701" s="1065"/>
      <c r="AB701" s="1065"/>
      <c r="AC701" s="1065"/>
      <c r="AD701" s="1065"/>
      <c r="AE701" s="1065"/>
      <c r="AF701" s="1065"/>
      <c r="AG701" s="1065"/>
      <c r="AH701" s="1065"/>
      <c r="AI701" s="1065"/>
      <c r="AJ701" s="1065"/>
      <c r="AK701" s="1065"/>
      <c r="AL701" s="1065"/>
      <c r="AM701" s="1065"/>
      <c r="AN701" s="1065"/>
      <c r="AO701" s="1065"/>
      <c r="AP701" s="1065"/>
      <c r="AQ701" s="1065"/>
      <c r="AR701" s="1065"/>
      <c r="AS701" s="1065"/>
      <c r="AT701" s="1065"/>
      <c r="AU701" s="1065"/>
      <c r="AV701" s="1065"/>
      <c r="AW701" s="1065"/>
      <c r="AX701" s="1065"/>
      <c r="AY701" s="1065"/>
      <c r="AZ701" s="1065"/>
      <c r="BA701" s="1065"/>
      <c r="BB701" s="1065"/>
      <c r="BC701" s="1065"/>
      <c r="BD701" s="1065"/>
      <c r="BE701" s="1065"/>
      <c r="BF701" s="1065"/>
      <c r="BG701" s="1065"/>
      <c r="BH701" s="1065"/>
      <c r="BI701" s="1065"/>
      <c r="BJ701" s="1065"/>
      <c r="BK701" s="1065"/>
      <c r="BL701" s="1065"/>
      <c r="BM701" s="1065"/>
      <c r="BN701" s="1065"/>
      <c r="BO701" s="1065"/>
      <c r="BP701" s="1065"/>
      <c r="BQ701" s="1065"/>
      <c r="BR701" s="1065"/>
      <c r="BS701" s="1065"/>
      <c r="BT701" s="1065"/>
      <c r="BU701" s="1065"/>
      <c r="BV701" s="1065"/>
      <c r="BW701" s="1065"/>
      <c r="BX701" s="1065"/>
      <c r="BY701" s="1065"/>
      <c r="BZ701" s="1065"/>
      <c r="CA701" s="1065"/>
      <c r="CB701" s="1065"/>
      <c r="CC701" s="1065"/>
      <c r="CD701" s="1065"/>
      <c r="CE701" s="1065"/>
      <c r="CF701" s="1065"/>
      <c r="CG701" s="1065"/>
      <c r="CH701" s="1065"/>
      <c r="CI701" s="1065"/>
      <c r="CJ701" s="1065"/>
      <c r="CK701" s="1065"/>
      <c r="CL701" s="1065"/>
      <c r="CM701" s="1065"/>
      <c r="CN701" s="1065"/>
      <c r="CO701" s="1065"/>
      <c r="CP701" s="1065"/>
      <c r="CQ701" s="1065"/>
      <c r="CR701" s="1065"/>
      <c r="CS701" s="1065"/>
      <c r="CT701" s="1065"/>
      <c r="CU701" s="1065"/>
      <c r="CV701" s="1065"/>
      <c r="CW701" s="1065"/>
      <c r="CX701" s="1065"/>
      <c r="CY701" s="1065"/>
      <c r="CZ701" s="1065"/>
      <c r="DA701" s="1065"/>
      <c r="DB701" s="1065"/>
    </row>
    <row r="702" spans="1:106" ht="15" customHeight="1" thickBot="1">
      <c r="A702" s="1065"/>
      <c r="B702" s="1065"/>
      <c r="C702" s="1273" t="s">
        <v>110</v>
      </c>
      <c r="D702" s="1334">
        <v>22329</v>
      </c>
      <c r="E702" s="1330" t="s">
        <v>1112</v>
      </c>
      <c r="F702" s="1272">
        <f>84578.23*1.2</f>
        <v>101493.87599999999</v>
      </c>
      <c r="G702" s="1330" t="s">
        <v>1072</v>
      </c>
      <c r="H702" s="1223"/>
      <c r="I702" s="1298" t="s">
        <v>111</v>
      </c>
      <c r="J702" s="1299">
        <f>D703*K705</f>
        <v>19671.000206080342</v>
      </c>
      <c r="K702" s="1335" t="s">
        <v>1112</v>
      </c>
      <c r="L702" s="1299">
        <f>F703*K705</f>
        <v>89412.252936714329</v>
      </c>
      <c r="M702" s="1300" t="s">
        <v>1072</v>
      </c>
      <c r="N702" s="1332"/>
      <c r="O702" s="1284" t="s">
        <v>110</v>
      </c>
      <c r="P702" s="1285">
        <v>0</v>
      </c>
      <c r="Q702" s="1286" t="s">
        <v>1112</v>
      </c>
      <c r="R702" s="1285">
        <v>0</v>
      </c>
      <c r="S702" s="1271" t="s">
        <v>1072</v>
      </c>
      <c r="T702" s="1333"/>
      <c r="U702" s="1304" t="s">
        <v>111</v>
      </c>
      <c r="V702" s="1306" t="s">
        <v>1112</v>
      </c>
      <c r="W702" s="1305">
        <f>R703</f>
        <v>0</v>
      </c>
      <c r="X702" s="1307" t="s">
        <v>1072</v>
      </c>
      <c r="Y702" s="1065"/>
      <c r="Z702" s="1065"/>
      <c r="AA702" s="1065"/>
      <c r="AB702" s="1065"/>
      <c r="AC702" s="1065"/>
      <c r="AD702" s="1065"/>
      <c r="AE702" s="1065"/>
      <c r="AF702" s="1065"/>
      <c r="AG702" s="1065"/>
      <c r="AH702" s="1065"/>
      <c r="AI702" s="1065"/>
      <c r="AJ702" s="1065"/>
      <c r="AK702" s="1065"/>
      <c r="AL702" s="1065"/>
      <c r="AM702" s="1065"/>
      <c r="AN702" s="1065"/>
      <c r="AO702" s="1065"/>
      <c r="AP702" s="1065"/>
      <c r="AQ702" s="1065"/>
      <c r="AR702" s="1065"/>
      <c r="AS702" s="1065"/>
      <c r="AT702" s="1065"/>
      <c r="AU702" s="1065"/>
      <c r="AV702" s="1065"/>
      <c r="AW702" s="1065"/>
      <c r="AX702" s="1065"/>
      <c r="AY702" s="1065"/>
      <c r="AZ702" s="1065"/>
      <c r="BA702" s="1065"/>
      <c r="BB702" s="1065"/>
      <c r="BC702" s="1065"/>
      <c r="BD702" s="1065"/>
      <c r="BE702" s="1065"/>
      <c r="BF702" s="1065"/>
      <c r="BG702" s="1065"/>
      <c r="BH702" s="1065"/>
      <c r="BI702" s="1065"/>
      <c r="BJ702" s="1065"/>
      <c r="BK702" s="1065"/>
      <c r="BL702" s="1065"/>
      <c r="BM702" s="1065"/>
      <c r="BN702" s="1065"/>
      <c r="BO702" s="1065"/>
      <c r="BP702" s="1065"/>
      <c r="BQ702" s="1065"/>
      <c r="BR702" s="1065"/>
      <c r="BS702" s="1065"/>
      <c r="BT702" s="1065"/>
      <c r="BU702" s="1065"/>
      <c r="BV702" s="1065"/>
      <c r="BW702" s="1065"/>
      <c r="BX702" s="1065"/>
      <c r="BY702" s="1065"/>
      <c r="BZ702" s="1065"/>
      <c r="CA702" s="1065"/>
      <c r="CB702" s="1065"/>
      <c r="CC702" s="1065"/>
      <c r="CD702" s="1065"/>
      <c r="CE702" s="1065"/>
      <c r="CF702" s="1065"/>
      <c r="CG702" s="1065"/>
      <c r="CH702" s="1065"/>
      <c r="CI702" s="1065"/>
      <c r="CJ702" s="1065"/>
      <c r="CK702" s="1065"/>
      <c r="CL702" s="1065"/>
      <c r="CM702" s="1065"/>
      <c r="CN702" s="1065"/>
      <c r="CO702" s="1065"/>
      <c r="CP702" s="1065"/>
      <c r="CQ702" s="1065"/>
      <c r="CR702" s="1065"/>
      <c r="CS702" s="1065"/>
      <c r="CT702" s="1065"/>
      <c r="CU702" s="1065"/>
      <c r="CV702" s="1065"/>
      <c r="CW702" s="1065"/>
      <c r="CX702" s="1065"/>
      <c r="CY702" s="1065"/>
      <c r="CZ702" s="1065"/>
      <c r="DA702" s="1065"/>
      <c r="DB702" s="1065"/>
    </row>
    <row r="703" spans="1:106" ht="15" customHeight="1">
      <c r="A703" s="1065"/>
      <c r="B703" s="1065"/>
      <c r="C703" s="1273" t="s">
        <v>111</v>
      </c>
      <c r="D703" s="1334">
        <v>19671</v>
      </c>
      <c r="E703" s="1330" t="s">
        <v>1112</v>
      </c>
      <c r="F703" s="1272">
        <f>74510.21*1.2</f>
        <v>89412.252000000008</v>
      </c>
      <c r="G703" s="1330" t="s">
        <v>1072</v>
      </c>
      <c r="H703" s="1223"/>
      <c r="I703" s="1223"/>
      <c r="J703" s="1224"/>
      <c r="K703" s="1224"/>
      <c r="L703" s="1224"/>
      <c r="M703" s="1332"/>
      <c r="N703" s="1332"/>
      <c r="O703" s="1284" t="s">
        <v>111</v>
      </c>
      <c r="P703" s="1285">
        <v>0</v>
      </c>
      <c r="Q703" s="1286" t="s">
        <v>1112</v>
      </c>
      <c r="R703" s="1285">
        <v>0</v>
      </c>
      <c r="S703" s="1271" t="s">
        <v>1072</v>
      </c>
      <c r="T703" s="1333"/>
      <c r="U703" s="1065"/>
      <c r="V703" s="1065"/>
      <c r="W703" s="1065"/>
      <c r="X703" s="1065"/>
      <c r="Y703" s="1065"/>
      <c r="Z703" s="1065"/>
      <c r="AA703" s="1065"/>
      <c r="AB703" s="1065"/>
      <c r="AC703" s="1065"/>
      <c r="AD703" s="1065"/>
      <c r="AE703" s="1065"/>
      <c r="AF703" s="1065"/>
      <c r="AG703" s="1065"/>
      <c r="AH703" s="1065"/>
      <c r="AI703" s="1065"/>
      <c r="AJ703" s="1065"/>
      <c r="AK703" s="1065"/>
      <c r="AL703" s="1065"/>
      <c r="AM703" s="1065"/>
      <c r="AN703" s="1065"/>
      <c r="AO703" s="1065"/>
      <c r="AP703" s="1065"/>
      <c r="AQ703" s="1065"/>
      <c r="AR703" s="1065"/>
      <c r="AS703" s="1065"/>
      <c r="AT703" s="1065"/>
      <c r="AU703" s="1065"/>
      <c r="AV703" s="1065"/>
      <c r="AW703" s="1065"/>
      <c r="AX703" s="1065"/>
      <c r="AY703" s="1065"/>
      <c r="AZ703" s="1065"/>
      <c r="BA703" s="1065"/>
      <c r="BB703" s="1065"/>
      <c r="BC703" s="1065"/>
      <c r="BD703" s="1065"/>
      <c r="BE703" s="1065"/>
      <c r="BF703" s="1065"/>
      <c r="BG703" s="1065"/>
      <c r="BH703" s="1065"/>
      <c r="BI703" s="1065"/>
      <c r="BJ703" s="1065"/>
      <c r="BK703" s="1065"/>
      <c r="BL703" s="1065"/>
      <c r="BM703" s="1065"/>
      <c r="BN703" s="1065"/>
      <c r="BO703" s="1065"/>
      <c r="BP703" s="1065"/>
      <c r="BQ703" s="1065"/>
      <c r="BR703" s="1065"/>
      <c r="BS703" s="1065"/>
      <c r="BT703" s="1065"/>
      <c r="BU703" s="1065"/>
      <c r="BV703" s="1065"/>
      <c r="BW703" s="1065"/>
      <c r="BX703" s="1065"/>
      <c r="BY703" s="1065"/>
      <c r="BZ703" s="1065"/>
      <c r="CA703" s="1065"/>
      <c r="CB703" s="1065"/>
      <c r="CC703" s="1065"/>
      <c r="CD703" s="1065"/>
      <c r="CE703" s="1065"/>
      <c r="CF703" s="1065"/>
      <c r="CG703" s="1065"/>
      <c r="CH703" s="1065"/>
      <c r="CI703" s="1065"/>
      <c r="CJ703" s="1065"/>
      <c r="CK703" s="1065"/>
      <c r="CL703" s="1065"/>
      <c r="CM703" s="1065"/>
      <c r="CN703" s="1065"/>
      <c r="CO703" s="1065"/>
      <c r="CP703" s="1065"/>
      <c r="CQ703" s="1065"/>
      <c r="CR703" s="1065"/>
      <c r="CS703" s="1065"/>
      <c r="CT703" s="1065"/>
      <c r="CU703" s="1065"/>
      <c r="CV703" s="1065"/>
      <c r="CW703" s="1065"/>
      <c r="CX703" s="1065"/>
      <c r="CY703" s="1065"/>
      <c r="CZ703" s="1065"/>
      <c r="DA703" s="1065"/>
      <c r="DB703" s="1065"/>
    </row>
    <row r="704" spans="1:106" ht="15" customHeight="1">
      <c r="A704" s="1065"/>
      <c r="B704" s="1065"/>
      <c r="C704" s="1273" t="s">
        <v>110</v>
      </c>
      <c r="D704" s="1334">
        <v>0</v>
      </c>
      <c r="E704" s="1330" t="s">
        <v>1112</v>
      </c>
      <c r="F704" s="1272">
        <f>1.2*0</f>
        <v>0</v>
      </c>
      <c r="G704" s="1330" t="s">
        <v>1072</v>
      </c>
      <c r="H704" s="1223"/>
      <c r="I704" s="1658" t="s">
        <v>1115</v>
      </c>
      <c r="J704" s="1658"/>
      <c r="K704" s="1336">
        <v>190906.13</v>
      </c>
      <c r="L704" s="1271" t="s">
        <v>1072</v>
      </c>
      <c r="M704" s="1332"/>
      <c r="N704" s="1332"/>
      <c r="O704" s="1284" t="s">
        <v>110</v>
      </c>
      <c r="P704" s="1285">
        <v>0</v>
      </c>
      <c r="Q704" s="1286" t="s">
        <v>1112</v>
      </c>
      <c r="R704" s="1285">
        <f>1.2*0</f>
        <v>0</v>
      </c>
      <c r="S704" s="1271" t="s">
        <v>1072</v>
      </c>
      <c r="T704" s="1333"/>
      <c r="U704" s="1065"/>
      <c r="V704" s="1065"/>
      <c r="W704" s="1065"/>
      <c r="X704" s="1065"/>
      <c r="Y704" s="1065"/>
      <c r="Z704" s="1065"/>
      <c r="AA704" s="1065"/>
      <c r="AB704" s="1065"/>
      <c r="AC704" s="1065"/>
      <c r="AD704" s="1065"/>
      <c r="AE704" s="1065"/>
      <c r="AF704" s="1065"/>
      <c r="AG704" s="1065"/>
      <c r="AH704" s="1065"/>
      <c r="AI704" s="1065"/>
      <c r="AJ704" s="1065"/>
      <c r="AK704" s="1065"/>
      <c r="AL704" s="1065"/>
      <c r="AM704" s="1065"/>
      <c r="AN704" s="1065"/>
      <c r="AO704" s="1065"/>
      <c r="AP704" s="1065"/>
      <c r="AQ704" s="1065"/>
      <c r="AR704" s="1065"/>
      <c r="AS704" s="1065"/>
      <c r="AT704" s="1065"/>
      <c r="AU704" s="1065"/>
      <c r="AV704" s="1065"/>
      <c r="AW704" s="1065"/>
      <c r="AX704" s="1065"/>
      <c r="AY704" s="1065"/>
      <c r="AZ704" s="1065"/>
      <c r="BA704" s="1065"/>
      <c r="BB704" s="1065"/>
      <c r="BC704" s="1065"/>
      <c r="BD704" s="1065"/>
      <c r="BE704" s="1065"/>
      <c r="BF704" s="1065"/>
      <c r="BG704" s="1065"/>
      <c r="BH704" s="1065"/>
      <c r="BI704" s="1065"/>
      <c r="BJ704" s="1065"/>
      <c r="BK704" s="1065"/>
      <c r="BL704" s="1065"/>
      <c r="BM704" s="1065"/>
      <c r="BN704" s="1065"/>
      <c r="BO704" s="1065"/>
      <c r="BP704" s="1065"/>
      <c r="BQ704" s="1065"/>
      <c r="BR704" s="1065"/>
      <c r="BS704" s="1065"/>
      <c r="BT704" s="1065"/>
      <c r="BU704" s="1065"/>
      <c r="BV704" s="1065"/>
      <c r="BW704" s="1065"/>
      <c r="BX704" s="1065"/>
      <c r="BY704" s="1065"/>
      <c r="BZ704" s="1065"/>
      <c r="CA704" s="1065"/>
      <c r="CB704" s="1065"/>
      <c r="CC704" s="1065"/>
      <c r="CD704" s="1065"/>
      <c r="CE704" s="1065"/>
      <c r="CF704" s="1065"/>
      <c r="CG704" s="1065"/>
      <c r="CH704" s="1065"/>
      <c r="CI704" s="1065"/>
      <c r="CJ704" s="1065"/>
      <c r="CK704" s="1065"/>
      <c r="CL704" s="1065"/>
      <c r="CM704" s="1065"/>
      <c r="CN704" s="1065"/>
      <c r="CO704" s="1065"/>
      <c r="CP704" s="1065"/>
      <c r="CQ704" s="1065"/>
      <c r="CR704" s="1065"/>
      <c r="CS704" s="1065"/>
      <c r="CT704" s="1065"/>
      <c r="CU704" s="1065"/>
      <c r="CV704" s="1065"/>
      <c r="CW704" s="1065"/>
      <c r="CX704" s="1065"/>
      <c r="CY704" s="1065"/>
      <c r="CZ704" s="1065"/>
      <c r="DA704" s="1065"/>
      <c r="DB704" s="1065"/>
    </row>
    <row r="705" spans="1:106" ht="15" customHeight="1">
      <c r="A705" s="1065"/>
      <c r="B705" s="1065"/>
      <c r="C705" s="1273" t="s">
        <v>110</v>
      </c>
      <c r="D705" s="1334">
        <v>0</v>
      </c>
      <c r="E705" s="1330" t="s">
        <v>1112</v>
      </c>
      <c r="F705" s="1272">
        <f>1.2*0</f>
        <v>0</v>
      </c>
      <c r="G705" s="1330" t="s">
        <v>1072</v>
      </c>
      <c r="H705" s="1223"/>
      <c r="I705" s="1658" t="s">
        <v>1116</v>
      </c>
      <c r="J705" s="1658"/>
      <c r="K705" s="1051">
        <f>K704/F700</f>
        <v>1.0000000104763531</v>
      </c>
      <c r="L705" s="1051"/>
      <c r="M705" s="1332"/>
      <c r="N705" s="1332"/>
      <c r="O705" s="1284" t="s">
        <v>110</v>
      </c>
      <c r="P705" s="1285">
        <v>0</v>
      </c>
      <c r="Q705" s="1286" t="s">
        <v>1112</v>
      </c>
      <c r="R705" s="1285">
        <f>1.2*0</f>
        <v>0</v>
      </c>
      <c r="S705" s="1271" t="s">
        <v>1072</v>
      </c>
      <c r="T705" s="1333"/>
      <c r="U705" s="1065"/>
      <c r="V705" s="1065"/>
      <c r="W705" s="1065"/>
      <c r="X705" s="1065"/>
      <c r="Y705" s="1065"/>
      <c r="Z705" s="1065"/>
      <c r="AA705" s="1065"/>
      <c r="AB705" s="1065"/>
      <c r="AC705" s="1065"/>
      <c r="AD705" s="1065"/>
      <c r="AE705" s="1065"/>
      <c r="AF705" s="1065"/>
      <c r="AG705" s="1065"/>
      <c r="AH705" s="1065"/>
      <c r="AI705" s="1065"/>
      <c r="AJ705" s="1065"/>
      <c r="AK705" s="1065"/>
      <c r="AL705" s="1065"/>
      <c r="AM705" s="1065"/>
      <c r="AN705" s="1065"/>
      <c r="AO705" s="1065"/>
      <c r="AP705" s="1065"/>
      <c r="AQ705" s="1065"/>
      <c r="AR705" s="1065"/>
      <c r="AS705" s="1065"/>
      <c r="AT705" s="1065"/>
      <c r="AU705" s="1065"/>
      <c r="AV705" s="1065"/>
      <c r="AW705" s="1065"/>
      <c r="AX705" s="1065"/>
      <c r="AY705" s="1065"/>
      <c r="AZ705" s="1065"/>
      <c r="BA705" s="1065"/>
      <c r="BB705" s="1065"/>
      <c r="BC705" s="1065"/>
      <c r="BD705" s="1065"/>
      <c r="BE705" s="1065"/>
      <c r="BF705" s="1065"/>
      <c r="BG705" s="1065"/>
      <c r="BH705" s="1065"/>
      <c r="BI705" s="1065"/>
      <c r="BJ705" s="1065"/>
      <c r="BK705" s="1065"/>
      <c r="BL705" s="1065"/>
      <c r="BM705" s="1065"/>
      <c r="BN705" s="1065"/>
      <c r="BO705" s="1065"/>
      <c r="BP705" s="1065"/>
      <c r="BQ705" s="1065"/>
      <c r="BR705" s="1065"/>
      <c r="BS705" s="1065"/>
      <c r="BT705" s="1065"/>
      <c r="BU705" s="1065"/>
      <c r="BV705" s="1065"/>
      <c r="BW705" s="1065"/>
      <c r="BX705" s="1065"/>
      <c r="BY705" s="1065"/>
      <c r="BZ705" s="1065"/>
      <c r="CA705" s="1065"/>
      <c r="CB705" s="1065"/>
      <c r="CC705" s="1065"/>
      <c r="CD705" s="1065"/>
      <c r="CE705" s="1065"/>
      <c r="CF705" s="1065"/>
      <c r="CG705" s="1065"/>
      <c r="CH705" s="1065"/>
      <c r="CI705" s="1065"/>
      <c r="CJ705" s="1065"/>
      <c r="CK705" s="1065"/>
      <c r="CL705" s="1065"/>
      <c r="CM705" s="1065"/>
      <c r="CN705" s="1065"/>
      <c r="CO705" s="1065"/>
      <c r="CP705" s="1065"/>
      <c r="CQ705" s="1065"/>
      <c r="CR705" s="1065"/>
      <c r="CS705" s="1065"/>
      <c r="CT705" s="1065"/>
      <c r="CU705" s="1065"/>
      <c r="CV705" s="1065"/>
      <c r="CW705" s="1065"/>
      <c r="CX705" s="1065"/>
      <c r="CY705" s="1065"/>
      <c r="CZ705" s="1065"/>
      <c r="DA705" s="1065"/>
      <c r="DB705" s="1065"/>
    </row>
    <row r="706" spans="1:106" ht="15" customHeight="1" thickBot="1">
      <c r="A706" s="1065"/>
      <c r="B706" s="1065"/>
      <c r="C706" s="1065"/>
      <c r="D706" s="1065"/>
      <c r="E706" s="1065"/>
      <c r="F706" s="1065"/>
      <c r="G706" s="1065"/>
      <c r="H706" s="1223"/>
      <c r="I706" s="1223"/>
      <c r="J706" s="1224"/>
      <c r="K706" s="1224"/>
      <c r="L706" s="1224"/>
      <c r="M706" s="1225"/>
      <c r="N706" s="1225"/>
      <c r="O706" s="1226"/>
      <c r="P706" s="1227"/>
      <c r="Q706" s="1227"/>
      <c r="R706" s="1228"/>
      <c r="S706" s="1224"/>
      <c r="T706" s="1229"/>
      <c r="U706" s="1065"/>
      <c r="V706" s="1065"/>
      <c r="W706" s="1065"/>
      <c r="X706" s="1065"/>
      <c r="Y706" s="1065"/>
      <c r="Z706" s="1065"/>
      <c r="AA706" s="1065"/>
      <c r="AB706" s="1065"/>
      <c r="AC706" s="1065"/>
      <c r="AD706" s="1065"/>
      <c r="AE706" s="1065"/>
      <c r="AF706" s="1065"/>
      <c r="AG706" s="1065"/>
      <c r="AH706" s="1065"/>
      <c r="AI706" s="1065"/>
      <c r="AJ706" s="1065"/>
      <c r="AK706" s="1065"/>
      <c r="AL706" s="1065"/>
      <c r="AM706" s="1065"/>
      <c r="AN706" s="1065"/>
      <c r="AO706" s="1065"/>
      <c r="AP706" s="1065"/>
      <c r="AQ706" s="1065"/>
      <c r="AR706" s="1065"/>
      <c r="AS706" s="1065"/>
      <c r="AT706" s="1065"/>
      <c r="AU706" s="1065"/>
      <c r="AV706" s="1065"/>
      <c r="AW706" s="1065"/>
      <c r="AX706" s="1065"/>
      <c r="AY706" s="1065"/>
      <c r="AZ706" s="1065"/>
      <c r="BA706" s="1065"/>
      <c r="BB706" s="1065"/>
      <c r="BC706" s="1065"/>
      <c r="BD706" s="1065"/>
      <c r="BE706" s="1065"/>
      <c r="BF706" s="1065"/>
      <c r="BG706" s="1065"/>
      <c r="BH706" s="1065"/>
      <c r="BI706" s="1065"/>
      <c r="BJ706" s="1065"/>
      <c r="BK706" s="1065"/>
      <c r="BL706" s="1065"/>
      <c r="BM706" s="1065"/>
      <c r="BN706" s="1065"/>
      <c r="BO706" s="1065"/>
      <c r="BP706" s="1065"/>
      <c r="BQ706" s="1065"/>
      <c r="BR706" s="1065"/>
      <c r="BS706" s="1065"/>
      <c r="BT706" s="1065"/>
      <c r="BU706" s="1065"/>
      <c r="BV706" s="1065"/>
      <c r="BW706" s="1065"/>
      <c r="BX706" s="1065"/>
      <c r="BY706" s="1065"/>
      <c r="BZ706" s="1065"/>
      <c r="CA706" s="1065"/>
      <c r="CB706" s="1065"/>
      <c r="CC706" s="1065"/>
      <c r="CD706" s="1065"/>
      <c r="CE706" s="1065"/>
      <c r="CF706" s="1065"/>
      <c r="CG706" s="1065"/>
      <c r="CH706" s="1065"/>
      <c r="CI706" s="1065"/>
      <c r="CJ706" s="1065"/>
      <c r="CK706" s="1065"/>
      <c r="CL706" s="1065"/>
      <c r="CM706" s="1065"/>
      <c r="CN706" s="1065"/>
      <c r="CO706" s="1065"/>
      <c r="CP706" s="1065"/>
      <c r="CQ706" s="1065"/>
      <c r="CR706" s="1065"/>
      <c r="CS706" s="1065"/>
      <c r="CT706" s="1065"/>
      <c r="CU706" s="1065"/>
      <c r="CV706" s="1065"/>
      <c r="CW706" s="1065"/>
      <c r="CX706" s="1065"/>
      <c r="CY706" s="1065"/>
      <c r="CZ706" s="1065"/>
      <c r="DA706" s="1065"/>
      <c r="DB706" s="1065"/>
    </row>
    <row r="707" spans="1:106" s="12" customFormat="1" ht="15" customHeight="1">
      <c r="A707" s="1337"/>
      <c r="B707" s="1337"/>
      <c r="C707" s="1659" t="s">
        <v>1118</v>
      </c>
      <c r="D707" s="1660"/>
      <c r="E707" s="1660"/>
      <c r="F707" s="1660"/>
      <c r="G707" s="1660"/>
      <c r="H707" s="1660"/>
      <c r="I707" s="1660"/>
      <c r="J707" s="1661"/>
      <c r="K707" s="1338"/>
      <c r="L707" s="1662" t="str">
        <f>C707</f>
        <v>Специфікація до акту наданих послуг  за июль   2022 р.</v>
      </c>
      <c r="M707" s="1662"/>
      <c r="N707" s="1662"/>
      <c r="O707" s="1662"/>
      <c r="P707" s="1662"/>
      <c r="Q707" s="1662"/>
      <c r="R707" s="1662"/>
      <c r="S707" s="1662"/>
      <c r="T707" s="1339"/>
      <c r="U707" s="1662" t="str">
        <f>C707</f>
        <v>Специфікація до акту наданих послуг  за июль   2022 р.</v>
      </c>
      <c r="V707" s="1662"/>
      <c r="W707" s="1662"/>
      <c r="X707" s="1662"/>
      <c r="Y707" s="1662"/>
      <c r="Z707" s="1662"/>
      <c r="AA707" s="1662"/>
      <c r="AB707" s="1340"/>
      <c r="AC707" s="1340"/>
      <c r="AD707" s="1340"/>
      <c r="AE707" s="1340"/>
      <c r="AF707" s="1340"/>
      <c r="AG707" s="1340"/>
      <c r="AH707" s="1340"/>
      <c r="AI707" s="1340"/>
      <c r="AJ707" s="1340"/>
      <c r="AK707" s="1340"/>
      <c r="AL707" s="1340"/>
      <c r="AM707" s="1340"/>
      <c r="AN707" s="1340"/>
      <c r="AO707" s="1340"/>
      <c r="AP707" s="1340"/>
      <c r="AQ707" s="1340"/>
      <c r="AR707" s="1340"/>
      <c r="AS707" s="1340"/>
      <c r="AT707" s="1340"/>
      <c r="AU707" s="1340"/>
      <c r="AV707" s="1340"/>
      <c r="AW707" s="1340"/>
      <c r="AX707" s="1340"/>
      <c r="AY707" s="1340"/>
      <c r="AZ707" s="1340"/>
      <c r="BA707" s="1340"/>
      <c r="BB707" s="1340"/>
      <c r="BC707" s="1340"/>
      <c r="BD707" s="1340"/>
      <c r="BE707" s="1340"/>
      <c r="BF707" s="1340"/>
      <c r="BG707" s="1337"/>
      <c r="BH707" s="1337"/>
      <c r="BI707" s="1337"/>
      <c r="BJ707" s="1337"/>
      <c r="BK707" s="1337"/>
      <c r="BL707" s="1337"/>
      <c r="BM707" s="1337"/>
      <c r="BN707" s="1337"/>
      <c r="BO707" s="1337"/>
      <c r="BP707" s="1337"/>
      <c r="BQ707" s="1337"/>
      <c r="BR707" s="1337"/>
      <c r="BS707" s="1337"/>
      <c r="BT707" s="1337"/>
      <c r="BU707" s="1337"/>
      <c r="BV707" s="1337"/>
      <c r="BW707" s="1337"/>
      <c r="BX707" s="1337"/>
      <c r="BY707" s="1337"/>
      <c r="BZ707" s="1337"/>
      <c r="CA707" s="1337"/>
      <c r="CB707" s="1337"/>
      <c r="CC707" s="1337"/>
      <c r="CD707" s="1337"/>
      <c r="CE707" s="1337"/>
      <c r="CF707" s="1337"/>
      <c r="CG707" s="1337"/>
      <c r="CH707" s="1337"/>
      <c r="CI707" s="1337"/>
      <c r="CJ707" s="1337"/>
      <c r="CK707" s="1337"/>
      <c r="CL707" s="1337"/>
      <c r="CM707" s="1337"/>
      <c r="CN707" s="1337"/>
      <c r="CO707" s="1337"/>
      <c r="CP707" s="1337"/>
      <c r="CQ707" s="1337"/>
      <c r="CR707" s="1337"/>
      <c r="CS707" s="1337"/>
      <c r="CT707" s="1337"/>
      <c r="CU707" s="1337"/>
      <c r="CV707" s="1337"/>
      <c r="CW707" s="1337"/>
      <c r="CX707" s="1337"/>
      <c r="CY707" s="1337"/>
      <c r="CZ707" s="1337"/>
      <c r="DA707" s="1337"/>
      <c r="DB707" s="1337"/>
    </row>
    <row r="708" spans="1:106" ht="15" customHeight="1">
      <c r="A708" s="1065"/>
      <c r="B708" s="1065"/>
      <c r="C708" s="1651" t="s">
        <v>1119</v>
      </c>
      <c r="D708" s="1651"/>
      <c r="E708" s="1651"/>
      <c r="F708" s="1651"/>
      <c r="G708" s="1651"/>
      <c r="H708" s="1651"/>
      <c r="I708" s="1651"/>
      <c r="J708" s="1651"/>
      <c r="K708" s="1315"/>
      <c r="L708" s="1653" t="s">
        <v>1120</v>
      </c>
      <c r="M708" s="1653"/>
      <c r="N708" s="1653"/>
      <c r="O708" s="1653"/>
      <c r="P708" s="1653"/>
      <c r="Q708" s="1653"/>
      <c r="R708" s="1653"/>
      <c r="S708" s="1653"/>
      <c r="T708" s="1279"/>
      <c r="U708" s="1651" t="s">
        <v>1120</v>
      </c>
      <c r="V708" s="1651"/>
      <c r="W708" s="1651"/>
      <c r="X708" s="1651"/>
      <c r="Y708" s="1651"/>
      <c r="Z708" s="1651"/>
      <c r="AA708" s="1651"/>
      <c r="AB708" s="821"/>
      <c r="AC708" s="821"/>
      <c r="AD708" s="821"/>
      <c r="AE708" s="821"/>
      <c r="AF708" s="821"/>
      <c r="AG708" s="821"/>
      <c r="AH708" s="821"/>
      <c r="AI708" s="821"/>
      <c r="AJ708" s="821"/>
      <c r="AK708" s="821"/>
      <c r="AL708" s="821"/>
      <c r="AM708" s="821"/>
      <c r="AN708" s="821"/>
      <c r="AO708" s="821"/>
      <c r="AP708" s="821"/>
      <c r="AQ708" s="821"/>
      <c r="AR708" s="821"/>
      <c r="AS708" s="821"/>
      <c r="AT708" s="821"/>
      <c r="AU708" s="821"/>
      <c r="AV708" s="821"/>
      <c r="AW708" s="821"/>
      <c r="AX708" s="821"/>
      <c r="AY708" s="821"/>
      <c r="AZ708" s="821"/>
      <c r="BA708" s="821"/>
      <c r="BB708" s="821"/>
      <c r="BC708" s="821"/>
      <c r="BD708" s="821"/>
      <c r="BE708" s="821"/>
      <c r="BF708" s="821"/>
      <c r="BG708" s="1065"/>
      <c r="BH708" s="1065"/>
      <c r="BI708" s="1065"/>
      <c r="BJ708" s="1065"/>
      <c r="BK708" s="1065"/>
      <c r="BL708" s="1065"/>
      <c r="BM708" s="1065"/>
      <c r="BN708" s="1065"/>
      <c r="BO708" s="1065"/>
      <c r="BP708" s="1065"/>
      <c r="BQ708" s="1065"/>
      <c r="BR708" s="1065"/>
      <c r="BS708" s="1065"/>
      <c r="BT708" s="1065"/>
      <c r="BU708" s="1065"/>
      <c r="BV708" s="1065"/>
      <c r="BW708" s="1065"/>
      <c r="BX708" s="1065"/>
      <c r="BY708" s="1065"/>
      <c r="BZ708" s="1065"/>
      <c r="CA708" s="1065"/>
      <c r="CB708" s="1065"/>
      <c r="CC708" s="1065"/>
      <c r="CD708" s="1065"/>
      <c r="CE708" s="1065"/>
      <c r="CF708" s="1065"/>
      <c r="CG708" s="1065"/>
      <c r="CH708" s="1065"/>
      <c r="CI708" s="1065"/>
      <c r="CJ708" s="1065"/>
      <c r="CK708" s="1065"/>
      <c r="CL708" s="1065"/>
      <c r="CM708" s="1065"/>
      <c r="CN708" s="1065"/>
      <c r="CO708" s="1065"/>
      <c r="CP708" s="1065"/>
      <c r="CQ708" s="1065"/>
      <c r="CR708" s="1065"/>
      <c r="CS708" s="1065"/>
      <c r="CT708" s="1065"/>
      <c r="CU708" s="1065"/>
      <c r="CV708" s="1065"/>
      <c r="CW708" s="1065"/>
      <c r="CX708" s="1065"/>
      <c r="CY708" s="1065"/>
      <c r="CZ708" s="1065"/>
      <c r="DA708" s="1065"/>
      <c r="DB708" s="1065"/>
    </row>
    <row r="709" spans="1:106" ht="15" customHeight="1" thickBot="1">
      <c r="A709" s="1065"/>
      <c r="B709" s="1065"/>
      <c r="C709" s="1651" t="s">
        <v>1121</v>
      </c>
      <c r="D709" s="1651"/>
      <c r="E709" s="1651"/>
      <c r="F709" s="1651"/>
      <c r="G709" s="1651"/>
      <c r="H709" s="1651"/>
      <c r="I709" s="1651"/>
      <c r="J709" s="1651"/>
      <c r="K709" s="1315"/>
      <c r="L709" s="1652" t="s">
        <v>1121</v>
      </c>
      <c r="M709" s="1652"/>
      <c r="N709" s="1652"/>
      <c r="O709" s="1652"/>
      <c r="P709" s="1652"/>
      <c r="Q709" s="1652"/>
      <c r="R709" s="1653"/>
      <c r="S709" s="1653"/>
      <c r="T709" s="1279"/>
      <c r="U709" s="1654" t="s">
        <v>1122</v>
      </c>
      <c r="V709" s="1654"/>
      <c r="W709" s="1654"/>
      <c r="X709" s="1654"/>
      <c r="Y709" s="1654"/>
      <c r="Z709" s="1651"/>
      <c r="AA709" s="1651"/>
      <c r="AB709" s="821"/>
      <c r="AC709" s="821"/>
      <c r="AD709" s="821"/>
      <c r="AE709" s="821"/>
      <c r="AF709" s="821"/>
      <c r="AG709" s="821"/>
      <c r="AH709" s="821"/>
      <c r="AI709" s="821"/>
      <c r="AJ709" s="821"/>
      <c r="AK709" s="821"/>
      <c r="AL709" s="821"/>
      <c r="AM709" s="821"/>
      <c r="AN709" s="821"/>
      <c r="AO709" s="821"/>
      <c r="AP709" s="821"/>
      <c r="AQ709" s="821"/>
      <c r="AR709" s="821"/>
      <c r="AS709" s="821"/>
      <c r="AT709" s="821"/>
      <c r="AU709" s="821"/>
      <c r="AV709" s="821"/>
      <c r="AW709" s="821"/>
      <c r="AX709" s="821"/>
      <c r="AY709" s="821"/>
      <c r="AZ709" s="821"/>
      <c r="BA709" s="821"/>
      <c r="BB709" s="821"/>
      <c r="BC709" s="821"/>
      <c r="BD709" s="821"/>
      <c r="BE709" s="821"/>
      <c r="BF709" s="821"/>
      <c r="BG709" s="1065"/>
      <c r="BH709" s="1065"/>
      <c r="BI709" s="1065"/>
      <c r="BJ709" s="1065"/>
      <c r="BK709" s="1065"/>
      <c r="BL709" s="1065"/>
      <c r="BM709" s="1065"/>
      <c r="BN709" s="1065"/>
      <c r="BO709" s="1065"/>
      <c r="BP709" s="1065"/>
      <c r="BQ709" s="1065"/>
      <c r="BR709" s="1065"/>
      <c r="BS709" s="1065"/>
      <c r="BT709" s="1065"/>
      <c r="BU709" s="1065"/>
      <c r="BV709" s="1065"/>
      <c r="BW709" s="1065"/>
      <c r="BX709" s="1065"/>
      <c r="BY709" s="1065"/>
      <c r="BZ709" s="1065"/>
      <c r="CA709" s="1065"/>
      <c r="CB709" s="1065"/>
      <c r="CC709" s="1065"/>
      <c r="CD709" s="1065"/>
      <c r="CE709" s="1065"/>
      <c r="CF709" s="1065"/>
      <c r="CG709" s="1065"/>
      <c r="CH709" s="1065"/>
      <c r="CI709" s="1065"/>
      <c r="CJ709" s="1065"/>
      <c r="CK709" s="1065"/>
      <c r="CL709" s="1065"/>
      <c r="CM709" s="1065"/>
      <c r="CN709" s="1065"/>
      <c r="CO709" s="1065"/>
      <c r="CP709" s="1065"/>
      <c r="CQ709" s="1065"/>
      <c r="CR709" s="1065"/>
      <c r="CS709" s="1065"/>
      <c r="CT709" s="1065"/>
      <c r="CU709" s="1065"/>
      <c r="CV709" s="1065"/>
      <c r="CW709" s="1065"/>
      <c r="CX709" s="1065"/>
      <c r="CY709" s="1065"/>
      <c r="CZ709" s="1065"/>
      <c r="DA709" s="1065"/>
      <c r="DB709" s="1065"/>
    </row>
    <row r="710" spans="1:106" ht="32.25" customHeight="1" thickBot="1">
      <c r="A710" s="1065"/>
      <c r="B710" s="1065"/>
      <c r="C710" s="1341"/>
      <c r="D710" s="1342"/>
      <c r="E710" s="1342"/>
      <c r="F710" s="1342"/>
      <c r="G710" s="1342"/>
      <c r="H710" s="1342"/>
      <c r="I710" s="1342"/>
      <c r="J710" s="1343"/>
      <c r="K710" s="1315"/>
      <c r="L710" s="1344" t="s">
        <v>1123</v>
      </c>
      <c r="M710" s="1345">
        <v>17600</v>
      </c>
      <c r="N710" s="1346" t="s">
        <v>1163</v>
      </c>
      <c r="O710" s="1345">
        <v>88</v>
      </c>
      <c r="P710" s="1347" t="s">
        <v>1124</v>
      </c>
      <c r="Q710" s="1348">
        <f>M710/(O710/1.1)</f>
        <v>220</v>
      </c>
      <c r="R710" s="1342"/>
      <c r="S710" s="1343"/>
      <c r="T710" s="1279"/>
      <c r="U710" s="1344" t="s">
        <v>1123</v>
      </c>
      <c r="V710" s="1346" t="s">
        <v>1163</v>
      </c>
      <c r="W710" s="1345">
        <v>68.2</v>
      </c>
      <c r="X710" s="1349" t="s">
        <v>1124</v>
      </c>
      <c r="Y710" s="1350" t="e">
        <f>#REF!/(W710/1.1)</f>
        <v>#REF!</v>
      </c>
      <c r="Z710" s="1342"/>
      <c r="AA710" s="1343"/>
      <c r="AB710" s="821"/>
      <c r="AC710" s="821"/>
      <c r="AD710" s="821"/>
      <c r="AE710" s="821"/>
      <c r="AF710" s="821"/>
      <c r="AG710" s="821"/>
      <c r="AH710" s="821"/>
      <c r="AI710" s="821"/>
      <c r="AJ710" s="821"/>
      <c r="AK710" s="821"/>
      <c r="AL710" s="821"/>
      <c r="AM710" s="821"/>
      <c r="AN710" s="821"/>
      <c r="AO710" s="821"/>
      <c r="AP710" s="821"/>
      <c r="AQ710" s="821"/>
      <c r="AR710" s="821"/>
      <c r="AS710" s="821"/>
      <c r="AT710" s="821"/>
      <c r="AU710" s="821"/>
      <c r="AV710" s="821"/>
      <c r="AW710" s="821"/>
      <c r="AX710" s="821"/>
      <c r="AY710" s="821"/>
      <c r="AZ710" s="821"/>
      <c r="BA710" s="821"/>
      <c r="BB710" s="821"/>
      <c r="BC710" s="821"/>
      <c r="BD710" s="821"/>
      <c r="BE710" s="821"/>
      <c r="BF710" s="821"/>
      <c r="BG710" s="1065"/>
      <c r="BH710" s="1065"/>
      <c r="BI710" s="1065"/>
      <c r="BJ710" s="1065"/>
      <c r="BK710" s="1065"/>
      <c r="BL710" s="1065"/>
      <c r="BM710" s="1065"/>
      <c r="BN710" s="1065"/>
      <c r="BO710" s="1065"/>
      <c r="BP710" s="1065"/>
      <c r="BQ710" s="1065"/>
      <c r="BR710" s="1065"/>
      <c r="BS710" s="1065"/>
      <c r="BT710" s="1065"/>
      <c r="BU710" s="1065"/>
      <c r="BV710" s="1065"/>
      <c r="BW710" s="1065"/>
      <c r="BX710" s="1065"/>
      <c r="BY710" s="1065"/>
      <c r="BZ710" s="1065"/>
      <c r="CA710" s="1065"/>
      <c r="CB710" s="1065"/>
      <c r="CC710" s="1065"/>
      <c r="CD710" s="1065"/>
      <c r="CE710" s="1065"/>
      <c r="CF710" s="1065"/>
      <c r="CG710" s="1065"/>
      <c r="CH710" s="1065"/>
      <c r="CI710" s="1065"/>
      <c r="CJ710" s="1065"/>
      <c r="CK710" s="1065"/>
      <c r="CL710" s="1065"/>
      <c r="CM710" s="1065"/>
      <c r="CN710" s="1065"/>
      <c r="CO710" s="1065"/>
      <c r="CP710" s="1065"/>
      <c r="CQ710" s="1065"/>
      <c r="CR710" s="1065"/>
      <c r="CS710" s="1065"/>
      <c r="CT710" s="1065"/>
      <c r="CU710" s="1065"/>
      <c r="CV710" s="1065"/>
      <c r="CW710" s="1065"/>
      <c r="CX710" s="1065"/>
      <c r="CY710" s="1065"/>
      <c r="CZ710" s="1065"/>
      <c r="DA710" s="1065"/>
      <c r="DB710" s="1065"/>
    </row>
    <row r="711" spans="1:106" ht="15" customHeight="1">
      <c r="A711" s="1065"/>
      <c r="B711" s="1065"/>
      <c r="C711" s="1351" t="s">
        <v>1043</v>
      </c>
      <c r="D711" s="1655" t="s">
        <v>1125</v>
      </c>
      <c r="E711" s="1655"/>
      <c r="F711" s="1655"/>
      <c r="G711" s="1655"/>
      <c r="H711" s="1352" t="s">
        <v>1126</v>
      </c>
      <c r="I711" s="1352" t="s">
        <v>1127</v>
      </c>
      <c r="J711" s="1353" t="s">
        <v>1128</v>
      </c>
      <c r="K711" s="1224"/>
      <c r="L711" s="1354" t="s">
        <v>1043</v>
      </c>
      <c r="M711" s="1656" t="s">
        <v>1129</v>
      </c>
      <c r="N711" s="1656"/>
      <c r="O711" s="1656"/>
      <c r="P711" s="1656"/>
      <c r="Q711" s="1355" t="s">
        <v>1130</v>
      </c>
      <c r="R711" s="1356" t="s">
        <v>1131</v>
      </c>
      <c r="S711" s="1357" t="s">
        <v>6</v>
      </c>
      <c r="T711" s="1279"/>
      <c r="U711" s="1358" t="s">
        <v>1043</v>
      </c>
      <c r="V711" s="1657"/>
      <c r="W711" s="1657"/>
      <c r="X711" s="1657"/>
      <c r="Y711" s="1359" t="s">
        <v>1132</v>
      </c>
      <c r="Z711" s="1360" t="s">
        <v>1133</v>
      </c>
      <c r="AA711" s="1361" t="s">
        <v>6</v>
      </c>
      <c r="AB711" s="1362"/>
      <c r="AC711" s="1362"/>
      <c r="AD711" s="1363"/>
      <c r="AE711" s="1362"/>
      <c r="AF711" s="1362"/>
      <c r="AG711" s="1362"/>
      <c r="AH711" s="1362"/>
      <c r="AI711" s="1362"/>
      <c r="AJ711" s="1362"/>
      <c r="AK711" s="1362"/>
      <c r="AL711" s="1362"/>
      <c r="AM711" s="1362"/>
      <c r="AN711" s="1362"/>
      <c r="AO711" s="1362"/>
      <c r="AP711" s="1362"/>
      <c r="AQ711" s="1364"/>
      <c r="AR711" s="1364"/>
      <c r="AS711" s="1364"/>
      <c r="AT711" s="1364"/>
      <c r="AU711" s="1364"/>
      <c r="AV711" s="1364"/>
      <c r="AW711" s="1364"/>
      <c r="AX711" s="1364"/>
      <c r="AY711" s="1364"/>
      <c r="AZ711" s="1364"/>
      <c r="BA711" s="1362"/>
      <c r="BB711" s="1362"/>
      <c r="BC711" s="1362"/>
      <c r="BD711" s="1362"/>
      <c r="BE711" s="1362"/>
      <c r="BF711" s="1362"/>
      <c r="BG711" s="1065"/>
      <c r="BH711" s="1065"/>
      <c r="BI711" s="1065"/>
      <c r="BJ711" s="1065"/>
      <c r="BK711" s="1065"/>
      <c r="BL711" s="1065"/>
      <c r="BM711" s="1065"/>
      <c r="BN711" s="1065"/>
      <c r="BO711" s="1065"/>
      <c r="BP711" s="1065"/>
      <c r="BQ711" s="1065"/>
      <c r="BR711" s="1065"/>
      <c r="BS711" s="1065"/>
      <c r="BT711" s="1065"/>
      <c r="BU711" s="1065"/>
      <c r="BV711" s="1065"/>
      <c r="BW711" s="1065"/>
      <c r="BX711" s="1065"/>
      <c r="BY711" s="1065"/>
      <c r="BZ711" s="1065"/>
      <c r="CA711" s="1065"/>
      <c r="CB711" s="1065"/>
      <c r="CC711" s="1065"/>
      <c r="CD711" s="1065"/>
      <c r="CE711" s="1065"/>
      <c r="CF711" s="1065"/>
      <c r="CG711" s="1065"/>
      <c r="CH711" s="1065"/>
      <c r="CI711" s="1065"/>
      <c r="CJ711" s="1065"/>
      <c r="CK711" s="1065"/>
      <c r="CL711" s="1065"/>
      <c r="CM711" s="1065"/>
      <c r="CN711" s="1065"/>
      <c r="CO711" s="1065"/>
      <c r="CP711" s="1065"/>
      <c r="CQ711" s="1065"/>
      <c r="CR711" s="1065"/>
      <c r="CS711" s="1065"/>
      <c r="CT711" s="1065"/>
      <c r="CU711" s="1065"/>
      <c r="CV711" s="1065"/>
      <c r="CW711" s="1065"/>
      <c r="CX711" s="1065"/>
      <c r="CY711" s="1065"/>
      <c r="CZ711" s="1065"/>
      <c r="DA711" s="1065"/>
      <c r="DB711" s="1065"/>
    </row>
    <row r="712" spans="1:106" ht="15" customHeight="1">
      <c r="A712" s="1065"/>
      <c r="B712" s="1065"/>
      <c r="C712" s="1365" t="s">
        <v>668</v>
      </c>
      <c r="D712" s="1626" t="s">
        <v>1134</v>
      </c>
      <c r="E712" s="1626"/>
      <c r="F712" s="1626"/>
      <c r="G712" s="1626"/>
      <c r="H712" s="1366">
        <v>8</v>
      </c>
      <c r="I712" s="1367">
        <v>191.4</v>
      </c>
      <c r="J712" s="1368">
        <f>H712*I712</f>
        <v>1531.2</v>
      </c>
      <c r="K712" s="1224"/>
      <c r="L712" s="1369" t="s">
        <v>301</v>
      </c>
      <c r="M712" s="1632" t="s">
        <v>1135</v>
      </c>
      <c r="N712" s="1632"/>
      <c r="O712" s="1632"/>
      <c r="P712" s="1632"/>
      <c r="Q712" s="1370">
        <v>5</v>
      </c>
      <c r="R712" s="1371" t="s">
        <v>1136</v>
      </c>
      <c r="S712" s="1372">
        <f>Q712*Q723</f>
        <v>1100</v>
      </c>
      <c r="T712" s="1229"/>
      <c r="U712" s="1302" t="s">
        <v>110</v>
      </c>
      <c r="V712" s="1633"/>
      <c r="W712" s="1633"/>
      <c r="X712" s="1633"/>
      <c r="Y712" s="1373">
        <v>5</v>
      </c>
      <c r="Z712" s="1374" t="s">
        <v>1136</v>
      </c>
      <c r="AA712" s="1375" t="e">
        <f>Y712*Y723</f>
        <v>#REF!</v>
      </c>
      <c r="AB712" s="1065"/>
      <c r="AC712" s="1065"/>
      <c r="AD712" s="1065"/>
      <c r="AE712" s="1065"/>
      <c r="AF712" s="1065"/>
      <c r="AG712" s="1065"/>
      <c r="AH712" s="1065"/>
      <c r="AI712" s="1065"/>
      <c r="AJ712" s="1065"/>
      <c r="AK712" s="1065"/>
      <c r="AL712" s="1065"/>
      <c r="AM712" s="1065"/>
      <c r="AN712" s="1065"/>
      <c r="AO712" s="1065"/>
      <c r="AP712" s="1065"/>
      <c r="AQ712" s="1065"/>
      <c r="AR712" s="1065"/>
      <c r="AS712" s="1065"/>
      <c r="AT712" s="1065"/>
      <c r="AU712" s="1065"/>
      <c r="AV712" s="1065"/>
      <c r="AW712" s="1065"/>
      <c r="AX712" s="1065"/>
      <c r="AY712" s="1065"/>
      <c r="AZ712" s="1065"/>
      <c r="BA712" s="1065"/>
      <c r="BB712" s="1065"/>
      <c r="BC712" s="1065"/>
      <c r="BD712" s="1065"/>
      <c r="BE712" s="1065"/>
      <c r="BF712" s="1065"/>
      <c r="BG712" s="1065"/>
      <c r="BH712" s="1065"/>
      <c r="BI712" s="1065"/>
      <c r="BJ712" s="1065"/>
      <c r="BK712" s="1065"/>
      <c r="BL712" s="1065"/>
      <c r="BM712" s="1065"/>
      <c r="BN712" s="1065"/>
      <c r="BO712" s="1065"/>
      <c r="BP712" s="1065"/>
      <c r="BQ712" s="1065"/>
      <c r="BR712" s="1065"/>
      <c r="BS712" s="1065"/>
      <c r="BT712" s="1065"/>
      <c r="BU712" s="1065"/>
      <c r="BV712" s="1065"/>
      <c r="BW712" s="1065"/>
      <c r="BX712" s="1065"/>
      <c r="BY712" s="1065"/>
      <c r="BZ712" s="1065"/>
      <c r="CA712" s="1065"/>
      <c r="CB712" s="1065"/>
      <c r="CC712" s="1065"/>
      <c r="CD712" s="1065"/>
      <c r="CE712" s="1065"/>
      <c r="CF712" s="1065"/>
      <c r="CG712" s="1065"/>
      <c r="CH712" s="1065"/>
      <c r="CI712" s="1065"/>
      <c r="CJ712" s="1065"/>
      <c r="CK712" s="1065"/>
      <c r="CL712" s="1065"/>
      <c r="CM712" s="1065"/>
      <c r="CN712" s="1065"/>
      <c r="CO712" s="1065"/>
      <c r="CP712" s="1065"/>
      <c r="CQ712" s="1065"/>
      <c r="CR712" s="1065"/>
      <c r="CS712" s="1065"/>
      <c r="CT712" s="1065"/>
      <c r="CU712" s="1065"/>
      <c r="CV712" s="1065"/>
      <c r="CW712" s="1065"/>
      <c r="CX712" s="1065"/>
      <c r="CY712" s="1065"/>
      <c r="CZ712" s="1065"/>
      <c r="DA712" s="1065"/>
      <c r="DB712" s="1065"/>
    </row>
    <row r="713" spans="1:106" ht="15" customHeight="1">
      <c r="A713" s="1065"/>
      <c r="B713" s="1065"/>
      <c r="C713" s="1365" t="s">
        <v>667</v>
      </c>
      <c r="D713" s="1626" t="s">
        <v>1137</v>
      </c>
      <c r="E713" s="1626"/>
      <c r="F713" s="1626"/>
      <c r="G713" s="1626"/>
      <c r="H713" s="1366">
        <v>3</v>
      </c>
      <c r="I713" s="1367">
        <v>191.4</v>
      </c>
      <c r="J713" s="1368">
        <f t="shared" ref="J713:J725" si="3">H713*I713</f>
        <v>574.20000000000005</v>
      </c>
      <c r="K713" s="1224"/>
      <c r="L713" s="1369" t="s">
        <v>669</v>
      </c>
      <c r="M713" s="1632" t="s">
        <v>1138</v>
      </c>
      <c r="N713" s="1632"/>
      <c r="O713" s="1632"/>
      <c r="P713" s="1632"/>
      <c r="Q713" s="1370">
        <v>30</v>
      </c>
      <c r="R713" s="1371" t="s">
        <v>1136</v>
      </c>
      <c r="S713" s="1372">
        <f>Q713*Q723</f>
        <v>6600</v>
      </c>
      <c r="T713" s="1229"/>
      <c r="U713" s="1302" t="s">
        <v>1139</v>
      </c>
      <c r="V713" s="1650"/>
      <c r="W713" s="1650"/>
      <c r="X713" s="1650"/>
      <c r="Y713" s="1373">
        <v>6</v>
      </c>
      <c r="Z713" s="1374" t="s">
        <v>1136</v>
      </c>
      <c r="AA713" s="1375" t="e">
        <f>Y713*Y723</f>
        <v>#REF!</v>
      </c>
      <c r="AB713" s="1065"/>
      <c r="AC713" s="1065"/>
      <c r="AD713" s="1065"/>
      <c r="AE713" s="1065"/>
      <c r="AF713" s="1065"/>
      <c r="AG713" s="1065"/>
      <c r="AH713" s="1065"/>
      <c r="AI713" s="1065"/>
      <c r="AJ713" s="1065"/>
      <c r="AK713" s="1065"/>
      <c r="AL713" s="1065"/>
      <c r="AM713" s="1065"/>
      <c r="AN713" s="1065"/>
      <c r="AO713" s="1065"/>
      <c r="AP713" s="1065"/>
      <c r="AQ713" s="1065"/>
      <c r="AR713" s="1065"/>
      <c r="AS713" s="1065"/>
      <c r="AT713" s="1065"/>
      <c r="AU713" s="1065"/>
      <c r="AV713" s="1065"/>
      <c r="AW713" s="1065"/>
      <c r="AX713" s="1065"/>
      <c r="AY713" s="1065"/>
      <c r="AZ713" s="1065"/>
      <c r="BA713" s="1065"/>
      <c r="BB713" s="1065"/>
      <c r="BC713" s="1065"/>
      <c r="BD713" s="1065"/>
      <c r="BE713" s="1065"/>
      <c r="BF713" s="1065"/>
      <c r="BG713" s="1065"/>
      <c r="BH713" s="1065"/>
      <c r="BI713" s="1065"/>
      <c r="BJ713" s="1065"/>
      <c r="BK713" s="1065"/>
      <c r="BL713" s="1065"/>
      <c r="BM713" s="1065"/>
      <c r="BN713" s="1065"/>
      <c r="BO713" s="1065"/>
      <c r="BP713" s="1065"/>
      <c r="BQ713" s="1065"/>
      <c r="BR713" s="1065"/>
      <c r="BS713" s="1065"/>
      <c r="BT713" s="1065"/>
      <c r="BU713" s="1065"/>
      <c r="BV713" s="1065"/>
      <c r="BW713" s="1065"/>
      <c r="BX713" s="1065"/>
      <c r="BY713" s="1065"/>
      <c r="BZ713" s="1065"/>
      <c r="CA713" s="1065"/>
      <c r="CB713" s="1065"/>
      <c r="CC713" s="1065"/>
      <c r="CD713" s="1065"/>
      <c r="CE713" s="1065"/>
      <c r="CF713" s="1065"/>
      <c r="CG713" s="1065"/>
      <c r="CH713" s="1065"/>
      <c r="CI713" s="1065"/>
      <c r="CJ713" s="1065"/>
      <c r="CK713" s="1065"/>
      <c r="CL713" s="1065"/>
      <c r="CM713" s="1065"/>
      <c r="CN713" s="1065"/>
      <c r="CO713" s="1065"/>
      <c r="CP713" s="1065"/>
      <c r="CQ713" s="1065"/>
      <c r="CR713" s="1065"/>
      <c r="CS713" s="1065"/>
      <c r="CT713" s="1065"/>
      <c r="CU713" s="1065"/>
      <c r="CV713" s="1065"/>
      <c r="CW713" s="1065"/>
      <c r="CX713" s="1065"/>
      <c r="CY713" s="1065"/>
      <c r="CZ713" s="1065"/>
      <c r="DA713" s="1065"/>
      <c r="DB713" s="1065"/>
    </row>
    <row r="714" spans="1:106" ht="15" customHeight="1">
      <c r="A714" s="1065"/>
      <c r="B714" s="1065"/>
      <c r="C714" s="1365" t="s">
        <v>665</v>
      </c>
      <c r="D714" s="1626" t="s">
        <v>1140</v>
      </c>
      <c r="E714" s="1626"/>
      <c r="F714" s="1626"/>
      <c r="G714" s="1626"/>
      <c r="H714" s="1366">
        <v>4</v>
      </c>
      <c r="I714" s="1367">
        <v>191.4</v>
      </c>
      <c r="J714" s="1368">
        <f t="shared" si="3"/>
        <v>765.6</v>
      </c>
      <c r="K714" s="1224"/>
      <c r="L714" s="1369" t="s">
        <v>488</v>
      </c>
      <c r="M714" s="1632" t="s">
        <v>1141</v>
      </c>
      <c r="N714" s="1632"/>
      <c r="O714" s="1632"/>
      <c r="P714" s="1632"/>
      <c r="Q714" s="1370">
        <v>4</v>
      </c>
      <c r="R714" s="1371" t="s">
        <v>1136</v>
      </c>
      <c r="S714" s="1372">
        <f>Q714*Q723</f>
        <v>880</v>
      </c>
      <c r="T714" s="1229"/>
      <c r="U714" s="1302" t="s">
        <v>316</v>
      </c>
      <c r="V714" s="1633"/>
      <c r="W714" s="1633"/>
      <c r="X714" s="1633"/>
      <c r="Y714" s="1373">
        <v>4</v>
      </c>
      <c r="Z714" s="1374" t="s">
        <v>1136</v>
      </c>
      <c r="AA714" s="1375" t="e">
        <f>Y714*Y723</f>
        <v>#REF!</v>
      </c>
      <c r="AB714" s="1065"/>
      <c r="AC714" s="1065"/>
      <c r="AD714" s="1065"/>
      <c r="AE714" s="1065"/>
      <c r="AF714" s="1065"/>
      <c r="AG714" s="1065"/>
      <c r="AH714" s="1065"/>
      <c r="AI714" s="1065"/>
      <c r="AJ714" s="1065"/>
      <c r="AK714" s="1065"/>
      <c r="AL714" s="1065"/>
      <c r="AM714" s="1065"/>
      <c r="AN714" s="1065"/>
      <c r="AO714" s="1065"/>
      <c r="AP714" s="1065"/>
      <c r="AQ714" s="1065"/>
      <c r="AR714" s="1065"/>
      <c r="AS714" s="1065"/>
      <c r="AT714" s="1065"/>
      <c r="AU714" s="1065"/>
      <c r="AV714" s="1065"/>
      <c r="AW714" s="1065"/>
      <c r="AX714" s="1065"/>
      <c r="AY714" s="1065"/>
      <c r="AZ714" s="1065"/>
      <c r="BA714" s="1065"/>
      <c r="BB714" s="1065"/>
      <c r="BC714" s="1065"/>
      <c r="BD714" s="1065"/>
      <c r="BE714" s="1065"/>
      <c r="BF714" s="1065"/>
      <c r="BG714" s="1065"/>
      <c r="BH714" s="1065"/>
      <c r="BI714" s="1065"/>
      <c r="BJ714" s="1065"/>
      <c r="BK714" s="1065"/>
      <c r="BL714" s="1065"/>
      <c r="BM714" s="1065"/>
      <c r="BN714" s="1065"/>
      <c r="BO714" s="1065"/>
      <c r="BP714" s="1065"/>
      <c r="BQ714" s="1065"/>
      <c r="BR714" s="1065"/>
      <c r="BS714" s="1065"/>
      <c r="BT714" s="1065"/>
      <c r="BU714" s="1065"/>
      <c r="BV714" s="1065"/>
      <c r="BW714" s="1065"/>
      <c r="BX714" s="1065"/>
      <c r="BY714" s="1065"/>
      <c r="BZ714" s="1065"/>
      <c r="CA714" s="1065"/>
      <c r="CB714" s="1065"/>
      <c r="CC714" s="1065"/>
      <c r="CD714" s="1065"/>
      <c r="CE714" s="1065"/>
      <c r="CF714" s="1065"/>
      <c r="CG714" s="1065"/>
      <c r="CH714" s="1065"/>
      <c r="CI714" s="1065"/>
      <c r="CJ714" s="1065"/>
      <c r="CK714" s="1065"/>
      <c r="CL714" s="1065"/>
      <c r="CM714" s="1065"/>
      <c r="CN714" s="1065"/>
      <c r="CO714" s="1065"/>
      <c r="CP714" s="1065"/>
      <c r="CQ714" s="1065"/>
      <c r="CR714" s="1065"/>
      <c r="CS714" s="1065"/>
      <c r="CT714" s="1065"/>
      <c r="CU714" s="1065"/>
      <c r="CV714" s="1065"/>
      <c r="CW714" s="1065"/>
      <c r="CX714" s="1065"/>
      <c r="CY714" s="1065"/>
      <c r="CZ714" s="1065"/>
      <c r="DA714" s="1065"/>
      <c r="DB714" s="1065"/>
    </row>
    <row r="715" spans="1:106" ht="15" customHeight="1">
      <c r="A715" s="1065"/>
      <c r="B715" s="1065"/>
      <c r="C715" s="1365" t="s">
        <v>112</v>
      </c>
      <c r="D715" s="1626" t="s">
        <v>1142</v>
      </c>
      <c r="E715" s="1626"/>
      <c r="F715" s="1626"/>
      <c r="G715" s="1626"/>
      <c r="H715" s="1366">
        <v>4</v>
      </c>
      <c r="I715" s="1367">
        <v>191.4</v>
      </c>
      <c r="J715" s="1368">
        <f t="shared" si="3"/>
        <v>765.6</v>
      </c>
      <c r="K715" s="1224"/>
      <c r="L715" s="1369" t="s">
        <v>109</v>
      </c>
      <c r="M715" s="1641" t="s">
        <v>1143</v>
      </c>
      <c r="N715" s="1641"/>
      <c r="O715" s="1641"/>
      <c r="P715" s="1641"/>
      <c r="Q715" s="1370">
        <v>15</v>
      </c>
      <c r="R715" s="1371" t="s">
        <v>1136</v>
      </c>
      <c r="S715" s="1372">
        <f>Q715*Q723</f>
        <v>3300</v>
      </c>
      <c r="T715" s="1229"/>
      <c r="U715" s="1302" t="s">
        <v>549</v>
      </c>
      <c r="V715" s="1633"/>
      <c r="W715" s="1633"/>
      <c r="X715" s="1633"/>
      <c r="Y715" s="1373">
        <v>13</v>
      </c>
      <c r="Z715" s="1374" t="s">
        <v>1136</v>
      </c>
      <c r="AA715" s="1375" t="e">
        <f>Y715*Y723</f>
        <v>#REF!</v>
      </c>
      <c r="AB715" s="1065"/>
      <c r="AC715" s="1065"/>
      <c r="AD715" s="1065"/>
      <c r="AE715" s="1065"/>
      <c r="AF715" s="1065"/>
      <c r="AG715" s="1065"/>
      <c r="AH715" s="1065"/>
      <c r="AI715" s="1065"/>
      <c r="AJ715" s="1065"/>
      <c r="AK715" s="1065"/>
      <c r="AL715" s="1065"/>
      <c r="AM715" s="1065"/>
      <c r="AN715" s="1065"/>
      <c r="AO715" s="1065"/>
      <c r="AP715" s="1065"/>
      <c r="AQ715" s="1065"/>
      <c r="AR715" s="1065"/>
      <c r="AS715" s="1065"/>
      <c r="AT715" s="1065"/>
      <c r="AU715" s="1065"/>
      <c r="AV715" s="1065"/>
      <c r="AW715" s="1065"/>
      <c r="AX715" s="1065"/>
      <c r="AY715" s="1065"/>
      <c r="AZ715" s="1065"/>
      <c r="BA715" s="1065"/>
      <c r="BB715" s="1065"/>
      <c r="BC715" s="1065"/>
      <c r="BD715" s="1065"/>
      <c r="BE715" s="1065"/>
      <c r="BF715" s="1065"/>
      <c r="BG715" s="1065"/>
      <c r="BH715" s="1065"/>
      <c r="BI715" s="1065"/>
      <c r="BJ715" s="1065"/>
      <c r="BK715" s="1065"/>
      <c r="BL715" s="1065"/>
      <c r="BM715" s="1065"/>
      <c r="BN715" s="1065"/>
      <c r="BO715" s="1065"/>
      <c r="BP715" s="1065"/>
      <c r="BQ715" s="1065"/>
      <c r="BR715" s="1065"/>
      <c r="BS715" s="1065"/>
      <c r="BT715" s="1065"/>
      <c r="BU715" s="1065"/>
      <c r="BV715" s="1065"/>
      <c r="BW715" s="1065"/>
      <c r="BX715" s="1065"/>
      <c r="BY715" s="1065"/>
      <c r="BZ715" s="1065"/>
      <c r="CA715" s="1065"/>
      <c r="CB715" s="1065"/>
      <c r="CC715" s="1065"/>
      <c r="CD715" s="1065"/>
      <c r="CE715" s="1065"/>
      <c r="CF715" s="1065"/>
      <c r="CG715" s="1065"/>
      <c r="CH715" s="1065"/>
      <c r="CI715" s="1065"/>
      <c r="CJ715" s="1065"/>
      <c r="CK715" s="1065"/>
      <c r="CL715" s="1065"/>
      <c r="CM715" s="1065"/>
      <c r="CN715" s="1065"/>
      <c r="CO715" s="1065"/>
      <c r="CP715" s="1065"/>
      <c r="CQ715" s="1065"/>
      <c r="CR715" s="1065"/>
      <c r="CS715" s="1065"/>
      <c r="CT715" s="1065"/>
      <c r="CU715" s="1065"/>
      <c r="CV715" s="1065"/>
      <c r="CW715" s="1065"/>
      <c r="CX715" s="1065"/>
      <c r="CY715" s="1065"/>
      <c r="CZ715" s="1065"/>
      <c r="DA715" s="1065"/>
      <c r="DB715" s="1065"/>
    </row>
    <row r="716" spans="1:106" ht="15" customHeight="1">
      <c r="A716" s="1065"/>
      <c r="B716" s="1065"/>
      <c r="C716" s="1365" t="s">
        <v>662</v>
      </c>
      <c r="D716" s="1626" t="s">
        <v>1144</v>
      </c>
      <c r="E716" s="1626"/>
      <c r="F716" s="1626"/>
      <c r="G716" s="1626"/>
      <c r="H716" s="1366">
        <v>27</v>
      </c>
      <c r="I716" s="1367">
        <v>191.4</v>
      </c>
      <c r="J716" s="1368">
        <f t="shared" si="3"/>
        <v>5167.8</v>
      </c>
      <c r="K716" s="1224"/>
      <c r="L716" s="1369" t="s">
        <v>666</v>
      </c>
      <c r="M716" s="1641" t="s">
        <v>1145</v>
      </c>
      <c r="N716" s="1641"/>
      <c r="O716" s="1641"/>
      <c r="P716" s="1641"/>
      <c r="Q716" s="1370">
        <v>17</v>
      </c>
      <c r="R716" s="1371" t="s">
        <v>1136</v>
      </c>
      <c r="S716" s="1372">
        <f>Q716*Q723</f>
        <v>3740</v>
      </c>
      <c r="T716" s="1229"/>
      <c r="U716" s="1302" t="s">
        <v>676</v>
      </c>
      <c r="V716" s="1633"/>
      <c r="W716" s="1633"/>
      <c r="X716" s="1633"/>
      <c r="Y716" s="1373">
        <v>6</v>
      </c>
      <c r="Z716" s="1374" t="s">
        <v>1136</v>
      </c>
      <c r="AA716" s="1375" t="e">
        <f>Y716*Y723</f>
        <v>#REF!</v>
      </c>
      <c r="AB716" s="1065"/>
      <c r="AC716" s="1065"/>
      <c r="AD716" s="1065"/>
      <c r="AE716" s="1065"/>
      <c r="AF716" s="1065"/>
      <c r="AG716" s="1065"/>
      <c r="AH716" s="1065"/>
      <c r="AI716" s="1065"/>
      <c r="AJ716" s="1065"/>
      <c r="AK716" s="1065"/>
      <c r="AL716" s="1065"/>
      <c r="AM716" s="1065"/>
      <c r="AN716" s="1065"/>
      <c r="AO716" s="1065"/>
      <c r="AP716" s="1065"/>
      <c r="AQ716" s="1065"/>
      <c r="AR716" s="1065"/>
      <c r="AS716" s="1065"/>
      <c r="AT716" s="1065"/>
      <c r="AU716" s="1065"/>
      <c r="AV716" s="1065"/>
      <c r="AW716" s="1065"/>
      <c r="AX716" s="1065"/>
      <c r="AY716" s="1065"/>
      <c r="AZ716" s="1065"/>
      <c r="BA716" s="1065"/>
      <c r="BB716" s="1065"/>
      <c r="BC716" s="1065"/>
      <c r="BD716" s="1065"/>
      <c r="BE716" s="1065"/>
      <c r="BF716" s="1065"/>
      <c r="BG716" s="1065"/>
      <c r="BH716" s="1065"/>
      <c r="BI716" s="1065"/>
      <c r="BJ716" s="1065"/>
      <c r="BK716" s="1065"/>
      <c r="BL716" s="1065"/>
      <c r="BM716" s="1065"/>
      <c r="BN716" s="1065"/>
      <c r="BO716" s="1065"/>
      <c r="BP716" s="1065"/>
      <c r="BQ716" s="1065"/>
      <c r="BR716" s="1065"/>
      <c r="BS716" s="1065"/>
      <c r="BT716" s="1065"/>
      <c r="BU716" s="1065"/>
      <c r="BV716" s="1065"/>
      <c r="BW716" s="1065"/>
      <c r="BX716" s="1065"/>
      <c r="BY716" s="1065"/>
      <c r="BZ716" s="1065"/>
      <c r="CA716" s="1065"/>
      <c r="CB716" s="1065"/>
      <c r="CC716" s="1065"/>
      <c r="CD716" s="1065"/>
      <c r="CE716" s="1065"/>
      <c r="CF716" s="1065"/>
      <c r="CG716" s="1065"/>
      <c r="CH716" s="1065"/>
      <c r="CI716" s="1065"/>
      <c r="CJ716" s="1065"/>
      <c r="CK716" s="1065"/>
      <c r="CL716" s="1065"/>
      <c r="CM716" s="1065"/>
      <c r="CN716" s="1065"/>
      <c r="CO716" s="1065"/>
      <c r="CP716" s="1065"/>
      <c r="CQ716" s="1065"/>
      <c r="CR716" s="1065"/>
      <c r="CS716" s="1065"/>
      <c r="CT716" s="1065"/>
      <c r="CU716" s="1065"/>
      <c r="CV716" s="1065"/>
      <c r="CW716" s="1065"/>
      <c r="CX716" s="1065"/>
      <c r="CY716" s="1065"/>
      <c r="CZ716" s="1065"/>
      <c r="DA716" s="1065"/>
      <c r="DB716" s="1065"/>
    </row>
    <row r="717" spans="1:106" ht="15" customHeight="1">
      <c r="A717" s="1065"/>
      <c r="B717" s="1065"/>
      <c r="C717" s="1365" t="s">
        <v>492</v>
      </c>
      <c r="D717" s="1626" t="s">
        <v>1146</v>
      </c>
      <c r="E717" s="1626"/>
      <c r="F717" s="1626"/>
      <c r="G717" s="1626"/>
      <c r="H717" s="1366">
        <v>8</v>
      </c>
      <c r="I717" s="1367">
        <v>191.4</v>
      </c>
      <c r="J717" s="1368">
        <f t="shared" si="3"/>
        <v>1531.2</v>
      </c>
      <c r="K717" s="1224"/>
      <c r="L717" s="1369" t="s">
        <v>172</v>
      </c>
      <c r="M717" s="1647" t="s">
        <v>1147</v>
      </c>
      <c r="N717" s="1648"/>
      <c r="O717" s="1648"/>
      <c r="P717" s="1649"/>
      <c r="Q717" s="1370">
        <v>0</v>
      </c>
      <c r="R717" s="1371" t="s">
        <v>1136</v>
      </c>
      <c r="S717" s="1372">
        <f>Q717*Q723</f>
        <v>0</v>
      </c>
      <c r="T717" s="1229"/>
      <c r="U717" s="1302" t="s">
        <v>680</v>
      </c>
      <c r="V717" s="1633"/>
      <c r="W717" s="1633"/>
      <c r="X717" s="1633"/>
      <c r="Y717" s="1373">
        <v>0</v>
      </c>
      <c r="Z717" s="1374" t="s">
        <v>1136</v>
      </c>
      <c r="AA717" s="1375" t="e">
        <f>Y717*Y723</f>
        <v>#REF!</v>
      </c>
      <c r="AB717" s="1065"/>
      <c r="AC717" s="1065"/>
      <c r="AD717" s="1065"/>
      <c r="AE717" s="1065"/>
      <c r="AF717" s="1065"/>
      <c r="AG717" s="1065"/>
      <c r="AH717" s="1065"/>
      <c r="AI717" s="1065"/>
      <c r="AJ717" s="1065"/>
      <c r="AK717" s="1065"/>
      <c r="AL717" s="1065"/>
      <c r="AM717" s="1065"/>
      <c r="AN717" s="1065"/>
      <c r="AO717" s="1065"/>
      <c r="AP717" s="1065"/>
      <c r="AQ717" s="1065"/>
      <c r="AR717" s="1065"/>
      <c r="AS717" s="1065"/>
      <c r="AT717" s="1065"/>
      <c r="AU717" s="1065"/>
      <c r="AV717" s="1065"/>
      <c r="AW717" s="1065"/>
      <c r="AX717" s="1065"/>
      <c r="AY717" s="1065"/>
      <c r="AZ717" s="1065"/>
      <c r="BA717" s="1065"/>
      <c r="BB717" s="1065"/>
      <c r="BC717" s="1065"/>
      <c r="BD717" s="1065"/>
      <c r="BE717" s="1065"/>
      <c r="BF717" s="1065"/>
      <c r="BG717" s="1065"/>
      <c r="BH717" s="1065"/>
      <c r="BI717" s="1065"/>
      <c r="BJ717" s="1065"/>
      <c r="BK717" s="1065"/>
      <c r="BL717" s="1065"/>
      <c r="BM717" s="1065"/>
      <c r="BN717" s="1065"/>
      <c r="BO717" s="1065"/>
      <c r="BP717" s="1065"/>
      <c r="BQ717" s="1065"/>
      <c r="BR717" s="1065"/>
      <c r="BS717" s="1065"/>
      <c r="BT717" s="1065"/>
      <c r="BU717" s="1065"/>
      <c r="BV717" s="1065"/>
      <c r="BW717" s="1065"/>
      <c r="BX717" s="1065"/>
      <c r="BY717" s="1065"/>
      <c r="BZ717" s="1065"/>
      <c r="CA717" s="1065"/>
      <c r="CB717" s="1065"/>
      <c r="CC717" s="1065"/>
      <c r="CD717" s="1065"/>
      <c r="CE717" s="1065"/>
      <c r="CF717" s="1065"/>
      <c r="CG717" s="1065"/>
      <c r="CH717" s="1065"/>
      <c r="CI717" s="1065"/>
      <c r="CJ717" s="1065"/>
      <c r="CK717" s="1065"/>
      <c r="CL717" s="1065"/>
      <c r="CM717" s="1065"/>
      <c r="CN717" s="1065"/>
      <c r="CO717" s="1065"/>
      <c r="CP717" s="1065"/>
      <c r="CQ717" s="1065"/>
      <c r="CR717" s="1065"/>
      <c r="CS717" s="1065"/>
      <c r="CT717" s="1065"/>
      <c r="CU717" s="1065"/>
      <c r="CV717" s="1065"/>
      <c r="CW717" s="1065"/>
      <c r="CX717" s="1065"/>
      <c r="CY717" s="1065"/>
      <c r="CZ717" s="1065"/>
      <c r="DA717" s="1065"/>
      <c r="DB717" s="1065"/>
    </row>
    <row r="718" spans="1:106" ht="15" customHeight="1">
      <c r="A718" s="1065"/>
      <c r="B718" s="1065"/>
      <c r="C718" s="1365" t="s">
        <v>664</v>
      </c>
      <c r="D718" s="1626" t="s">
        <v>1148</v>
      </c>
      <c r="E718" s="1626"/>
      <c r="F718" s="1626"/>
      <c r="G718" s="1626"/>
      <c r="H718" s="1366">
        <v>8</v>
      </c>
      <c r="I718" s="1367">
        <v>191.4</v>
      </c>
      <c r="J718" s="1368">
        <f t="shared" si="3"/>
        <v>1531.2</v>
      </c>
      <c r="K718" s="1224"/>
      <c r="L718" s="1369" t="s">
        <v>661</v>
      </c>
      <c r="M718" s="1641" t="s">
        <v>1149</v>
      </c>
      <c r="N718" s="1641"/>
      <c r="O718" s="1641"/>
      <c r="P718" s="1641"/>
      <c r="Q718" s="1370">
        <v>9</v>
      </c>
      <c r="R718" s="1371" t="s">
        <v>1136</v>
      </c>
      <c r="S718" s="1372">
        <f>Q718*Q723</f>
        <v>1980</v>
      </c>
      <c r="T718" s="1229"/>
      <c r="U718" s="1302" t="s">
        <v>674</v>
      </c>
      <c r="V718" s="1633"/>
      <c r="W718" s="1633"/>
      <c r="X718" s="1633"/>
      <c r="Y718" s="1373">
        <v>5</v>
      </c>
      <c r="Z718" s="1374" t="s">
        <v>1136</v>
      </c>
      <c r="AA718" s="1375" t="e">
        <f>Y718*Y723</f>
        <v>#REF!</v>
      </c>
      <c r="AB718" s="1065"/>
      <c r="AC718" s="1065"/>
      <c r="AD718" s="1065"/>
      <c r="AE718" s="1065"/>
      <c r="AF718" s="1065"/>
      <c r="AG718" s="1065"/>
      <c r="AH718" s="1065"/>
      <c r="AI718" s="1065"/>
      <c r="AJ718" s="1065"/>
      <c r="AK718" s="1065"/>
      <c r="AL718" s="1065"/>
      <c r="AM718" s="1065"/>
      <c r="AN718" s="1065"/>
      <c r="AO718" s="1065"/>
      <c r="AP718" s="1065"/>
      <c r="AQ718" s="1065"/>
      <c r="AR718" s="1065"/>
      <c r="AS718" s="1065"/>
      <c r="AT718" s="1065"/>
      <c r="AU718" s="1065"/>
      <c r="AV718" s="1065"/>
      <c r="AW718" s="1065"/>
      <c r="AX718" s="1065"/>
      <c r="AY718" s="1065"/>
      <c r="AZ718" s="1065"/>
      <c r="BA718" s="1065"/>
      <c r="BB718" s="1065"/>
      <c r="BC718" s="1065"/>
      <c r="BD718" s="1065"/>
      <c r="BE718" s="1065"/>
      <c r="BF718" s="1065"/>
      <c r="BG718" s="1065"/>
      <c r="BH718" s="1065"/>
      <c r="BI718" s="1065"/>
      <c r="BJ718" s="1065"/>
      <c r="BK718" s="1065"/>
      <c r="BL718" s="1065"/>
      <c r="BM718" s="1065"/>
      <c r="BN718" s="1065"/>
      <c r="BO718" s="1065"/>
      <c r="BP718" s="1065"/>
      <c r="BQ718" s="1065"/>
      <c r="BR718" s="1065"/>
      <c r="BS718" s="1065"/>
      <c r="BT718" s="1065"/>
      <c r="BU718" s="1065"/>
      <c r="BV718" s="1065"/>
      <c r="BW718" s="1065"/>
      <c r="BX718" s="1065"/>
      <c r="BY718" s="1065"/>
      <c r="BZ718" s="1065"/>
      <c r="CA718" s="1065"/>
      <c r="CB718" s="1065"/>
      <c r="CC718" s="1065"/>
      <c r="CD718" s="1065"/>
      <c r="CE718" s="1065"/>
      <c r="CF718" s="1065"/>
      <c r="CG718" s="1065"/>
      <c r="CH718" s="1065"/>
      <c r="CI718" s="1065"/>
      <c r="CJ718" s="1065"/>
      <c r="CK718" s="1065"/>
      <c r="CL718" s="1065"/>
      <c r="CM718" s="1065"/>
      <c r="CN718" s="1065"/>
      <c r="CO718" s="1065"/>
      <c r="CP718" s="1065"/>
      <c r="CQ718" s="1065"/>
      <c r="CR718" s="1065"/>
      <c r="CS718" s="1065"/>
      <c r="CT718" s="1065"/>
      <c r="CU718" s="1065"/>
      <c r="CV718" s="1065"/>
      <c r="CW718" s="1065"/>
      <c r="CX718" s="1065"/>
      <c r="CY718" s="1065"/>
      <c r="CZ718" s="1065"/>
      <c r="DA718" s="1065"/>
      <c r="DB718" s="1065"/>
    </row>
    <row r="719" spans="1:106" ht="15" customHeight="1">
      <c r="A719" s="1065"/>
      <c r="B719" s="1065"/>
      <c r="C719" s="1365" t="s">
        <v>655</v>
      </c>
      <c r="D719" s="1626" t="s">
        <v>1150</v>
      </c>
      <c r="E719" s="1626"/>
      <c r="F719" s="1626"/>
      <c r="G719" s="1626"/>
      <c r="H719" s="1366">
        <v>2</v>
      </c>
      <c r="I719" s="1367">
        <v>191.4</v>
      </c>
      <c r="J719" s="1368">
        <f t="shared" si="3"/>
        <v>382.8</v>
      </c>
      <c r="K719" s="1224"/>
      <c r="L719" s="1376"/>
      <c r="M719" s="1642"/>
      <c r="N719" s="1643"/>
      <c r="O719" s="1643"/>
      <c r="P719" s="1644"/>
      <c r="Q719" s="1377"/>
      <c r="R719" s="1378"/>
      <c r="S719" s="1379"/>
      <c r="T719" s="1229"/>
      <c r="U719" s="1302" t="s">
        <v>169</v>
      </c>
      <c r="V719" s="1645"/>
      <c r="W719" s="1645"/>
      <c r="X719" s="1646"/>
      <c r="Y719" s="1380">
        <v>11</v>
      </c>
      <c r="Z719" s="1374" t="s">
        <v>1136</v>
      </c>
      <c r="AA719" s="1375" t="e">
        <f>Y719*Y723</f>
        <v>#REF!</v>
      </c>
      <c r="AB719" s="1065"/>
      <c r="AC719" s="1065"/>
      <c r="AD719" s="1065"/>
      <c r="AE719" s="1065"/>
      <c r="AF719" s="1065"/>
      <c r="AG719" s="1065"/>
      <c r="AH719" s="1065"/>
      <c r="AI719" s="1065"/>
      <c r="AJ719" s="1065"/>
      <c r="AK719" s="1065"/>
      <c r="AL719" s="1065"/>
      <c r="AM719" s="1065"/>
      <c r="AN719" s="1065"/>
      <c r="AO719" s="1065"/>
      <c r="AP719" s="1065"/>
      <c r="AQ719" s="1065"/>
      <c r="AR719" s="1065"/>
      <c r="AS719" s="1065"/>
      <c r="AT719" s="1065"/>
      <c r="AU719" s="1065"/>
      <c r="AV719" s="1065"/>
      <c r="AW719" s="1065"/>
      <c r="AX719" s="1065"/>
      <c r="AY719" s="1065"/>
      <c r="AZ719" s="1065"/>
      <c r="BA719" s="1065"/>
      <c r="BB719" s="1065"/>
      <c r="BC719" s="1065"/>
      <c r="BD719" s="1065"/>
      <c r="BE719" s="1065"/>
      <c r="BF719" s="1065"/>
      <c r="BG719" s="1065"/>
      <c r="BH719" s="1065"/>
      <c r="BI719" s="1065"/>
      <c r="BJ719" s="1065"/>
      <c r="BK719" s="1065"/>
      <c r="BL719" s="1065"/>
      <c r="BM719" s="1065"/>
      <c r="BN719" s="1065"/>
      <c r="BO719" s="1065"/>
      <c r="BP719" s="1065"/>
      <c r="BQ719" s="1065"/>
      <c r="BR719" s="1065"/>
      <c r="BS719" s="1065"/>
      <c r="BT719" s="1065"/>
      <c r="BU719" s="1065"/>
      <c r="BV719" s="1065"/>
      <c r="BW719" s="1065"/>
      <c r="BX719" s="1065"/>
      <c r="BY719" s="1065"/>
      <c r="BZ719" s="1065"/>
      <c r="CA719" s="1065"/>
      <c r="CB719" s="1065"/>
      <c r="CC719" s="1065"/>
      <c r="CD719" s="1065"/>
      <c r="CE719" s="1065"/>
      <c r="CF719" s="1065"/>
      <c r="CG719" s="1065"/>
      <c r="CH719" s="1065"/>
      <c r="CI719" s="1065"/>
      <c r="CJ719" s="1065"/>
      <c r="CK719" s="1065"/>
      <c r="CL719" s="1065"/>
      <c r="CM719" s="1065"/>
      <c r="CN719" s="1065"/>
      <c r="CO719" s="1065"/>
      <c r="CP719" s="1065"/>
      <c r="CQ719" s="1065"/>
      <c r="CR719" s="1065"/>
      <c r="CS719" s="1065"/>
      <c r="CT719" s="1065"/>
      <c r="CU719" s="1065"/>
      <c r="CV719" s="1065"/>
      <c r="CW719" s="1065"/>
      <c r="CX719" s="1065"/>
      <c r="CY719" s="1065"/>
      <c r="CZ719" s="1065"/>
      <c r="DA719" s="1065"/>
      <c r="DB719" s="1065"/>
    </row>
    <row r="720" spans="1:106" ht="15" customHeight="1" thickBot="1">
      <c r="A720" s="1065"/>
      <c r="B720" s="1065"/>
      <c r="C720" s="1365" t="s">
        <v>660</v>
      </c>
      <c r="D720" s="1626" t="s">
        <v>1151</v>
      </c>
      <c r="E720" s="1626"/>
      <c r="F720" s="1626"/>
      <c r="G720" s="1626"/>
      <c r="H720" s="1366">
        <v>6</v>
      </c>
      <c r="I720" s="1367">
        <v>191.4</v>
      </c>
      <c r="J720" s="1368">
        <f t="shared" si="3"/>
        <v>1148.4000000000001</v>
      </c>
      <c r="K720" s="1224"/>
      <c r="L720" s="1376"/>
      <c r="M720" s="1634"/>
      <c r="N720" s="1635"/>
      <c r="O720" s="1635"/>
      <c r="P720" s="1636"/>
      <c r="Q720" s="1381"/>
      <c r="R720" s="1378"/>
      <c r="S720" s="1379"/>
      <c r="T720" s="1229"/>
      <c r="U720" s="1382" t="s">
        <v>678</v>
      </c>
      <c r="V720" s="1637"/>
      <c r="W720" s="1637"/>
      <c r="X720" s="1637"/>
      <c r="Y720" s="1383">
        <v>12</v>
      </c>
      <c r="Z720" s="11" t="s">
        <v>1136</v>
      </c>
      <c r="AA720" s="1384" t="e">
        <f>Y720*Y723</f>
        <v>#REF!</v>
      </c>
      <c r="AB720" s="1065"/>
      <c r="AC720" s="1065"/>
      <c r="AD720" s="1065"/>
      <c r="AE720" s="1065"/>
      <c r="AF720" s="1065"/>
      <c r="AG720" s="1065"/>
      <c r="AH720" s="1065"/>
      <c r="AI720" s="1065"/>
      <c r="AJ720" s="1065"/>
      <c r="AK720" s="1065"/>
      <c r="AL720" s="1065"/>
      <c r="AM720" s="1065"/>
      <c r="AN720" s="1065"/>
      <c r="AO720" s="1065"/>
      <c r="AP720" s="1065"/>
      <c r="AQ720" s="1065"/>
      <c r="AR720" s="1065"/>
      <c r="AS720" s="1065"/>
      <c r="AT720" s="1065"/>
      <c r="AU720" s="1065"/>
      <c r="AV720" s="1065"/>
      <c r="AW720" s="1065"/>
      <c r="AX720" s="1065"/>
      <c r="AY720" s="1065"/>
      <c r="AZ720" s="1065"/>
      <c r="BA720" s="1065"/>
      <c r="BB720" s="1065"/>
      <c r="BC720" s="1065"/>
      <c r="BD720" s="1065"/>
      <c r="BE720" s="1065"/>
      <c r="BF720" s="1065"/>
      <c r="BG720" s="1065"/>
      <c r="BH720" s="1065"/>
      <c r="BI720" s="1065"/>
      <c r="BJ720" s="1065"/>
      <c r="BK720" s="1065"/>
      <c r="BL720" s="1065"/>
      <c r="BM720" s="1065"/>
      <c r="BN720" s="1065"/>
      <c r="BO720" s="1065"/>
      <c r="BP720" s="1065"/>
      <c r="BQ720" s="1065"/>
      <c r="BR720" s="1065"/>
      <c r="BS720" s="1065"/>
      <c r="BT720" s="1065"/>
      <c r="BU720" s="1065"/>
      <c r="BV720" s="1065"/>
      <c r="BW720" s="1065"/>
      <c r="BX720" s="1065"/>
      <c r="BY720" s="1065"/>
      <c r="BZ720" s="1065"/>
      <c r="CA720" s="1065"/>
      <c r="CB720" s="1065"/>
      <c r="CC720" s="1065"/>
      <c r="CD720" s="1065"/>
      <c r="CE720" s="1065"/>
      <c r="CF720" s="1065"/>
      <c r="CG720" s="1065"/>
      <c r="CH720" s="1065"/>
      <c r="CI720" s="1065"/>
      <c r="CJ720" s="1065"/>
      <c r="CK720" s="1065"/>
      <c r="CL720" s="1065"/>
      <c r="CM720" s="1065"/>
      <c r="CN720" s="1065"/>
      <c r="CO720" s="1065"/>
      <c r="CP720" s="1065"/>
      <c r="CQ720" s="1065"/>
      <c r="CR720" s="1065"/>
      <c r="CS720" s="1065"/>
      <c r="CT720" s="1065"/>
      <c r="CU720" s="1065"/>
      <c r="CV720" s="1065"/>
      <c r="CW720" s="1065"/>
      <c r="CX720" s="1065"/>
      <c r="CY720" s="1065"/>
      <c r="CZ720" s="1065"/>
      <c r="DA720" s="1065"/>
      <c r="DB720" s="1065"/>
    </row>
    <row r="721" spans="1:106" ht="15" customHeight="1" thickBot="1">
      <c r="A721" s="1065"/>
      <c r="B721" s="1065"/>
      <c r="C721" s="1365" t="s">
        <v>300</v>
      </c>
      <c r="D721" s="1626" t="s">
        <v>1152</v>
      </c>
      <c r="E721" s="1626"/>
      <c r="F721" s="1626"/>
      <c r="G721" s="1626"/>
      <c r="H721" s="1366">
        <v>4</v>
      </c>
      <c r="I721" s="1367">
        <v>191.4</v>
      </c>
      <c r="J721" s="1368">
        <f t="shared" si="3"/>
        <v>765.6</v>
      </c>
      <c r="K721" s="1224"/>
      <c r="L721" s="1385"/>
      <c r="M721" s="1638" t="s">
        <v>1153</v>
      </c>
      <c r="N721" s="1639"/>
      <c r="O721" s="1639"/>
      <c r="P721" s="1639"/>
      <c r="Q721" s="1386">
        <f>SUM(Q712:Q720)</f>
        <v>80</v>
      </c>
      <c r="R721" s="1387"/>
      <c r="S721" s="1388"/>
      <c r="T721" s="1229"/>
      <c r="U721" s="1341"/>
      <c r="V721" s="1640"/>
      <c r="W721" s="1640"/>
      <c r="X721" s="1640"/>
      <c r="Y721" s="1389">
        <f>SUM(Y712:Y720)</f>
        <v>62</v>
      </c>
      <c r="Z721" s="1390"/>
      <c r="AA721" s="1391"/>
      <c r="AB721" s="1065"/>
      <c r="AC721" s="1065"/>
      <c r="AD721" s="1065"/>
      <c r="AE721" s="1065"/>
      <c r="AF721" s="1065"/>
      <c r="AG721" s="1065"/>
      <c r="AH721" s="1065"/>
      <c r="AI721" s="1065"/>
      <c r="AJ721" s="1065"/>
      <c r="AK721" s="1065"/>
      <c r="AL721" s="1065"/>
      <c r="AM721" s="1065"/>
      <c r="AN721" s="1065"/>
      <c r="AO721" s="1065"/>
      <c r="AP721" s="1065"/>
      <c r="AQ721" s="1065"/>
      <c r="AR721" s="1065"/>
      <c r="AS721" s="1065"/>
      <c r="AT721" s="1065"/>
      <c r="AU721" s="1065"/>
      <c r="AV721" s="1065"/>
      <c r="AW721" s="1065"/>
      <c r="AX721" s="1065"/>
      <c r="AY721" s="1065"/>
      <c r="AZ721" s="1065"/>
      <c r="BA721" s="1065"/>
      <c r="BB721" s="1065"/>
      <c r="BC721" s="1065"/>
      <c r="BD721" s="1065"/>
      <c r="BE721" s="1065"/>
      <c r="BF721" s="1065"/>
      <c r="BG721" s="1065"/>
      <c r="BH721" s="1065"/>
      <c r="BI721" s="1065"/>
      <c r="BJ721" s="1065"/>
      <c r="BK721" s="1065"/>
      <c r="BL721" s="1065"/>
      <c r="BM721" s="1065"/>
      <c r="BN721" s="1065"/>
      <c r="BO721" s="1065"/>
      <c r="BP721" s="1065"/>
      <c r="BQ721" s="1065"/>
      <c r="BR721" s="1065"/>
      <c r="BS721" s="1065"/>
      <c r="BT721" s="1065"/>
      <c r="BU721" s="1065"/>
      <c r="BV721" s="1065"/>
      <c r="BW721" s="1065"/>
      <c r="BX721" s="1065"/>
      <c r="BY721" s="1065"/>
      <c r="BZ721" s="1065"/>
      <c r="CA721" s="1065"/>
      <c r="CB721" s="1065"/>
      <c r="CC721" s="1065"/>
      <c r="CD721" s="1065"/>
      <c r="CE721" s="1065"/>
      <c r="CF721" s="1065"/>
      <c r="CG721" s="1065"/>
      <c r="CH721" s="1065"/>
      <c r="CI721" s="1065"/>
      <c r="CJ721" s="1065"/>
      <c r="CK721" s="1065"/>
      <c r="CL721" s="1065"/>
      <c r="CM721" s="1065"/>
      <c r="CN721" s="1065"/>
      <c r="CO721" s="1065"/>
      <c r="CP721" s="1065"/>
      <c r="CQ721" s="1065"/>
      <c r="CR721" s="1065"/>
      <c r="CS721" s="1065"/>
      <c r="CT721" s="1065"/>
      <c r="CU721" s="1065"/>
      <c r="CV721" s="1065"/>
      <c r="CW721" s="1065"/>
      <c r="CX721" s="1065"/>
      <c r="CY721" s="1065"/>
      <c r="CZ721" s="1065"/>
      <c r="DA721" s="1065"/>
      <c r="DB721" s="1065"/>
    </row>
    <row r="722" spans="1:106" ht="15" customHeight="1">
      <c r="A722" s="1065"/>
      <c r="B722" s="1065"/>
      <c r="C722" s="1365" t="s">
        <v>496</v>
      </c>
      <c r="D722" s="1626" t="s">
        <v>1154</v>
      </c>
      <c r="E722" s="1626"/>
      <c r="F722" s="1626"/>
      <c r="G722" s="1626"/>
      <c r="H722" s="1366">
        <v>7</v>
      </c>
      <c r="I722" s="1367">
        <v>191.4</v>
      </c>
      <c r="J722" s="1368">
        <f t="shared" si="3"/>
        <v>1339.8</v>
      </c>
      <c r="K722" s="1224"/>
      <c r="L722" s="1369"/>
      <c r="M722" s="1630" t="s">
        <v>1155</v>
      </c>
      <c r="N722" s="1630"/>
      <c r="O722" s="1630"/>
      <c r="P722" s="1630"/>
      <c r="Q722" s="1392"/>
      <c r="R722" s="1371"/>
      <c r="S722" s="1388"/>
      <c r="T722" s="1229"/>
      <c r="U722" s="1302"/>
      <c r="V722" s="1631"/>
      <c r="W722" s="1631"/>
      <c r="X722" s="1631"/>
      <c r="Y722" s="1359"/>
      <c r="Z722" s="1374"/>
      <c r="AA722" s="1391"/>
      <c r="AB722" s="1065"/>
      <c r="AC722" s="1065"/>
      <c r="AD722" s="1065"/>
      <c r="AE722" s="1065"/>
      <c r="AF722" s="1065"/>
      <c r="AG722" s="1065"/>
      <c r="AH722" s="1065"/>
      <c r="AI722" s="1065"/>
      <c r="AJ722" s="1065"/>
      <c r="AK722" s="1065"/>
      <c r="AL722" s="1065"/>
      <c r="AM722" s="1065"/>
      <c r="AN722" s="1065"/>
      <c r="AO722" s="1065"/>
      <c r="AP722" s="1065"/>
      <c r="AQ722" s="1065"/>
      <c r="AR722" s="1065"/>
      <c r="AS722" s="1065"/>
      <c r="AT722" s="1065"/>
      <c r="AU722" s="1065"/>
      <c r="AV722" s="1065"/>
      <c r="AW722" s="1065"/>
      <c r="AX722" s="1065"/>
      <c r="AY722" s="1065"/>
      <c r="AZ722" s="1065"/>
      <c r="BA722" s="1065"/>
      <c r="BB722" s="1065"/>
      <c r="BC722" s="1065"/>
      <c r="BD722" s="1065"/>
      <c r="BE722" s="1065"/>
      <c r="BF722" s="1065"/>
      <c r="BG722" s="1065"/>
      <c r="BH722" s="1065"/>
      <c r="BI722" s="1065"/>
      <c r="BJ722" s="1065"/>
      <c r="BK722" s="1065"/>
      <c r="BL722" s="1065"/>
      <c r="BM722" s="1065"/>
      <c r="BN722" s="1065"/>
      <c r="BO722" s="1065"/>
      <c r="BP722" s="1065"/>
      <c r="BQ722" s="1065"/>
      <c r="BR722" s="1065"/>
      <c r="BS722" s="1065"/>
      <c r="BT722" s="1065"/>
      <c r="BU722" s="1065"/>
      <c r="BV722" s="1065"/>
      <c r="BW722" s="1065"/>
      <c r="BX722" s="1065"/>
      <c r="BY722" s="1065"/>
      <c r="BZ722" s="1065"/>
      <c r="CA722" s="1065"/>
      <c r="CB722" s="1065"/>
      <c r="CC722" s="1065"/>
      <c r="CD722" s="1065"/>
      <c r="CE722" s="1065"/>
      <c r="CF722" s="1065"/>
      <c r="CG722" s="1065"/>
      <c r="CH722" s="1065"/>
      <c r="CI722" s="1065"/>
      <c r="CJ722" s="1065"/>
      <c r="CK722" s="1065"/>
      <c r="CL722" s="1065"/>
      <c r="CM722" s="1065"/>
      <c r="CN722" s="1065"/>
      <c r="CO722" s="1065"/>
      <c r="CP722" s="1065"/>
      <c r="CQ722" s="1065"/>
      <c r="CR722" s="1065"/>
      <c r="CS722" s="1065"/>
      <c r="CT722" s="1065"/>
      <c r="CU722" s="1065"/>
      <c r="CV722" s="1065"/>
      <c r="CW722" s="1065"/>
      <c r="CX722" s="1065"/>
      <c r="CY722" s="1065"/>
      <c r="CZ722" s="1065"/>
      <c r="DA722" s="1065"/>
      <c r="DB722" s="1065"/>
    </row>
    <row r="723" spans="1:106" ht="15" customHeight="1">
      <c r="A723" s="1065"/>
      <c r="B723" s="1065"/>
      <c r="C723" s="1365" t="s">
        <v>108</v>
      </c>
      <c r="D723" s="1626" t="s">
        <v>1156</v>
      </c>
      <c r="E723" s="1626"/>
      <c r="F723" s="1626"/>
      <c r="G723" s="1626"/>
      <c r="H723" s="1366">
        <v>0</v>
      </c>
      <c r="I723" s="1367">
        <v>191.4</v>
      </c>
      <c r="J723" s="1368">
        <f t="shared" si="3"/>
        <v>0</v>
      </c>
      <c r="K723" s="1224"/>
      <c r="L723" s="1369"/>
      <c r="M723" s="1632" t="s">
        <v>1157</v>
      </c>
      <c r="N723" s="1632"/>
      <c r="O723" s="1632"/>
      <c r="P723" s="1632"/>
      <c r="Q723" s="1393">
        <f>Q710</f>
        <v>220</v>
      </c>
      <c r="R723" s="1371" t="s">
        <v>1072</v>
      </c>
      <c r="S723" s="1388"/>
      <c r="T723" s="1229"/>
      <c r="U723" s="1302"/>
      <c r="V723" s="1633"/>
      <c r="W723" s="1633"/>
      <c r="X723" s="1633"/>
      <c r="Y723" s="1394" t="e">
        <f>Y710</f>
        <v>#REF!</v>
      </c>
      <c r="Z723" s="1374" t="s">
        <v>1072</v>
      </c>
      <c r="AA723" s="1391"/>
      <c r="AB723" s="1065"/>
      <c r="AC723" s="1065"/>
      <c r="AD723" s="1065"/>
      <c r="AE723" s="1065"/>
      <c r="AF723" s="1065"/>
      <c r="AG723" s="1065"/>
      <c r="AH723" s="1065"/>
      <c r="AI723" s="1065"/>
      <c r="AJ723" s="1065"/>
      <c r="AK723" s="1065"/>
      <c r="AL723" s="1065"/>
      <c r="AM723" s="1065"/>
      <c r="AN723" s="1065"/>
      <c r="AO723" s="1065"/>
      <c r="AP723" s="1065"/>
      <c r="AQ723" s="1065"/>
      <c r="AR723" s="1065"/>
      <c r="AS723" s="1065"/>
      <c r="AT723" s="1065"/>
      <c r="AU723" s="1065"/>
      <c r="AV723" s="1065"/>
      <c r="AW723" s="1065"/>
      <c r="AX723" s="1065"/>
      <c r="AY723" s="1065"/>
      <c r="AZ723" s="1065"/>
      <c r="BA723" s="1065"/>
      <c r="BB723" s="1065"/>
      <c r="BC723" s="1065"/>
      <c r="BD723" s="1065"/>
      <c r="BE723" s="1065"/>
      <c r="BF723" s="1065"/>
      <c r="BG723" s="1065"/>
      <c r="BH723" s="1065"/>
      <c r="BI723" s="1065"/>
      <c r="BJ723" s="1065"/>
      <c r="BK723" s="1065"/>
      <c r="BL723" s="1065"/>
      <c r="BM723" s="1065"/>
      <c r="BN723" s="1065"/>
      <c r="BO723" s="1065"/>
      <c r="BP723" s="1065"/>
      <c r="BQ723" s="1065"/>
      <c r="BR723" s="1065"/>
      <c r="BS723" s="1065"/>
      <c r="BT723" s="1065"/>
      <c r="BU723" s="1065"/>
      <c r="BV723" s="1065"/>
      <c r="BW723" s="1065"/>
      <c r="BX723" s="1065"/>
      <c r="BY723" s="1065"/>
      <c r="BZ723" s="1065"/>
      <c r="CA723" s="1065"/>
      <c r="CB723" s="1065"/>
      <c r="CC723" s="1065"/>
      <c r="CD723" s="1065"/>
      <c r="CE723" s="1065"/>
      <c r="CF723" s="1065"/>
      <c r="CG723" s="1065"/>
      <c r="CH723" s="1065"/>
      <c r="CI723" s="1065"/>
      <c r="CJ723" s="1065"/>
      <c r="CK723" s="1065"/>
      <c r="CL723" s="1065"/>
      <c r="CM723" s="1065"/>
      <c r="CN723" s="1065"/>
      <c r="CO723" s="1065"/>
      <c r="CP723" s="1065"/>
      <c r="CQ723" s="1065"/>
      <c r="CR723" s="1065"/>
      <c r="CS723" s="1065"/>
      <c r="CT723" s="1065"/>
      <c r="CU723" s="1065"/>
      <c r="CV723" s="1065"/>
      <c r="CW723" s="1065"/>
      <c r="CX723" s="1065"/>
      <c r="CY723" s="1065"/>
      <c r="CZ723" s="1065"/>
      <c r="DA723" s="1065"/>
      <c r="DB723" s="1065"/>
    </row>
    <row r="724" spans="1:106" ht="15" customHeight="1" thickBot="1">
      <c r="A724" s="1065"/>
      <c r="B724" s="1065"/>
      <c r="C724" s="1365" t="s">
        <v>670</v>
      </c>
      <c r="D724" s="1626" t="s">
        <v>1158</v>
      </c>
      <c r="E724" s="1626"/>
      <c r="F724" s="1626"/>
      <c r="G724" s="1626"/>
      <c r="H724" s="1366">
        <v>24</v>
      </c>
      <c r="I724" s="1367">
        <v>191.4</v>
      </c>
      <c r="J724" s="1368">
        <f t="shared" si="3"/>
        <v>4593.6000000000004</v>
      </c>
      <c r="K724" s="1224"/>
      <c r="L724" s="1395"/>
      <c r="M724" s="1627" t="s">
        <v>1159</v>
      </c>
      <c r="N724" s="1627"/>
      <c r="O724" s="1627"/>
      <c r="P724" s="1627"/>
      <c r="Q724" s="1396"/>
      <c r="R724" s="1397"/>
      <c r="S724" s="1398">
        <f>SUM(S712:S723)</f>
        <v>17600</v>
      </c>
      <c r="T724" s="1229"/>
      <c r="U724" s="1304"/>
      <c r="V724" s="1628"/>
      <c r="W724" s="1628"/>
      <c r="X724" s="1628"/>
      <c r="Y724" s="1399"/>
      <c r="Z724" s="8"/>
      <c r="AA724" s="1400" t="e">
        <f>SUM(AA712:AA722)</f>
        <v>#REF!</v>
      </c>
      <c r="AB724" s="1065"/>
      <c r="AC724" s="1065"/>
      <c r="AD724" s="1065"/>
      <c r="AE724" s="1065"/>
      <c r="AF724" s="1065"/>
      <c r="AG724" s="1065"/>
      <c r="AH724" s="1065"/>
      <c r="AI724" s="1065"/>
      <c r="AJ724" s="1065"/>
      <c r="AK724" s="1065"/>
      <c r="AL724" s="1065"/>
      <c r="AM724" s="1065"/>
      <c r="AN724" s="1065"/>
      <c r="AO724" s="1065"/>
      <c r="AP724" s="1065"/>
      <c r="AQ724" s="1065"/>
      <c r="AR724" s="1065"/>
      <c r="AS724" s="1065"/>
      <c r="AT724" s="1065"/>
      <c r="AU724" s="1065"/>
      <c r="AV724" s="1065"/>
      <c r="AW724" s="1065"/>
      <c r="AX724" s="1065"/>
      <c r="AY724" s="1065"/>
      <c r="AZ724" s="1065"/>
      <c r="BA724" s="1065"/>
      <c r="BB724" s="1065"/>
      <c r="BC724" s="1065"/>
      <c r="BD724" s="1065"/>
      <c r="BE724" s="1065"/>
      <c r="BF724" s="1065"/>
      <c r="BG724" s="1065"/>
      <c r="BH724" s="1065"/>
      <c r="BI724" s="1065"/>
      <c r="BJ724" s="1065"/>
      <c r="BK724" s="1065"/>
      <c r="BL724" s="1065"/>
      <c r="BM724" s="1065"/>
      <c r="BN724" s="1065"/>
      <c r="BO724" s="1065"/>
      <c r="BP724" s="1065"/>
      <c r="BQ724" s="1065"/>
      <c r="BR724" s="1065"/>
      <c r="BS724" s="1065"/>
      <c r="BT724" s="1065"/>
      <c r="BU724" s="1065"/>
      <c r="BV724" s="1065"/>
      <c r="BW724" s="1065"/>
      <c r="BX724" s="1065"/>
      <c r="BY724" s="1065"/>
      <c r="BZ724" s="1065"/>
      <c r="CA724" s="1065"/>
      <c r="CB724" s="1065"/>
      <c r="CC724" s="1065"/>
      <c r="CD724" s="1065"/>
      <c r="CE724" s="1065"/>
      <c r="CF724" s="1065"/>
      <c r="CG724" s="1065"/>
      <c r="CH724" s="1065"/>
      <c r="CI724" s="1065"/>
      <c r="CJ724" s="1065"/>
      <c r="CK724" s="1065"/>
      <c r="CL724" s="1065"/>
      <c r="CM724" s="1065"/>
      <c r="CN724" s="1065"/>
      <c r="CO724" s="1065"/>
      <c r="CP724" s="1065"/>
      <c r="CQ724" s="1065"/>
      <c r="CR724" s="1065"/>
      <c r="CS724" s="1065"/>
      <c r="CT724" s="1065"/>
      <c r="CU724" s="1065"/>
      <c r="CV724" s="1065"/>
      <c r="CW724" s="1065"/>
      <c r="CX724" s="1065"/>
      <c r="CY724" s="1065"/>
      <c r="CZ724" s="1065"/>
      <c r="DA724" s="1065"/>
      <c r="DB724" s="1065"/>
    </row>
    <row r="725" spans="1:106" ht="15" customHeight="1">
      <c r="A725" s="1065"/>
      <c r="B725" s="1065"/>
      <c r="C725" s="1365" t="s">
        <v>529</v>
      </c>
      <c r="D725" s="1626" t="s">
        <v>1160</v>
      </c>
      <c r="E725" s="1626"/>
      <c r="F725" s="1626"/>
      <c r="G725" s="1626"/>
      <c r="H725" s="1366">
        <v>16</v>
      </c>
      <c r="I725" s="1367">
        <v>191.4</v>
      </c>
      <c r="J725" s="1368">
        <f t="shared" si="3"/>
        <v>3062.4</v>
      </c>
      <c r="K725" s="1224"/>
      <c r="L725" s="1224"/>
      <c r="M725" s="1225"/>
      <c r="N725" s="1225"/>
      <c r="O725" s="1226"/>
      <c r="P725" s="1227"/>
      <c r="Q725" s="1227"/>
      <c r="R725" s="1228"/>
      <c r="S725" s="1224"/>
      <c r="T725" s="1229"/>
      <c r="U725" s="1065"/>
      <c r="V725" s="1065"/>
      <c r="W725" s="1065"/>
      <c r="X725" s="1065"/>
      <c r="Y725" s="1065"/>
      <c r="Z725" s="1065"/>
      <c r="AA725" s="1065"/>
      <c r="AB725" s="1065"/>
      <c r="AC725" s="1065"/>
      <c r="AD725" s="1065"/>
      <c r="AE725" s="1065"/>
      <c r="AF725" s="1065"/>
      <c r="AG725" s="1065"/>
      <c r="AH725" s="1065"/>
      <c r="AI725" s="1065"/>
      <c r="AJ725" s="1065"/>
      <c r="AK725" s="1065"/>
      <c r="AL725" s="1065"/>
      <c r="AM725" s="1065"/>
      <c r="AN725" s="1065"/>
      <c r="AO725" s="1065"/>
      <c r="AP725" s="1065"/>
      <c r="AQ725" s="1065"/>
      <c r="AR725" s="1065"/>
      <c r="AS725" s="1065"/>
      <c r="AT725" s="1065"/>
      <c r="AU725" s="1065"/>
      <c r="AV725" s="1065"/>
      <c r="AW725" s="1065"/>
      <c r="AX725" s="1065"/>
      <c r="AY725" s="1065"/>
      <c r="AZ725" s="1065"/>
      <c r="BA725" s="1065"/>
      <c r="BB725" s="1065"/>
      <c r="BC725" s="1065"/>
      <c r="BD725" s="1065"/>
      <c r="BE725" s="1065"/>
      <c r="BF725" s="1065"/>
      <c r="BG725" s="1065"/>
      <c r="BH725" s="1065"/>
      <c r="BI725" s="1065"/>
      <c r="BJ725" s="1065"/>
      <c r="BK725" s="1065"/>
      <c r="BL725" s="1065"/>
      <c r="BM725" s="1065"/>
      <c r="BN725" s="1065"/>
      <c r="BO725" s="1065"/>
      <c r="BP725" s="1065"/>
      <c r="BQ725" s="1065"/>
      <c r="BR725" s="1065"/>
      <c r="BS725" s="1065"/>
      <c r="BT725" s="1065"/>
      <c r="BU725" s="1065"/>
      <c r="BV725" s="1065"/>
      <c r="BW725" s="1065"/>
      <c r="BX725" s="1065"/>
      <c r="BY725" s="1065"/>
      <c r="BZ725" s="1065"/>
      <c r="CA725" s="1065"/>
      <c r="CB725" s="1065"/>
      <c r="CC725" s="1065"/>
      <c r="CD725" s="1065"/>
      <c r="CE725" s="1065"/>
      <c r="CF725" s="1065"/>
      <c r="CG725" s="1065"/>
      <c r="CH725" s="1065"/>
      <c r="CI725" s="1065"/>
      <c r="CJ725" s="1065"/>
      <c r="CK725" s="1065"/>
      <c r="CL725" s="1065"/>
      <c r="CM725" s="1065"/>
      <c r="CN725" s="1065"/>
      <c r="CO725" s="1065"/>
      <c r="CP725" s="1065"/>
      <c r="CQ725" s="1065"/>
      <c r="CR725" s="1065"/>
      <c r="CS725" s="1065"/>
      <c r="CT725" s="1065"/>
      <c r="CU725" s="1065"/>
      <c r="CV725" s="1065"/>
      <c r="CW725" s="1065"/>
      <c r="CX725" s="1065"/>
      <c r="CY725" s="1065"/>
      <c r="CZ725" s="1065"/>
      <c r="DA725" s="1065"/>
      <c r="DB725" s="1065"/>
    </row>
    <row r="726" spans="1:106" ht="15" customHeight="1" thickBot="1">
      <c r="A726" s="1065"/>
      <c r="B726" s="1065"/>
      <c r="C726" s="1629" t="s">
        <v>1161</v>
      </c>
      <c r="D726" s="1629"/>
      <c r="E726" s="1629"/>
      <c r="F726" s="1629"/>
      <c r="G726" s="1629"/>
      <c r="H726" s="1401">
        <f>SUM(H712:H725)</f>
        <v>121</v>
      </c>
      <c r="I726" s="1254"/>
      <c r="J726" s="1402">
        <f>SUM(J712:J725)</f>
        <v>23159.4</v>
      </c>
      <c r="K726" s="1224"/>
      <c r="L726" s="1224"/>
      <c r="M726" s="1225"/>
      <c r="N726" s="1225"/>
      <c r="O726" s="1226"/>
      <c r="P726" s="1227"/>
      <c r="Q726" s="1227"/>
      <c r="R726" s="1228"/>
      <c r="S726" s="1224"/>
      <c r="T726" s="1229"/>
      <c r="U726" s="1065"/>
      <c r="V726" s="1065"/>
      <c r="W726" s="1065"/>
      <c r="X726" s="1065"/>
      <c r="Y726" s="1065"/>
      <c r="Z726" s="1065"/>
      <c r="AA726" s="1065"/>
      <c r="AB726" s="1065"/>
      <c r="AC726" s="1065"/>
      <c r="AD726" s="1065"/>
      <c r="AE726" s="1065"/>
      <c r="AF726" s="1065"/>
      <c r="AG726" s="1065"/>
      <c r="AH726" s="1065"/>
      <c r="AI726" s="1065"/>
      <c r="AJ726" s="1065"/>
      <c r="AK726" s="1065"/>
      <c r="AL726" s="1065"/>
      <c r="AM726" s="1065"/>
      <c r="AN726" s="1065"/>
      <c r="AO726" s="1065"/>
      <c r="AP726" s="1065"/>
      <c r="AQ726" s="1065"/>
      <c r="AR726" s="1065"/>
      <c r="AS726" s="1065"/>
      <c r="AT726" s="1065"/>
      <c r="AU726" s="1065"/>
      <c r="AV726" s="1065"/>
      <c r="AW726" s="1065"/>
      <c r="AX726" s="1065"/>
      <c r="AY726" s="1065"/>
      <c r="AZ726" s="1065"/>
      <c r="BA726" s="1065"/>
      <c r="BB726" s="1065"/>
      <c r="BC726" s="1065"/>
      <c r="BD726" s="1065"/>
      <c r="BE726" s="1065"/>
      <c r="BF726" s="1065"/>
      <c r="BG726" s="1065"/>
      <c r="BH726" s="1065"/>
      <c r="BI726" s="1065"/>
      <c r="BJ726" s="1065"/>
      <c r="BK726" s="1065"/>
      <c r="BL726" s="1065"/>
      <c r="BM726" s="1065"/>
      <c r="BN726" s="1065"/>
      <c r="BO726" s="1065"/>
      <c r="BP726" s="1065"/>
      <c r="BQ726" s="1065"/>
      <c r="BR726" s="1065"/>
      <c r="BS726" s="1065"/>
      <c r="BT726" s="1065"/>
      <c r="BU726" s="1065"/>
      <c r="BV726" s="1065"/>
      <c r="BW726" s="1065"/>
      <c r="BX726" s="1065"/>
      <c r="BY726" s="1065"/>
      <c r="BZ726" s="1065"/>
      <c r="CA726" s="1065"/>
      <c r="CB726" s="1065"/>
      <c r="CC726" s="1065"/>
      <c r="CD726" s="1065"/>
      <c r="CE726" s="1065"/>
      <c r="CF726" s="1065"/>
      <c r="CG726" s="1065"/>
      <c r="CH726" s="1065"/>
      <c r="CI726" s="1065"/>
      <c r="CJ726" s="1065"/>
      <c r="CK726" s="1065"/>
      <c r="CL726" s="1065"/>
      <c r="CM726" s="1065"/>
      <c r="CN726" s="1065"/>
      <c r="CO726" s="1065"/>
      <c r="CP726" s="1065"/>
      <c r="CQ726" s="1065"/>
      <c r="CR726" s="1065"/>
      <c r="CS726" s="1065"/>
      <c r="CT726" s="1065"/>
      <c r="CU726" s="1065"/>
      <c r="CV726" s="1065"/>
      <c r="CW726" s="1065"/>
      <c r="CX726" s="1065"/>
      <c r="CY726" s="1065"/>
      <c r="CZ726" s="1065"/>
      <c r="DA726" s="1065"/>
      <c r="DB726" s="1065"/>
    </row>
    <row r="727" spans="1:106" ht="15" customHeight="1">
      <c r="A727" s="1065"/>
      <c r="B727" s="1065"/>
      <c r="C727" s="1065"/>
      <c r="D727" s="1065"/>
      <c r="E727" s="1065"/>
      <c r="F727" s="1065"/>
      <c r="G727" s="1065"/>
      <c r="H727" s="1223"/>
      <c r="I727" s="1223"/>
      <c r="J727" s="1224"/>
      <c r="K727" s="1224"/>
      <c r="L727" s="1224"/>
      <c r="M727" s="1225"/>
      <c r="N727" s="1225"/>
      <c r="O727" s="1226"/>
      <c r="P727" s="1227"/>
      <c r="Q727" s="1227"/>
      <c r="R727" s="1228"/>
      <c r="S727" s="1224"/>
      <c r="T727" s="1229"/>
      <c r="U727" s="1065"/>
      <c r="V727" s="1065"/>
      <c r="W727" s="1065"/>
      <c r="X727" s="1065"/>
      <c r="Y727" s="1065"/>
      <c r="Z727" s="1065"/>
      <c r="AA727" s="1065"/>
      <c r="AB727" s="1065"/>
      <c r="AC727" s="1065"/>
      <c r="AD727" s="1065"/>
      <c r="AE727" s="1065"/>
      <c r="AF727" s="1065"/>
      <c r="AG727" s="1065"/>
      <c r="AH727" s="1065"/>
      <c r="AI727" s="1065"/>
      <c r="AJ727" s="1065"/>
      <c r="AK727" s="1065"/>
      <c r="AL727" s="1065"/>
      <c r="AM727" s="1065"/>
      <c r="AN727" s="1065"/>
      <c r="AO727" s="1065"/>
      <c r="AP727" s="1065"/>
      <c r="AQ727" s="1065"/>
      <c r="AR727" s="1065"/>
      <c r="AS727" s="1065"/>
      <c r="AT727" s="1065"/>
      <c r="AU727" s="1065"/>
      <c r="AV727" s="1065"/>
      <c r="AW727" s="1065"/>
      <c r="AX727" s="1065"/>
      <c r="AY727" s="1065"/>
      <c r="AZ727" s="1065"/>
      <c r="BA727" s="1065"/>
      <c r="BB727" s="1065"/>
      <c r="BC727" s="1065"/>
      <c r="BD727" s="1065"/>
      <c r="BE727" s="1065"/>
      <c r="BF727" s="1065"/>
      <c r="BG727" s="1065"/>
      <c r="BH727" s="1065"/>
      <c r="BI727" s="1065"/>
      <c r="BJ727" s="1065"/>
      <c r="BK727" s="1065"/>
      <c r="BL727" s="1065"/>
      <c r="BM727" s="1065"/>
      <c r="BN727" s="1065"/>
      <c r="BO727" s="1065"/>
      <c r="BP727" s="1065"/>
      <c r="BQ727" s="1065"/>
      <c r="BR727" s="1065"/>
      <c r="BS727" s="1065"/>
      <c r="BT727" s="1065"/>
      <c r="BU727" s="1065"/>
      <c r="BV727" s="1065"/>
      <c r="BW727" s="1065"/>
      <c r="BX727" s="1065"/>
      <c r="BY727" s="1065"/>
      <c r="BZ727" s="1065"/>
      <c r="CA727" s="1065"/>
      <c r="CB727" s="1065"/>
      <c r="CC727" s="1065"/>
      <c r="CD727" s="1065"/>
      <c r="CE727" s="1065"/>
      <c r="CF727" s="1065"/>
      <c r="CG727" s="1065"/>
      <c r="CH727" s="1065"/>
      <c r="CI727" s="1065"/>
      <c r="CJ727" s="1065"/>
      <c r="CK727" s="1065"/>
      <c r="CL727" s="1065"/>
      <c r="CM727" s="1065"/>
      <c r="CN727" s="1065"/>
      <c r="CO727" s="1065"/>
      <c r="CP727" s="1065"/>
      <c r="CQ727" s="1065"/>
      <c r="CR727" s="1065"/>
      <c r="CS727" s="1065"/>
      <c r="CT727" s="1065"/>
      <c r="CU727" s="1065"/>
      <c r="CV727" s="1065"/>
      <c r="CW727" s="1065"/>
      <c r="CX727" s="1065"/>
      <c r="CY727" s="1065"/>
      <c r="CZ727" s="1065"/>
      <c r="DA727" s="1065"/>
      <c r="DB727" s="1065"/>
    </row>
    <row r="728" spans="1:106" ht="15" customHeight="1">
      <c r="A728" s="1065"/>
      <c r="B728" s="1065"/>
      <c r="C728" s="1065"/>
      <c r="D728" s="1065"/>
      <c r="E728" s="1065"/>
      <c r="F728" s="1065"/>
      <c r="G728" s="1065"/>
      <c r="H728" s="1223"/>
      <c r="I728" s="1223"/>
      <c r="J728" s="1224"/>
      <c r="K728" s="1224"/>
      <c r="L728" s="1224"/>
      <c r="M728" s="1225"/>
      <c r="N728" s="1225"/>
      <c r="O728" s="1226"/>
      <c r="P728" s="1227"/>
      <c r="Q728" s="1227"/>
      <c r="R728" s="1228"/>
      <c r="S728" s="1224"/>
      <c r="T728" s="1229"/>
      <c r="U728" s="1065"/>
      <c r="V728" s="1065"/>
      <c r="W728" s="1065"/>
      <c r="X728" s="1065"/>
      <c r="Y728" s="1065"/>
      <c r="Z728" s="1065"/>
      <c r="AA728" s="1065"/>
      <c r="AB728" s="1065"/>
      <c r="AC728" s="1065"/>
      <c r="AD728" s="1065"/>
      <c r="AE728" s="1065"/>
      <c r="AF728" s="1065"/>
      <c r="AG728" s="1065"/>
      <c r="AH728" s="1065"/>
      <c r="AI728" s="1065"/>
      <c r="AJ728" s="1065"/>
      <c r="AK728" s="1065"/>
      <c r="AL728" s="1065"/>
      <c r="AM728" s="1065"/>
      <c r="AN728" s="1065"/>
      <c r="AO728" s="1065"/>
      <c r="AP728" s="1065"/>
      <c r="AQ728" s="1065"/>
      <c r="AR728" s="1065"/>
      <c r="AS728" s="1065"/>
      <c r="AT728" s="1065"/>
      <c r="AU728" s="1065"/>
      <c r="AV728" s="1065"/>
      <c r="AW728" s="1065"/>
      <c r="AX728" s="1065"/>
      <c r="AY728" s="1065"/>
      <c r="AZ728" s="1065"/>
      <c r="BA728" s="1065"/>
      <c r="BB728" s="1065"/>
      <c r="BC728" s="1065"/>
      <c r="BD728" s="1065"/>
      <c r="BE728" s="1065"/>
      <c r="BF728" s="1065"/>
      <c r="BG728" s="1065"/>
      <c r="BH728" s="1065"/>
      <c r="BI728" s="1065"/>
      <c r="BJ728" s="1065"/>
      <c r="BK728" s="1065"/>
      <c r="BL728" s="1065"/>
      <c r="BM728" s="1065"/>
      <c r="BN728" s="1065"/>
      <c r="BO728" s="1065"/>
      <c r="BP728" s="1065"/>
      <c r="BQ728" s="1065"/>
      <c r="BR728" s="1065"/>
      <c r="BS728" s="1065"/>
      <c r="BT728" s="1065"/>
      <c r="BU728" s="1065"/>
      <c r="BV728" s="1065"/>
      <c r="BW728" s="1065"/>
      <c r="BX728" s="1065"/>
      <c r="BY728" s="1065"/>
      <c r="BZ728" s="1065"/>
      <c r="CA728" s="1065"/>
      <c r="CB728" s="1065"/>
      <c r="CC728" s="1065"/>
      <c r="CD728" s="1065"/>
      <c r="CE728" s="1065"/>
      <c r="CF728" s="1065"/>
      <c r="CG728" s="1065"/>
      <c r="CH728" s="1065"/>
      <c r="CI728" s="1065"/>
      <c r="CJ728" s="1065"/>
      <c r="CK728" s="1065"/>
      <c r="CL728" s="1065"/>
      <c r="CM728" s="1065"/>
      <c r="CN728" s="1065"/>
      <c r="CO728" s="1065"/>
      <c r="CP728" s="1065"/>
      <c r="CQ728" s="1065"/>
      <c r="CR728" s="1065"/>
      <c r="CS728" s="1065"/>
      <c r="CT728" s="1065"/>
      <c r="CU728" s="1065"/>
      <c r="CV728" s="1065"/>
      <c r="CW728" s="1065"/>
      <c r="CX728" s="1065"/>
      <c r="CY728" s="1065"/>
      <c r="CZ728" s="1065"/>
      <c r="DA728" s="1065"/>
      <c r="DB728" s="1065"/>
    </row>
    <row r="729" spans="1:106" ht="15" customHeight="1">
      <c r="A729" s="1065"/>
      <c r="B729" s="1065"/>
      <c r="C729" s="1065"/>
      <c r="D729" s="1065"/>
      <c r="E729" s="1065"/>
      <c r="F729" s="1065"/>
      <c r="G729" s="1065"/>
      <c r="H729" s="1223"/>
      <c r="I729" s="1223"/>
      <c r="J729" s="1224"/>
      <c r="K729" s="1224"/>
      <c r="L729" s="1224"/>
      <c r="M729" s="1225"/>
      <c r="N729" s="1225"/>
      <c r="O729" s="1226"/>
      <c r="P729" s="1227"/>
      <c r="Q729" s="1227"/>
      <c r="R729" s="1228"/>
      <c r="S729" s="1224"/>
      <c r="T729" s="1229"/>
      <c r="U729" s="1065"/>
      <c r="V729" s="1065"/>
      <c r="W729" s="1065"/>
      <c r="X729" s="1065"/>
      <c r="Y729" s="1065"/>
      <c r="Z729" s="1065"/>
      <c r="AA729" s="1065"/>
      <c r="AB729" s="1065"/>
      <c r="AC729" s="1065"/>
      <c r="AD729" s="1065"/>
      <c r="AE729" s="1065"/>
      <c r="AF729" s="1065"/>
      <c r="AG729" s="1065"/>
      <c r="AH729" s="1065"/>
      <c r="AI729" s="1065"/>
      <c r="AJ729" s="1065"/>
      <c r="AK729" s="1065"/>
      <c r="AL729" s="1065"/>
      <c r="AM729" s="1065"/>
      <c r="AN729" s="1065"/>
      <c r="AO729" s="1065"/>
      <c r="AP729" s="1065"/>
      <c r="AQ729" s="1065"/>
      <c r="AR729" s="1065"/>
      <c r="AS729" s="1065"/>
      <c r="AT729" s="1065"/>
      <c r="AU729" s="1065"/>
      <c r="AV729" s="1065"/>
      <c r="AW729" s="1065"/>
      <c r="AX729" s="1065"/>
      <c r="AY729" s="1065"/>
      <c r="AZ729" s="1065"/>
      <c r="BA729" s="1065"/>
      <c r="BB729" s="1065"/>
      <c r="BC729" s="1065"/>
      <c r="BD729" s="1065"/>
      <c r="BE729" s="1065"/>
      <c r="BF729" s="1065"/>
      <c r="BG729" s="1065"/>
      <c r="BH729" s="1065"/>
      <c r="BI729" s="1065"/>
      <c r="BJ729" s="1065"/>
      <c r="BK729" s="1065"/>
      <c r="BL729" s="1065"/>
      <c r="BM729" s="1065"/>
      <c r="BN729" s="1065"/>
      <c r="BO729" s="1065"/>
      <c r="BP729" s="1065"/>
      <c r="BQ729" s="1065"/>
      <c r="BR729" s="1065"/>
      <c r="BS729" s="1065"/>
      <c r="BT729" s="1065"/>
      <c r="BU729" s="1065"/>
      <c r="BV729" s="1065"/>
      <c r="BW729" s="1065"/>
      <c r="BX729" s="1065"/>
      <c r="BY729" s="1065"/>
      <c r="BZ729" s="1065"/>
      <c r="CA729" s="1065"/>
      <c r="CB729" s="1065"/>
      <c r="CC729" s="1065"/>
      <c r="CD729" s="1065"/>
      <c r="CE729" s="1065"/>
      <c r="CF729" s="1065"/>
      <c r="CG729" s="1065"/>
      <c r="CH729" s="1065"/>
      <c r="CI729" s="1065"/>
      <c r="CJ729" s="1065"/>
      <c r="CK729" s="1065"/>
      <c r="CL729" s="1065"/>
      <c r="CM729" s="1065"/>
      <c r="CN729" s="1065"/>
      <c r="CO729" s="1065"/>
      <c r="CP729" s="1065"/>
      <c r="CQ729" s="1065"/>
      <c r="CR729" s="1065"/>
      <c r="CS729" s="1065"/>
      <c r="CT729" s="1065"/>
      <c r="CU729" s="1065"/>
      <c r="CV729" s="1065"/>
      <c r="CW729" s="1065"/>
      <c r="CX729" s="1065"/>
      <c r="CY729" s="1065"/>
      <c r="CZ729" s="1065"/>
      <c r="DA729" s="1065"/>
      <c r="DB729" s="1065"/>
    </row>
    <row r="730" spans="1:106" ht="15" customHeight="1">
      <c r="A730" s="1065"/>
      <c r="B730" s="1065"/>
      <c r="C730" s="1065"/>
      <c r="D730" s="1065"/>
      <c r="E730" s="1065"/>
      <c r="F730" s="1065"/>
      <c r="G730" s="1065"/>
      <c r="H730" s="1223"/>
      <c r="I730" s="1223"/>
      <c r="J730" s="1224"/>
      <c r="K730" s="1224"/>
      <c r="L730" s="1224"/>
      <c r="M730" s="1225"/>
      <c r="N730" s="1225"/>
      <c r="O730" s="1226"/>
      <c r="P730" s="1227"/>
      <c r="Q730" s="1227"/>
      <c r="R730" s="1228"/>
      <c r="S730" s="1224"/>
      <c r="T730" s="1229"/>
      <c r="U730" s="1065"/>
      <c r="V730" s="1065"/>
      <c r="W730" s="1065"/>
      <c r="X730" s="1065"/>
      <c r="Y730" s="1065"/>
      <c r="Z730" s="1065"/>
      <c r="AA730" s="1065"/>
      <c r="AB730" s="1065"/>
      <c r="AC730" s="1065"/>
      <c r="AD730" s="1065"/>
      <c r="AE730" s="1065"/>
      <c r="AF730" s="1065"/>
      <c r="AG730" s="1065"/>
      <c r="AH730" s="1065"/>
      <c r="AI730" s="1065"/>
      <c r="AJ730" s="1065"/>
      <c r="AK730" s="1065"/>
      <c r="AL730" s="1065"/>
      <c r="AM730" s="1065"/>
      <c r="AN730" s="1065"/>
      <c r="AO730" s="1065"/>
      <c r="AP730" s="1065"/>
      <c r="AQ730" s="1065"/>
      <c r="AR730" s="1065"/>
      <c r="AS730" s="1065"/>
      <c r="AT730" s="1065"/>
      <c r="AU730" s="1065"/>
      <c r="AV730" s="1065"/>
      <c r="AW730" s="1065"/>
      <c r="AX730" s="1065"/>
      <c r="AY730" s="1065"/>
      <c r="AZ730" s="1065"/>
      <c r="BA730" s="1065"/>
      <c r="BB730" s="1065"/>
      <c r="BC730" s="1065"/>
      <c r="BD730" s="1065"/>
      <c r="BE730" s="1065"/>
      <c r="BF730" s="1065"/>
      <c r="BG730" s="1065"/>
      <c r="BH730" s="1065"/>
      <c r="BI730" s="1065"/>
      <c r="BJ730" s="1065"/>
      <c r="BK730" s="1065"/>
      <c r="BL730" s="1065"/>
      <c r="BM730" s="1065"/>
      <c r="BN730" s="1065"/>
      <c r="BO730" s="1065"/>
      <c r="BP730" s="1065"/>
      <c r="BQ730" s="1065"/>
      <c r="BR730" s="1065"/>
      <c r="BS730" s="1065"/>
      <c r="BT730" s="1065"/>
      <c r="BU730" s="1065"/>
      <c r="BV730" s="1065"/>
      <c r="BW730" s="1065"/>
      <c r="BX730" s="1065"/>
      <c r="BY730" s="1065"/>
      <c r="BZ730" s="1065"/>
      <c r="CA730" s="1065"/>
      <c r="CB730" s="1065"/>
      <c r="CC730" s="1065"/>
      <c r="CD730" s="1065"/>
      <c r="CE730" s="1065"/>
      <c r="CF730" s="1065"/>
      <c r="CG730" s="1065"/>
      <c r="CH730" s="1065"/>
      <c r="CI730" s="1065"/>
      <c r="CJ730" s="1065"/>
      <c r="CK730" s="1065"/>
      <c r="CL730" s="1065"/>
      <c r="CM730" s="1065"/>
      <c r="CN730" s="1065"/>
      <c r="CO730" s="1065"/>
      <c r="CP730" s="1065"/>
      <c r="CQ730" s="1065"/>
      <c r="CR730" s="1065"/>
      <c r="CS730" s="1065"/>
      <c r="CT730" s="1065"/>
      <c r="CU730" s="1065"/>
      <c r="CV730" s="1065"/>
      <c r="CW730" s="1065"/>
      <c r="CX730" s="1065"/>
      <c r="CY730" s="1065"/>
      <c r="CZ730" s="1065"/>
      <c r="DA730" s="1065"/>
      <c r="DB730" s="1065"/>
    </row>
    <row r="731" spans="1:106" ht="15" customHeight="1">
      <c r="A731" s="1065"/>
      <c r="B731" s="1065"/>
      <c r="C731" s="1065"/>
      <c r="D731" s="1065"/>
      <c r="E731" s="1065"/>
      <c r="F731" s="1065"/>
      <c r="G731" s="1065"/>
      <c r="H731" s="1223"/>
      <c r="I731" s="1223"/>
      <c r="J731" s="1224"/>
      <c r="K731" s="1224"/>
      <c r="L731" s="1224"/>
      <c r="M731" s="1225"/>
      <c r="N731" s="1225"/>
      <c r="O731" s="1226"/>
      <c r="P731" s="1227"/>
      <c r="Q731" s="1227"/>
      <c r="R731" s="1228"/>
      <c r="S731" s="1224"/>
      <c r="T731" s="1229"/>
      <c r="U731" s="1065"/>
      <c r="V731" s="1065"/>
      <c r="W731" s="1065"/>
      <c r="X731" s="1065"/>
      <c r="Y731" s="1065"/>
      <c r="Z731" s="1065"/>
      <c r="AA731" s="1065"/>
      <c r="AB731" s="1065"/>
      <c r="AC731" s="1065"/>
      <c r="AD731" s="1065"/>
      <c r="AE731" s="1065"/>
      <c r="AF731" s="1065"/>
      <c r="AG731" s="1065"/>
      <c r="AH731" s="1065"/>
      <c r="AI731" s="1065"/>
      <c r="AJ731" s="1065"/>
      <c r="AK731" s="1065"/>
      <c r="AL731" s="1065"/>
      <c r="AM731" s="1065"/>
      <c r="AN731" s="1065"/>
      <c r="AO731" s="1065"/>
      <c r="AP731" s="1065"/>
      <c r="AQ731" s="1065"/>
      <c r="AR731" s="1065"/>
      <c r="AS731" s="1065"/>
      <c r="AT731" s="1065"/>
      <c r="AU731" s="1065"/>
      <c r="AV731" s="1065"/>
      <c r="AW731" s="1065"/>
      <c r="AX731" s="1065"/>
      <c r="AY731" s="1065"/>
      <c r="AZ731" s="1065"/>
      <c r="BA731" s="1065"/>
      <c r="BB731" s="1065"/>
      <c r="BC731" s="1065"/>
      <c r="BD731" s="1065"/>
      <c r="BE731" s="1065"/>
      <c r="BF731" s="1065"/>
      <c r="BG731" s="1065"/>
      <c r="BH731" s="1065"/>
      <c r="BI731" s="1065"/>
      <c r="BJ731" s="1065"/>
      <c r="BK731" s="1065"/>
      <c r="BL731" s="1065"/>
      <c r="BM731" s="1065"/>
      <c r="BN731" s="1065"/>
      <c r="BO731" s="1065"/>
      <c r="BP731" s="1065"/>
      <c r="BQ731" s="1065"/>
      <c r="BR731" s="1065"/>
      <c r="BS731" s="1065"/>
      <c r="BT731" s="1065"/>
      <c r="BU731" s="1065"/>
      <c r="BV731" s="1065"/>
      <c r="BW731" s="1065"/>
      <c r="BX731" s="1065"/>
      <c r="BY731" s="1065"/>
      <c r="BZ731" s="1065"/>
      <c r="CA731" s="1065"/>
      <c r="CB731" s="1065"/>
      <c r="CC731" s="1065"/>
      <c r="CD731" s="1065"/>
      <c r="CE731" s="1065"/>
      <c r="CF731" s="1065"/>
      <c r="CG731" s="1065"/>
      <c r="CH731" s="1065"/>
      <c r="CI731" s="1065"/>
      <c r="CJ731" s="1065"/>
      <c r="CK731" s="1065"/>
      <c r="CL731" s="1065"/>
      <c r="CM731" s="1065"/>
      <c r="CN731" s="1065"/>
      <c r="CO731" s="1065"/>
      <c r="CP731" s="1065"/>
      <c r="CQ731" s="1065"/>
      <c r="CR731" s="1065"/>
      <c r="CS731" s="1065"/>
      <c r="CT731" s="1065"/>
      <c r="CU731" s="1065"/>
      <c r="CV731" s="1065"/>
      <c r="CW731" s="1065"/>
      <c r="CX731" s="1065"/>
      <c r="CY731" s="1065"/>
      <c r="CZ731" s="1065"/>
      <c r="DA731" s="1065"/>
      <c r="DB731" s="1065"/>
    </row>
    <row r="732" spans="1:106" ht="15" customHeight="1">
      <c r="A732" s="1065"/>
      <c r="B732" s="1065"/>
      <c r="C732" s="1065"/>
      <c r="D732" s="1065"/>
      <c r="E732" s="1065"/>
      <c r="F732" s="1065"/>
      <c r="G732" s="1065"/>
      <c r="H732" s="1223"/>
      <c r="I732" s="1223"/>
      <c r="J732" s="1224"/>
      <c r="K732" s="1224"/>
      <c r="L732" s="1224"/>
      <c r="M732" s="1225"/>
      <c r="N732" s="1225"/>
      <c r="O732" s="1226"/>
      <c r="P732" s="1227"/>
      <c r="Q732" s="1227"/>
      <c r="R732" s="1228"/>
      <c r="S732" s="1224"/>
      <c r="T732" s="1229"/>
      <c r="U732" s="1065"/>
      <c r="V732" s="1065"/>
      <c r="W732" s="1065"/>
      <c r="X732" s="1065"/>
      <c r="Y732" s="1065"/>
      <c r="Z732" s="1065"/>
      <c r="AA732" s="1065"/>
      <c r="AB732" s="1065"/>
      <c r="AC732" s="1065"/>
      <c r="AD732" s="1065"/>
      <c r="AE732" s="1065"/>
      <c r="AF732" s="1065"/>
      <c r="AG732" s="1065"/>
      <c r="AH732" s="1065"/>
      <c r="AI732" s="1065"/>
      <c r="AJ732" s="1065"/>
      <c r="AK732" s="1065"/>
      <c r="AL732" s="1065"/>
      <c r="AM732" s="1065"/>
      <c r="AN732" s="1065"/>
      <c r="AO732" s="1065"/>
      <c r="AP732" s="1065"/>
      <c r="AQ732" s="1065"/>
      <c r="AR732" s="1065"/>
      <c r="AS732" s="1065"/>
      <c r="AT732" s="1065"/>
      <c r="AU732" s="1065"/>
      <c r="AV732" s="1065"/>
      <c r="AW732" s="1065"/>
      <c r="AX732" s="1065"/>
      <c r="AY732" s="1065"/>
      <c r="AZ732" s="1065"/>
      <c r="BA732" s="1065"/>
      <c r="BB732" s="1065"/>
      <c r="BC732" s="1065"/>
      <c r="BD732" s="1065"/>
      <c r="BE732" s="1065"/>
      <c r="BF732" s="1065"/>
      <c r="BG732" s="1065"/>
      <c r="BH732" s="1065"/>
      <c r="BI732" s="1065"/>
      <c r="BJ732" s="1065"/>
      <c r="BK732" s="1065"/>
      <c r="BL732" s="1065"/>
      <c r="BM732" s="1065"/>
      <c r="BN732" s="1065"/>
      <c r="BO732" s="1065"/>
      <c r="BP732" s="1065"/>
      <c r="BQ732" s="1065"/>
      <c r="BR732" s="1065"/>
      <c r="BS732" s="1065"/>
      <c r="BT732" s="1065"/>
      <c r="BU732" s="1065"/>
      <c r="BV732" s="1065"/>
      <c r="BW732" s="1065"/>
      <c r="BX732" s="1065"/>
      <c r="BY732" s="1065"/>
      <c r="BZ732" s="1065"/>
      <c r="CA732" s="1065"/>
      <c r="CB732" s="1065"/>
      <c r="CC732" s="1065"/>
      <c r="CD732" s="1065"/>
      <c r="CE732" s="1065"/>
      <c r="CF732" s="1065"/>
      <c r="CG732" s="1065"/>
      <c r="CH732" s="1065"/>
      <c r="CI732" s="1065"/>
      <c r="CJ732" s="1065"/>
      <c r="CK732" s="1065"/>
      <c r="CL732" s="1065"/>
      <c r="CM732" s="1065"/>
      <c r="CN732" s="1065"/>
      <c r="CO732" s="1065"/>
      <c r="CP732" s="1065"/>
      <c r="CQ732" s="1065"/>
      <c r="CR732" s="1065"/>
      <c r="CS732" s="1065"/>
      <c r="CT732" s="1065"/>
      <c r="CU732" s="1065"/>
      <c r="CV732" s="1065"/>
      <c r="CW732" s="1065"/>
      <c r="CX732" s="1065"/>
      <c r="CY732" s="1065"/>
      <c r="CZ732" s="1065"/>
      <c r="DA732" s="1065"/>
      <c r="DB732" s="1065"/>
    </row>
    <row r="733" spans="1:106" ht="15" customHeight="1">
      <c r="A733" s="1065"/>
      <c r="B733" s="1065"/>
      <c r="C733" s="1065"/>
      <c r="D733" s="1065"/>
      <c r="E733" s="1065"/>
      <c r="F733" s="1065"/>
      <c r="G733" s="1065"/>
      <c r="H733" s="1223"/>
      <c r="I733" s="1223"/>
      <c r="J733" s="1224"/>
      <c r="K733" s="1224"/>
      <c r="L733" s="1224"/>
      <c r="M733" s="1225"/>
      <c r="N733" s="1225"/>
      <c r="O733" s="1226"/>
      <c r="P733" s="1227"/>
      <c r="Q733" s="1227"/>
      <c r="R733" s="1228"/>
      <c r="S733" s="1224"/>
      <c r="T733" s="1229"/>
      <c r="U733" s="1065"/>
      <c r="V733" s="1065"/>
      <c r="W733" s="1065"/>
      <c r="X733" s="1065"/>
      <c r="Y733" s="1065"/>
      <c r="Z733" s="1065"/>
      <c r="AA733" s="1065"/>
      <c r="AB733" s="1065"/>
      <c r="AC733" s="1065"/>
      <c r="AD733" s="1065"/>
      <c r="AE733" s="1065"/>
      <c r="AF733" s="1065"/>
      <c r="AG733" s="1065"/>
      <c r="AH733" s="1065"/>
      <c r="AI733" s="1065"/>
      <c r="AJ733" s="1065"/>
      <c r="AK733" s="1065"/>
      <c r="AL733" s="1065"/>
      <c r="AM733" s="1065"/>
      <c r="AN733" s="1065"/>
      <c r="AO733" s="1065"/>
      <c r="AP733" s="1065"/>
      <c r="AQ733" s="1065"/>
      <c r="AR733" s="1065"/>
      <c r="AS733" s="1065"/>
      <c r="AT733" s="1065"/>
      <c r="AU733" s="1065"/>
      <c r="AV733" s="1065"/>
      <c r="AW733" s="1065"/>
      <c r="AX733" s="1065"/>
      <c r="AY733" s="1065"/>
      <c r="AZ733" s="1065"/>
      <c r="BA733" s="1065"/>
      <c r="BB733" s="1065"/>
      <c r="BC733" s="1065"/>
      <c r="BD733" s="1065"/>
      <c r="BE733" s="1065"/>
      <c r="BF733" s="1065"/>
      <c r="BG733" s="1065"/>
      <c r="BH733" s="1065"/>
      <c r="BI733" s="1065"/>
      <c r="BJ733" s="1065"/>
      <c r="BK733" s="1065"/>
      <c r="BL733" s="1065"/>
      <c r="BM733" s="1065"/>
      <c r="BN733" s="1065"/>
      <c r="BO733" s="1065"/>
      <c r="BP733" s="1065"/>
      <c r="BQ733" s="1065"/>
      <c r="BR733" s="1065"/>
      <c r="BS733" s="1065"/>
      <c r="BT733" s="1065"/>
      <c r="BU733" s="1065"/>
      <c r="BV733" s="1065"/>
      <c r="BW733" s="1065"/>
      <c r="BX733" s="1065"/>
      <c r="BY733" s="1065"/>
      <c r="BZ733" s="1065"/>
      <c r="CA733" s="1065"/>
      <c r="CB733" s="1065"/>
      <c r="CC733" s="1065"/>
      <c r="CD733" s="1065"/>
      <c r="CE733" s="1065"/>
      <c r="CF733" s="1065"/>
      <c r="CG733" s="1065"/>
      <c r="CH733" s="1065"/>
      <c r="CI733" s="1065"/>
      <c r="CJ733" s="1065"/>
      <c r="CK733" s="1065"/>
      <c r="CL733" s="1065"/>
      <c r="CM733" s="1065"/>
      <c r="CN733" s="1065"/>
      <c r="CO733" s="1065"/>
      <c r="CP733" s="1065"/>
      <c r="CQ733" s="1065"/>
      <c r="CR733" s="1065"/>
      <c r="CS733" s="1065"/>
      <c r="CT733" s="1065"/>
      <c r="CU733" s="1065"/>
      <c r="CV733" s="1065"/>
      <c r="CW733" s="1065"/>
      <c r="CX733" s="1065"/>
      <c r="CY733" s="1065"/>
      <c r="CZ733" s="1065"/>
      <c r="DA733" s="1065"/>
      <c r="DB733" s="1065"/>
    </row>
    <row r="734" spans="1:106" ht="15" customHeight="1">
      <c r="A734" s="1065"/>
      <c r="B734" s="1065"/>
      <c r="C734" s="1065"/>
      <c r="D734" s="1065"/>
      <c r="E734" s="1065"/>
      <c r="F734" s="1065"/>
      <c r="G734" s="1065"/>
      <c r="H734" s="1223"/>
      <c r="I734" s="1223"/>
      <c r="J734" s="1224"/>
      <c r="K734" s="1224"/>
      <c r="L734" s="1224"/>
      <c r="M734" s="1225"/>
      <c r="N734" s="1225"/>
      <c r="O734" s="1226"/>
      <c r="P734" s="1227"/>
      <c r="Q734" s="1227"/>
      <c r="R734" s="1228"/>
      <c r="S734" s="1224"/>
      <c r="T734" s="1229"/>
      <c r="U734" s="1065"/>
      <c r="V734" s="1065"/>
      <c r="W734" s="1065"/>
      <c r="X734" s="1065"/>
      <c r="Y734" s="1065"/>
      <c r="Z734" s="1065"/>
      <c r="AA734" s="1065"/>
      <c r="AB734" s="1065"/>
      <c r="AC734" s="1065"/>
      <c r="AD734" s="1065"/>
      <c r="AE734" s="1065"/>
      <c r="AF734" s="1065"/>
      <c r="AG734" s="1065"/>
      <c r="AH734" s="1065"/>
      <c r="AI734" s="1065"/>
      <c r="AJ734" s="1065"/>
      <c r="AK734" s="1065"/>
      <c r="AL734" s="1065"/>
      <c r="AM734" s="1065"/>
      <c r="AN734" s="1065"/>
      <c r="AO734" s="1065"/>
      <c r="AP734" s="1065"/>
      <c r="AQ734" s="1065"/>
      <c r="AR734" s="1065"/>
      <c r="AS734" s="1065"/>
      <c r="AT734" s="1065"/>
      <c r="AU734" s="1065"/>
      <c r="AV734" s="1065"/>
      <c r="AW734" s="1065"/>
      <c r="AX734" s="1065"/>
      <c r="AY734" s="1065"/>
      <c r="AZ734" s="1065"/>
      <c r="BA734" s="1065"/>
      <c r="BB734" s="1065"/>
      <c r="BC734" s="1065"/>
      <c r="BD734" s="1065"/>
      <c r="BE734" s="1065"/>
      <c r="BF734" s="1065"/>
      <c r="BG734" s="1065"/>
      <c r="BH734" s="1065"/>
      <c r="BI734" s="1065"/>
      <c r="BJ734" s="1065"/>
      <c r="BK734" s="1065"/>
      <c r="BL734" s="1065"/>
      <c r="BM734" s="1065"/>
      <c r="BN734" s="1065"/>
      <c r="BO734" s="1065"/>
      <c r="BP734" s="1065"/>
      <c r="BQ734" s="1065"/>
      <c r="BR734" s="1065"/>
      <c r="BS734" s="1065"/>
      <c r="BT734" s="1065"/>
      <c r="BU734" s="1065"/>
      <c r="BV734" s="1065"/>
      <c r="BW734" s="1065"/>
      <c r="BX734" s="1065"/>
      <c r="BY734" s="1065"/>
      <c r="BZ734" s="1065"/>
      <c r="CA734" s="1065"/>
      <c r="CB734" s="1065"/>
      <c r="CC734" s="1065"/>
      <c r="CD734" s="1065"/>
      <c r="CE734" s="1065"/>
      <c r="CF734" s="1065"/>
      <c r="CG734" s="1065"/>
      <c r="CH734" s="1065"/>
      <c r="CI734" s="1065"/>
      <c r="CJ734" s="1065"/>
      <c r="CK734" s="1065"/>
      <c r="CL734" s="1065"/>
      <c r="CM734" s="1065"/>
      <c r="CN734" s="1065"/>
      <c r="CO734" s="1065"/>
      <c r="CP734" s="1065"/>
      <c r="CQ734" s="1065"/>
      <c r="CR734" s="1065"/>
      <c r="CS734" s="1065"/>
      <c r="CT734" s="1065"/>
      <c r="CU734" s="1065"/>
      <c r="CV734" s="1065"/>
      <c r="CW734" s="1065"/>
      <c r="CX734" s="1065"/>
      <c r="CY734" s="1065"/>
      <c r="CZ734" s="1065"/>
      <c r="DA734" s="1065"/>
      <c r="DB734" s="1065"/>
    </row>
    <row r="735" spans="1:106" ht="15" customHeight="1">
      <c r="A735" s="1065"/>
      <c r="B735" s="1065"/>
      <c r="C735" s="1065"/>
      <c r="D735" s="1065"/>
      <c r="E735" s="1065"/>
      <c r="F735" s="1065"/>
      <c r="G735" s="1065"/>
      <c r="H735" s="1223"/>
      <c r="I735" s="1223"/>
      <c r="J735" s="1224"/>
      <c r="K735" s="1224"/>
      <c r="L735" s="1224"/>
      <c r="M735" s="1225"/>
      <c r="N735" s="1225"/>
      <c r="O735" s="1226"/>
      <c r="P735" s="1227"/>
      <c r="Q735" s="1227"/>
      <c r="R735" s="1228"/>
      <c r="S735" s="1224"/>
      <c r="T735" s="1229"/>
      <c r="U735" s="1065"/>
      <c r="V735" s="1065"/>
      <c r="W735" s="1065"/>
      <c r="X735" s="1065"/>
      <c r="Y735" s="1065"/>
      <c r="Z735" s="1065"/>
      <c r="AA735" s="1065"/>
      <c r="AB735" s="1065"/>
      <c r="AC735" s="1065"/>
      <c r="AD735" s="1065"/>
      <c r="AE735" s="1065"/>
      <c r="AF735" s="1065"/>
      <c r="AG735" s="1065"/>
      <c r="AH735" s="1065"/>
      <c r="AI735" s="1065"/>
      <c r="AJ735" s="1065"/>
      <c r="AK735" s="1065"/>
      <c r="AL735" s="1065"/>
      <c r="AM735" s="1065"/>
      <c r="AN735" s="1065"/>
      <c r="AO735" s="1065"/>
      <c r="AP735" s="1065"/>
      <c r="AQ735" s="1065"/>
      <c r="AR735" s="1065"/>
      <c r="AS735" s="1065"/>
      <c r="AT735" s="1065"/>
      <c r="AU735" s="1065"/>
      <c r="AV735" s="1065"/>
      <c r="AW735" s="1065"/>
      <c r="AX735" s="1065"/>
      <c r="AY735" s="1065"/>
      <c r="AZ735" s="1065"/>
      <c r="BA735" s="1065"/>
      <c r="BB735" s="1065"/>
      <c r="BC735" s="1065"/>
      <c r="BD735" s="1065"/>
      <c r="BE735" s="1065"/>
      <c r="BF735" s="1065"/>
      <c r="BG735" s="1065"/>
      <c r="BH735" s="1065"/>
      <c r="BI735" s="1065"/>
      <c r="BJ735" s="1065"/>
      <c r="BK735" s="1065"/>
      <c r="BL735" s="1065"/>
      <c r="BM735" s="1065"/>
      <c r="BN735" s="1065"/>
      <c r="BO735" s="1065"/>
      <c r="BP735" s="1065"/>
      <c r="BQ735" s="1065"/>
      <c r="BR735" s="1065"/>
      <c r="BS735" s="1065"/>
      <c r="BT735" s="1065"/>
      <c r="BU735" s="1065"/>
      <c r="BV735" s="1065"/>
      <c r="BW735" s="1065"/>
      <c r="BX735" s="1065"/>
      <c r="BY735" s="1065"/>
      <c r="BZ735" s="1065"/>
      <c r="CA735" s="1065"/>
      <c r="CB735" s="1065"/>
      <c r="CC735" s="1065"/>
      <c r="CD735" s="1065"/>
      <c r="CE735" s="1065"/>
      <c r="CF735" s="1065"/>
      <c r="CG735" s="1065"/>
      <c r="CH735" s="1065"/>
      <c r="CI735" s="1065"/>
      <c r="CJ735" s="1065"/>
      <c r="CK735" s="1065"/>
      <c r="CL735" s="1065"/>
      <c r="CM735" s="1065"/>
      <c r="CN735" s="1065"/>
      <c r="CO735" s="1065"/>
      <c r="CP735" s="1065"/>
      <c r="CQ735" s="1065"/>
      <c r="CR735" s="1065"/>
      <c r="CS735" s="1065"/>
      <c r="CT735" s="1065"/>
      <c r="CU735" s="1065"/>
      <c r="CV735" s="1065"/>
      <c r="CW735" s="1065"/>
      <c r="CX735" s="1065"/>
      <c r="CY735" s="1065"/>
      <c r="CZ735" s="1065"/>
      <c r="DA735" s="1065"/>
      <c r="DB735" s="1065"/>
    </row>
    <row r="736" spans="1:106" ht="15" customHeight="1">
      <c r="A736" s="1065"/>
      <c r="B736" s="1065"/>
      <c r="C736" s="1065"/>
      <c r="D736" s="1065"/>
      <c r="E736" s="1065"/>
      <c r="F736" s="1065"/>
      <c r="G736" s="1065"/>
      <c r="H736" s="1223"/>
      <c r="I736" s="1223"/>
      <c r="J736" s="1224"/>
      <c r="K736" s="1224"/>
      <c r="L736" s="1224"/>
      <c r="M736" s="1225"/>
      <c r="N736" s="1225"/>
      <c r="O736" s="1226"/>
      <c r="P736" s="1227"/>
      <c r="Q736" s="1227"/>
      <c r="R736" s="1228"/>
      <c r="S736" s="1224"/>
      <c r="T736" s="1229"/>
      <c r="U736" s="1065"/>
      <c r="V736" s="1065"/>
      <c r="W736" s="1065"/>
      <c r="X736" s="1065"/>
      <c r="Y736" s="1065"/>
      <c r="Z736" s="1065"/>
      <c r="AA736" s="1065"/>
      <c r="AB736" s="1065"/>
      <c r="AC736" s="1065"/>
      <c r="AD736" s="1065"/>
      <c r="AE736" s="1065"/>
      <c r="AF736" s="1065"/>
      <c r="AG736" s="1065"/>
      <c r="AH736" s="1065"/>
      <c r="AI736" s="1065"/>
      <c r="AJ736" s="1065"/>
      <c r="AK736" s="1065"/>
      <c r="AL736" s="1065"/>
      <c r="AM736" s="1065"/>
      <c r="AN736" s="1065"/>
      <c r="AO736" s="1065"/>
      <c r="AP736" s="1065"/>
      <c r="AQ736" s="1065"/>
      <c r="AR736" s="1065"/>
      <c r="AS736" s="1065"/>
      <c r="AT736" s="1065"/>
      <c r="AU736" s="1065"/>
      <c r="AV736" s="1065"/>
      <c r="AW736" s="1065"/>
      <c r="AX736" s="1065"/>
      <c r="AY736" s="1065"/>
      <c r="AZ736" s="1065"/>
      <c r="BA736" s="1065"/>
      <c r="BB736" s="1065"/>
      <c r="BC736" s="1065"/>
      <c r="BD736" s="1065"/>
      <c r="BE736" s="1065"/>
      <c r="BF736" s="1065"/>
      <c r="BG736" s="1065"/>
      <c r="BH736" s="1065"/>
      <c r="BI736" s="1065"/>
      <c r="BJ736" s="1065"/>
      <c r="BK736" s="1065"/>
      <c r="BL736" s="1065"/>
      <c r="BM736" s="1065"/>
      <c r="BN736" s="1065"/>
      <c r="BO736" s="1065"/>
      <c r="BP736" s="1065"/>
      <c r="BQ736" s="1065"/>
      <c r="BR736" s="1065"/>
      <c r="BS736" s="1065"/>
      <c r="BT736" s="1065"/>
      <c r="BU736" s="1065"/>
      <c r="BV736" s="1065"/>
      <c r="BW736" s="1065"/>
      <c r="BX736" s="1065"/>
      <c r="BY736" s="1065"/>
      <c r="BZ736" s="1065"/>
      <c r="CA736" s="1065"/>
      <c r="CB736" s="1065"/>
      <c r="CC736" s="1065"/>
      <c r="CD736" s="1065"/>
      <c r="CE736" s="1065"/>
      <c r="CF736" s="1065"/>
      <c r="CG736" s="1065"/>
      <c r="CH736" s="1065"/>
      <c r="CI736" s="1065"/>
      <c r="CJ736" s="1065"/>
      <c r="CK736" s="1065"/>
      <c r="CL736" s="1065"/>
      <c r="CM736" s="1065"/>
      <c r="CN736" s="1065"/>
      <c r="CO736" s="1065"/>
      <c r="CP736" s="1065"/>
      <c r="CQ736" s="1065"/>
      <c r="CR736" s="1065"/>
      <c r="CS736" s="1065"/>
      <c r="CT736" s="1065"/>
      <c r="CU736" s="1065"/>
      <c r="CV736" s="1065"/>
      <c r="CW736" s="1065"/>
      <c r="CX736" s="1065"/>
      <c r="CY736" s="1065"/>
      <c r="CZ736" s="1065"/>
      <c r="DA736" s="1065"/>
      <c r="DB736" s="1065"/>
    </row>
    <row r="737" spans="1:106" ht="15" customHeight="1">
      <c r="A737" s="1065"/>
      <c r="B737" s="1065"/>
      <c r="C737" s="1065"/>
      <c r="D737" s="1065"/>
      <c r="E737" s="1065"/>
      <c r="F737" s="1065"/>
      <c r="G737" s="1065"/>
      <c r="H737" s="1223"/>
      <c r="I737" s="1223"/>
      <c r="J737" s="1224"/>
      <c r="K737" s="1224"/>
      <c r="L737" s="1224"/>
      <c r="M737" s="1225"/>
      <c r="N737" s="1225"/>
      <c r="O737" s="1226"/>
      <c r="P737" s="1227"/>
      <c r="Q737" s="1227"/>
      <c r="R737" s="1228"/>
      <c r="S737" s="1224"/>
      <c r="T737" s="1229"/>
      <c r="U737" s="1065"/>
      <c r="V737" s="1065"/>
      <c r="W737" s="1065"/>
      <c r="X737" s="1065"/>
      <c r="Y737" s="1065"/>
      <c r="Z737" s="1065"/>
      <c r="AA737" s="1065"/>
      <c r="AB737" s="1065"/>
      <c r="AC737" s="1065"/>
      <c r="AD737" s="1065"/>
      <c r="AE737" s="1065"/>
      <c r="AF737" s="1065"/>
      <c r="AG737" s="1065"/>
      <c r="AH737" s="1065"/>
      <c r="AI737" s="1065"/>
      <c r="AJ737" s="1065"/>
      <c r="AK737" s="1065"/>
      <c r="AL737" s="1065"/>
      <c r="AM737" s="1065"/>
      <c r="AN737" s="1065"/>
      <c r="AO737" s="1065"/>
      <c r="AP737" s="1065"/>
      <c r="AQ737" s="1065"/>
      <c r="AR737" s="1065"/>
      <c r="AS737" s="1065"/>
      <c r="AT737" s="1065"/>
      <c r="AU737" s="1065"/>
      <c r="AV737" s="1065"/>
      <c r="AW737" s="1065"/>
      <c r="AX737" s="1065"/>
      <c r="AY737" s="1065"/>
      <c r="AZ737" s="1065"/>
      <c r="BA737" s="1065"/>
      <c r="BB737" s="1065"/>
      <c r="BC737" s="1065"/>
      <c r="BD737" s="1065"/>
      <c r="BE737" s="1065"/>
      <c r="BF737" s="1065"/>
      <c r="BG737" s="1065"/>
      <c r="BH737" s="1065"/>
      <c r="BI737" s="1065"/>
      <c r="BJ737" s="1065"/>
      <c r="BK737" s="1065"/>
      <c r="BL737" s="1065"/>
      <c r="BM737" s="1065"/>
      <c r="BN737" s="1065"/>
      <c r="BO737" s="1065"/>
      <c r="BP737" s="1065"/>
      <c r="BQ737" s="1065"/>
      <c r="BR737" s="1065"/>
      <c r="BS737" s="1065"/>
      <c r="BT737" s="1065"/>
      <c r="BU737" s="1065"/>
      <c r="BV737" s="1065"/>
      <c r="BW737" s="1065"/>
      <c r="BX737" s="1065"/>
      <c r="BY737" s="1065"/>
      <c r="BZ737" s="1065"/>
      <c r="CA737" s="1065"/>
      <c r="CB737" s="1065"/>
      <c r="CC737" s="1065"/>
      <c r="CD737" s="1065"/>
      <c r="CE737" s="1065"/>
      <c r="CF737" s="1065"/>
      <c r="CG737" s="1065"/>
      <c r="CH737" s="1065"/>
      <c r="CI737" s="1065"/>
      <c r="CJ737" s="1065"/>
      <c r="CK737" s="1065"/>
      <c r="CL737" s="1065"/>
      <c r="CM737" s="1065"/>
      <c r="CN737" s="1065"/>
      <c r="CO737" s="1065"/>
      <c r="CP737" s="1065"/>
      <c r="CQ737" s="1065"/>
      <c r="CR737" s="1065"/>
      <c r="CS737" s="1065"/>
      <c r="CT737" s="1065"/>
      <c r="CU737" s="1065"/>
      <c r="CV737" s="1065"/>
      <c r="CW737" s="1065"/>
      <c r="CX737" s="1065"/>
      <c r="CY737" s="1065"/>
      <c r="CZ737" s="1065"/>
      <c r="DA737" s="1065"/>
      <c r="DB737" s="1065"/>
    </row>
    <row r="738" spans="1:106" ht="15" customHeight="1">
      <c r="A738" s="1065"/>
      <c r="B738" s="1065"/>
      <c r="C738" s="1065"/>
      <c r="D738" s="1065"/>
      <c r="E738" s="1065"/>
      <c r="F738" s="1065"/>
      <c r="G738" s="1065"/>
      <c r="H738" s="1223"/>
      <c r="I738" s="1223"/>
      <c r="J738" s="1224"/>
      <c r="K738" s="1224"/>
      <c r="L738" s="1224"/>
      <c r="M738" s="1225"/>
      <c r="N738" s="1225"/>
      <c r="O738" s="1226"/>
      <c r="P738" s="1227"/>
      <c r="Q738" s="1227"/>
      <c r="R738" s="1228"/>
      <c r="S738" s="1224"/>
      <c r="T738" s="1229"/>
      <c r="U738" s="1065"/>
      <c r="V738" s="1065"/>
      <c r="W738" s="1065"/>
      <c r="X738" s="1065"/>
      <c r="Y738" s="1065"/>
      <c r="Z738" s="1065"/>
      <c r="AA738" s="1065"/>
      <c r="AB738" s="1065"/>
      <c r="AC738" s="1065"/>
      <c r="AD738" s="1065"/>
      <c r="AE738" s="1065"/>
      <c r="AF738" s="1065"/>
      <c r="AG738" s="1065"/>
      <c r="AH738" s="1065"/>
      <c r="AI738" s="1065"/>
      <c r="AJ738" s="1065"/>
      <c r="AK738" s="1065"/>
      <c r="AL738" s="1065"/>
      <c r="AM738" s="1065"/>
      <c r="AN738" s="1065"/>
      <c r="AO738" s="1065"/>
      <c r="AP738" s="1065"/>
      <c r="AQ738" s="1065"/>
      <c r="AR738" s="1065"/>
      <c r="AS738" s="1065"/>
      <c r="AT738" s="1065"/>
      <c r="AU738" s="1065"/>
      <c r="AV738" s="1065"/>
      <c r="AW738" s="1065"/>
      <c r="AX738" s="1065"/>
      <c r="AY738" s="1065"/>
      <c r="AZ738" s="1065"/>
      <c r="BA738" s="1065"/>
      <c r="BB738" s="1065"/>
      <c r="BC738" s="1065"/>
      <c r="BD738" s="1065"/>
      <c r="BE738" s="1065"/>
      <c r="BF738" s="1065"/>
      <c r="BG738" s="1065"/>
      <c r="BH738" s="1065"/>
      <c r="BI738" s="1065"/>
      <c r="BJ738" s="1065"/>
      <c r="BK738" s="1065"/>
      <c r="BL738" s="1065"/>
      <c r="BM738" s="1065"/>
      <c r="BN738" s="1065"/>
      <c r="BO738" s="1065"/>
      <c r="BP738" s="1065"/>
      <c r="BQ738" s="1065"/>
      <c r="BR738" s="1065"/>
      <c r="BS738" s="1065"/>
      <c r="BT738" s="1065"/>
      <c r="BU738" s="1065"/>
      <c r="BV738" s="1065"/>
      <c r="BW738" s="1065"/>
      <c r="BX738" s="1065"/>
      <c r="BY738" s="1065"/>
      <c r="BZ738" s="1065"/>
      <c r="CA738" s="1065"/>
      <c r="CB738" s="1065"/>
      <c r="CC738" s="1065"/>
      <c r="CD738" s="1065"/>
      <c r="CE738" s="1065"/>
      <c r="CF738" s="1065"/>
      <c r="CG738" s="1065"/>
      <c r="CH738" s="1065"/>
      <c r="CI738" s="1065"/>
      <c r="CJ738" s="1065"/>
      <c r="CK738" s="1065"/>
      <c r="CL738" s="1065"/>
      <c r="CM738" s="1065"/>
      <c r="CN738" s="1065"/>
      <c r="CO738" s="1065"/>
      <c r="CP738" s="1065"/>
      <c r="CQ738" s="1065"/>
      <c r="CR738" s="1065"/>
      <c r="CS738" s="1065"/>
      <c r="CT738" s="1065"/>
      <c r="CU738" s="1065"/>
      <c r="CV738" s="1065"/>
      <c r="CW738" s="1065"/>
      <c r="CX738" s="1065"/>
      <c r="CY738" s="1065"/>
      <c r="CZ738" s="1065"/>
      <c r="DA738" s="1065"/>
      <c r="DB738" s="1065"/>
    </row>
    <row r="739" spans="1:106" ht="15" customHeight="1">
      <c r="A739" s="1065"/>
      <c r="B739" s="1065"/>
      <c r="C739" s="1065"/>
      <c r="D739" s="1065"/>
      <c r="E739" s="1065"/>
      <c r="F739" s="1065"/>
      <c r="G739" s="1065"/>
      <c r="H739" s="1223"/>
      <c r="I739" s="1223"/>
      <c r="J739" s="1224"/>
      <c r="K739" s="1224"/>
      <c r="L739" s="1224"/>
      <c r="M739" s="1225"/>
      <c r="N739" s="1225"/>
      <c r="O739" s="1226"/>
      <c r="P739" s="1227"/>
      <c r="Q739" s="1227"/>
      <c r="R739" s="1228"/>
      <c r="S739" s="1224"/>
      <c r="T739" s="1229"/>
      <c r="U739" s="1065"/>
      <c r="V739" s="1065"/>
      <c r="W739" s="1065"/>
      <c r="X739" s="1065"/>
      <c r="Y739" s="1065"/>
      <c r="Z739" s="1065"/>
      <c r="AA739" s="1065"/>
      <c r="AB739" s="1065"/>
      <c r="AC739" s="1065"/>
      <c r="AD739" s="1065"/>
      <c r="AE739" s="1065"/>
      <c r="AF739" s="1065"/>
      <c r="AG739" s="1065"/>
      <c r="AH739" s="1065"/>
      <c r="AI739" s="1065"/>
      <c r="AJ739" s="1065"/>
      <c r="AK739" s="1065"/>
      <c r="AL739" s="1065"/>
      <c r="AM739" s="1065"/>
      <c r="AN739" s="1065"/>
      <c r="AO739" s="1065"/>
      <c r="AP739" s="1065"/>
      <c r="AQ739" s="1065"/>
      <c r="AR739" s="1065"/>
      <c r="AS739" s="1065"/>
      <c r="AT739" s="1065"/>
      <c r="AU739" s="1065"/>
      <c r="AV739" s="1065"/>
      <c r="AW739" s="1065"/>
      <c r="AX739" s="1065"/>
      <c r="AY739" s="1065"/>
      <c r="AZ739" s="1065"/>
      <c r="BA739" s="1065"/>
      <c r="BB739" s="1065"/>
      <c r="BC739" s="1065"/>
      <c r="BD739" s="1065"/>
      <c r="BE739" s="1065"/>
      <c r="BF739" s="1065"/>
      <c r="BG739" s="1065"/>
      <c r="BH739" s="1065"/>
      <c r="BI739" s="1065"/>
      <c r="BJ739" s="1065"/>
      <c r="BK739" s="1065"/>
      <c r="BL739" s="1065"/>
      <c r="BM739" s="1065"/>
      <c r="BN739" s="1065"/>
      <c r="BO739" s="1065"/>
      <c r="BP739" s="1065"/>
      <c r="BQ739" s="1065"/>
      <c r="BR739" s="1065"/>
      <c r="BS739" s="1065"/>
      <c r="BT739" s="1065"/>
      <c r="BU739" s="1065"/>
      <c r="BV739" s="1065"/>
      <c r="BW739" s="1065"/>
      <c r="BX739" s="1065"/>
      <c r="BY739" s="1065"/>
      <c r="BZ739" s="1065"/>
      <c r="CA739" s="1065"/>
      <c r="CB739" s="1065"/>
      <c r="CC739" s="1065"/>
      <c r="CD739" s="1065"/>
      <c r="CE739" s="1065"/>
      <c r="CF739" s="1065"/>
      <c r="CG739" s="1065"/>
      <c r="CH739" s="1065"/>
      <c r="CI739" s="1065"/>
      <c r="CJ739" s="1065"/>
      <c r="CK739" s="1065"/>
      <c r="CL739" s="1065"/>
      <c r="CM739" s="1065"/>
      <c r="CN739" s="1065"/>
      <c r="CO739" s="1065"/>
      <c r="CP739" s="1065"/>
      <c r="CQ739" s="1065"/>
      <c r="CR739" s="1065"/>
      <c r="CS739" s="1065"/>
      <c r="CT739" s="1065"/>
      <c r="CU739" s="1065"/>
      <c r="CV739" s="1065"/>
      <c r="CW739" s="1065"/>
      <c r="CX739" s="1065"/>
      <c r="CY739" s="1065"/>
      <c r="CZ739" s="1065"/>
      <c r="DA739" s="1065"/>
      <c r="DB739" s="1065"/>
    </row>
    <row r="740" spans="1:106" ht="15" customHeight="1">
      <c r="A740" s="1065"/>
      <c r="B740" s="1065"/>
      <c r="C740" s="1065"/>
      <c r="D740" s="1065"/>
      <c r="E740" s="1065"/>
      <c r="F740" s="1065"/>
      <c r="G740" s="1065"/>
      <c r="H740" s="1223"/>
      <c r="I740" s="1223"/>
      <c r="J740" s="1224"/>
      <c r="K740" s="1224"/>
      <c r="L740" s="1224"/>
      <c r="M740" s="1225"/>
      <c r="N740" s="1225"/>
      <c r="O740" s="1226"/>
      <c r="P740" s="1227"/>
      <c r="Q740" s="1227"/>
      <c r="R740" s="1228"/>
      <c r="S740" s="1224"/>
      <c r="T740" s="1229"/>
      <c r="U740" s="1065"/>
      <c r="V740" s="1065"/>
      <c r="W740" s="1065"/>
      <c r="X740" s="1065"/>
      <c r="Y740" s="1065"/>
      <c r="Z740" s="1065"/>
      <c r="AA740" s="1065"/>
      <c r="AB740" s="1065"/>
      <c r="AC740" s="1065"/>
      <c r="AD740" s="1065"/>
      <c r="AE740" s="1065"/>
      <c r="AF740" s="1065"/>
      <c r="AG740" s="1065"/>
      <c r="AH740" s="1065"/>
      <c r="AI740" s="1065"/>
      <c r="AJ740" s="1065"/>
      <c r="AK740" s="1065"/>
      <c r="AL740" s="1065"/>
      <c r="AM740" s="1065"/>
      <c r="AN740" s="1065"/>
      <c r="AO740" s="1065"/>
      <c r="AP740" s="1065"/>
      <c r="AQ740" s="1065"/>
      <c r="AR740" s="1065"/>
      <c r="AS740" s="1065"/>
      <c r="AT740" s="1065"/>
      <c r="AU740" s="1065"/>
      <c r="AV740" s="1065"/>
      <c r="AW740" s="1065"/>
      <c r="AX740" s="1065"/>
      <c r="AY740" s="1065"/>
      <c r="AZ740" s="1065"/>
      <c r="BA740" s="1065"/>
      <c r="BB740" s="1065"/>
      <c r="BC740" s="1065"/>
      <c r="BD740" s="1065"/>
      <c r="BE740" s="1065"/>
      <c r="BF740" s="1065"/>
      <c r="BG740" s="1065"/>
      <c r="BH740" s="1065"/>
      <c r="BI740" s="1065"/>
      <c r="BJ740" s="1065"/>
      <c r="BK740" s="1065"/>
      <c r="BL740" s="1065"/>
      <c r="BM740" s="1065"/>
      <c r="BN740" s="1065"/>
      <c r="BO740" s="1065"/>
      <c r="BP740" s="1065"/>
      <c r="BQ740" s="1065"/>
      <c r="BR740" s="1065"/>
      <c r="BS740" s="1065"/>
      <c r="BT740" s="1065"/>
      <c r="BU740" s="1065"/>
      <c r="BV740" s="1065"/>
      <c r="BW740" s="1065"/>
      <c r="BX740" s="1065"/>
      <c r="BY740" s="1065"/>
      <c r="BZ740" s="1065"/>
      <c r="CA740" s="1065"/>
      <c r="CB740" s="1065"/>
      <c r="CC740" s="1065"/>
      <c r="CD740" s="1065"/>
      <c r="CE740" s="1065"/>
      <c r="CF740" s="1065"/>
      <c r="CG740" s="1065"/>
      <c r="CH740" s="1065"/>
      <c r="CI740" s="1065"/>
      <c r="CJ740" s="1065"/>
      <c r="CK740" s="1065"/>
      <c r="CL740" s="1065"/>
      <c r="CM740" s="1065"/>
      <c r="CN740" s="1065"/>
      <c r="CO740" s="1065"/>
      <c r="CP740" s="1065"/>
      <c r="CQ740" s="1065"/>
      <c r="CR740" s="1065"/>
      <c r="CS740" s="1065"/>
      <c r="CT740" s="1065"/>
      <c r="CU740" s="1065"/>
      <c r="CV740" s="1065"/>
      <c r="CW740" s="1065"/>
      <c r="CX740" s="1065"/>
      <c r="CY740" s="1065"/>
      <c r="CZ740" s="1065"/>
      <c r="DA740" s="1065"/>
      <c r="DB740" s="1065"/>
    </row>
    <row r="741" spans="1:106" ht="15" customHeight="1">
      <c r="A741" s="1065"/>
      <c r="B741" s="1065"/>
      <c r="C741" s="1065"/>
      <c r="D741" s="1065"/>
      <c r="E741" s="1065"/>
      <c r="F741" s="1065"/>
      <c r="G741" s="1065"/>
      <c r="H741" s="1223"/>
      <c r="I741" s="1223"/>
      <c r="J741" s="1224"/>
      <c r="K741" s="1224"/>
      <c r="L741" s="1224"/>
      <c r="M741" s="1225"/>
      <c r="N741" s="1225"/>
      <c r="O741" s="1226"/>
      <c r="P741" s="1227"/>
      <c r="Q741" s="1227"/>
      <c r="R741" s="1228"/>
      <c r="S741" s="1224"/>
      <c r="T741" s="1229"/>
      <c r="U741" s="1065"/>
      <c r="V741" s="1065"/>
      <c r="W741" s="1065"/>
      <c r="X741" s="1065"/>
      <c r="Y741" s="1065"/>
      <c r="Z741" s="1065"/>
      <c r="AA741" s="1065"/>
      <c r="AB741" s="1065"/>
      <c r="AC741" s="1065"/>
      <c r="AD741" s="1065"/>
      <c r="AE741" s="1065"/>
      <c r="AF741" s="1065"/>
      <c r="AG741" s="1065"/>
      <c r="AH741" s="1065"/>
      <c r="AI741" s="1065"/>
      <c r="AJ741" s="1065"/>
      <c r="AK741" s="1065"/>
      <c r="AL741" s="1065"/>
      <c r="AM741" s="1065"/>
      <c r="AN741" s="1065"/>
      <c r="AO741" s="1065"/>
      <c r="AP741" s="1065"/>
      <c r="AQ741" s="1065"/>
      <c r="AR741" s="1065"/>
      <c r="AS741" s="1065"/>
      <c r="AT741" s="1065"/>
      <c r="AU741" s="1065"/>
      <c r="AV741" s="1065"/>
      <c r="AW741" s="1065"/>
      <c r="AX741" s="1065"/>
      <c r="AY741" s="1065"/>
      <c r="AZ741" s="1065"/>
      <c r="BA741" s="1065"/>
      <c r="BB741" s="1065"/>
      <c r="BC741" s="1065"/>
      <c r="BD741" s="1065"/>
      <c r="BE741" s="1065"/>
      <c r="BF741" s="1065"/>
      <c r="BG741" s="1065"/>
      <c r="BH741" s="1065"/>
      <c r="BI741" s="1065"/>
      <c r="BJ741" s="1065"/>
      <c r="BK741" s="1065"/>
      <c r="BL741" s="1065"/>
      <c r="BM741" s="1065"/>
      <c r="BN741" s="1065"/>
      <c r="BO741" s="1065"/>
      <c r="BP741" s="1065"/>
      <c r="BQ741" s="1065"/>
      <c r="BR741" s="1065"/>
      <c r="BS741" s="1065"/>
      <c r="BT741" s="1065"/>
      <c r="BU741" s="1065"/>
      <c r="BV741" s="1065"/>
      <c r="BW741" s="1065"/>
      <c r="BX741" s="1065"/>
      <c r="BY741" s="1065"/>
      <c r="BZ741" s="1065"/>
      <c r="CA741" s="1065"/>
      <c r="CB741" s="1065"/>
      <c r="CC741" s="1065"/>
      <c r="CD741" s="1065"/>
      <c r="CE741" s="1065"/>
      <c r="CF741" s="1065"/>
      <c r="CG741" s="1065"/>
      <c r="CH741" s="1065"/>
      <c r="CI741" s="1065"/>
      <c r="CJ741" s="1065"/>
      <c r="CK741" s="1065"/>
      <c r="CL741" s="1065"/>
      <c r="CM741" s="1065"/>
      <c r="CN741" s="1065"/>
      <c r="CO741" s="1065"/>
      <c r="CP741" s="1065"/>
      <c r="CQ741" s="1065"/>
      <c r="CR741" s="1065"/>
      <c r="CS741" s="1065"/>
      <c r="CT741" s="1065"/>
      <c r="CU741" s="1065"/>
      <c r="CV741" s="1065"/>
      <c r="CW741" s="1065"/>
      <c r="CX741" s="1065"/>
      <c r="CY741" s="1065"/>
      <c r="CZ741" s="1065"/>
      <c r="DA741" s="1065"/>
      <c r="DB741" s="1065"/>
    </row>
    <row r="742" spans="1:106" ht="15" customHeight="1">
      <c r="A742" s="1065"/>
      <c r="B742" s="1065"/>
      <c r="C742" s="1065"/>
      <c r="D742" s="1065"/>
      <c r="E742" s="1065"/>
      <c r="F742" s="1065"/>
      <c r="G742" s="1065"/>
      <c r="H742" s="1223"/>
      <c r="I742" s="1223"/>
      <c r="J742" s="1224"/>
      <c r="K742" s="1224"/>
      <c r="L742" s="1224"/>
      <c r="M742" s="1225"/>
      <c r="N742" s="1225"/>
      <c r="O742" s="1226"/>
      <c r="P742" s="1227"/>
      <c r="Q742" s="1227"/>
      <c r="R742" s="1228"/>
      <c r="S742" s="1224"/>
      <c r="T742" s="1229"/>
      <c r="U742" s="1065"/>
      <c r="V742" s="1065"/>
      <c r="W742" s="1065"/>
      <c r="X742" s="1065"/>
      <c r="Y742" s="1065"/>
      <c r="Z742" s="1065"/>
      <c r="AA742" s="1065"/>
      <c r="AB742" s="1065"/>
      <c r="AC742" s="1065"/>
      <c r="AD742" s="1065"/>
      <c r="AE742" s="1065"/>
      <c r="AF742" s="1065"/>
      <c r="AG742" s="1065"/>
      <c r="AH742" s="1065"/>
      <c r="AI742" s="1065"/>
      <c r="AJ742" s="1065"/>
      <c r="AK742" s="1065"/>
      <c r="AL742" s="1065"/>
      <c r="AM742" s="1065"/>
      <c r="AN742" s="1065"/>
      <c r="AO742" s="1065"/>
      <c r="AP742" s="1065"/>
      <c r="AQ742" s="1065"/>
      <c r="AR742" s="1065"/>
      <c r="AS742" s="1065"/>
      <c r="AT742" s="1065"/>
      <c r="AU742" s="1065"/>
      <c r="AV742" s="1065"/>
      <c r="AW742" s="1065"/>
      <c r="AX742" s="1065"/>
      <c r="AY742" s="1065"/>
      <c r="AZ742" s="1065"/>
      <c r="BA742" s="1065"/>
      <c r="BB742" s="1065"/>
      <c r="BC742" s="1065"/>
      <c r="BD742" s="1065"/>
      <c r="BE742" s="1065"/>
      <c r="BF742" s="1065"/>
      <c r="BG742" s="1065"/>
      <c r="BH742" s="1065"/>
      <c r="BI742" s="1065"/>
      <c r="BJ742" s="1065"/>
      <c r="BK742" s="1065"/>
      <c r="BL742" s="1065"/>
      <c r="BM742" s="1065"/>
      <c r="BN742" s="1065"/>
      <c r="BO742" s="1065"/>
      <c r="BP742" s="1065"/>
      <c r="BQ742" s="1065"/>
      <c r="BR742" s="1065"/>
      <c r="BS742" s="1065"/>
      <c r="BT742" s="1065"/>
      <c r="BU742" s="1065"/>
      <c r="BV742" s="1065"/>
      <c r="BW742" s="1065"/>
      <c r="BX742" s="1065"/>
      <c r="BY742" s="1065"/>
      <c r="BZ742" s="1065"/>
      <c r="CA742" s="1065"/>
      <c r="CB742" s="1065"/>
      <c r="CC742" s="1065"/>
      <c r="CD742" s="1065"/>
      <c r="CE742" s="1065"/>
      <c r="CF742" s="1065"/>
      <c r="CG742" s="1065"/>
      <c r="CH742" s="1065"/>
      <c r="CI742" s="1065"/>
      <c r="CJ742" s="1065"/>
      <c r="CK742" s="1065"/>
      <c r="CL742" s="1065"/>
      <c r="CM742" s="1065"/>
      <c r="CN742" s="1065"/>
      <c r="CO742" s="1065"/>
      <c r="CP742" s="1065"/>
      <c r="CQ742" s="1065"/>
      <c r="CR742" s="1065"/>
      <c r="CS742" s="1065"/>
      <c r="CT742" s="1065"/>
      <c r="CU742" s="1065"/>
      <c r="CV742" s="1065"/>
      <c r="CW742" s="1065"/>
      <c r="CX742" s="1065"/>
      <c r="CY742" s="1065"/>
      <c r="CZ742" s="1065"/>
      <c r="DA742" s="1065"/>
      <c r="DB742" s="1065"/>
    </row>
    <row r="743" spans="1:106" ht="15" customHeight="1">
      <c r="A743" s="1065"/>
      <c r="B743" s="1065"/>
      <c r="C743" s="1065"/>
      <c r="D743" s="1065"/>
      <c r="E743" s="1065"/>
      <c r="F743" s="1065"/>
      <c r="G743" s="1065"/>
      <c r="H743" s="1223"/>
      <c r="I743" s="1223"/>
      <c r="J743" s="1224"/>
      <c r="K743" s="1224"/>
      <c r="L743" s="1224"/>
      <c r="M743" s="1225"/>
      <c r="N743" s="1225"/>
      <c r="O743" s="1226"/>
      <c r="P743" s="1227"/>
      <c r="Q743" s="1227"/>
      <c r="R743" s="1228"/>
      <c r="S743" s="1224"/>
      <c r="T743" s="1229"/>
      <c r="U743" s="1065"/>
      <c r="V743" s="1065"/>
      <c r="W743" s="1065"/>
      <c r="X743" s="1065"/>
      <c r="Y743" s="1065"/>
      <c r="Z743" s="1065"/>
      <c r="AA743" s="1065"/>
      <c r="AB743" s="1065"/>
      <c r="AC743" s="1065"/>
      <c r="AD743" s="1065"/>
      <c r="AE743" s="1065"/>
      <c r="AF743" s="1065"/>
      <c r="AG743" s="1065"/>
      <c r="AH743" s="1065"/>
      <c r="AI743" s="1065"/>
      <c r="AJ743" s="1065"/>
      <c r="AK743" s="1065"/>
      <c r="AL743" s="1065"/>
      <c r="AM743" s="1065"/>
      <c r="AN743" s="1065"/>
      <c r="AO743" s="1065"/>
      <c r="AP743" s="1065"/>
      <c r="AQ743" s="1065"/>
      <c r="AR743" s="1065"/>
      <c r="AS743" s="1065"/>
      <c r="AT743" s="1065"/>
      <c r="AU743" s="1065"/>
      <c r="AV743" s="1065"/>
      <c r="AW743" s="1065"/>
      <c r="AX743" s="1065"/>
      <c r="AY743" s="1065"/>
      <c r="AZ743" s="1065"/>
      <c r="BA743" s="1065"/>
      <c r="BB743" s="1065"/>
      <c r="BC743" s="1065"/>
      <c r="BD743" s="1065"/>
      <c r="BE743" s="1065"/>
      <c r="BF743" s="1065"/>
      <c r="BG743" s="1065"/>
      <c r="BH743" s="1065"/>
      <c r="BI743" s="1065"/>
      <c r="BJ743" s="1065"/>
      <c r="BK743" s="1065"/>
      <c r="BL743" s="1065"/>
      <c r="BM743" s="1065"/>
      <c r="BN743" s="1065"/>
      <c r="BO743" s="1065"/>
      <c r="BP743" s="1065"/>
      <c r="BQ743" s="1065"/>
      <c r="BR743" s="1065"/>
      <c r="BS743" s="1065"/>
      <c r="BT743" s="1065"/>
      <c r="BU743" s="1065"/>
      <c r="BV743" s="1065"/>
      <c r="BW743" s="1065"/>
      <c r="BX743" s="1065"/>
      <c r="BY743" s="1065"/>
      <c r="BZ743" s="1065"/>
      <c r="CA743" s="1065"/>
      <c r="CB743" s="1065"/>
      <c r="CC743" s="1065"/>
      <c r="CD743" s="1065"/>
      <c r="CE743" s="1065"/>
      <c r="CF743" s="1065"/>
      <c r="CG743" s="1065"/>
      <c r="CH743" s="1065"/>
      <c r="CI743" s="1065"/>
      <c r="CJ743" s="1065"/>
      <c r="CK743" s="1065"/>
      <c r="CL743" s="1065"/>
      <c r="CM743" s="1065"/>
      <c r="CN743" s="1065"/>
      <c r="CO743" s="1065"/>
      <c r="CP743" s="1065"/>
      <c r="CQ743" s="1065"/>
      <c r="CR743" s="1065"/>
      <c r="CS743" s="1065"/>
      <c r="CT743" s="1065"/>
      <c r="CU743" s="1065"/>
      <c r="CV743" s="1065"/>
      <c r="CW743" s="1065"/>
      <c r="CX743" s="1065"/>
      <c r="CY743" s="1065"/>
      <c r="CZ743" s="1065"/>
      <c r="DA743" s="1065"/>
      <c r="DB743" s="1065"/>
    </row>
    <row r="744" spans="1:106" ht="15" customHeight="1">
      <c r="A744" s="1065"/>
      <c r="B744" s="1065"/>
      <c r="C744" s="1065"/>
      <c r="D744" s="1065"/>
      <c r="E744" s="1065"/>
      <c r="F744" s="1065"/>
      <c r="G744" s="1065"/>
      <c r="H744" s="1223"/>
      <c r="I744" s="1223"/>
      <c r="J744" s="1224"/>
      <c r="K744" s="1224"/>
      <c r="L744" s="1224"/>
      <c r="M744" s="1225"/>
      <c r="N744" s="1225"/>
      <c r="O744" s="1226"/>
      <c r="P744" s="1227"/>
      <c r="Q744" s="1227"/>
      <c r="R744" s="1228"/>
      <c r="S744" s="1224"/>
      <c r="T744" s="1229"/>
      <c r="U744" s="1065"/>
      <c r="V744" s="1065"/>
      <c r="W744" s="1065"/>
      <c r="X744" s="1065"/>
      <c r="Y744" s="1065"/>
      <c r="Z744" s="1065"/>
      <c r="AA744" s="1065"/>
      <c r="AB744" s="1065"/>
      <c r="AC744" s="1065"/>
      <c r="AD744" s="1065"/>
      <c r="AE744" s="1065"/>
      <c r="AF744" s="1065"/>
      <c r="AG744" s="1065"/>
      <c r="AH744" s="1065"/>
      <c r="AI744" s="1065"/>
      <c r="AJ744" s="1065"/>
      <c r="AK744" s="1065"/>
      <c r="AL744" s="1065"/>
      <c r="AM744" s="1065"/>
      <c r="AN744" s="1065"/>
      <c r="AO744" s="1065"/>
      <c r="AP744" s="1065"/>
      <c r="AQ744" s="1065"/>
      <c r="AR744" s="1065"/>
      <c r="AS744" s="1065"/>
      <c r="AT744" s="1065"/>
      <c r="AU744" s="1065"/>
      <c r="AV744" s="1065"/>
      <c r="AW744" s="1065"/>
      <c r="AX744" s="1065"/>
      <c r="AY744" s="1065"/>
      <c r="AZ744" s="1065"/>
      <c r="BA744" s="1065"/>
      <c r="BB744" s="1065"/>
      <c r="BC744" s="1065"/>
      <c r="BD744" s="1065"/>
      <c r="BE744" s="1065"/>
      <c r="BF744" s="1065"/>
      <c r="BG744" s="1065"/>
      <c r="BH744" s="1065"/>
      <c r="BI744" s="1065"/>
      <c r="BJ744" s="1065"/>
      <c r="BK744" s="1065"/>
      <c r="BL744" s="1065"/>
      <c r="BM744" s="1065"/>
      <c r="BN744" s="1065"/>
      <c r="BO744" s="1065"/>
      <c r="BP744" s="1065"/>
      <c r="BQ744" s="1065"/>
      <c r="BR744" s="1065"/>
      <c r="BS744" s="1065"/>
      <c r="BT744" s="1065"/>
      <c r="BU744" s="1065"/>
      <c r="BV744" s="1065"/>
      <c r="BW744" s="1065"/>
      <c r="BX744" s="1065"/>
      <c r="BY744" s="1065"/>
      <c r="BZ744" s="1065"/>
      <c r="CA744" s="1065"/>
      <c r="CB744" s="1065"/>
      <c r="CC744" s="1065"/>
      <c r="CD744" s="1065"/>
      <c r="CE744" s="1065"/>
      <c r="CF744" s="1065"/>
      <c r="CG744" s="1065"/>
      <c r="CH744" s="1065"/>
      <c r="CI744" s="1065"/>
      <c r="CJ744" s="1065"/>
      <c r="CK744" s="1065"/>
      <c r="CL744" s="1065"/>
      <c r="CM744" s="1065"/>
      <c r="CN744" s="1065"/>
      <c r="CO744" s="1065"/>
      <c r="CP744" s="1065"/>
      <c r="CQ744" s="1065"/>
      <c r="CR744" s="1065"/>
      <c r="CS744" s="1065"/>
      <c r="CT744" s="1065"/>
      <c r="CU744" s="1065"/>
      <c r="CV744" s="1065"/>
      <c r="CW744" s="1065"/>
      <c r="CX744" s="1065"/>
      <c r="CY744" s="1065"/>
      <c r="CZ744" s="1065"/>
      <c r="DA744" s="1065"/>
      <c r="DB744" s="1065"/>
    </row>
    <row r="745" spans="1:106" ht="15" customHeight="1">
      <c r="A745" s="1065"/>
      <c r="B745" s="1065"/>
      <c r="C745" s="1065"/>
      <c r="D745" s="1065"/>
      <c r="E745" s="1065"/>
      <c r="F745" s="1065"/>
      <c r="G745" s="1065"/>
      <c r="H745" s="1223"/>
      <c r="I745" s="1223"/>
      <c r="J745" s="1224"/>
      <c r="K745" s="1224"/>
      <c r="L745" s="1224"/>
      <c r="M745" s="1225"/>
      <c r="N745" s="1225"/>
      <c r="O745" s="1226"/>
      <c r="P745" s="1227"/>
      <c r="Q745" s="1227"/>
      <c r="R745" s="1228"/>
      <c r="S745" s="1224"/>
      <c r="T745" s="1229"/>
      <c r="U745" s="1065"/>
      <c r="V745" s="1065"/>
      <c r="W745" s="1065"/>
      <c r="X745" s="1065"/>
      <c r="Y745" s="1065"/>
      <c r="Z745" s="1065"/>
      <c r="AA745" s="1065"/>
      <c r="AB745" s="1065"/>
      <c r="AC745" s="1065"/>
      <c r="AD745" s="1065"/>
      <c r="AE745" s="1065"/>
      <c r="AF745" s="1065"/>
      <c r="AG745" s="1065"/>
      <c r="AH745" s="1065"/>
      <c r="AI745" s="1065"/>
      <c r="AJ745" s="1065"/>
      <c r="AK745" s="1065"/>
      <c r="AL745" s="1065"/>
      <c r="AM745" s="1065"/>
      <c r="AN745" s="1065"/>
      <c r="AO745" s="1065"/>
      <c r="AP745" s="1065"/>
      <c r="AQ745" s="1065"/>
      <c r="AR745" s="1065"/>
      <c r="AS745" s="1065"/>
      <c r="AT745" s="1065"/>
      <c r="AU745" s="1065"/>
      <c r="AV745" s="1065"/>
      <c r="AW745" s="1065"/>
      <c r="AX745" s="1065"/>
      <c r="AY745" s="1065"/>
      <c r="AZ745" s="1065"/>
      <c r="BA745" s="1065"/>
      <c r="BB745" s="1065"/>
      <c r="BC745" s="1065"/>
      <c r="BD745" s="1065"/>
      <c r="BE745" s="1065"/>
      <c r="BF745" s="1065"/>
      <c r="BG745" s="1065"/>
      <c r="BH745" s="1065"/>
      <c r="BI745" s="1065"/>
      <c r="BJ745" s="1065"/>
      <c r="BK745" s="1065"/>
      <c r="BL745" s="1065"/>
      <c r="BM745" s="1065"/>
      <c r="BN745" s="1065"/>
      <c r="BO745" s="1065"/>
      <c r="BP745" s="1065"/>
      <c r="BQ745" s="1065"/>
      <c r="BR745" s="1065"/>
      <c r="BS745" s="1065"/>
      <c r="BT745" s="1065"/>
      <c r="BU745" s="1065"/>
      <c r="BV745" s="1065"/>
      <c r="BW745" s="1065"/>
      <c r="BX745" s="1065"/>
      <c r="BY745" s="1065"/>
      <c r="BZ745" s="1065"/>
      <c r="CA745" s="1065"/>
      <c r="CB745" s="1065"/>
      <c r="CC745" s="1065"/>
      <c r="CD745" s="1065"/>
      <c r="CE745" s="1065"/>
      <c r="CF745" s="1065"/>
      <c r="CG745" s="1065"/>
      <c r="CH745" s="1065"/>
      <c r="CI745" s="1065"/>
      <c r="CJ745" s="1065"/>
      <c r="CK745" s="1065"/>
      <c r="CL745" s="1065"/>
      <c r="CM745" s="1065"/>
      <c r="CN745" s="1065"/>
      <c r="CO745" s="1065"/>
      <c r="CP745" s="1065"/>
      <c r="CQ745" s="1065"/>
      <c r="CR745" s="1065"/>
      <c r="CS745" s="1065"/>
      <c r="CT745" s="1065"/>
      <c r="CU745" s="1065"/>
      <c r="CV745" s="1065"/>
      <c r="CW745" s="1065"/>
      <c r="CX745" s="1065"/>
      <c r="CY745" s="1065"/>
      <c r="CZ745" s="1065"/>
      <c r="DA745" s="1065"/>
      <c r="DB745" s="1065"/>
    </row>
    <row r="746" spans="1:106" ht="15" customHeight="1">
      <c r="A746" s="1065"/>
      <c r="B746" s="1065"/>
      <c r="C746" s="1065"/>
      <c r="D746" s="1065"/>
      <c r="E746" s="1065"/>
      <c r="F746" s="1065"/>
      <c r="G746" s="1065"/>
      <c r="H746" s="1223"/>
      <c r="I746" s="1223"/>
      <c r="J746" s="1224"/>
      <c r="K746" s="1224"/>
      <c r="L746" s="1224"/>
      <c r="M746" s="1225"/>
      <c r="N746" s="1225"/>
      <c r="O746" s="1226"/>
      <c r="P746" s="1227"/>
      <c r="Q746" s="1227"/>
      <c r="R746" s="1228"/>
      <c r="S746" s="1224"/>
      <c r="T746" s="1229"/>
      <c r="U746" s="1065"/>
      <c r="V746" s="1065"/>
      <c r="W746" s="1065"/>
      <c r="X746" s="1065"/>
      <c r="Y746" s="1065"/>
      <c r="Z746" s="1065"/>
      <c r="AA746" s="1065"/>
      <c r="AB746" s="1065"/>
      <c r="AC746" s="1065"/>
      <c r="AD746" s="1065"/>
      <c r="AE746" s="1065"/>
      <c r="AF746" s="1065"/>
      <c r="AG746" s="1065"/>
      <c r="AH746" s="1065"/>
      <c r="AI746" s="1065"/>
      <c r="AJ746" s="1065"/>
      <c r="AK746" s="1065"/>
      <c r="AL746" s="1065"/>
      <c r="AM746" s="1065"/>
      <c r="AN746" s="1065"/>
      <c r="AO746" s="1065"/>
      <c r="AP746" s="1065"/>
      <c r="AQ746" s="1065"/>
      <c r="AR746" s="1065"/>
      <c r="AS746" s="1065"/>
      <c r="AT746" s="1065"/>
      <c r="AU746" s="1065"/>
      <c r="AV746" s="1065"/>
      <c r="AW746" s="1065"/>
      <c r="AX746" s="1065"/>
      <c r="AY746" s="1065"/>
      <c r="AZ746" s="1065"/>
      <c r="BA746" s="1065"/>
      <c r="BB746" s="1065"/>
      <c r="BC746" s="1065"/>
      <c r="BD746" s="1065"/>
      <c r="BE746" s="1065"/>
      <c r="BF746" s="1065"/>
      <c r="BG746" s="1065"/>
      <c r="BH746" s="1065"/>
      <c r="BI746" s="1065"/>
      <c r="BJ746" s="1065"/>
      <c r="BK746" s="1065"/>
      <c r="BL746" s="1065"/>
      <c r="BM746" s="1065"/>
      <c r="BN746" s="1065"/>
      <c r="BO746" s="1065"/>
      <c r="BP746" s="1065"/>
      <c r="BQ746" s="1065"/>
      <c r="BR746" s="1065"/>
      <c r="BS746" s="1065"/>
      <c r="BT746" s="1065"/>
      <c r="BU746" s="1065"/>
      <c r="BV746" s="1065"/>
      <c r="BW746" s="1065"/>
      <c r="BX746" s="1065"/>
      <c r="BY746" s="1065"/>
      <c r="BZ746" s="1065"/>
      <c r="CA746" s="1065"/>
      <c r="CB746" s="1065"/>
      <c r="CC746" s="1065"/>
      <c r="CD746" s="1065"/>
      <c r="CE746" s="1065"/>
      <c r="CF746" s="1065"/>
      <c r="CG746" s="1065"/>
      <c r="CH746" s="1065"/>
      <c r="CI746" s="1065"/>
      <c r="CJ746" s="1065"/>
      <c r="CK746" s="1065"/>
      <c r="CL746" s="1065"/>
      <c r="CM746" s="1065"/>
      <c r="CN746" s="1065"/>
      <c r="CO746" s="1065"/>
      <c r="CP746" s="1065"/>
      <c r="CQ746" s="1065"/>
      <c r="CR746" s="1065"/>
      <c r="CS746" s="1065"/>
      <c r="CT746" s="1065"/>
      <c r="CU746" s="1065"/>
      <c r="CV746" s="1065"/>
      <c r="CW746" s="1065"/>
      <c r="CX746" s="1065"/>
      <c r="CY746" s="1065"/>
      <c r="CZ746" s="1065"/>
      <c r="DA746" s="1065"/>
      <c r="DB746" s="1065"/>
    </row>
    <row r="747" spans="1:106" ht="15" customHeight="1">
      <c r="A747" s="1065"/>
      <c r="B747" s="1065"/>
      <c r="C747" s="1065"/>
      <c r="D747" s="1065"/>
      <c r="E747" s="1065"/>
      <c r="F747" s="1065"/>
      <c r="G747" s="1065"/>
      <c r="H747" s="1223"/>
      <c r="I747" s="1223"/>
      <c r="J747" s="1224"/>
      <c r="K747" s="1224"/>
      <c r="L747" s="1224"/>
      <c r="M747" s="1225"/>
      <c r="N747" s="1225"/>
      <c r="O747" s="1226"/>
      <c r="P747" s="1227"/>
      <c r="Q747" s="1227"/>
      <c r="R747" s="1228"/>
      <c r="S747" s="1224"/>
      <c r="T747" s="1229"/>
      <c r="U747" s="1065"/>
      <c r="V747" s="1065"/>
      <c r="W747" s="1065"/>
      <c r="X747" s="1065"/>
      <c r="Y747" s="1065"/>
      <c r="Z747" s="1065"/>
      <c r="AA747" s="1065"/>
      <c r="AB747" s="1065"/>
      <c r="AC747" s="1065"/>
      <c r="AD747" s="1065"/>
      <c r="AE747" s="1065"/>
      <c r="AF747" s="1065"/>
      <c r="AG747" s="1065"/>
      <c r="AH747" s="1065"/>
      <c r="AI747" s="1065"/>
      <c r="AJ747" s="1065"/>
      <c r="AK747" s="1065"/>
      <c r="AL747" s="1065"/>
      <c r="AM747" s="1065"/>
      <c r="AN747" s="1065"/>
      <c r="AO747" s="1065"/>
      <c r="AP747" s="1065"/>
      <c r="AQ747" s="1065"/>
      <c r="AR747" s="1065"/>
      <c r="AS747" s="1065"/>
      <c r="AT747" s="1065"/>
      <c r="AU747" s="1065"/>
      <c r="AV747" s="1065"/>
      <c r="AW747" s="1065"/>
      <c r="AX747" s="1065"/>
      <c r="AY747" s="1065"/>
      <c r="AZ747" s="1065"/>
      <c r="BA747" s="1065"/>
      <c r="BB747" s="1065"/>
      <c r="BC747" s="1065"/>
      <c r="BD747" s="1065"/>
      <c r="BE747" s="1065"/>
      <c r="BF747" s="1065"/>
      <c r="BG747" s="1065"/>
      <c r="BH747" s="1065"/>
      <c r="BI747" s="1065"/>
      <c r="BJ747" s="1065"/>
      <c r="BK747" s="1065"/>
      <c r="BL747" s="1065"/>
      <c r="BM747" s="1065"/>
      <c r="BN747" s="1065"/>
      <c r="BO747" s="1065"/>
      <c r="BP747" s="1065"/>
      <c r="BQ747" s="1065"/>
      <c r="BR747" s="1065"/>
      <c r="BS747" s="1065"/>
      <c r="BT747" s="1065"/>
      <c r="BU747" s="1065"/>
      <c r="BV747" s="1065"/>
      <c r="BW747" s="1065"/>
      <c r="BX747" s="1065"/>
      <c r="BY747" s="1065"/>
      <c r="BZ747" s="1065"/>
      <c r="CA747" s="1065"/>
      <c r="CB747" s="1065"/>
      <c r="CC747" s="1065"/>
      <c r="CD747" s="1065"/>
      <c r="CE747" s="1065"/>
      <c r="CF747" s="1065"/>
      <c r="CG747" s="1065"/>
      <c r="CH747" s="1065"/>
      <c r="CI747" s="1065"/>
      <c r="CJ747" s="1065"/>
      <c r="CK747" s="1065"/>
      <c r="CL747" s="1065"/>
      <c r="CM747" s="1065"/>
      <c r="CN747" s="1065"/>
      <c r="CO747" s="1065"/>
      <c r="CP747" s="1065"/>
      <c r="CQ747" s="1065"/>
      <c r="CR747" s="1065"/>
      <c r="CS747" s="1065"/>
      <c r="CT747" s="1065"/>
      <c r="CU747" s="1065"/>
      <c r="CV747" s="1065"/>
      <c r="CW747" s="1065"/>
      <c r="CX747" s="1065"/>
      <c r="CY747" s="1065"/>
      <c r="CZ747" s="1065"/>
      <c r="DA747" s="1065"/>
      <c r="DB747" s="1065"/>
    </row>
    <row r="748" spans="1:106" ht="15" customHeight="1">
      <c r="A748" s="1065"/>
      <c r="B748" s="1065"/>
      <c r="C748" s="1065"/>
      <c r="D748" s="1065"/>
      <c r="E748" s="1065"/>
      <c r="F748" s="1065"/>
      <c r="G748" s="1065"/>
      <c r="H748" s="1223"/>
      <c r="I748" s="1223"/>
      <c r="J748" s="1224"/>
      <c r="K748" s="1224"/>
      <c r="L748" s="1224"/>
      <c r="M748" s="1225"/>
      <c r="N748" s="1225"/>
      <c r="O748" s="1226"/>
      <c r="P748" s="1227"/>
      <c r="Q748" s="1227"/>
      <c r="R748" s="1228"/>
      <c r="S748" s="1224"/>
      <c r="T748" s="1229"/>
      <c r="U748" s="1065"/>
      <c r="V748" s="1065"/>
      <c r="W748" s="1065"/>
      <c r="X748" s="1065"/>
      <c r="Y748" s="1065"/>
      <c r="Z748" s="1065"/>
      <c r="AA748" s="1065"/>
      <c r="AB748" s="1065"/>
      <c r="AC748" s="1065"/>
      <c r="AD748" s="1065"/>
      <c r="AE748" s="1065"/>
      <c r="AF748" s="1065"/>
      <c r="AG748" s="1065"/>
      <c r="AH748" s="1065"/>
      <c r="AI748" s="1065"/>
      <c r="AJ748" s="1065"/>
      <c r="AK748" s="1065"/>
      <c r="AL748" s="1065"/>
      <c r="AM748" s="1065"/>
      <c r="AN748" s="1065"/>
      <c r="AO748" s="1065"/>
      <c r="AP748" s="1065"/>
      <c r="AQ748" s="1065"/>
      <c r="AR748" s="1065"/>
      <c r="AS748" s="1065"/>
      <c r="AT748" s="1065"/>
      <c r="AU748" s="1065"/>
      <c r="AV748" s="1065"/>
      <c r="AW748" s="1065"/>
      <c r="AX748" s="1065"/>
      <c r="AY748" s="1065"/>
      <c r="AZ748" s="1065"/>
      <c r="BA748" s="1065"/>
      <c r="BB748" s="1065"/>
      <c r="BC748" s="1065"/>
      <c r="BD748" s="1065"/>
      <c r="BE748" s="1065"/>
      <c r="BF748" s="1065"/>
      <c r="BG748" s="1065"/>
      <c r="BH748" s="1065"/>
      <c r="BI748" s="1065"/>
      <c r="BJ748" s="1065"/>
      <c r="BK748" s="1065"/>
      <c r="BL748" s="1065"/>
      <c r="BM748" s="1065"/>
      <c r="BN748" s="1065"/>
      <c r="BO748" s="1065"/>
      <c r="BP748" s="1065"/>
      <c r="BQ748" s="1065"/>
      <c r="BR748" s="1065"/>
      <c r="BS748" s="1065"/>
      <c r="BT748" s="1065"/>
      <c r="BU748" s="1065"/>
      <c r="BV748" s="1065"/>
      <c r="BW748" s="1065"/>
      <c r="BX748" s="1065"/>
      <c r="BY748" s="1065"/>
      <c r="BZ748" s="1065"/>
      <c r="CA748" s="1065"/>
      <c r="CB748" s="1065"/>
      <c r="CC748" s="1065"/>
      <c r="CD748" s="1065"/>
      <c r="CE748" s="1065"/>
      <c r="CF748" s="1065"/>
      <c r="CG748" s="1065"/>
      <c r="CH748" s="1065"/>
      <c r="CI748" s="1065"/>
      <c r="CJ748" s="1065"/>
      <c r="CK748" s="1065"/>
      <c r="CL748" s="1065"/>
      <c r="CM748" s="1065"/>
      <c r="CN748" s="1065"/>
      <c r="CO748" s="1065"/>
      <c r="CP748" s="1065"/>
      <c r="CQ748" s="1065"/>
      <c r="CR748" s="1065"/>
      <c r="CS748" s="1065"/>
      <c r="CT748" s="1065"/>
      <c r="CU748" s="1065"/>
      <c r="CV748" s="1065"/>
      <c r="CW748" s="1065"/>
      <c r="CX748" s="1065"/>
      <c r="CY748" s="1065"/>
      <c r="CZ748" s="1065"/>
      <c r="DA748" s="1065"/>
      <c r="DB748" s="1065"/>
    </row>
    <row r="749" spans="1:106" ht="15" customHeight="1">
      <c r="A749" s="1065"/>
      <c r="B749" s="1065"/>
      <c r="C749" s="1065"/>
      <c r="D749" s="1065"/>
      <c r="E749" s="1065"/>
      <c r="F749" s="1065"/>
      <c r="G749" s="1065"/>
      <c r="H749" s="1223"/>
      <c r="I749" s="1223"/>
      <c r="J749" s="1224"/>
      <c r="K749" s="1224"/>
      <c r="L749" s="1224"/>
      <c r="M749" s="1225"/>
      <c r="N749" s="1225"/>
      <c r="O749" s="1226"/>
      <c r="P749" s="1227"/>
      <c r="Q749" s="1227"/>
      <c r="R749" s="1228"/>
      <c r="S749" s="1224"/>
      <c r="T749" s="1229"/>
      <c r="U749" s="1065"/>
      <c r="V749" s="1065"/>
      <c r="W749" s="1065"/>
      <c r="X749" s="1065"/>
      <c r="Y749" s="1065"/>
      <c r="Z749" s="1065"/>
      <c r="AA749" s="1065"/>
      <c r="AB749" s="1065"/>
      <c r="AC749" s="1065"/>
      <c r="AD749" s="1065"/>
      <c r="AE749" s="1065"/>
      <c r="AF749" s="1065"/>
      <c r="AG749" s="1065"/>
      <c r="AH749" s="1065"/>
      <c r="AI749" s="1065"/>
      <c r="AJ749" s="1065"/>
      <c r="AK749" s="1065"/>
      <c r="AL749" s="1065"/>
      <c r="AM749" s="1065"/>
      <c r="AN749" s="1065"/>
      <c r="AO749" s="1065"/>
      <c r="AP749" s="1065"/>
      <c r="AQ749" s="1065"/>
      <c r="AR749" s="1065"/>
      <c r="AS749" s="1065"/>
      <c r="AT749" s="1065"/>
      <c r="AU749" s="1065"/>
      <c r="AV749" s="1065"/>
      <c r="AW749" s="1065"/>
      <c r="AX749" s="1065"/>
      <c r="AY749" s="1065"/>
      <c r="AZ749" s="1065"/>
      <c r="BA749" s="1065"/>
      <c r="BB749" s="1065"/>
      <c r="BC749" s="1065"/>
      <c r="BD749" s="1065"/>
      <c r="BE749" s="1065"/>
      <c r="BF749" s="1065"/>
      <c r="BG749" s="1065"/>
      <c r="BH749" s="1065"/>
      <c r="BI749" s="1065"/>
      <c r="BJ749" s="1065"/>
      <c r="BK749" s="1065"/>
      <c r="BL749" s="1065"/>
      <c r="BM749" s="1065"/>
      <c r="BN749" s="1065"/>
      <c r="BO749" s="1065"/>
      <c r="BP749" s="1065"/>
      <c r="BQ749" s="1065"/>
      <c r="BR749" s="1065"/>
      <c r="BS749" s="1065"/>
      <c r="BT749" s="1065"/>
      <c r="BU749" s="1065"/>
      <c r="BV749" s="1065"/>
      <c r="BW749" s="1065"/>
      <c r="BX749" s="1065"/>
      <c r="BY749" s="1065"/>
      <c r="BZ749" s="1065"/>
      <c r="CA749" s="1065"/>
      <c r="CB749" s="1065"/>
      <c r="CC749" s="1065"/>
      <c r="CD749" s="1065"/>
      <c r="CE749" s="1065"/>
      <c r="CF749" s="1065"/>
      <c r="CG749" s="1065"/>
      <c r="CH749" s="1065"/>
      <c r="CI749" s="1065"/>
      <c r="CJ749" s="1065"/>
      <c r="CK749" s="1065"/>
      <c r="CL749" s="1065"/>
      <c r="CM749" s="1065"/>
      <c r="CN749" s="1065"/>
      <c r="CO749" s="1065"/>
      <c r="CP749" s="1065"/>
      <c r="CQ749" s="1065"/>
      <c r="CR749" s="1065"/>
      <c r="CS749" s="1065"/>
      <c r="CT749" s="1065"/>
      <c r="CU749" s="1065"/>
      <c r="CV749" s="1065"/>
      <c r="CW749" s="1065"/>
      <c r="CX749" s="1065"/>
      <c r="CY749" s="1065"/>
      <c r="CZ749" s="1065"/>
      <c r="DA749" s="1065"/>
      <c r="DB749" s="1065"/>
    </row>
    <row r="750" spans="1:106" ht="15" customHeight="1">
      <c r="A750" s="1065"/>
      <c r="B750" s="1065"/>
      <c r="C750" s="1065"/>
      <c r="D750" s="1065"/>
      <c r="E750" s="1065"/>
      <c r="F750" s="1065"/>
      <c r="G750" s="1065"/>
      <c r="H750" s="1223"/>
      <c r="I750" s="1223"/>
      <c r="J750" s="1224"/>
      <c r="K750" s="1224"/>
      <c r="L750" s="1224"/>
      <c r="M750" s="1225"/>
      <c r="N750" s="1225"/>
      <c r="O750" s="1226"/>
      <c r="P750" s="1227"/>
      <c r="Q750" s="1227"/>
      <c r="R750" s="1228"/>
      <c r="S750" s="1224"/>
      <c r="T750" s="1229"/>
      <c r="U750" s="1065"/>
      <c r="V750" s="1065"/>
      <c r="W750" s="1065"/>
      <c r="X750" s="1065"/>
      <c r="Y750" s="1065"/>
      <c r="Z750" s="1065"/>
      <c r="AA750" s="1065"/>
      <c r="AB750" s="1065"/>
      <c r="AC750" s="1065"/>
      <c r="AD750" s="1065"/>
      <c r="AE750" s="1065"/>
      <c r="AF750" s="1065"/>
      <c r="AG750" s="1065"/>
      <c r="AH750" s="1065"/>
      <c r="AI750" s="1065"/>
      <c r="AJ750" s="1065"/>
      <c r="AK750" s="1065"/>
      <c r="AL750" s="1065"/>
      <c r="AM750" s="1065"/>
      <c r="AN750" s="1065"/>
      <c r="AO750" s="1065"/>
      <c r="AP750" s="1065"/>
      <c r="AQ750" s="1065"/>
      <c r="AR750" s="1065"/>
      <c r="AS750" s="1065"/>
      <c r="AT750" s="1065"/>
      <c r="AU750" s="1065"/>
      <c r="AV750" s="1065"/>
      <c r="AW750" s="1065"/>
      <c r="AX750" s="1065"/>
      <c r="AY750" s="1065"/>
      <c r="AZ750" s="1065"/>
      <c r="BA750" s="1065"/>
      <c r="BB750" s="1065"/>
      <c r="BC750" s="1065"/>
      <c r="BD750" s="1065"/>
      <c r="BE750" s="1065"/>
      <c r="BF750" s="1065"/>
      <c r="BG750" s="1065"/>
      <c r="BH750" s="1065"/>
      <c r="BI750" s="1065"/>
      <c r="BJ750" s="1065"/>
      <c r="BK750" s="1065"/>
      <c r="BL750" s="1065"/>
      <c r="BM750" s="1065"/>
      <c r="BN750" s="1065"/>
      <c r="BO750" s="1065"/>
      <c r="BP750" s="1065"/>
      <c r="BQ750" s="1065"/>
      <c r="BR750" s="1065"/>
      <c r="BS750" s="1065"/>
      <c r="BT750" s="1065"/>
      <c r="BU750" s="1065"/>
      <c r="BV750" s="1065"/>
      <c r="BW750" s="1065"/>
      <c r="BX750" s="1065"/>
      <c r="BY750" s="1065"/>
      <c r="BZ750" s="1065"/>
      <c r="CA750" s="1065"/>
      <c r="CB750" s="1065"/>
      <c r="CC750" s="1065"/>
      <c r="CD750" s="1065"/>
      <c r="CE750" s="1065"/>
      <c r="CF750" s="1065"/>
      <c r="CG750" s="1065"/>
      <c r="CH750" s="1065"/>
      <c r="CI750" s="1065"/>
      <c r="CJ750" s="1065"/>
      <c r="CK750" s="1065"/>
      <c r="CL750" s="1065"/>
      <c r="CM750" s="1065"/>
      <c r="CN750" s="1065"/>
      <c r="CO750" s="1065"/>
      <c r="CP750" s="1065"/>
      <c r="CQ750" s="1065"/>
      <c r="CR750" s="1065"/>
      <c r="CS750" s="1065"/>
      <c r="CT750" s="1065"/>
      <c r="CU750" s="1065"/>
      <c r="CV750" s="1065"/>
      <c r="CW750" s="1065"/>
      <c r="CX750" s="1065"/>
      <c r="CY750" s="1065"/>
      <c r="CZ750" s="1065"/>
      <c r="DA750" s="1065"/>
      <c r="DB750" s="1065"/>
    </row>
    <row r="751" spans="1:106" ht="15" customHeight="1">
      <c r="A751" s="1065"/>
      <c r="B751" s="1065"/>
      <c r="C751" s="1065"/>
      <c r="D751" s="1065"/>
      <c r="E751" s="1065"/>
      <c r="F751" s="1065"/>
      <c r="G751" s="1065"/>
      <c r="H751" s="1223"/>
      <c r="I751" s="1223"/>
      <c r="J751" s="1224"/>
      <c r="K751" s="1224"/>
      <c r="L751" s="1224"/>
      <c r="M751" s="1225"/>
      <c r="N751" s="1225"/>
      <c r="O751" s="1226"/>
      <c r="P751" s="1227"/>
      <c r="Q751" s="1227"/>
      <c r="R751" s="1228"/>
      <c r="S751" s="1224"/>
      <c r="T751" s="1229"/>
      <c r="U751" s="1065"/>
      <c r="V751" s="1065"/>
      <c r="W751" s="1065"/>
      <c r="X751" s="1065"/>
      <c r="Y751" s="1065"/>
      <c r="Z751" s="1065"/>
      <c r="AA751" s="1065"/>
      <c r="AB751" s="1065"/>
      <c r="AC751" s="1065"/>
      <c r="AD751" s="1065"/>
      <c r="AE751" s="1065"/>
      <c r="AF751" s="1065"/>
      <c r="AG751" s="1065"/>
      <c r="AH751" s="1065"/>
      <c r="AI751" s="1065"/>
      <c r="AJ751" s="1065"/>
      <c r="AK751" s="1065"/>
      <c r="AL751" s="1065"/>
      <c r="AM751" s="1065"/>
      <c r="AN751" s="1065"/>
      <c r="AO751" s="1065"/>
      <c r="AP751" s="1065"/>
      <c r="AQ751" s="1065"/>
      <c r="AR751" s="1065"/>
      <c r="AS751" s="1065"/>
      <c r="AT751" s="1065"/>
      <c r="AU751" s="1065"/>
      <c r="AV751" s="1065"/>
      <c r="AW751" s="1065"/>
      <c r="AX751" s="1065"/>
      <c r="AY751" s="1065"/>
      <c r="AZ751" s="1065"/>
      <c r="BA751" s="1065"/>
      <c r="BB751" s="1065"/>
      <c r="BC751" s="1065"/>
      <c r="BD751" s="1065"/>
      <c r="BE751" s="1065"/>
      <c r="BF751" s="1065"/>
      <c r="BG751" s="1065"/>
      <c r="BH751" s="1065"/>
      <c r="BI751" s="1065"/>
      <c r="BJ751" s="1065"/>
      <c r="BK751" s="1065"/>
      <c r="BL751" s="1065"/>
      <c r="BM751" s="1065"/>
      <c r="BN751" s="1065"/>
      <c r="BO751" s="1065"/>
      <c r="BP751" s="1065"/>
      <c r="BQ751" s="1065"/>
      <c r="BR751" s="1065"/>
      <c r="BS751" s="1065"/>
      <c r="BT751" s="1065"/>
      <c r="BU751" s="1065"/>
      <c r="BV751" s="1065"/>
      <c r="BW751" s="1065"/>
      <c r="BX751" s="1065"/>
      <c r="BY751" s="1065"/>
      <c r="BZ751" s="1065"/>
      <c r="CA751" s="1065"/>
      <c r="CB751" s="1065"/>
      <c r="CC751" s="1065"/>
      <c r="CD751" s="1065"/>
      <c r="CE751" s="1065"/>
      <c r="CF751" s="1065"/>
      <c r="CG751" s="1065"/>
      <c r="CH751" s="1065"/>
      <c r="CI751" s="1065"/>
      <c r="CJ751" s="1065"/>
      <c r="CK751" s="1065"/>
      <c r="CL751" s="1065"/>
      <c r="CM751" s="1065"/>
      <c r="CN751" s="1065"/>
      <c r="CO751" s="1065"/>
      <c r="CP751" s="1065"/>
      <c r="CQ751" s="1065"/>
      <c r="CR751" s="1065"/>
      <c r="CS751" s="1065"/>
      <c r="CT751" s="1065"/>
      <c r="CU751" s="1065"/>
      <c r="CV751" s="1065"/>
      <c r="CW751" s="1065"/>
      <c r="CX751" s="1065"/>
      <c r="CY751" s="1065"/>
      <c r="CZ751" s="1065"/>
      <c r="DA751" s="1065"/>
      <c r="DB751" s="1065"/>
    </row>
    <row r="752" spans="1:106" ht="15" customHeight="1">
      <c r="A752" s="1065"/>
      <c r="B752" s="1065"/>
      <c r="C752" s="1065"/>
      <c r="D752" s="1065"/>
      <c r="E752" s="1065"/>
      <c r="F752" s="1065"/>
      <c r="G752" s="1065"/>
      <c r="H752" s="1223"/>
      <c r="I752" s="1223"/>
      <c r="J752" s="1224"/>
      <c r="K752" s="1224"/>
      <c r="L752" s="1224"/>
      <c r="M752" s="1225"/>
      <c r="N752" s="1225"/>
      <c r="O752" s="1226"/>
      <c r="P752" s="1227"/>
      <c r="Q752" s="1227"/>
      <c r="R752" s="1228"/>
      <c r="S752" s="1224"/>
      <c r="T752" s="1229"/>
      <c r="U752" s="1065"/>
      <c r="V752" s="1065"/>
      <c r="W752" s="1065"/>
      <c r="X752" s="1065"/>
      <c r="Y752" s="1065"/>
      <c r="Z752" s="1065"/>
      <c r="AA752" s="1065"/>
      <c r="AB752" s="1065"/>
      <c r="AC752" s="1065"/>
      <c r="AD752" s="1065"/>
      <c r="AE752" s="1065"/>
      <c r="AF752" s="1065"/>
      <c r="AG752" s="1065"/>
      <c r="AH752" s="1065"/>
      <c r="AI752" s="1065"/>
      <c r="AJ752" s="1065"/>
      <c r="AK752" s="1065"/>
      <c r="AL752" s="1065"/>
      <c r="AM752" s="1065"/>
      <c r="AN752" s="1065"/>
      <c r="AO752" s="1065"/>
      <c r="AP752" s="1065"/>
      <c r="AQ752" s="1065"/>
      <c r="AR752" s="1065"/>
      <c r="AS752" s="1065"/>
      <c r="AT752" s="1065"/>
      <c r="AU752" s="1065"/>
      <c r="AV752" s="1065"/>
      <c r="AW752" s="1065"/>
      <c r="AX752" s="1065"/>
      <c r="AY752" s="1065"/>
      <c r="AZ752" s="1065"/>
      <c r="BA752" s="1065"/>
      <c r="BB752" s="1065"/>
      <c r="BC752" s="1065"/>
      <c r="BD752" s="1065"/>
      <c r="BE752" s="1065"/>
      <c r="BF752" s="1065"/>
      <c r="BG752" s="1065"/>
      <c r="BH752" s="1065"/>
      <c r="BI752" s="1065"/>
      <c r="BJ752" s="1065"/>
      <c r="BK752" s="1065"/>
      <c r="BL752" s="1065"/>
      <c r="BM752" s="1065"/>
      <c r="BN752" s="1065"/>
      <c r="BO752" s="1065"/>
      <c r="BP752" s="1065"/>
      <c r="BQ752" s="1065"/>
      <c r="BR752" s="1065"/>
      <c r="BS752" s="1065"/>
      <c r="BT752" s="1065"/>
      <c r="BU752" s="1065"/>
      <c r="BV752" s="1065"/>
      <c r="BW752" s="1065"/>
      <c r="BX752" s="1065"/>
      <c r="BY752" s="1065"/>
      <c r="BZ752" s="1065"/>
      <c r="CA752" s="1065"/>
      <c r="CB752" s="1065"/>
      <c r="CC752" s="1065"/>
      <c r="CD752" s="1065"/>
      <c r="CE752" s="1065"/>
      <c r="CF752" s="1065"/>
      <c r="CG752" s="1065"/>
      <c r="CH752" s="1065"/>
      <c r="CI752" s="1065"/>
      <c r="CJ752" s="1065"/>
      <c r="CK752" s="1065"/>
      <c r="CL752" s="1065"/>
      <c r="CM752" s="1065"/>
      <c r="CN752" s="1065"/>
      <c r="CO752" s="1065"/>
      <c r="CP752" s="1065"/>
      <c r="CQ752" s="1065"/>
      <c r="CR752" s="1065"/>
      <c r="CS752" s="1065"/>
      <c r="CT752" s="1065"/>
      <c r="CU752" s="1065"/>
      <c r="CV752" s="1065"/>
      <c r="CW752" s="1065"/>
      <c r="CX752" s="1065"/>
      <c r="CY752" s="1065"/>
      <c r="CZ752" s="1065"/>
      <c r="DA752" s="1065"/>
      <c r="DB752" s="1065"/>
    </row>
    <row r="753" spans="1:106" ht="15" customHeight="1">
      <c r="A753" s="1065"/>
      <c r="B753" s="1065"/>
      <c r="C753" s="1065"/>
      <c r="D753" s="1065"/>
      <c r="E753" s="1065"/>
      <c r="F753" s="1065"/>
      <c r="G753" s="1065"/>
      <c r="H753" s="1223"/>
      <c r="I753" s="1223"/>
      <c r="J753" s="1224"/>
      <c r="K753" s="1224"/>
      <c r="L753" s="1224"/>
      <c r="M753" s="1225"/>
      <c r="N753" s="1225"/>
      <c r="O753" s="1226"/>
      <c r="P753" s="1227"/>
      <c r="Q753" s="1227"/>
      <c r="R753" s="1228"/>
      <c r="S753" s="1224"/>
      <c r="T753" s="1229"/>
      <c r="U753" s="1065"/>
      <c r="V753" s="1065"/>
      <c r="W753" s="1065"/>
      <c r="X753" s="1065"/>
      <c r="Y753" s="1065"/>
      <c r="Z753" s="1065"/>
      <c r="AA753" s="1065"/>
      <c r="AB753" s="1065"/>
      <c r="AC753" s="1065"/>
      <c r="AD753" s="1065"/>
      <c r="AE753" s="1065"/>
      <c r="AF753" s="1065"/>
      <c r="AG753" s="1065"/>
      <c r="AH753" s="1065"/>
      <c r="AI753" s="1065"/>
      <c r="AJ753" s="1065"/>
      <c r="AK753" s="1065"/>
      <c r="AL753" s="1065"/>
      <c r="AM753" s="1065"/>
      <c r="AN753" s="1065"/>
      <c r="AO753" s="1065"/>
      <c r="AP753" s="1065"/>
      <c r="AQ753" s="1065"/>
      <c r="AR753" s="1065"/>
      <c r="AS753" s="1065"/>
      <c r="AT753" s="1065"/>
      <c r="AU753" s="1065"/>
      <c r="AV753" s="1065"/>
      <c r="AW753" s="1065"/>
      <c r="AX753" s="1065"/>
      <c r="AY753" s="1065"/>
      <c r="AZ753" s="1065"/>
      <c r="BA753" s="1065"/>
      <c r="BB753" s="1065"/>
      <c r="BC753" s="1065"/>
      <c r="BD753" s="1065"/>
      <c r="BE753" s="1065"/>
      <c r="BF753" s="1065"/>
      <c r="BG753" s="1065"/>
      <c r="BH753" s="1065"/>
      <c r="BI753" s="1065"/>
      <c r="BJ753" s="1065"/>
      <c r="BK753" s="1065"/>
      <c r="BL753" s="1065"/>
      <c r="BM753" s="1065"/>
      <c r="BN753" s="1065"/>
      <c r="BO753" s="1065"/>
      <c r="BP753" s="1065"/>
      <c r="BQ753" s="1065"/>
      <c r="BR753" s="1065"/>
      <c r="BS753" s="1065"/>
      <c r="BT753" s="1065"/>
      <c r="BU753" s="1065"/>
      <c r="BV753" s="1065"/>
      <c r="BW753" s="1065"/>
      <c r="BX753" s="1065"/>
      <c r="BY753" s="1065"/>
      <c r="BZ753" s="1065"/>
      <c r="CA753" s="1065"/>
      <c r="CB753" s="1065"/>
      <c r="CC753" s="1065"/>
      <c r="CD753" s="1065"/>
      <c r="CE753" s="1065"/>
      <c r="CF753" s="1065"/>
      <c r="CG753" s="1065"/>
      <c r="CH753" s="1065"/>
      <c r="CI753" s="1065"/>
      <c r="CJ753" s="1065"/>
      <c r="CK753" s="1065"/>
      <c r="CL753" s="1065"/>
      <c r="CM753" s="1065"/>
      <c r="CN753" s="1065"/>
      <c r="CO753" s="1065"/>
      <c r="CP753" s="1065"/>
      <c r="CQ753" s="1065"/>
      <c r="CR753" s="1065"/>
      <c r="CS753" s="1065"/>
      <c r="CT753" s="1065"/>
      <c r="CU753" s="1065"/>
      <c r="CV753" s="1065"/>
      <c r="CW753" s="1065"/>
      <c r="CX753" s="1065"/>
      <c r="CY753" s="1065"/>
      <c r="CZ753" s="1065"/>
      <c r="DA753" s="1065"/>
      <c r="DB753" s="1065"/>
    </row>
    <row r="754" spans="1:106" ht="15" customHeight="1">
      <c r="A754" s="1065"/>
      <c r="B754" s="1065"/>
      <c r="C754" s="1065"/>
      <c r="D754" s="1065"/>
      <c r="E754" s="1065"/>
      <c r="F754" s="1065"/>
      <c r="G754" s="1065"/>
      <c r="H754" s="1223"/>
      <c r="I754" s="1223"/>
      <c r="J754" s="1224"/>
      <c r="K754" s="1224"/>
      <c r="L754" s="1224"/>
      <c r="M754" s="1225"/>
      <c r="N754" s="1225"/>
      <c r="O754" s="1226"/>
      <c r="P754" s="1227"/>
      <c r="Q754" s="1227"/>
      <c r="R754" s="1228"/>
      <c r="S754" s="1224"/>
      <c r="T754" s="1229"/>
      <c r="U754" s="1065"/>
      <c r="V754" s="1065"/>
      <c r="W754" s="1065"/>
      <c r="X754" s="1065"/>
      <c r="Y754" s="1065"/>
      <c r="Z754" s="1065"/>
      <c r="AA754" s="1065"/>
      <c r="AB754" s="1065"/>
      <c r="AC754" s="1065"/>
      <c r="AD754" s="1065"/>
      <c r="AE754" s="1065"/>
      <c r="AF754" s="1065"/>
      <c r="AG754" s="1065"/>
      <c r="AH754" s="1065"/>
      <c r="AI754" s="1065"/>
      <c r="AJ754" s="1065"/>
      <c r="AK754" s="1065"/>
      <c r="AL754" s="1065"/>
      <c r="AM754" s="1065"/>
      <c r="AN754" s="1065"/>
      <c r="AO754" s="1065"/>
      <c r="AP754" s="1065"/>
      <c r="AQ754" s="1065"/>
      <c r="AR754" s="1065"/>
      <c r="AS754" s="1065"/>
      <c r="AT754" s="1065"/>
      <c r="AU754" s="1065"/>
      <c r="AV754" s="1065"/>
      <c r="AW754" s="1065"/>
      <c r="AX754" s="1065"/>
      <c r="AY754" s="1065"/>
      <c r="AZ754" s="1065"/>
      <c r="BA754" s="1065"/>
      <c r="BB754" s="1065"/>
      <c r="BC754" s="1065"/>
      <c r="BD754" s="1065"/>
      <c r="BE754" s="1065"/>
      <c r="BF754" s="1065"/>
      <c r="BG754" s="1065"/>
      <c r="BH754" s="1065"/>
      <c r="BI754" s="1065"/>
      <c r="BJ754" s="1065"/>
      <c r="BK754" s="1065"/>
      <c r="BL754" s="1065"/>
      <c r="BM754" s="1065"/>
      <c r="BN754" s="1065"/>
      <c r="BO754" s="1065"/>
      <c r="BP754" s="1065"/>
      <c r="BQ754" s="1065"/>
      <c r="BR754" s="1065"/>
      <c r="BS754" s="1065"/>
      <c r="BT754" s="1065"/>
      <c r="BU754" s="1065"/>
      <c r="BV754" s="1065"/>
      <c r="BW754" s="1065"/>
      <c r="BX754" s="1065"/>
      <c r="BY754" s="1065"/>
      <c r="BZ754" s="1065"/>
      <c r="CA754" s="1065"/>
      <c r="CB754" s="1065"/>
      <c r="CC754" s="1065"/>
      <c r="CD754" s="1065"/>
      <c r="CE754" s="1065"/>
      <c r="CF754" s="1065"/>
      <c r="CG754" s="1065"/>
      <c r="CH754" s="1065"/>
      <c r="CI754" s="1065"/>
      <c r="CJ754" s="1065"/>
      <c r="CK754" s="1065"/>
      <c r="CL754" s="1065"/>
      <c r="CM754" s="1065"/>
      <c r="CN754" s="1065"/>
      <c r="CO754" s="1065"/>
      <c r="CP754" s="1065"/>
      <c r="CQ754" s="1065"/>
      <c r="CR754" s="1065"/>
      <c r="CS754" s="1065"/>
      <c r="CT754" s="1065"/>
      <c r="CU754" s="1065"/>
      <c r="CV754" s="1065"/>
      <c r="CW754" s="1065"/>
      <c r="CX754" s="1065"/>
      <c r="CY754" s="1065"/>
      <c r="CZ754" s="1065"/>
      <c r="DA754" s="1065"/>
      <c r="DB754" s="1065"/>
    </row>
    <row r="755" spans="1:106" ht="15" customHeight="1">
      <c r="A755" s="1065"/>
      <c r="B755" s="1065"/>
      <c r="C755" s="1065"/>
      <c r="D755" s="1065"/>
      <c r="E755" s="1065"/>
      <c r="F755" s="1065"/>
      <c r="G755" s="1065"/>
      <c r="H755" s="1223"/>
      <c r="I755" s="1223"/>
      <c r="J755" s="1224"/>
      <c r="K755" s="1224"/>
      <c r="L755" s="1224"/>
      <c r="M755" s="1225"/>
      <c r="N755" s="1225"/>
      <c r="O755" s="1226"/>
      <c r="P755" s="1227"/>
      <c r="Q755" s="1227"/>
      <c r="R755" s="1228"/>
      <c r="S755" s="1224"/>
      <c r="T755" s="1229"/>
      <c r="U755" s="1065"/>
      <c r="V755" s="1065"/>
      <c r="W755" s="1065"/>
      <c r="X755" s="1065"/>
      <c r="Y755" s="1065"/>
      <c r="Z755" s="1065"/>
      <c r="AA755" s="1065"/>
      <c r="AB755" s="1065"/>
      <c r="AC755" s="1065"/>
      <c r="AD755" s="1065"/>
      <c r="AE755" s="1065"/>
      <c r="AF755" s="1065"/>
      <c r="AG755" s="1065"/>
      <c r="AH755" s="1065"/>
      <c r="AI755" s="1065"/>
      <c r="AJ755" s="1065"/>
      <c r="AK755" s="1065"/>
      <c r="AL755" s="1065"/>
      <c r="AM755" s="1065"/>
      <c r="AN755" s="1065"/>
      <c r="AO755" s="1065"/>
      <c r="AP755" s="1065"/>
      <c r="AQ755" s="1065"/>
      <c r="AR755" s="1065"/>
      <c r="AS755" s="1065"/>
      <c r="AT755" s="1065"/>
      <c r="AU755" s="1065"/>
      <c r="AV755" s="1065"/>
      <c r="AW755" s="1065"/>
      <c r="AX755" s="1065"/>
      <c r="AY755" s="1065"/>
      <c r="AZ755" s="1065"/>
      <c r="BA755" s="1065"/>
      <c r="BB755" s="1065"/>
      <c r="BC755" s="1065"/>
      <c r="BD755" s="1065"/>
      <c r="BE755" s="1065"/>
      <c r="BF755" s="1065"/>
      <c r="BG755" s="1065"/>
      <c r="BH755" s="1065"/>
      <c r="BI755" s="1065"/>
      <c r="BJ755" s="1065"/>
      <c r="BK755" s="1065"/>
      <c r="BL755" s="1065"/>
      <c r="BM755" s="1065"/>
      <c r="BN755" s="1065"/>
      <c r="BO755" s="1065"/>
      <c r="BP755" s="1065"/>
      <c r="BQ755" s="1065"/>
      <c r="BR755" s="1065"/>
      <c r="BS755" s="1065"/>
      <c r="BT755" s="1065"/>
      <c r="BU755" s="1065"/>
      <c r="BV755" s="1065"/>
      <c r="BW755" s="1065"/>
      <c r="BX755" s="1065"/>
      <c r="BY755" s="1065"/>
      <c r="BZ755" s="1065"/>
      <c r="CA755" s="1065"/>
      <c r="CB755" s="1065"/>
      <c r="CC755" s="1065"/>
      <c r="CD755" s="1065"/>
      <c r="CE755" s="1065"/>
      <c r="CF755" s="1065"/>
      <c r="CG755" s="1065"/>
      <c r="CH755" s="1065"/>
      <c r="CI755" s="1065"/>
      <c r="CJ755" s="1065"/>
      <c r="CK755" s="1065"/>
      <c r="CL755" s="1065"/>
      <c r="CM755" s="1065"/>
      <c r="CN755" s="1065"/>
      <c r="CO755" s="1065"/>
      <c r="CP755" s="1065"/>
      <c r="CQ755" s="1065"/>
      <c r="CR755" s="1065"/>
      <c r="CS755" s="1065"/>
      <c r="CT755" s="1065"/>
      <c r="CU755" s="1065"/>
      <c r="CV755" s="1065"/>
      <c r="CW755" s="1065"/>
      <c r="CX755" s="1065"/>
      <c r="CY755" s="1065"/>
      <c r="CZ755" s="1065"/>
      <c r="DA755" s="1065"/>
      <c r="DB755" s="1065"/>
    </row>
    <row r="756" spans="1:106" ht="15" customHeight="1">
      <c r="A756" s="1065"/>
      <c r="B756" s="1065"/>
      <c r="C756" s="1065"/>
      <c r="D756" s="1065"/>
      <c r="E756" s="1065"/>
      <c r="F756" s="1065"/>
      <c r="G756" s="1065"/>
      <c r="H756" s="1223"/>
      <c r="I756" s="1223"/>
      <c r="J756" s="1224"/>
      <c r="K756" s="1224"/>
      <c r="L756" s="1224"/>
      <c r="M756" s="1225"/>
      <c r="N756" s="1225"/>
      <c r="O756" s="1226"/>
      <c r="P756" s="1227"/>
      <c r="Q756" s="1227"/>
      <c r="R756" s="1228"/>
      <c r="S756" s="1224"/>
      <c r="T756" s="1229"/>
      <c r="U756" s="1065"/>
      <c r="V756" s="1065"/>
      <c r="W756" s="1065"/>
      <c r="X756" s="1065"/>
      <c r="Y756" s="1065"/>
      <c r="Z756" s="1065"/>
      <c r="AA756" s="1065"/>
      <c r="AB756" s="1065"/>
      <c r="AC756" s="1065"/>
      <c r="AD756" s="1065"/>
      <c r="AE756" s="1065"/>
      <c r="AF756" s="1065"/>
      <c r="AG756" s="1065"/>
      <c r="AH756" s="1065"/>
      <c r="AI756" s="1065"/>
      <c r="AJ756" s="1065"/>
      <c r="AK756" s="1065"/>
      <c r="AL756" s="1065"/>
      <c r="AM756" s="1065"/>
      <c r="AN756" s="1065"/>
      <c r="AO756" s="1065"/>
      <c r="AP756" s="1065"/>
      <c r="AQ756" s="1065"/>
      <c r="AR756" s="1065"/>
      <c r="AS756" s="1065"/>
      <c r="AT756" s="1065"/>
      <c r="AU756" s="1065"/>
      <c r="AV756" s="1065"/>
      <c r="AW756" s="1065"/>
      <c r="AX756" s="1065"/>
      <c r="AY756" s="1065"/>
      <c r="AZ756" s="1065"/>
      <c r="BA756" s="1065"/>
      <c r="BB756" s="1065"/>
      <c r="BC756" s="1065"/>
      <c r="BD756" s="1065"/>
      <c r="BE756" s="1065"/>
      <c r="BF756" s="1065"/>
      <c r="BG756" s="1065"/>
      <c r="BH756" s="1065"/>
      <c r="BI756" s="1065"/>
      <c r="BJ756" s="1065"/>
      <c r="BK756" s="1065"/>
      <c r="BL756" s="1065"/>
      <c r="BM756" s="1065"/>
      <c r="BN756" s="1065"/>
      <c r="BO756" s="1065"/>
      <c r="BP756" s="1065"/>
      <c r="BQ756" s="1065"/>
      <c r="BR756" s="1065"/>
      <c r="BS756" s="1065"/>
      <c r="BT756" s="1065"/>
      <c r="BU756" s="1065"/>
      <c r="BV756" s="1065"/>
      <c r="BW756" s="1065"/>
      <c r="BX756" s="1065"/>
      <c r="BY756" s="1065"/>
      <c r="BZ756" s="1065"/>
      <c r="CA756" s="1065"/>
      <c r="CB756" s="1065"/>
      <c r="CC756" s="1065"/>
      <c r="CD756" s="1065"/>
      <c r="CE756" s="1065"/>
      <c r="CF756" s="1065"/>
      <c r="CG756" s="1065"/>
      <c r="CH756" s="1065"/>
      <c r="CI756" s="1065"/>
      <c r="CJ756" s="1065"/>
      <c r="CK756" s="1065"/>
      <c r="CL756" s="1065"/>
      <c r="CM756" s="1065"/>
      <c r="CN756" s="1065"/>
      <c r="CO756" s="1065"/>
      <c r="CP756" s="1065"/>
      <c r="CQ756" s="1065"/>
      <c r="CR756" s="1065"/>
      <c r="CS756" s="1065"/>
      <c r="CT756" s="1065"/>
      <c r="CU756" s="1065"/>
      <c r="CV756" s="1065"/>
      <c r="CW756" s="1065"/>
      <c r="CX756" s="1065"/>
      <c r="CY756" s="1065"/>
      <c r="CZ756" s="1065"/>
      <c r="DA756" s="1065"/>
      <c r="DB756" s="1065"/>
    </row>
    <row r="757" spans="1:106" ht="15" customHeight="1">
      <c r="A757" s="1065"/>
      <c r="B757" s="1065"/>
      <c r="C757" s="1065"/>
      <c r="D757" s="1065"/>
      <c r="E757" s="1065"/>
      <c r="F757" s="1065"/>
      <c r="G757" s="1065"/>
      <c r="H757" s="1223"/>
      <c r="I757" s="1223"/>
      <c r="J757" s="1224"/>
      <c r="K757" s="1224"/>
      <c r="L757" s="1224"/>
      <c r="M757" s="1225"/>
      <c r="N757" s="1225"/>
      <c r="O757" s="1226"/>
      <c r="P757" s="1227"/>
      <c r="Q757" s="1227"/>
      <c r="R757" s="1228"/>
      <c r="S757" s="1224"/>
      <c r="T757" s="1229"/>
      <c r="U757" s="1065"/>
      <c r="V757" s="1065"/>
      <c r="W757" s="1065"/>
      <c r="X757" s="1065"/>
      <c r="Y757" s="1065"/>
      <c r="Z757" s="1065"/>
      <c r="AA757" s="1065"/>
      <c r="AB757" s="1065"/>
      <c r="AC757" s="1065"/>
      <c r="AD757" s="1065"/>
      <c r="AE757" s="1065"/>
      <c r="AF757" s="1065"/>
      <c r="AG757" s="1065"/>
      <c r="AH757" s="1065"/>
      <c r="AI757" s="1065"/>
      <c r="AJ757" s="1065"/>
      <c r="AK757" s="1065"/>
      <c r="AL757" s="1065"/>
      <c r="AM757" s="1065"/>
      <c r="AN757" s="1065"/>
      <c r="AO757" s="1065"/>
      <c r="AP757" s="1065"/>
      <c r="AQ757" s="1065"/>
      <c r="AR757" s="1065"/>
      <c r="AS757" s="1065"/>
      <c r="AT757" s="1065"/>
      <c r="AU757" s="1065"/>
      <c r="AV757" s="1065"/>
      <c r="AW757" s="1065"/>
      <c r="AX757" s="1065"/>
      <c r="AY757" s="1065"/>
      <c r="AZ757" s="1065"/>
      <c r="BA757" s="1065"/>
      <c r="BB757" s="1065"/>
      <c r="BC757" s="1065"/>
      <c r="BD757" s="1065"/>
      <c r="BE757" s="1065"/>
      <c r="BF757" s="1065"/>
      <c r="BG757" s="1065"/>
      <c r="BH757" s="1065"/>
      <c r="BI757" s="1065"/>
      <c r="BJ757" s="1065"/>
      <c r="BK757" s="1065"/>
      <c r="BL757" s="1065"/>
      <c r="BM757" s="1065"/>
      <c r="BN757" s="1065"/>
      <c r="BO757" s="1065"/>
      <c r="BP757" s="1065"/>
      <c r="BQ757" s="1065"/>
      <c r="BR757" s="1065"/>
      <c r="BS757" s="1065"/>
      <c r="BT757" s="1065"/>
      <c r="BU757" s="1065"/>
      <c r="BV757" s="1065"/>
      <c r="BW757" s="1065"/>
      <c r="BX757" s="1065"/>
      <c r="BY757" s="1065"/>
      <c r="BZ757" s="1065"/>
      <c r="CA757" s="1065"/>
      <c r="CB757" s="1065"/>
      <c r="CC757" s="1065"/>
      <c r="CD757" s="1065"/>
      <c r="CE757" s="1065"/>
      <c r="CF757" s="1065"/>
      <c r="CG757" s="1065"/>
      <c r="CH757" s="1065"/>
      <c r="CI757" s="1065"/>
      <c r="CJ757" s="1065"/>
      <c r="CK757" s="1065"/>
      <c r="CL757" s="1065"/>
      <c r="CM757" s="1065"/>
      <c r="CN757" s="1065"/>
      <c r="CO757" s="1065"/>
      <c r="CP757" s="1065"/>
      <c r="CQ757" s="1065"/>
      <c r="CR757" s="1065"/>
      <c r="CS757" s="1065"/>
      <c r="CT757" s="1065"/>
      <c r="CU757" s="1065"/>
      <c r="CV757" s="1065"/>
      <c r="CW757" s="1065"/>
      <c r="CX757" s="1065"/>
      <c r="CY757" s="1065"/>
      <c r="CZ757" s="1065"/>
      <c r="DA757" s="1065"/>
      <c r="DB757" s="1065"/>
    </row>
    <row r="758" spans="1:106" ht="15" customHeight="1">
      <c r="A758" s="1065"/>
      <c r="B758" s="1065"/>
      <c r="C758" s="1065"/>
      <c r="D758" s="1065"/>
      <c r="E758" s="1065"/>
      <c r="F758" s="1065"/>
      <c r="G758" s="1065"/>
      <c r="H758" s="1223"/>
      <c r="I758" s="1223"/>
      <c r="J758" s="1224"/>
      <c r="K758" s="1224"/>
      <c r="L758" s="1224"/>
      <c r="M758" s="1225"/>
      <c r="N758" s="1225"/>
      <c r="O758" s="1226"/>
      <c r="P758" s="1227"/>
      <c r="Q758" s="1227"/>
      <c r="R758" s="1228"/>
      <c r="S758" s="1224"/>
      <c r="T758" s="1229"/>
      <c r="U758" s="1065"/>
      <c r="V758" s="1065"/>
      <c r="W758" s="1065"/>
      <c r="X758" s="1065"/>
      <c r="Y758" s="1065"/>
      <c r="Z758" s="1065"/>
      <c r="AA758" s="1065"/>
      <c r="AB758" s="1065"/>
      <c r="AC758" s="1065"/>
      <c r="AD758" s="1065"/>
      <c r="AE758" s="1065"/>
      <c r="AF758" s="1065"/>
      <c r="AG758" s="1065"/>
      <c r="AH758" s="1065"/>
      <c r="AI758" s="1065"/>
      <c r="AJ758" s="1065"/>
      <c r="AK758" s="1065"/>
      <c r="AL758" s="1065"/>
      <c r="AM758" s="1065"/>
      <c r="AN758" s="1065"/>
      <c r="AO758" s="1065"/>
      <c r="AP758" s="1065"/>
      <c r="AQ758" s="1065"/>
      <c r="AR758" s="1065"/>
      <c r="AS758" s="1065"/>
      <c r="AT758" s="1065"/>
      <c r="AU758" s="1065"/>
      <c r="AV758" s="1065"/>
      <c r="AW758" s="1065"/>
      <c r="AX758" s="1065"/>
      <c r="AY758" s="1065"/>
      <c r="AZ758" s="1065"/>
      <c r="BA758" s="1065"/>
      <c r="BB758" s="1065"/>
      <c r="BC758" s="1065"/>
      <c r="BD758" s="1065"/>
      <c r="BE758" s="1065"/>
      <c r="BF758" s="1065"/>
      <c r="BG758" s="1065"/>
      <c r="BH758" s="1065"/>
      <c r="BI758" s="1065"/>
      <c r="BJ758" s="1065"/>
      <c r="BK758" s="1065"/>
      <c r="BL758" s="1065"/>
      <c r="BM758" s="1065"/>
      <c r="BN758" s="1065"/>
      <c r="BO758" s="1065"/>
      <c r="BP758" s="1065"/>
      <c r="BQ758" s="1065"/>
      <c r="BR758" s="1065"/>
      <c r="BS758" s="1065"/>
      <c r="BT758" s="1065"/>
      <c r="BU758" s="1065"/>
      <c r="BV758" s="1065"/>
      <c r="BW758" s="1065"/>
      <c r="BX758" s="1065"/>
      <c r="BY758" s="1065"/>
      <c r="BZ758" s="1065"/>
      <c r="CA758" s="1065"/>
      <c r="CB758" s="1065"/>
      <c r="CC758" s="1065"/>
      <c r="CD758" s="1065"/>
      <c r="CE758" s="1065"/>
      <c r="CF758" s="1065"/>
      <c r="CG758" s="1065"/>
      <c r="CH758" s="1065"/>
      <c r="CI758" s="1065"/>
      <c r="CJ758" s="1065"/>
      <c r="CK758" s="1065"/>
      <c r="CL758" s="1065"/>
      <c r="CM758" s="1065"/>
      <c r="CN758" s="1065"/>
      <c r="CO758" s="1065"/>
      <c r="CP758" s="1065"/>
      <c r="CQ758" s="1065"/>
      <c r="CR758" s="1065"/>
      <c r="CS758" s="1065"/>
      <c r="CT758" s="1065"/>
      <c r="CU758" s="1065"/>
      <c r="CV758" s="1065"/>
      <c r="CW758" s="1065"/>
      <c r="CX758" s="1065"/>
      <c r="CY758" s="1065"/>
      <c r="CZ758" s="1065"/>
      <c r="DA758" s="1065"/>
      <c r="DB758" s="1065"/>
    </row>
    <row r="759" spans="1:106" ht="15" customHeight="1">
      <c r="A759" s="1065"/>
      <c r="B759" s="1065"/>
      <c r="C759" s="1065"/>
      <c r="D759" s="1065"/>
      <c r="E759" s="1065"/>
      <c r="F759" s="1065"/>
      <c r="G759" s="1065"/>
      <c r="H759" s="1223"/>
      <c r="I759" s="1223"/>
      <c r="J759" s="1224"/>
      <c r="K759" s="1224"/>
      <c r="L759" s="1224"/>
      <c r="M759" s="1225"/>
      <c r="N759" s="1225"/>
      <c r="O759" s="1226"/>
      <c r="P759" s="1227"/>
      <c r="Q759" s="1227"/>
      <c r="R759" s="1228"/>
      <c r="S759" s="1224"/>
      <c r="T759" s="1229"/>
      <c r="U759" s="1065"/>
      <c r="V759" s="1065"/>
      <c r="W759" s="1065"/>
      <c r="X759" s="1065"/>
      <c r="Y759" s="1065"/>
      <c r="Z759" s="1065"/>
      <c r="AA759" s="1065"/>
      <c r="AB759" s="1065"/>
      <c r="AC759" s="1065"/>
      <c r="AD759" s="1065"/>
      <c r="AE759" s="1065"/>
      <c r="AF759" s="1065"/>
      <c r="AG759" s="1065"/>
      <c r="AH759" s="1065"/>
      <c r="AI759" s="1065"/>
      <c r="AJ759" s="1065"/>
      <c r="AK759" s="1065"/>
      <c r="AL759" s="1065"/>
      <c r="AM759" s="1065"/>
      <c r="AN759" s="1065"/>
      <c r="AO759" s="1065"/>
      <c r="AP759" s="1065"/>
      <c r="AQ759" s="1065"/>
      <c r="AR759" s="1065"/>
      <c r="AS759" s="1065"/>
      <c r="AT759" s="1065"/>
      <c r="AU759" s="1065"/>
      <c r="AV759" s="1065"/>
      <c r="AW759" s="1065"/>
      <c r="AX759" s="1065"/>
      <c r="AY759" s="1065"/>
      <c r="AZ759" s="1065"/>
      <c r="BA759" s="1065"/>
      <c r="BB759" s="1065"/>
      <c r="BC759" s="1065"/>
      <c r="BD759" s="1065"/>
      <c r="BE759" s="1065"/>
      <c r="BF759" s="1065"/>
      <c r="BG759" s="1065"/>
      <c r="BH759" s="1065"/>
      <c r="BI759" s="1065"/>
      <c r="BJ759" s="1065"/>
      <c r="BK759" s="1065"/>
      <c r="BL759" s="1065"/>
      <c r="BM759" s="1065"/>
      <c r="BN759" s="1065"/>
      <c r="BO759" s="1065"/>
      <c r="BP759" s="1065"/>
      <c r="BQ759" s="1065"/>
      <c r="BR759" s="1065"/>
      <c r="BS759" s="1065"/>
      <c r="BT759" s="1065"/>
      <c r="BU759" s="1065"/>
      <c r="BV759" s="1065"/>
      <c r="BW759" s="1065"/>
      <c r="BX759" s="1065"/>
      <c r="BY759" s="1065"/>
      <c r="BZ759" s="1065"/>
      <c r="CA759" s="1065"/>
      <c r="CB759" s="1065"/>
      <c r="CC759" s="1065"/>
      <c r="CD759" s="1065"/>
      <c r="CE759" s="1065"/>
      <c r="CF759" s="1065"/>
      <c r="CG759" s="1065"/>
      <c r="CH759" s="1065"/>
      <c r="CI759" s="1065"/>
      <c r="CJ759" s="1065"/>
      <c r="CK759" s="1065"/>
      <c r="CL759" s="1065"/>
      <c r="CM759" s="1065"/>
      <c r="CN759" s="1065"/>
      <c r="CO759" s="1065"/>
      <c r="CP759" s="1065"/>
      <c r="CQ759" s="1065"/>
      <c r="CR759" s="1065"/>
      <c r="CS759" s="1065"/>
      <c r="CT759" s="1065"/>
      <c r="CU759" s="1065"/>
      <c r="CV759" s="1065"/>
      <c r="CW759" s="1065"/>
      <c r="CX759" s="1065"/>
      <c r="CY759" s="1065"/>
      <c r="CZ759" s="1065"/>
      <c r="DA759" s="1065"/>
      <c r="DB759" s="1065"/>
    </row>
    <row r="760" spans="1:106" ht="15" customHeight="1">
      <c r="A760" s="1065"/>
      <c r="B760" s="1065"/>
      <c r="C760" s="1065"/>
      <c r="D760" s="1065"/>
      <c r="E760" s="1065"/>
      <c r="F760" s="1065"/>
      <c r="G760" s="1065"/>
      <c r="H760" s="1223"/>
      <c r="I760" s="1223"/>
      <c r="J760" s="1224"/>
      <c r="K760" s="1224"/>
      <c r="L760" s="1224"/>
      <c r="M760" s="1225"/>
      <c r="N760" s="1225"/>
      <c r="O760" s="1226"/>
      <c r="P760" s="1227"/>
      <c r="Q760" s="1227"/>
      <c r="R760" s="1228"/>
      <c r="S760" s="1224"/>
      <c r="T760" s="1229"/>
      <c r="U760" s="1065"/>
      <c r="V760" s="1065"/>
      <c r="W760" s="1065"/>
      <c r="X760" s="1065"/>
      <c r="Y760" s="1065"/>
      <c r="Z760" s="1065"/>
      <c r="AA760" s="1065"/>
      <c r="AB760" s="1065"/>
      <c r="AC760" s="1065"/>
      <c r="AD760" s="1065"/>
      <c r="AE760" s="1065"/>
      <c r="AF760" s="1065"/>
      <c r="AG760" s="1065"/>
      <c r="AH760" s="1065"/>
      <c r="AI760" s="1065"/>
      <c r="AJ760" s="1065"/>
      <c r="AK760" s="1065"/>
      <c r="AL760" s="1065"/>
      <c r="AM760" s="1065"/>
      <c r="AN760" s="1065"/>
      <c r="AO760" s="1065"/>
      <c r="AP760" s="1065"/>
      <c r="AQ760" s="1065"/>
      <c r="AR760" s="1065"/>
      <c r="AS760" s="1065"/>
      <c r="AT760" s="1065"/>
      <c r="AU760" s="1065"/>
      <c r="AV760" s="1065"/>
      <c r="AW760" s="1065"/>
      <c r="AX760" s="1065"/>
      <c r="AY760" s="1065"/>
      <c r="AZ760" s="1065"/>
      <c r="BA760" s="1065"/>
      <c r="BB760" s="1065"/>
      <c r="BC760" s="1065"/>
      <c r="BD760" s="1065"/>
      <c r="BE760" s="1065"/>
      <c r="BF760" s="1065"/>
      <c r="BG760" s="1065"/>
      <c r="BH760" s="1065"/>
      <c r="BI760" s="1065"/>
      <c r="BJ760" s="1065"/>
      <c r="BK760" s="1065"/>
      <c r="BL760" s="1065"/>
      <c r="BM760" s="1065"/>
      <c r="BN760" s="1065"/>
      <c r="BO760" s="1065"/>
      <c r="BP760" s="1065"/>
      <c r="BQ760" s="1065"/>
      <c r="BR760" s="1065"/>
      <c r="BS760" s="1065"/>
      <c r="BT760" s="1065"/>
      <c r="BU760" s="1065"/>
      <c r="BV760" s="1065"/>
      <c r="BW760" s="1065"/>
      <c r="BX760" s="1065"/>
      <c r="BY760" s="1065"/>
      <c r="BZ760" s="1065"/>
      <c r="CA760" s="1065"/>
      <c r="CB760" s="1065"/>
      <c r="CC760" s="1065"/>
      <c r="CD760" s="1065"/>
      <c r="CE760" s="1065"/>
      <c r="CF760" s="1065"/>
      <c r="CG760" s="1065"/>
      <c r="CH760" s="1065"/>
      <c r="CI760" s="1065"/>
      <c r="CJ760" s="1065"/>
      <c r="CK760" s="1065"/>
      <c r="CL760" s="1065"/>
      <c r="CM760" s="1065"/>
      <c r="CN760" s="1065"/>
      <c r="CO760" s="1065"/>
      <c r="CP760" s="1065"/>
      <c r="CQ760" s="1065"/>
      <c r="CR760" s="1065"/>
      <c r="CS760" s="1065"/>
      <c r="CT760" s="1065"/>
      <c r="CU760" s="1065"/>
      <c r="CV760" s="1065"/>
      <c r="CW760" s="1065"/>
      <c r="CX760" s="1065"/>
      <c r="CY760" s="1065"/>
      <c r="CZ760" s="1065"/>
      <c r="DA760" s="1065"/>
      <c r="DB760" s="1065"/>
    </row>
    <row r="761" spans="1:106" ht="15" customHeight="1">
      <c r="A761" s="1065"/>
      <c r="B761" s="1065"/>
      <c r="C761" s="1065"/>
      <c r="D761" s="1065"/>
      <c r="E761" s="1065"/>
      <c r="F761" s="1065"/>
      <c r="G761" s="1065"/>
      <c r="H761" s="1223"/>
      <c r="I761" s="1223"/>
      <c r="J761" s="1224"/>
      <c r="K761" s="1224"/>
      <c r="L761" s="1224"/>
      <c r="M761" s="1225"/>
      <c r="N761" s="1225"/>
      <c r="O761" s="1226"/>
      <c r="P761" s="1227"/>
      <c r="Q761" s="1227"/>
      <c r="R761" s="1228"/>
      <c r="S761" s="1224"/>
      <c r="T761" s="1229"/>
      <c r="U761" s="1065"/>
      <c r="V761" s="1065"/>
      <c r="W761" s="1065"/>
      <c r="X761" s="1065"/>
      <c r="Y761" s="1065"/>
      <c r="Z761" s="1065"/>
      <c r="AA761" s="1065"/>
      <c r="AB761" s="1065"/>
      <c r="AC761" s="1065"/>
      <c r="AD761" s="1065"/>
      <c r="AE761" s="1065"/>
      <c r="AF761" s="1065"/>
      <c r="AG761" s="1065"/>
      <c r="AH761" s="1065"/>
      <c r="AI761" s="1065"/>
      <c r="AJ761" s="1065"/>
      <c r="AK761" s="1065"/>
      <c r="AL761" s="1065"/>
      <c r="AM761" s="1065"/>
      <c r="AN761" s="1065"/>
      <c r="AO761" s="1065"/>
      <c r="AP761" s="1065"/>
      <c r="AQ761" s="1065"/>
      <c r="AR761" s="1065"/>
      <c r="AS761" s="1065"/>
      <c r="AT761" s="1065"/>
      <c r="AU761" s="1065"/>
      <c r="AV761" s="1065"/>
      <c r="AW761" s="1065"/>
      <c r="AX761" s="1065"/>
      <c r="AY761" s="1065"/>
      <c r="AZ761" s="1065"/>
      <c r="BA761" s="1065"/>
      <c r="BB761" s="1065"/>
      <c r="BC761" s="1065"/>
      <c r="BD761" s="1065"/>
      <c r="BE761" s="1065"/>
      <c r="BF761" s="1065"/>
      <c r="BG761" s="1065"/>
      <c r="BH761" s="1065"/>
      <c r="BI761" s="1065"/>
      <c r="BJ761" s="1065"/>
      <c r="BK761" s="1065"/>
      <c r="BL761" s="1065"/>
      <c r="BM761" s="1065"/>
      <c r="BN761" s="1065"/>
      <c r="BO761" s="1065"/>
      <c r="BP761" s="1065"/>
      <c r="BQ761" s="1065"/>
      <c r="BR761" s="1065"/>
      <c r="BS761" s="1065"/>
      <c r="BT761" s="1065"/>
      <c r="BU761" s="1065"/>
      <c r="BV761" s="1065"/>
      <c r="BW761" s="1065"/>
      <c r="BX761" s="1065"/>
      <c r="BY761" s="1065"/>
      <c r="BZ761" s="1065"/>
      <c r="CA761" s="1065"/>
      <c r="CB761" s="1065"/>
      <c r="CC761" s="1065"/>
      <c r="CD761" s="1065"/>
      <c r="CE761" s="1065"/>
      <c r="CF761" s="1065"/>
      <c r="CG761" s="1065"/>
      <c r="CH761" s="1065"/>
      <c r="CI761" s="1065"/>
      <c r="CJ761" s="1065"/>
      <c r="CK761" s="1065"/>
      <c r="CL761" s="1065"/>
      <c r="CM761" s="1065"/>
      <c r="CN761" s="1065"/>
      <c r="CO761" s="1065"/>
      <c r="CP761" s="1065"/>
      <c r="CQ761" s="1065"/>
      <c r="CR761" s="1065"/>
      <c r="CS761" s="1065"/>
      <c r="CT761" s="1065"/>
      <c r="CU761" s="1065"/>
      <c r="CV761" s="1065"/>
      <c r="CW761" s="1065"/>
      <c r="CX761" s="1065"/>
      <c r="CY761" s="1065"/>
      <c r="CZ761" s="1065"/>
      <c r="DA761" s="1065"/>
      <c r="DB761" s="1065"/>
    </row>
    <row r="762" spans="1:106" ht="15" customHeight="1">
      <c r="A762" s="1065"/>
      <c r="B762" s="1065"/>
      <c r="C762" s="1065"/>
      <c r="D762" s="1065"/>
      <c r="E762" s="1065"/>
      <c r="F762" s="1065"/>
      <c r="G762" s="1065"/>
      <c r="H762" s="1223"/>
      <c r="I762" s="1223"/>
      <c r="J762" s="1224"/>
      <c r="K762" s="1224"/>
      <c r="L762" s="1224"/>
      <c r="M762" s="1225"/>
      <c r="N762" s="1225"/>
      <c r="O762" s="1226"/>
      <c r="P762" s="1227"/>
      <c r="Q762" s="1227"/>
      <c r="R762" s="1228"/>
      <c r="S762" s="1224"/>
      <c r="T762" s="1229"/>
      <c r="U762" s="1065"/>
      <c r="V762" s="1065"/>
      <c r="W762" s="1065"/>
      <c r="X762" s="1065"/>
      <c r="Y762" s="1065"/>
      <c r="Z762" s="1065"/>
      <c r="AA762" s="1065"/>
      <c r="AB762" s="1065"/>
      <c r="AC762" s="1065"/>
      <c r="AD762" s="1065"/>
      <c r="AE762" s="1065"/>
      <c r="AF762" s="1065"/>
      <c r="AG762" s="1065"/>
      <c r="AH762" s="1065"/>
      <c r="AI762" s="1065"/>
      <c r="AJ762" s="1065"/>
      <c r="AK762" s="1065"/>
      <c r="AL762" s="1065"/>
      <c r="AM762" s="1065"/>
      <c r="AN762" s="1065"/>
      <c r="AO762" s="1065"/>
      <c r="AP762" s="1065"/>
      <c r="AQ762" s="1065"/>
      <c r="AR762" s="1065"/>
      <c r="AS762" s="1065"/>
      <c r="AT762" s="1065"/>
      <c r="AU762" s="1065"/>
      <c r="AV762" s="1065"/>
      <c r="AW762" s="1065"/>
      <c r="AX762" s="1065"/>
      <c r="AY762" s="1065"/>
      <c r="AZ762" s="1065"/>
      <c r="BA762" s="1065"/>
      <c r="BB762" s="1065"/>
      <c r="BC762" s="1065"/>
      <c r="BD762" s="1065"/>
      <c r="BE762" s="1065"/>
      <c r="BF762" s="1065"/>
      <c r="BG762" s="1065"/>
      <c r="BH762" s="1065"/>
      <c r="BI762" s="1065"/>
      <c r="BJ762" s="1065"/>
      <c r="BK762" s="1065"/>
      <c r="BL762" s="1065"/>
      <c r="BM762" s="1065"/>
      <c r="BN762" s="1065"/>
      <c r="BO762" s="1065"/>
      <c r="BP762" s="1065"/>
      <c r="BQ762" s="1065"/>
      <c r="BR762" s="1065"/>
      <c r="BS762" s="1065"/>
      <c r="BT762" s="1065"/>
      <c r="BU762" s="1065"/>
      <c r="BV762" s="1065"/>
      <c r="BW762" s="1065"/>
      <c r="BX762" s="1065"/>
      <c r="BY762" s="1065"/>
      <c r="BZ762" s="1065"/>
      <c r="CA762" s="1065"/>
      <c r="CB762" s="1065"/>
      <c r="CC762" s="1065"/>
      <c r="CD762" s="1065"/>
      <c r="CE762" s="1065"/>
      <c r="CF762" s="1065"/>
      <c r="CG762" s="1065"/>
      <c r="CH762" s="1065"/>
      <c r="CI762" s="1065"/>
      <c r="CJ762" s="1065"/>
      <c r="CK762" s="1065"/>
      <c r="CL762" s="1065"/>
      <c r="CM762" s="1065"/>
      <c r="CN762" s="1065"/>
      <c r="CO762" s="1065"/>
      <c r="CP762" s="1065"/>
      <c r="CQ762" s="1065"/>
      <c r="CR762" s="1065"/>
      <c r="CS762" s="1065"/>
      <c r="CT762" s="1065"/>
      <c r="CU762" s="1065"/>
      <c r="CV762" s="1065"/>
      <c r="CW762" s="1065"/>
      <c r="CX762" s="1065"/>
      <c r="CY762" s="1065"/>
      <c r="CZ762" s="1065"/>
      <c r="DA762" s="1065"/>
      <c r="DB762" s="1065"/>
    </row>
    <row r="763" spans="1:106" ht="15" customHeight="1">
      <c r="A763" s="1065"/>
      <c r="B763" s="1065"/>
      <c r="C763" s="1065"/>
      <c r="D763" s="1065"/>
      <c r="E763" s="1065"/>
      <c r="F763" s="1065"/>
      <c r="G763" s="1065"/>
      <c r="H763" s="1223"/>
      <c r="I763" s="1223"/>
      <c r="J763" s="1224"/>
      <c r="K763" s="1224"/>
      <c r="L763" s="1224"/>
      <c r="M763" s="1225"/>
      <c r="N763" s="1225"/>
      <c r="O763" s="1226"/>
      <c r="P763" s="1227"/>
      <c r="Q763" s="1227"/>
      <c r="R763" s="1228"/>
      <c r="S763" s="1224"/>
      <c r="T763" s="1229"/>
      <c r="U763" s="1065"/>
      <c r="V763" s="1065"/>
      <c r="W763" s="1065"/>
      <c r="X763" s="1065"/>
      <c r="Y763" s="1065"/>
      <c r="Z763" s="1065"/>
      <c r="AA763" s="1065"/>
      <c r="AB763" s="1065"/>
      <c r="AC763" s="1065"/>
      <c r="AD763" s="1065"/>
      <c r="AE763" s="1065"/>
      <c r="AF763" s="1065"/>
      <c r="AG763" s="1065"/>
      <c r="AH763" s="1065"/>
      <c r="AI763" s="1065"/>
      <c r="AJ763" s="1065"/>
      <c r="AK763" s="1065"/>
      <c r="AL763" s="1065"/>
      <c r="AM763" s="1065"/>
      <c r="AN763" s="1065"/>
      <c r="AO763" s="1065"/>
      <c r="AP763" s="1065"/>
      <c r="AQ763" s="1065"/>
      <c r="AR763" s="1065"/>
      <c r="AS763" s="1065"/>
      <c r="AT763" s="1065"/>
      <c r="AU763" s="1065"/>
      <c r="AV763" s="1065"/>
      <c r="AW763" s="1065"/>
      <c r="AX763" s="1065"/>
      <c r="AY763" s="1065"/>
      <c r="AZ763" s="1065"/>
      <c r="BA763" s="1065"/>
      <c r="BB763" s="1065"/>
      <c r="BC763" s="1065"/>
      <c r="BD763" s="1065"/>
      <c r="BE763" s="1065"/>
      <c r="BF763" s="1065"/>
      <c r="BG763" s="1065"/>
      <c r="BH763" s="1065"/>
      <c r="BI763" s="1065"/>
      <c r="BJ763" s="1065"/>
      <c r="BK763" s="1065"/>
      <c r="BL763" s="1065"/>
      <c r="BM763" s="1065"/>
      <c r="BN763" s="1065"/>
      <c r="BO763" s="1065"/>
      <c r="BP763" s="1065"/>
      <c r="BQ763" s="1065"/>
      <c r="BR763" s="1065"/>
      <c r="BS763" s="1065"/>
      <c r="BT763" s="1065"/>
      <c r="BU763" s="1065"/>
      <c r="BV763" s="1065"/>
      <c r="BW763" s="1065"/>
      <c r="BX763" s="1065"/>
      <c r="BY763" s="1065"/>
      <c r="BZ763" s="1065"/>
      <c r="CA763" s="1065"/>
      <c r="CB763" s="1065"/>
      <c r="CC763" s="1065"/>
      <c r="CD763" s="1065"/>
      <c r="CE763" s="1065"/>
      <c r="CF763" s="1065"/>
      <c r="CG763" s="1065"/>
      <c r="CH763" s="1065"/>
      <c r="CI763" s="1065"/>
      <c r="CJ763" s="1065"/>
      <c r="CK763" s="1065"/>
      <c r="CL763" s="1065"/>
      <c r="CM763" s="1065"/>
      <c r="CN763" s="1065"/>
      <c r="CO763" s="1065"/>
      <c r="CP763" s="1065"/>
      <c r="CQ763" s="1065"/>
      <c r="CR763" s="1065"/>
      <c r="CS763" s="1065"/>
      <c r="CT763" s="1065"/>
      <c r="CU763" s="1065"/>
      <c r="CV763" s="1065"/>
      <c r="CW763" s="1065"/>
      <c r="CX763" s="1065"/>
      <c r="CY763" s="1065"/>
      <c r="CZ763" s="1065"/>
      <c r="DA763" s="1065"/>
      <c r="DB763" s="1065"/>
    </row>
    <row r="764" spans="1:106" ht="15" customHeight="1">
      <c r="A764" s="1065"/>
      <c r="B764" s="1065"/>
      <c r="C764" s="1065"/>
      <c r="D764" s="1065"/>
      <c r="E764" s="1065"/>
      <c r="F764" s="1065"/>
      <c r="G764" s="1065"/>
      <c r="H764" s="1223"/>
      <c r="I764" s="1223"/>
      <c r="J764" s="1224"/>
      <c r="K764" s="1224"/>
      <c r="L764" s="1224"/>
      <c r="M764" s="1225"/>
      <c r="N764" s="1225"/>
      <c r="O764" s="1226"/>
      <c r="P764" s="1227"/>
      <c r="Q764" s="1227"/>
      <c r="R764" s="1228"/>
      <c r="S764" s="1224"/>
      <c r="T764" s="1229"/>
      <c r="U764" s="1065"/>
      <c r="V764" s="1065"/>
      <c r="W764" s="1065"/>
      <c r="X764" s="1065"/>
      <c r="Y764" s="1065"/>
      <c r="Z764" s="1065"/>
      <c r="AA764" s="1065"/>
      <c r="AB764" s="1065"/>
      <c r="AC764" s="1065"/>
      <c r="AD764" s="1065"/>
      <c r="AE764" s="1065"/>
      <c r="AF764" s="1065"/>
      <c r="AG764" s="1065"/>
      <c r="AH764" s="1065"/>
      <c r="AI764" s="1065"/>
      <c r="AJ764" s="1065"/>
      <c r="AK764" s="1065"/>
      <c r="AL764" s="1065"/>
      <c r="AM764" s="1065"/>
      <c r="AN764" s="1065"/>
      <c r="AO764" s="1065"/>
      <c r="AP764" s="1065"/>
      <c r="AQ764" s="1065"/>
      <c r="AR764" s="1065"/>
      <c r="AS764" s="1065"/>
      <c r="AT764" s="1065"/>
      <c r="AU764" s="1065"/>
      <c r="AV764" s="1065"/>
      <c r="AW764" s="1065"/>
      <c r="AX764" s="1065"/>
      <c r="AY764" s="1065"/>
      <c r="AZ764" s="1065"/>
      <c r="BA764" s="1065"/>
      <c r="BB764" s="1065"/>
      <c r="BC764" s="1065"/>
      <c r="BD764" s="1065"/>
      <c r="BE764" s="1065"/>
      <c r="BF764" s="1065"/>
      <c r="BG764" s="1065"/>
      <c r="BH764" s="1065"/>
      <c r="BI764" s="1065"/>
      <c r="BJ764" s="1065"/>
      <c r="BK764" s="1065"/>
      <c r="BL764" s="1065"/>
      <c r="BM764" s="1065"/>
      <c r="BN764" s="1065"/>
      <c r="BO764" s="1065"/>
      <c r="BP764" s="1065"/>
      <c r="BQ764" s="1065"/>
      <c r="BR764" s="1065"/>
      <c r="BS764" s="1065"/>
      <c r="BT764" s="1065"/>
      <c r="BU764" s="1065"/>
      <c r="BV764" s="1065"/>
      <c r="BW764" s="1065"/>
      <c r="BX764" s="1065"/>
      <c r="BY764" s="1065"/>
      <c r="BZ764" s="1065"/>
      <c r="CA764" s="1065"/>
      <c r="CB764" s="1065"/>
      <c r="CC764" s="1065"/>
      <c r="CD764" s="1065"/>
      <c r="CE764" s="1065"/>
      <c r="CF764" s="1065"/>
      <c r="CG764" s="1065"/>
      <c r="CH764" s="1065"/>
      <c r="CI764" s="1065"/>
      <c r="CJ764" s="1065"/>
      <c r="CK764" s="1065"/>
      <c r="CL764" s="1065"/>
      <c r="CM764" s="1065"/>
      <c r="CN764" s="1065"/>
      <c r="CO764" s="1065"/>
      <c r="CP764" s="1065"/>
      <c r="CQ764" s="1065"/>
      <c r="CR764" s="1065"/>
      <c r="CS764" s="1065"/>
      <c r="CT764" s="1065"/>
      <c r="CU764" s="1065"/>
      <c r="CV764" s="1065"/>
      <c r="CW764" s="1065"/>
      <c r="CX764" s="1065"/>
      <c r="CY764" s="1065"/>
      <c r="CZ764" s="1065"/>
      <c r="DA764" s="1065"/>
      <c r="DB764" s="1065"/>
    </row>
    <row r="765" spans="1:106" ht="15" customHeight="1">
      <c r="A765" s="1065"/>
      <c r="B765" s="1065"/>
      <c r="C765" s="1065"/>
      <c r="D765" s="1065"/>
      <c r="E765" s="1065"/>
      <c r="F765" s="1065"/>
      <c r="G765" s="1065"/>
      <c r="H765" s="1223"/>
      <c r="I765" s="1223"/>
      <c r="J765" s="1224"/>
      <c r="K765" s="1224"/>
      <c r="L765" s="1224"/>
      <c r="M765" s="1225"/>
      <c r="N765" s="1225"/>
      <c r="O765" s="1226"/>
      <c r="P765" s="1227"/>
      <c r="Q765" s="1227"/>
      <c r="R765" s="1228"/>
      <c r="S765" s="1224"/>
      <c r="T765" s="1229"/>
      <c r="U765" s="1065"/>
      <c r="V765" s="1065"/>
      <c r="W765" s="1065"/>
      <c r="X765" s="1065"/>
      <c r="Y765" s="1065"/>
      <c r="Z765" s="1065"/>
      <c r="AA765" s="1065"/>
      <c r="AB765" s="1065"/>
      <c r="AC765" s="1065"/>
      <c r="AD765" s="1065"/>
      <c r="AE765" s="1065"/>
      <c r="AF765" s="1065"/>
      <c r="AG765" s="1065"/>
      <c r="AH765" s="1065"/>
      <c r="AI765" s="1065"/>
      <c r="AJ765" s="1065"/>
      <c r="AK765" s="1065"/>
      <c r="AL765" s="1065"/>
      <c r="AM765" s="1065"/>
      <c r="AN765" s="1065"/>
      <c r="AO765" s="1065"/>
      <c r="AP765" s="1065"/>
      <c r="AQ765" s="1065"/>
      <c r="AR765" s="1065"/>
      <c r="AS765" s="1065"/>
      <c r="AT765" s="1065"/>
      <c r="AU765" s="1065"/>
      <c r="AV765" s="1065"/>
      <c r="AW765" s="1065"/>
      <c r="AX765" s="1065"/>
      <c r="AY765" s="1065"/>
      <c r="AZ765" s="1065"/>
      <c r="BA765" s="1065"/>
      <c r="BB765" s="1065"/>
      <c r="BC765" s="1065"/>
      <c r="BD765" s="1065"/>
      <c r="BE765" s="1065"/>
      <c r="BF765" s="1065"/>
      <c r="BG765" s="1065"/>
      <c r="BH765" s="1065"/>
      <c r="BI765" s="1065"/>
      <c r="BJ765" s="1065"/>
      <c r="BK765" s="1065"/>
      <c r="BL765" s="1065"/>
      <c r="BM765" s="1065"/>
      <c r="BN765" s="1065"/>
      <c r="BO765" s="1065"/>
      <c r="BP765" s="1065"/>
      <c r="BQ765" s="1065"/>
      <c r="BR765" s="1065"/>
      <c r="BS765" s="1065"/>
      <c r="BT765" s="1065"/>
      <c r="BU765" s="1065"/>
      <c r="BV765" s="1065"/>
      <c r="BW765" s="1065"/>
      <c r="BX765" s="1065"/>
      <c r="BY765" s="1065"/>
      <c r="BZ765" s="1065"/>
      <c r="CA765" s="1065"/>
      <c r="CB765" s="1065"/>
      <c r="CC765" s="1065"/>
      <c r="CD765" s="1065"/>
      <c r="CE765" s="1065"/>
      <c r="CF765" s="1065"/>
      <c r="CG765" s="1065"/>
      <c r="CH765" s="1065"/>
      <c r="CI765" s="1065"/>
      <c r="CJ765" s="1065"/>
      <c r="CK765" s="1065"/>
      <c r="CL765" s="1065"/>
      <c r="CM765" s="1065"/>
      <c r="CN765" s="1065"/>
      <c r="CO765" s="1065"/>
      <c r="CP765" s="1065"/>
      <c r="CQ765" s="1065"/>
      <c r="CR765" s="1065"/>
      <c r="CS765" s="1065"/>
      <c r="CT765" s="1065"/>
      <c r="CU765" s="1065"/>
      <c r="CV765" s="1065"/>
      <c r="CW765" s="1065"/>
      <c r="CX765" s="1065"/>
      <c r="CY765" s="1065"/>
      <c r="CZ765" s="1065"/>
      <c r="DA765" s="1065"/>
      <c r="DB765" s="1065"/>
    </row>
    <row r="766" spans="1:106" ht="15" customHeight="1">
      <c r="A766" s="1065"/>
      <c r="B766" s="1065"/>
      <c r="C766" s="1065"/>
      <c r="D766" s="1065"/>
      <c r="E766" s="1065"/>
      <c r="F766" s="1065"/>
      <c r="G766" s="1065"/>
      <c r="H766" s="1223"/>
      <c r="I766" s="1223"/>
      <c r="J766" s="1224"/>
      <c r="K766" s="1224"/>
      <c r="L766" s="1224"/>
      <c r="M766" s="1225"/>
      <c r="N766" s="1225"/>
      <c r="O766" s="1226"/>
      <c r="P766" s="1227"/>
      <c r="Q766" s="1227"/>
      <c r="R766" s="1228"/>
      <c r="S766" s="1224"/>
      <c r="T766" s="1229"/>
      <c r="U766" s="1065"/>
      <c r="V766" s="1065"/>
      <c r="W766" s="1065"/>
      <c r="X766" s="1065"/>
      <c r="Y766" s="1065"/>
      <c r="Z766" s="1065"/>
      <c r="AA766" s="1065"/>
      <c r="AB766" s="1065"/>
      <c r="AC766" s="1065"/>
      <c r="AD766" s="1065"/>
      <c r="AE766" s="1065"/>
      <c r="AF766" s="1065"/>
      <c r="AG766" s="1065"/>
      <c r="AH766" s="1065"/>
      <c r="AI766" s="1065"/>
      <c r="AJ766" s="1065"/>
      <c r="AK766" s="1065"/>
      <c r="AL766" s="1065"/>
      <c r="AM766" s="1065"/>
      <c r="AN766" s="1065"/>
      <c r="AO766" s="1065"/>
      <c r="AP766" s="1065"/>
      <c r="AQ766" s="1065"/>
      <c r="AR766" s="1065"/>
      <c r="AS766" s="1065"/>
      <c r="AT766" s="1065"/>
      <c r="AU766" s="1065"/>
      <c r="AV766" s="1065"/>
      <c r="AW766" s="1065"/>
      <c r="AX766" s="1065"/>
      <c r="AY766" s="1065"/>
      <c r="AZ766" s="1065"/>
      <c r="BA766" s="1065"/>
      <c r="BB766" s="1065"/>
      <c r="BC766" s="1065"/>
      <c r="BD766" s="1065"/>
      <c r="BE766" s="1065"/>
      <c r="BF766" s="1065"/>
      <c r="BG766" s="1065"/>
      <c r="BH766" s="1065"/>
      <c r="BI766" s="1065"/>
      <c r="BJ766" s="1065"/>
      <c r="BK766" s="1065"/>
      <c r="BL766" s="1065"/>
      <c r="BM766" s="1065"/>
      <c r="BN766" s="1065"/>
      <c r="BO766" s="1065"/>
      <c r="BP766" s="1065"/>
      <c r="BQ766" s="1065"/>
      <c r="BR766" s="1065"/>
      <c r="BS766" s="1065"/>
      <c r="BT766" s="1065"/>
      <c r="BU766" s="1065"/>
      <c r="BV766" s="1065"/>
      <c r="BW766" s="1065"/>
      <c r="BX766" s="1065"/>
      <c r="BY766" s="1065"/>
      <c r="BZ766" s="1065"/>
      <c r="CA766" s="1065"/>
      <c r="CB766" s="1065"/>
      <c r="CC766" s="1065"/>
      <c r="CD766" s="1065"/>
      <c r="CE766" s="1065"/>
      <c r="CF766" s="1065"/>
      <c r="CG766" s="1065"/>
      <c r="CH766" s="1065"/>
      <c r="CI766" s="1065"/>
      <c r="CJ766" s="1065"/>
      <c r="CK766" s="1065"/>
      <c r="CL766" s="1065"/>
      <c r="CM766" s="1065"/>
      <c r="CN766" s="1065"/>
      <c r="CO766" s="1065"/>
      <c r="CP766" s="1065"/>
      <c r="CQ766" s="1065"/>
      <c r="CR766" s="1065"/>
      <c r="CS766" s="1065"/>
      <c r="CT766" s="1065"/>
      <c r="CU766" s="1065"/>
      <c r="CV766" s="1065"/>
      <c r="CW766" s="1065"/>
      <c r="CX766" s="1065"/>
      <c r="CY766" s="1065"/>
      <c r="CZ766" s="1065"/>
      <c r="DA766" s="1065"/>
      <c r="DB766" s="1065"/>
    </row>
    <row r="767" spans="1:106" ht="15" customHeight="1">
      <c r="A767" s="1065"/>
      <c r="B767" s="1065"/>
      <c r="C767" s="1065"/>
      <c r="D767" s="1065"/>
      <c r="E767" s="1065"/>
      <c r="F767" s="1065"/>
      <c r="G767" s="1065"/>
      <c r="H767" s="1223"/>
      <c r="I767" s="1223"/>
      <c r="J767" s="1224"/>
      <c r="K767" s="1224"/>
      <c r="L767" s="1224"/>
      <c r="M767" s="1225"/>
      <c r="N767" s="1225"/>
      <c r="O767" s="1226"/>
      <c r="P767" s="1227"/>
      <c r="Q767" s="1227"/>
      <c r="R767" s="1228"/>
      <c r="S767" s="1224"/>
      <c r="T767" s="1229"/>
      <c r="U767" s="1065"/>
      <c r="V767" s="1065"/>
      <c r="W767" s="1065"/>
      <c r="X767" s="1065"/>
      <c r="Y767" s="1065"/>
      <c r="Z767" s="1065"/>
      <c r="AA767" s="1065"/>
      <c r="AB767" s="1065"/>
      <c r="AC767" s="1065"/>
      <c r="AD767" s="1065"/>
      <c r="AE767" s="1065"/>
      <c r="AF767" s="1065"/>
      <c r="AG767" s="1065"/>
      <c r="AH767" s="1065"/>
      <c r="AI767" s="1065"/>
      <c r="AJ767" s="1065"/>
      <c r="AK767" s="1065"/>
      <c r="AL767" s="1065"/>
      <c r="AM767" s="1065"/>
      <c r="AN767" s="1065"/>
      <c r="AO767" s="1065"/>
      <c r="AP767" s="1065"/>
      <c r="AQ767" s="1065"/>
      <c r="AR767" s="1065"/>
      <c r="AS767" s="1065"/>
      <c r="AT767" s="1065"/>
      <c r="AU767" s="1065"/>
      <c r="AV767" s="1065"/>
      <c r="AW767" s="1065"/>
      <c r="AX767" s="1065"/>
      <c r="AY767" s="1065"/>
      <c r="AZ767" s="1065"/>
      <c r="BA767" s="1065"/>
      <c r="BB767" s="1065"/>
      <c r="BC767" s="1065"/>
      <c r="BD767" s="1065"/>
      <c r="BE767" s="1065"/>
      <c r="BF767" s="1065"/>
      <c r="BG767" s="1065"/>
      <c r="BH767" s="1065"/>
      <c r="BI767" s="1065"/>
      <c r="BJ767" s="1065"/>
      <c r="BK767" s="1065"/>
      <c r="BL767" s="1065"/>
      <c r="BM767" s="1065"/>
      <c r="BN767" s="1065"/>
      <c r="BO767" s="1065"/>
      <c r="BP767" s="1065"/>
      <c r="BQ767" s="1065"/>
      <c r="BR767" s="1065"/>
      <c r="BS767" s="1065"/>
      <c r="BT767" s="1065"/>
      <c r="BU767" s="1065"/>
      <c r="BV767" s="1065"/>
      <c r="BW767" s="1065"/>
      <c r="BX767" s="1065"/>
      <c r="BY767" s="1065"/>
      <c r="BZ767" s="1065"/>
      <c r="CA767" s="1065"/>
      <c r="CB767" s="1065"/>
      <c r="CC767" s="1065"/>
      <c r="CD767" s="1065"/>
      <c r="CE767" s="1065"/>
      <c r="CF767" s="1065"/>
      <c r="CG767" s="1065"/>
      <c r="CH767" s="1065"/>
      <c r="CI767" s="1065"/>
      <c r="CJ767" s="1065"/>
      <c r="CK767" s="1065"/>
      <c r="CL767" s="1065"/>
      <c r="CM767" s="1065"/>
      <c r="CN767" s="1065"/>
      <c r="CO767" s="1065"/>
      <c r="CP767" s="1065"/>
      <c r="CQ767" s="1065"/>
      <c r="CR767" s="1065"/>
      <c r="CS767" s="1065"/>
      <c r="CT767" s="1065"/>
      <c r="CU767" s="1065"/>
      <c r="CV767" s="1065"/>
      <c r="CW767" s="1065"/>
      <c r="CX767" s="1065"/>
      <c r="CY767" s="1065"/>
      <c r="CZ767" s="1065"/>
      <c r="DA767" s="1065"/>
      <c r="DB767" s="1065"/>
    </row>
    <row r="768" spans="1:106" ht="15" customHeight="1">
      <c r="A768" s="1065"/>
      <c r="B768" s="1065"/>
      <c r="C768" s="1065"/>
      <c r="D768" s="1065"/>
      <c r="E768" s="1065"/>
      <c r="F768" s="1065"/>
      <c r="G768" s="1065"/>
      <c r="H768" s="1223"/>
      <c r="I768" s="1223"/>
      <c r="J768" s="1224"/>
      <c r="K768" s="1224"/>
      <c r="L768" s="1224"/>
      <c r="M768" s="1225"/>
      <c r="N768" s="1225"/>
      <c r="O768" s="1226"/>
      <c r="P768" s="1227"/>
      <c r="Q768" s="1227"/>
      <c r="R768" s="1228"/>
      <c r="S768" s="1224"/>
      <c r="T768" s="1229"/>
      <c r="U768" s="1065"/>
      <c r="V768" s="1065"/>
      <c r="W768" s="1065"/>
      <c r="X768" s="1065"/>
      <c r="Y768" s="1065"/>
      <c r="Z768" s="1065"/>
      <c r="AA768" s="1065"/>
      <c r="AB768" s="1065"/>
      <c r="AC768" s="1065"/>
      <c r="AD768" s="1065"/>
      <c r="AE768" s="1065"/>
      <c r="AF768" s="1065"/>
      <c r="AG768" s="1065"/>
      <c r="AH768" s="1065"/>
      <c r="AI768" s="1065"/>
      <c r="AJ768" s="1065"/>
      <c r="AK768" s="1065"/>
      <c r="AL768" s="1065"/>
      <c r="AM768" s="1065"/>
      <c r="AN768" s="1065"/>
      <c r="AO768" s="1065"/>
      <c r="AP768" s="1065"/>
      <c r="AQ768" s="1065"/>
      <c r="AR768" s="1065"/>
      <c r="AS768" s="1065"/>
      <c r="AT768" s="1065"/>
      <c r="AU768" s="1065"/>
      <c r="AV768" s="1065"/>
      <c r="AW768" s="1065"/>
      <c r="AX768" s="1065"/>
      <c r="AY768" s="1065"/>
      <c r="AZ768" s="1065"/>
      <c r="BA768" s="1065"/>
      <c r="BB768" s="1065"/>
      <c r="BC768" s="1065"/>
      <c r="BD768" s="1065"/>
      <c r="BE768" s="1065"/>
      <c r="BF768" s="1065"/>
      <c r="BG768" s="1065"/>
      <c r="BH768" s="1065"/>
      <c r="BI768" s="1065"/>
      <c r="BJ768" s="1065"/>
      <c r="BK768" s="1065"/>
      <c r="BL768" s="1065"/>
      <c r="BM768" s="1065"/>
      <c r="BN768" s="1065"/>
      <c r="BO768" s="1065"/>
      <c r="BP768" s="1065"/>
      <c r="BQ768" s="1065"/>
      <c r="BR768" s="1065"/>
      <c r="BS768" s="1065"/>
      <c r="BT768" s="1065"/>
      <c r="BU768" s="1065"/>
      <c r="BV768" s="1065"/>
      <c r="BW768" s="1065"/>
      <c r="BX768" s="1065"/>
      <c r="BY768" s="1065"/>
      <c r="BZ768" s="1065"/>
      <c r="CA768" s="1065"/>
      <c r="CB768" s="1065"/>
      <c r="CC768" s="1065"/>
      <c r="CD768" s="1065"/>
      <c r="CE768" s="1065"/>
      <c r="CF768" s="1065"/>
      <c r="CG768" s="1065"/>
      <c r="CH768" s="1065"/>
      <c r="CI768" s="1065"/>
      <c r="CJ768" s="1065"/>
      <c r="CK768" s="1065"/>
      <c r="CL768" s="1065"/>
      <c r="CM768" s="1065"/>
      <c r="CN768" s="1065"/>
      <c r="CO768" s="1065"/>
      <c r="CP768" s="1065"/>
      <c r="CQ768" s="1065"/>
      <c r="CR768" s="1065"/>
      <c r="CS768" s="1065"/>
      <c r="CT768" s="1065"/>
      <c r="CU768" s="1065"/>
      <c r="CV768" s="1065"/>
      <c r="CW768" s="1065"/>
      <c r="CX768" s="1065"/>
      <c r="CY768" s="1065"/>
      <c r="CZ768" s="1065"/>
      <c r="DA768" s="1065"/>
      <c r="DB768" s="1065"/>
    </row>
    <row r="769" spans="1:106" ht="15" customHeight="1">
      <c r="A769" s="1065"/>
      <c r="B769" s="1065"/>
      <c r="C769" s="1065"/>
      <c r="D769" s="1065"/>
      <c r="E769" s="1065"/>
      <c r="F769" s="1065"/>
      <c r="G769" s="1065"/>
      <c r="H769" s="1223"/>
      <c r="I769" s="1223"/>
      <c r="J769" s="1224"/>
      <c r="K769" s="1224"/>
      <c r="L769" s="1224"/>
      <c r="M769" s="1225"/>
      <c r="N769" s="1225"/>
      <c r="O769" s="1226"/>
      <c r="P769" s="1227"/>
      <c r="Q769" s="1227"/>
      <c r="R769" s="1228"/>
      <c r="S769" s="1224"/>
      <c r="T769" s="1229"/>
      <c r="U769" s="1065"/>
      <c r="V769" s="1065"/>
      <c r="W769" s="1065"/>
      <c r="X769" s="1065"/>
      <c r="Y769" s="1065"/>
      <c r="Z769" s="1065"/>
      <c r="AA769" s="1065"/>
      <c r="AB769" s="1065"/>
      <c r="AC769" s="1065"/>
      <c r="AD769" s="1065"/>
      <c r="AE769" s="1065"/>
      <c r="AF769" s="1065"/>
      <c r="AG769" s="1065"/>
      <c r="AH769" s="1065"/>
      <c r="AI769" s="1065"/>
      <c r="AJ769" s="1065"/>
      <c r="AK769" s="1065"/>
      <c r="AL769" s="1065"/>
      <c r="AM769" s="1065"/>
      <c r="AN769" s="1065"/>
      <c r="AO769" s="1065"/>
      <c r="AP769" s="1065"/>
      <c r="AQ769" s="1065"/>
      <c r="AR769" s="1065"/>
      <c r="AS769" s="1065"/>
      <c r="AT769" s="1065"/>
      <c r="AU769" s="1065"/>
      <c r="AV769" s="1065"/>
      <c r="AW769" s="1065"/>
      <c r="AX769" s="1065"/>
      <c r="AY769" s="1065"/>
      <c r="AZ769" s="1065"/>
      <c r="BA769" s="1065"/>
      <c r="BB769" s="1065"/>
      <c r="BC769" s="1065"/>
      <c r="BD769" s="1065"/>
      <c r="BE769" s="1065"/>
      <c r="BF769" s="1065"/>
      <c r="BG769" s="1065"/>
      <c r="BH769" s="1065"/>
      <c r="BI769" s="1065"/>
      <c r="BJ769" s="1065"/>
      <c r="BK769" s="1065"/>
      <c r="BL769" s="1065"/>
      <c r="BM769" s="1065"/>
      <c r="BN769" s="1065"/>
      <c r="BO769" s="1065"/>
      <c r="BP769" s="1065"/>
      <c r="BQ769" s="1065"/>
      <c r="BR769" s="1065"/>
      <c r="BS769" s="1065"/>
      <c r="BT769" s="1065"/>
      <c r="BU769" s="1065"/>
      <c r="BV769" s="1065"/>
      <c r="BW769" s="1065"/>
      <c r="BX769" s="1065"/>
      <c r="BY769" s="1065"/>
      <c r="BZ769" s="1065"/>
      <c r="CA769" s="1065"/>
      <c r="CB769" s="1065"/>
      <c r="CC769" s="1065"/>
      <c r="CD769" s="1065"/>
      <c r="CE769" s="1065"/>
      <c r="CF769" s="1065"/>
      <c r="CG769" s="1065"/>
      <c r="CH769" s="1065"/>
      <c r="CI769" s="1065"/>
      <c r="CJ769" s="1065"/>
      <c r="CK769" s="1065"/>
      <c r="CL769" s="1065"/>
      <c r="CM769" s="1065"/>
      <c r="CN769" s="1065"/>
      <c r="CO769" s="1065"/>
      <c r="CP769" s="1065"/>
      <c r="CQ769" s="1065"/>
      <c r="CR769" s="1065"/>
      <c r="CS769" s="1065"/>
      <c r="CT769" s="1065"/>
      <c r="CU769" s="1065"/>
      <c r="CV769" s="1065"/>
      <c r="CW769" s="1065"/>
      <c r="CX769" s="1065"/>
      <c r="CY769" s="1065"/>
      <c r="CZ769" s="1065"/>
      <c r="DA769" s="1065"/>
      <c r="DB769" s="1065"/>
    </row>
    <row r="770" spans="1:106" ht="15" customHeight="1">
      <c r="A770" s="1065"/>
      <c r="B770" s="1065"/>
      <c r="C770" s="1065"/>
      <c r="D770" s="1065"/>
      <c r="E770" s="1065"/>
      <c r="F770" s="1065"/>
      <c r="G770" s="1065"/>
      <c r="H770" s="1223"/>
      <c r="I770" s="1223"/>
      <c r="J770" s="1224"/>
      <c r="K770" s="1224"/>
      <c r="L770" s="1224"/>
      <c r="M770" s="1225"/>
      <c r="N770" s="1225"/>
      <c r="O770" s="1226"/>
      <c r="P770" s="1227"/>
      <c r="Q770" s="1227"/>
      <c r="R770" s="1228"/>
      <c r="S770" s="1224"/>
      <c r="T770" s="1229"/>
      <c r="U770" s="1065"/>
      <c r="V770" s="1065"/>
      <c r="W770" s="1065"/>
      <c r="X770" s="1065"/>
      <c r="Y770" s="1065"/>
      <c r="Z770" s="1065"/>
      <c r="AA770" s="1065"/>
      <c r="AB770" s="1065"/>
      <c r="AC770" s="1065"/>
      <c r="AD770" s="1065"/>
      <c r="AE770" s="1065"/>
      <c r="AF770" s="1065"/>
      <c r="AG770" s="1065"/>
      <c r="AH770" s="1065"/>
      <c r="AI770" s="1065"/>
      <c r="AJ770" s="1065"/>
      <c r="AK770" s="1065"/>
      <c r="AL770" s="1065"/>
      <c r="AM770" s="1065"/>
      <c r="AN770" s="1065"/>
      <c r="AO770" s="1065"/>
      <c r="AP770" s="1065"/>
      <c r="AQ770" s="1065"/>
      <c r="AR770" s="1065"/>
      <c r="AS770" s="1065"/>
      <c r="AT770" s="1065"/>
      <c r="AU770" s="1065"/>
      <c r="AV770" s="1065"/>
      <c r="AW770" s="1065"/>
      <c r="AX770" s="1065"/>
      <c r="AY770" s="1065"/>
      <c r="AZ770" s="1065"/>
      <c r="BA770" s="1065"/>
      <c r="BB770" s="1065"/>
      <c r="BC770" s="1065"/>
      <c r="BD770" s="1065"/>
      <c r="BE770" s="1065"/>
      <c r="BF770" s="1065"/>
      <c r="BG770" s="1065"/>
      <c r="BH770" s="1065"/>
      <c r="BI770" s="1065"/>
      <c r="BJ770" s="1065"/>
      <c r="BK770" s="1065"/>
      <c r="BL770" s="1065"/>
      <c r="BM770" s="1065"/>
      <c r="BN770" s="1065"/>
      <c r="BO770" s="1065"/>
      <c r="BP770" s="1065"/>
      <c r="BQ770" s="1065"/>
      <c r="BR770" s="1065"/>
      <c r="BS770" s="1065"/>
      <c r="BT770" s="1065"/>
      <c r="BU770" s="1065"/>
      <c r="BV770" s="1065"/>
      <c r="BW770" s="1065"/>
      <c r="BX770" s="1065"/>
      <c r="BY770" s="1065"/>
      <c r="BZ770" s="1065"/>
      <c r="CA770" s="1065"/>
      <c r="CB770" s="1065"/>
      <c r="CC770" s="1065"/>
      <c r="CD770" s="1065"/>
      <c r="CE770" s="1065"/>
      <c r="CF770" s="1065"/>
      <c r="CG770" s="1065"/>
      <c r="CH770" s="1065"/>
      <c r="CI770" s="1065"/>
      <c r="CJ770" s="1065"/>
      <c r="CK770" s="1065"/>
      <c r="CL770" s="1065"/>
      <c r="CM770" s="1065"/>
      <c r="CN770" s="1065"/>
      <c r="CO770" s="1065"/>
      <c r="CP770" s="1065"/>
      <c r="CQ770" s="1065"/>
      <c r="CR770" s="1065"/>
      <c r="CS770" s="1065"/>
      <c r="CT770" s="1065"/>
      <c r="CU770" s="1065"/>
      <c r="CV770" s="1065"/>
      <c r="CW770" s="1065"/>
      <c r="CX770" s="1065"/>
      <c r="CY770" s="1065"/>
      <c r="CZ770" s="1065"/>
      <c r="DA770" s="1065"/>
      <c r="DB770" s="1065"/>
    </row>
    <row r="771" spans="1:106" ht="15" customHeight="1">
      <c r="A771" s="1065"/>
      <c r="B771" s="1065"/>
      <c r="C771" s="1065"/>
      <c r="D771" s="1065"/>
      <c r="E771" s="1065"/>
      <c r="F771" s="1065"/>
      <c r="G771" s="1065"/>
      <c r="H771" s="1223"/>
      <c r="I771" s="1223"/>
      <c r="J771" s="1224"/>
      <c r="K771" s="1224"/>
      <c r="L771" s="1224"/>
      <c r="M771" s="1225"/>
      <c r="N771" s="1225"/>
      <c r="O771" s="1226"/>
      <c r="P771" s="1227"/>
      <c r="Q771" s="1227"/>
      <c r="R771" s="1228"/>
      <c r="S771" s="1224"/>
      <c r="T771" s="1229"/>
      <c r="U771" s="1065"/>
      <c r="V771" s="1065"/>
      <c r="W771" s="1065"/>
      <c r="X771" s="1065"/>
      <c r="Y771" s="1065"/>
      <c r="Z771" s="1065"/>
      <c r="AA771" s="1065"/>
      <c r="AB771" s="1065"/>
      <c r="AC771" s="1065"/>
      <c r="AD771" s="1065"/>
      <c r="AE771" s="1065"/>
      <c r="AF771" s="1065"/>
      <c r="AG771" s="1065"/>
      <c r="AH771" s="1065"/>
      <c r="AI771" s="1065"/>
      <c r="AJ771" s="1065"/>
      <c r="AK771" s="1065"/>
      <c r="AL771" s="1065"/>
      <c r="AM771" s="1065"/>
      <c r="AN771" s="1065"/>
      <c r="AO771" s="1065"/>
      <c r="AP771" s="1065"/>
      <c r="AQ771" s="1065"/>
      <c r="AR771" s="1065"/>
      <c r="AS771" s="1065"/>
      <c r="AT771" s="1065"/>
      <c r="AU771" s="1065"/>
      <c r="AV771" s="1065"/>
      <c r="AW771" s="1065"/>
      <c r="AX771" s="1065"/>
      <c r="AY771" s="1065"/>
      <c r="AZ771" s="1065"/>
      <c r="BA771" s="1065"/>
      <c r="BB771" s="1065"/>
      <c r="BC771" s="1065"/>
      <c r="BD771" s="1065"/>
      <c r="BE771" s="1065"/>
      <c r="BF771" s="1065"/>
      <c r="BG771" s="1065"/>
      <c r="BH771" s="1065"/>
      <c r="BI771" s="1065"/>
      <c r="BJ771" s="1065"/>
      <c r="BK771" s="1065"/>
      <c r="BL771" s="1065"/>
      <c r="BM771" s="1065"/>
      <c r="BN771" s="1065"/>
      <c r="BO771" s="1065"/>
      <c r="BP771" s="1065"/>
      <c r="BQ771" s="1065"/>
      <c r="BR771" s="1065"/>
      <c r="BS771" s="1065"/>
      <c r="BT771" s="1065"/>
      <c r="BU771" s="1065"/>
      <c r="BV771" s="1065"/>
      <c r="BW771" s="1065"/>
      <c r="BX771" s="1065"/>
      <c r="BY771" s="1065"/>
      <c r="BZ771" s="1065"/>
      <c r="CA771" s="1065"/>
      <c r="CB771" s="1065"/>
      <c r="CC771" s="1065"/>
      <c r="CD771" s="1065"/>
      <c r="CE771" s="1065"/>
      <c r="CF771" s="1065"/>
      <c r="CG771" s="1065"/>
      <c r="CH771" s="1065"/>
      <c r="CI771" s="1065"/>
      <c r="CJ771" s="1065"/>
      <c r="CK771" s="1065"/>
      <c r="CL771" s="1065"/>
      <c r="CM771" s="1065"/>
      <c r="CN771" s="1065"/>
      <c r="CO771" s="1065"/>
      <c r="CP771" s="1065"/>
      <c r="CQ771" s="1065"/>
      <c r="CR771" s="1065"/>
      <c r="CS771" s="1065"/>
      <c r="CT771" s="1065"/>
      <c r="CU771" s="1065"/>
      <c r="CV771" s="1065"/>
      <c r="CW771" s="1065"/>
      <c r="CX771" s="1065"/>
      <c r="CY771" s="1065"/>
      <c r="CZ771" s="1065"/>
      <c r="DA771" s="1065"/>
      <c r="DB771" s="1065"/>
    </row>
    <row r="772" spans="1:106" ht="15" customHeight="1">
      <c r="A772" s="1065"/>
      <c r="B772" s="1065"/>
      <c r="C772" s="1065"/>
      <c r="D772" s="1065"/>
      <c r="E772" s="1065"/>
      <c r="F772" s="1065"/>
      <c r="G772" s="1065"/>
      <c r="H772" s="1223"/>
      <c r="I772" s="1223"/>
      <c r="J772" s="1224"/>
      <c r="K772" s="1224"/>
      <c r="L772" s="1224"/>
      <c r="M772" s="1225"/>
      <c r="N772" s="1225"/>
      <c r="O772" s="1226"/>
      <c r="P772" s="1227"/>
      <c r="Q772" s="1227"/>
      <c r="R772" s="1228"/>
      <c r="S772" s="1224"/>
      <c r="T772" s="1229"/>
      <c r="U772" s="1065"/>
      <c r="V772" s="1065"/>
      <c r="W772" s="1065"/>
      <c r="X772" s="1065"/>
      <c r="Y772" s="1065"/>
      <c r="Z772" s="1065"/>
      <c r="AA772" s="1065"/>
      <c r="AB772" s="1065"/>
      <c r="AC772" s="1065"/>
      <c r="AD772" s="1065"/>
      <c r="AE772" s="1065"/>
      <c r="AF772" s="1065"/>
      <c r="AG772" s="1065"/>
      <c r="AH772" s="1065"/>
      <c r="AI772" s="1065"/>
      <c r="AJ772" s="1065"/>
      <c r="AK772" s="1065"/>
      <c r="AL772" s="1065"/>
      <c r="AM772" s="1065"/>
      <c r="AN772" s="1065"/>
      <c r="AO772" s="1065"/>
      <c r="AP772" s="1065"/>
      <c r="AQ772" s="1065"/>
      <c r="AR772" s="1065"/>
      <c r="AS772" s="1065"/>
      <c r="AT772" s="1065"/>
      <c r="AU772" s="1065"/>
      <c r="AV772" s="1065"/>
      <c r="AW772" s="1065"/>
      <c r="AX772" s="1065"/>
      <c r="AY772" s="1065"/>
      <c r="AZ772" s="1065"/>
      <c r="BA772" s="1065"/>
      <c r="BB772" s="1065"/>
      <c r="BC772" s="1065"/>
      <c r="BD772" s="1065"/>
      <c r="BE772" s="1065"/>
      <c r="BF772" s="1065"/>
      <c r="BG772" s="1065"/>
      <c r="BH772" s="1065"/>
      <c r="BI772" s="1065"/>
      <c r="BJ772" s="1065"/>
      <c r="BK772" s="1065"/>
      <c r="BL772" s="1065"/>
      <c r="BM772" s="1065"/>
      <c r="BN772" s="1065"/>
      <c r="BO772" s="1065"/>
      <c r="BP772" s="1065"/>
      <c r="BQ772" s="1065"/>
      <c r="BR772" s="1065"/>
      <c r="BS772" s="1065"/>
      <c r="BT772" s="1065"/>
      <c r="BU772" s="1065"/>
      <c r="BV772" s="1065"/>
      <c r="BW772" s="1065"/>
      <c r="BX772" s="1065"/>
      <c r="BY772" s="1065"/>
      <c r="BZ772" s="1065"/>
      <c r="CA772" s="1065"/>
      <c r="CB772" s="1065"/>
      <c r="CC772" s="1065"/>
      <c r="CD772" s="1065"/>
      <c r="CE772" s="1065"/>
      <c r="CF772" s="1065"/>
      <c r="CG772" s="1065"/>
      <c r="CH772" s="1065"/>
      <c r="CI772" s="1065"/>
      <c r="CJ772" s="1065"/>
      <c r="CK772" s="1065"/>
      <c r="CL772" s="1065"/>
      <c r="CM772" s="1065"/>
      <c r="CN772" s="1065"/>
      <c r="CO772" s="1065"/>
      <c r="CP772" s="1065"/>
      <c r="CQ772" s="1065"/>
      <c r="CR772" s="1065"/>
      <c r="CS772" s="1065"/>
      <c r="CT772" s="1065"/>
      <c r="CU772" s="1065"/>
      <c r="CV772" s="1065"/>
      <c r="CW772" s="1065"/>
      <c r="CX772" s="1065"/>
      <c r="CY772" s="1065"/>
      <c r="CZ772" s="1065"/>
      <c r="DA772" s="1065"/>
      <c r="DB772" s="1065"/>
    </row>
    <row r="773" spans="1:106" ht="15" customHeight="1">
      <c r="A773" s="1065"/>
      <c r="B773" s="1065"/>
      <c r="C773" s="1065"/>
      <c r="D773" s="1065"/>
      <c r="E773" s="1065"/>
      <c r="F773" s="1065"/>
      <c r="G773" s="1065"/>
      <c r="H773" s="1223"/>
      <c r="I773" s="1223"/>
      <c r="J773" s="1224"/>
      <c r="K773" s="1224"/>
      <c r="L773" s="1224"/>
      <c r="M773" s="1225"/>
      <c r="N773" s="1225"/>
      <c r="O773" s="1226"/>
      <c r="P773" s="1227"/>
      <c r="Q773" s="1227"/>
      <c r="R773" s="1228"/>
      <c r="S773" s="1224"/>
      <c r="T773" s="1229"/>
      <c r="U773" s="1065"/>
      <c r="V773" s="1065"/>
      <c r="W773" s="1065"/>
      <c r="X773" s="1065"/>
      <c r="Y773" s="1065"/>
      <c r="Z773" s="1065"/>
      <c r="AA773" s="1065"/>
      <c r="AB773" s="1065"/>
      <c r="AC773" s="1065"/>
      <c r="AD773" s="1065"/>
      <c r="AE773" s="1065"/>
      <c r="AF773" s="1065"/>
      <c r="AG773" s="1065"/>
      <c r="AH773" s="1065"/>
      <c r="AI773" s="1065"/>
      <c r="AJ773" s="1065"/>
      <c r="AK773" s="1065"/>
      <c r="AL773" s="1065"/>
      <c r="AM773" s="1065"/>
      <c r="AN773" s="1065"/>
      <c r="AO773" s="1065"/>
      <c r="AP773" s="1065"/>
      <c r="AQ773" s="1065"/>
      <c r="AR773" s="1065"/>
      <c r="AS773" s="1065"/>
      <c r="AT773" s="1065"/>
      <c r="AU773" s="1065"/>
      <c r="AV773" s="1065"/>
      <c r="AW773" s="1065"/>
      <c r="AX773" s="1065"/>
      <c r="AY773" s="1065"/>
      <c r="AZ773" s="1065"/>
      <c r="BA773" s="1065"/>
      <c r="BB773" s="1065"/>
      <c r="BC773" s="1065"/>
      <c r="BD773" s="1065"/>
      <c r="BE773" s="1065"/>
      <c r="BF773" s="1065"/>
      <c r="BG773" s="1065"/>
      <c r="BH773" s="1065"/>
      <c r="BI773" s="1065"/>
      <c r="BJ773" s="1065"/>
      <c r="BK773" s="1065"/>
      <c r="BL773" s="1065"/>
      <c r="BM773" s="1065"/>
      <c r="BN773" s="1065"/>
      <c r="BO773" s="1065"/>
      <c r="BP773" s="1065"/>
      <c r="BQ773" s="1065"/>
      <c r="BR773" s="1065"/>
      <c r="BS773" s="1065"/>
      <c r="BT773" s="1065"/>
      <c r="BU773" s="1065"/>
      <c r="BV773" s="1065"/>
      <c r="BW773" s="1065"/>
      <c r="BX773" s="1065"/>
      <c r="BY773" s="1065"/>
      <c r="BZ773" s="1065"/>
      <c r="CA773" s="1065"/>
      <c r="CB773" s="1065"/>
      <c r="CC773" s="1065"/>
      <c r="CD773" s="1065"/>
      <c r="CE773" s="1065"/>
      <c r="CF773" s="1065"/>
      <c r="CG773" s="1065"/>
      <c r="CH773" s="1065"/>
      <c r="CI773" s="1065"/>
      <c r="CJ773" s="1065"/>
      <c r="CK773" s="1065"/>
      <c r="CL773" s="1065"/>
      <c r="CM773" s="1065"/>
      <c r="CN773" s="1065"/>
      <c r="CO773" s="1065"/>
      <c r="CP773" s="1065"/>
      <c r="CQ773" s="1065"/>
      <c r="CR773" s="1065"/>
      <c r="CS773" s="1065"/>
      <c r="CT773" s="1065"/>
      <c r="CU773" s="1065"/>
      <c r="CV773" s="1065"/>
      <c r="CW773" s="1065"/>
      <c r="CX773" s="1065"/>
      <c r="CY773" s="1065"/>
      <c r="CZ773" s="1065"/>
      <c r="DA773" s="1065"/>
      <c r="DB773" s="1065"/>
    </row>
    <row r="774" spans="1:106" ht="15" customHeight="1">
      <c r="A774" s="1065"/>
      <c r="B774" s="1065"/>
      <c r="C774" s="1065"/>
      <c r="D774" s="1065"/>
      <c r="E774" s="1065"/>
      <c r="F774" s="1065"/>
      <c r="G774" s="1065"/>
      <c r="H774" s="1223"/>
      <c r="I774" s="1223"/>
      <c r="J774" s="1224"/>
      <c r="K774" s="1224"/>
      <c r="L774" s="1224"/>
      <c r="M774" s="1225"/>
      <c r="N774" s="1225"/>
      <c r="O774" s="1226"/>
      <c r="P774" s="1227"/>
      <c r="Q774" s="1227"/>
      <c r="R774" s="1228"/>
      <c r="S774" s="1224"/>
      <c r="T774" s="1229"/>
      <c r="U774" s="1065"/>
      <c r="V774" s="1065"/>
      <c r="W774" s="1065"/>
      <c r="X774" s="1065"/>
      <c r="Y774" s="1065"/>
      <c r="Z774" s="1065"/>
      <c r="AA774" s="1065"/>
      <c r="AB774" s="1065"/>
      <c r="AC774" s="1065"/>
      <c r="AD774" s="1065"/>
      <c r="AE774" s="1065"/>
      <c r="AF774" s="1065"/>
      <c r="AG774" s="1065"/>
      <c r="AH774" s="1065"/>
      <c r="AI774" s="1065"/>
      <c r="AJ774" s="1065"/>
      <c r="AK774" s="1065"/>
      <c r="AL774" s="1065"/>
      <c r="AM774" s="1065"/>
      <c r="AN774" s="1065"/>
      <c r="AO774" s="1065"/>
      <c r="AP774" s="1065"/>
      <c r="AQ774" s="1065"/>
      <c r="AR774" s="1065"/>
      <c r="AS774" s="1065"/>
      <c r="AT774" s="1065"/>
      <c r="AU774" s="1065"/>
      <c r="AV774" s="1065"/>
      <c r="AW774" s="1065"/>
      <c r="AX774" s="1065"/>
      <c r="AY774" s="1065"/>
      <c r="AZ774" s="1065"/>
      <c r="BA774" s="1065"/>
      <c r="BB774" s="1065"/>
      <c r="BC774" s="1065"/>
      <c r="BD774" s="1065"/>
      <c r="BE774" s="1065"/>
      <c r="BF774" s="1065"/>
      <c r="BG774" s="1065"/>
      <c r="BH774" s="1065"/>
      <c r="BI774" s="1065"/>
      <c r="BJ774" s="1065"/>
      <c r="BK774" s="1065"/>
      <c r="BL774" s="1065"/>
      <c r="BM774" s="1065"/>
      <c r="BN774" s="1065"/>
      <c r="BO774" s="1065"/>
      <c r="BP774" s="1065"/>
      <c r="BQ774" s="1065"/>
      <c r="BR774" s="1065"/>
      <c r="BS774" s="1065"/>
      <c r="BT774" s="1065"/>
      <c r="BU774" s="1065"/>
      <c r="BV774" s="1065"/>
      <c r="BW774" s="1065"/>
      <c r="BX774" s="1065"/>
      <c r="BY774" s="1065"/>
      <c r="BZ774" s="1065"/>
      <c r="CA774" s="1065"/>
      <c r="CB774" s="1065"/>
      <c r="CC774" s="1065"/>
      <c r="CD774" s="1065"/>
      <c r="CE774" s="1065"/>
      <c r="CF774" s="1065"/>
      <c r="CG774" s="1065"/>
      <c r="CH774" s="1065"/>
      <c r="CI774" s="1065"/>
      <c r="CJ774" s="1065"/>
      <c r="CK774" s="1065"/>
      <c r="CL774" s="1065"/>
      <c r="CM774" s="1065"/>
      <c r="CN774" s="1065"/>
      <c r="CO774" s="1065"/>
      <c r="CP774" s="1065"/>
      <c r="CQ774" s="1065"/>
      <c r="CR774" s="1065"/>
      <c r="CS774" s="1065"/>
      <c r="CT774" s="1065"/>
      <c r="CU774" s="1065"/>
      <c r="CV774" s="1065"/>
      <c r="CW774" s="1065"/>
      <c r="CX774" s="1065"/>
      <c r="CY774" s="1065"/>
      <c r="CZ774" s="1065"/>
      <c r="DA774" s="1065"/>
      <c r="DB774" s="1065"/>
    </row>
    <row r="775" spans="1:106" ht="15" customHeight="1">
      <c r="A775" s="1065"/>
      <c r="B775" s="1065"/>
      <c r="C775" s="1065"/>
      <c r="D775" s="1065"/>
      <c r="E775" s="1065"/>
      <c r="F775" s="1065"/>
      <c r="G775" s="1065"/>
      <c r="H775" s="1223"/>
      <c r="I775" s="1223"/>
      <c r="J775" s="1224"/>
      <c r="K775" s="1224"/>
      <c r="L775" s="1224"/>
      <c r="M775" s="1225"/>
      <c r="N775" s="1225"/>
      <c r="O775" s="1226"/>
      <c r="P775" s="1227"/>
      <c r="Q775" s="1227"/>
      <c r="R775" s="1228"/>
      <c r="S775" s="1224"/>
      <c r="T775" s="1229"/>
      <c r="U775" s="1065"/>
      <c r="V775" s="1065"/>
      <c r="W775" s="1065"/>
      <c r="X775" s="1065"/>
      <c r="Y775" s="1065"/>
      <c r="Z775" s="1065"/>
      <c r="AA775" s="1065"/>
      <c r="AB775" s="1065"/>
      <c r="AC775" s="1065"/>
      <c r="AD775" s="1065"/>
      <c r="AE775" s="1065"/>
      <c r="AF775" s="1065"/>
      <c r="AG775" s="1065"/>
      <c r="AH775" s="1065"/>
      <c r="AI775" s="1065"/>
      <c r="AJ775" s="1065"/>
      <c r="AK775" s="1065"/>
      <c r="AL775" s="1065"/>
      <c r="AM775" s="1065"/>
      <c r="AN775" s="1065"/>
      <c r="AO775" s="1065"/>
      <c r="AP775" s="1065"/>
      <c r="AQ775" s="1065"/>
      <c r="AR775" s="1065"/>
      <c r="AS775" s="1065"/>
      <c r="AT775" s="1065"/>
      <c r="AU775" s="1065"/>
      <c r="AV775" s="1065"/>
      <c r="AW775" s="1065"/>
      <c r="AX775" s="1065"/>
      <c r="AY775" s="1065"/>
      <c r="AZ775" s="1065"/>
      <c r="BA775" s="1065"/>
      <c r="BB775" s="1065"/>
      <c r="BC775" s="1065"/>
      <c r="BD775" s="1065"/>
      <c r="BE775" s="1065"/>
      <c r="BF775" s="1065"/>
      <c r="BG775" s="1065"/>
      <c r="BH775" s="1065"/>
      <c r="BI775" s="1065"/>
      <c r="BJ775" s="1065"/>
      <c r="BK775" s="1065"/>
      <c r="BL775" s="1065"/>
      <c r="BM775" s="1065"/>
      <c r="BN775" s="1065"/>
      <c r="BO775" s="1065"/>
      <c r="BP775" s="1065"/>
      <c r="BQ775" s="1065"/>
      <c r="BR775" s="1065"/>
      <c r="BS775" s="1065"/>
      <c r="BT775" s="1065"/>
      <c r="BU775" s="1065"/>
      <c r="BV775" s="1065"/>
      <c r="BW775" s="1065"/>
      <c r="BX775" s="1065"/>
      <c r="BY775" s="1065"/>
      <c r="BZ775" s="1065"/>
      <c r="CA775" s="1065"/>
      <c r="CB775" s="1065"/>
      <c r="CC775" s="1065"/>
      <c r="CD775" s="1065"/>
      <c r="CE775" s="1065"/>
      <c r="CF775" s="1065"/>
      <c r="CG775" s="1065"/>
      <c r="CH775" s="1065"/>
      <c r="CI775" s="1065"/>
      <c r="CJ775" s="1065"/>
      <c r="CK775" s="1065"/>
      <c r="CL775" s="1065"/>
      <c r="CM775" s="1065"/>
      <c r="CN775" s="1065"/>
      <c r="CO775" s="1065"/>
      <c r="CP775" s="1065"/>
      <c r="CQ775" s="1065"/>
      <c r="CR775" s="1065"/>
      <c r="CS775" s="1065"/>
      <c r="CT775" s="1065"/>
      <c r="CU775" s="1065"/>
      <c r="CV775" s="1065"/>
      <c r="CW775" s="1065"/>
      <c r="CX775" s="1065"/>
      <c r="CY775" s="1065"/>
      <c r="CZ775" s="1065"/>
      <c r="DA775" s="1065"/>
      <c r="DB775" s="1065"/>
    </row>
    <row r="776" spans="1:106" ht="15" customHeight="1">
      <c r="A776" s="1065"/>
      <c r="B776" s="1065"/>
      <c r="C776" s="1065"/>
      <c r="D776" s="1065"/>
      <c r="E776" s="1065"/>
      <c r="F776" s="1065"/>
      <c r="G776" s="1065"/>
      <c r="H776" s="1223"/>
      <c r="I776" s="1223"/>
      <c r="J776" s="1224"/>
      <c r="K776" s="1224"/>
      <c r="L776" s="1224"/>
      <c r="M776" s="1225"/>
      <c r="N776" s="1225"/>
      <c r="O776" s="1226"/>
      <c r="P776" s="1227"/>
      <c r="Q776" s="1227"/>
      <c r="R776" s="1228"/>
      <c r="S776" s="1224"/>
      <c r="T776" s="1229"/>
      <c r="U776" s="1065"/>
      <c r="V776" s="1065"/>
      <c r="W776" s="1065"/>
      <c r="X776" s="1065"/>
      <c r="Y776" s="1065"/>
      <c r="Z776" s="1065"/>
      <c r="AA776" s="1065"/>
      <c r="AB776" s="1065"/>
      <c r="AC776" s="1065"/>
      <c r="AD776" s="1065"/>
      <c r="AE776" s="1065"/>
      <c r="AF776" s="1065"/>
      <c r="AG776" s="1065"/>
      <c r="AH776" s="1065"/>
      <c r="AI776" s="1065"/>
      <c r="AJ776" s="1065"/>
      <c r="AK776" s="1065"/>
      <c r="AL776" s="1065"/>
      <c r="AM776" s="1065"/>
      <c r="AN776" s="1065"/>
      <c r="AO776" s="1065"/>
      <c r="AP776" s="1065"/>
      <c r="AQ776" s="1065"/>
      <c r="AR776" s="1065"/>
      <c r="AS776" s="1065"/>
      <c r="AT776" s="1065"/>
      <c r="AU776" s="1065"/>
      <c r="AV776" s="1065"/>
      <c r="AW776" s="1065"/>
      <c r="AX776" s="1065"/>
      <c r="AY776" s="1065"/>
      <c r="AZ776" s="1065"/>
      <c r="BA776" s="1065"/>
      <c r="BB776" s="1065"/>
      <c r="BC776" s="1065"/>
      <c r="BD776" s="1065"/>
      <c r="BE776" s="1065"/>
      <c r="BF776" s="1065"/>
      <c r="BG776" s="1065"/>
      <c r="BH776" s="1065"/>
      <c r="BI776" s="1065"/>
      <c r="BJ776" s="1065"/>
      <c r="BK776" s="1065"/>
      <c r="BL776" s="1065"/>
      <c r="BM776" s="1065"/>
      <c r="BN776" s="1065"/>
      <c r="BO776" s="1065"/>
      <c r="BP776" s="1065"/>
      <c r="BQ776" s="1065"/>
      <c r="BR776" s="1065"/>
      <c r="BS776" s="1065"/>
      <c r="BT776" s="1065"/>
      <c r="BU776" s="1065"/>
      <c r="BV776" s="1065"/>
      <c r="BW776" s="1065"/>
      <c r="BX776" s="1065"/>
      <c r="BY776" s="1065"/>
      <c r="BZ776" s="1065"/>
      <c r="CA776" s="1065"/>
      <c r="CB776" s="1065"/>
      <c r="CC776" s="1065"/>
      <c r="CD776" s="1065"/>
      <c r="CE776" s="1065"/>
      <c r="CF776" s="1065"/>
      <c r="CG776" s="1065"/>
      <c r="CH776" s="1065"/>
      <c r="CI776" s="1065"/>
      <c r="CJ776" s="1065"/>
      <c r="CK776" s="1065"/>
      <c r="CL776" s="1065"/>
      <c r="CM776" s="1065"/>
      <c r="CN776" s="1065"/>
      <c r="CO776" s="1065"/>
      <c r="CP776" s="1065"/>
      <c r="CQ776" s="1065"/>
      <c r="CR776" s="1065"/>
      <c r="CS776" s="1065"/>
      <c r="CT776" s="1065"/>
      <c r="CU776" s="1065"/>
      <c r="CV776" s="1065"/>
      <c r="CW776" s="1065"/>
      <c r="CX776" s="1065"/>
      <c r="CY776" s="1065"/>
      <c r="CZ776" s="1065"/>
      <c r="DA776" s="1065"/>
      <c r="DB776" s="1065"/>
    </row>
    <row r="777" spans="1:106" ht="15" customHeight="1">
      <c r="A777" s="1065"/>
      <c r="B777" s="1065"/>
      <c r="C777" s="1065"/>
      <c r="D777" s="1065"/>
      <c r="E777" s="1065"/>
      <c r="F777" s="1065"/>
      <c r="G777" s="1065"/>
      <c r="H777" s="1223"/>
      <c r="I777" s="1223"/>
      <c r="J777" s="1224"/>
      <c r="K777" s="1224"/>
      <c r="L777" s="1224"/>
      <c r="M777" s="1225"/>
      <c r="N777" s="1225"/>
      <c r="O777" s="1226"/>
      <c r="P777" s="1227"/>
      <c r="Q777" s="1227"/>
      <c r="R777" s="1228"/>
      <c r="S777" s="1224"/>
      <c r="T777" s="1229"/>
      <c r="U777" s="1065"/>
      <c r="V777" s="1065"/>
      <c r="W777" s="1065"/>
      <c r="X777" s="1065"/>
      <c r="Y777" s="1065"/>
      <c r="Z777" s="1065"/>
      <c r="AA777" s="1065"/>
      <c r="AB777" s="1065"/>
      <c r="AC777" s="1065"/>
      <c r="AD777" s="1065"/>
      <c r="AE777" s="1065"/>
      <c r="AF777" s="1065"/>
      <c r="AG777" s="1065"/>
      <c r="AH777" s="1065"/>
      <c r="AI777" s="1065"/>
      <c r="AJ777" s="1065"/>
      <c r="AK777" s="1065"/>
      <c r="AL777" s="1065"/>
      <c r="AM777" s="1065"/>
      <c r="AN777" s="1065"/>
      <c r="AO777" s="1065"/>
      <c r="AP777" s="1065"/>
      <c r="AQ777" s="1065"/>
      <c r="AR777" s="1065"/>
      <c r="AS777" s="1065"/>
      <c r="AT777" s="1065"/>
      <c r="AU777" s="1065"/>
      <c r="AV777" s="1065"/>
      <c r="AW777" s="1065"/>
      <c r="AX777" s="1065"/>
      <c r="AY777" s="1065"/>
      <c r="AZ777" s="1065"/>
      <c r="BA777" s="1065"/>
      <c r="BB777" s="1065"/>
      <c r="BC777" s="1065"/>
      <c r="BD777" s="1065"/>
      <c r="BE777" s="1065"/>
      <c r="BF777" s="1065"/>
      <c r="BG777" s="1065"/>
      <c r="BH777" s="1065"/>
      <c r="BI777" s="1065"/>
      <c r="BJ777" s="1065"/>
      <c r="BK777" s="1065"/>
      <c r="BL777" s="1065"/>
      <c r="BM777" s="1065"/>
      <c r="BN777" s="1065"/>
      <c r="BO777" s="1065"/>
      <c r="BP777" s="1065"/>
      <c r="BQ777" s="1065"/>
      <c r="BR777" s="1065"/>
      <c r="BS777" s="1065"/>
      <c r="BT777" s="1065"/>
      <c r="BU777" s="1065"/>
      <c r="BV777" s="1065"/>
      <c r="BW777" s="1065"/>
      <c r="BX777" s="1065"/>
      <c r="BY777" s="1065"/>
      <c r="BZ777" s="1065"/>
      <c r="CA777" s="1065"/>
      <c r="CB777" s="1065"/>
      <c r="CC777" s="1065"/>
      <c r="CD777" s="1065"/>
      <c r="CE777" s="1065"/>
      <c r="CF777" s="1065"/>
      <c r="CG777" s="1065"/>
      <c r="CH777" s="1065"/>
      <c r="CI777" s="1065"/>
      <c r="CJ777" s="1065"/>
      <c r="CK777" s="1065"/>
      <c r="CL777" s="1065"/>
      <c r="CM777" s="1065"/>
      <c r="CN777" s="1065"/>
      <c r="CO777" s="1065"/>
      <c r="CP777" s="1065"/>
      <c r="CQ777" s="1065"/>
      <c r="CR777" s="1065"/>
      <c r="CS777" s="1065"/>
      <c r="CT777" s="1065"/>
      <c r="CU777" s="1065"/>
      <c r="CV777" s="1065"/>
      <c r="CW777" s="1065"/>
      <c r="CX777" s="1065"/>
      <c r="CY777" s="1065"/>
      <c r="CZ777" s="1065"/>
      <c r="DA777" s="1065"/>
      <c r="DB777" s="1065"/>
    </row>
    <row r="778" spans="1:106" ht="15" customHeight="1">
      <c r="A778" s="1065"/>
      <c r="B778" s="1065"/>
      <c r="C778" s="1065"/>
      <c r="D778" s="1065"/>
      <c r="E778" s="1065"/>
      <c r="F778" s="1065"/>
      <c r="G778" s="1065"/>
      <c r="H778" s="1223"/>
      <c r="I778" s="1223"/>
      <c r="J778" s="1224"/>
      <c r="K778" s="1224"/>
      <c r="L778" s="1224"/>
      <c r="M778" s="1225"/>
      <c r="N778" s="1225"/>
      <c r="O778" s="1226"/>
      <c r="P778" s="1227"/>
      <c r="Q778" s="1227"/>
      <c r="R778" s="1228"/>
      <c r="S778" s="1224"/>
      <c r="T778" s="1229"/>
      <c r="U778" s="1065"/>
      <c r="V778" s="1065"/>
      <c r="W778" s="1065"/>
      <c r="X778" s="1065"/>
      <c r="Y778" s="1065"/>
      <c r="Z778" s="1065"/>
      <c r="AA778" s="1065"/>
      <c r="AB778" s="1065"/>
      <c r="AC778" s="1065"/>
      <c r="AD778" s="1065"/>
      <c r="AE778" s="1065"/>
      <c r="AF778" s="1065"/>
      <c r="AG778" s="1065"/>
      <c r="AH778" s="1065"/>
      <c r="AI778" s="1065"/>
      <c r="AJ778" s="1065"/>
      <c r="AK778" s="1065"/>
      <c r="AL778" s="1065"/>
      <c r="AM778" s="1065"/>
      <c r="AN778" s="1065"/>
      <c r="AO778" s="1065"/>
      <c r="AP778" s="1065"/>
      <c r="AQ778" s="1065"/>
      <c r="AR778" s="1065"/>
      <c r="AS778" s="1065"/>
      <c r="AT778" s="1065"/>
      <c r="AU778" s="1065"/>
      <c r="AV778" s="1065"/>
      <c r="AW778" s="1065"/>
      <c r="AX778" s="1065"/>
      <c r="AY778" s="1065"/>
      <c r="AZ778" s="1065"/>
      <c r="BA778" s="1065"/>
      <c r="BB778" s="1065"/>
      <c r="BC778" s="1065"/>
      <c r="BD778" s="1065"/>
      <c r="BE778" s="1065"/>
      <c r="BF778" s="1065"/>
      <c r="BG778" s="1065"/>
      <c r="BH778" s="1065"/>
      <c r="BI778" s="1065"/>
      <c r="BJ778" s="1065"/>
      <c r="BK778" s="1065"/>
      <c r="BL778" s="1065"/>
      <c r="BM778" s="1065"/>
      <c r="BN778" s="1065"/>
      <c r="BO778" s="1065"/>
      <c r="BP778" s="1065"/>
      <c r="BQ778" s="1065"/>
      <c r="BR778" s="1065"/>
      <c r="BS778" s="1065"/>
      <c r="BT778" s="1065"/>
      <c r="BU778" s="1065"/>
      <c r="BV778" s="1065"/>
      <c r="BW778" s="1065"/>
      <c r="BX778" s="1065"/>
      <c r="BY778" s="1065"/>
      <c r="BZ778" s="1065"/>
      <c r="CA778" s="1065"/>
      <c r="CB778" s="1065"/>
      <c r="CC778" s="1065"/>
      <c r="CD778" s="1065"/>
      <c r="CE778" s="1065"/>
      <c r="CF778" s="1065"/>
      <c r="CG778" s="1065"/>
      <c r="CH778" s="1065"/>
      <c r="CI778" s="1065"/>
      <c r="CJ778" s="1065"/>
      <c r="CK778" s="1065"/>
      <c r="CL778" s="1065"/>
      <c r="CM778" s="1065"/>
      <c r="CN778" s="1065"/>
      <c r="CO778" s="1065"/>
      <c r="CP778" s="1065"/>
      <c r="CQ778" s="1065"/>
      <c r="CR778" s="1065"/>
      <c r="CS778" s="1065"/>
      <c r="CT778" s="1065"/>
      <c r="CU778" s="1065"/>
      <c r="CV778" s="1065"/>
      <c r="CW778" s="1065"/>
      <c r="CX778" s="1065"/>
      <c r="CY778" s="1065"/>
      <c r="CZ778" s="1065"/>
      <c r="DA778" s="1065"/>
      <c r="DB778" s="1065"/>
    </row>
    <row r="779" spans="1:106" ht="15" customHeight="1">
      <c r="A779" s="1065"/>
      <c r="B779" s="1065"/>
      <c r="C779" s="1065"/>
      <c r="D779" s="1065"/>
      <c r="E779" s="1065"/>
      <c r="F779" s="1065"/>
      <c r="G779" s="1065"/>
      <c r="H779" s="1223"/>
      <c r="I779" s="1223"/>
      <c r="J779" s="1224"/>
      <c r="K779" s="1224"/>
      <c r="L779" s="1224"/>
      <c r="M779" s="1225"/>
      <c r="N779" s="1225"/>
      <c r="O779" s="1226"/>
      <c r="P779" s="1227"/>
      <c r="Q779" s="1227"/>
      <c r="R779" s="1228"/>
      <c r="S779" s="1224"/>
      <c r="T779" s="1229"/>
      <c r="U779" s="1065"/>
      <c r="V779" s="1065"/>
      <c r="W779" s="1065"/>
      <c r="X779" s="1065"/>
      <c r="Y779" s="1065"/>
      <c r="Z779" s="1065"/>
      <c r="AA779" s="1065"/>
      <c r="AB779" s="1065"/>
      <c r="AC779" s="1065"/>
      <c r="AD779" s="1065"/>
      <c r="AE779" s="1065"/>
      <c r="AF779" s="1065"/>
      <c r="AG779" s="1065"/>
      <c r="AH779" s="1065"/>
      <c r="AI779" s="1065"/>
      <c r="AJ779" s="1065"/>
      <c r="AK779" s="1065"/>
      <c r="AL779" s="1065"/>
      <c r="AM779" s="1065"/>
      <c r="AN779" s="1065"/>
      <c r="AO779" s="1065"/>
      <c r="AP779" s="1065"/>
      <c r="AQ779" s="1065"/>
      <c r="AR779" s="1065"/>
      <c r="AS779" s="1065"/>
      <c r="AT779" s="1065"/>
      <c r="AU779" s="1065"/>
      <c r="AV779" s="1065"/>
      <c r="AW779" s="1065"/>
      <c r="AX779" s="1065"/>
      <c r="AY779" s="1065"/>
      <c r="AZ779" s="1065"/>
      <c r="BA779" s="1065"/>
      <c r="BB779" s="1065"/>
      <c r="BC779" s="1065"/>
      <c r="BD779" s="1065"/>
      <c r="BE779" s="1065"/>
      <c r="BF779" s="1065"/>
      <c r="BG779" s="1065"/>
      <c r="BH779" s="1065"/>
      <c r="BI779" s="1065"/>
      <c r="BJ779" s="1065"/>
      <c r="BK779" s="1065"/>
      <c r="BL779" s="1065"/>
      <c r="BM779" s="1065"/>
      <c r="BN779" s="1065"/>
      <c r="BO779" s="1065"/>
      <c r="BP779" s="1065"/>
      <c r="BQ779" s="1065"/>
      <c r="BR779" s="1065"/>
      <c r="BS779" s="1065"/>
      <c r="BT779" s="1065"/>
      <c r="BU779" s="1065"/>
      <c r="BV779" s="1065"/>
      <c r="BW779" s="1065"/>
      <c r="BX779" s="1065"/>
      <c r="BY779" s="1065"/>
      <c r="BZ779" s="1065"/>
      <c r="CA779" s="1065"/>
      <c r="CB779" s="1065"/>
      <c r="CC779" s="1065"/>
      <c r="CD779" s="1065"/>
      <c r="CE779" s="1065"/>
      <c r="CF779" s="1065"/>
      <c r="CG779" s="1065"/>
      <c r="CH779" s="1065"/>
      <c r="CI779" s="1065"/>
      <c r="CJ779" s="1065"/>
      <c r="CK779" s="1065"/>
      <c r="CL779" s="1065"/>
      <c r="CM779" s="1065"/>
      <c r="CN779" s="1065"/>
      <c r="CO779" s="1065"/>
      <c r="CP779" s="1065"/>
      <c r="CQ779" s="1065"/>
      <c r="CR779" s="1065"/>
      <c r="CS779" s="1065"/>
      <c r="CT779" s="1065"/>
      <c r="CU779" s="1065"/>
      <c r="CV779" s="1065"/>
      <c r="CW779" s="1065"/>
      <c r="CX779" s="1065"/>
      <c r="CY779" s="1065"/>
      <c r="CZ779" s="1065"/>
      <c r="DA779" s="1065"/>
      <c r="DB779" s="1065"/>
    </row>
    <row r="780" spans="1:106" ht="15" customHeight="1">
      <c r="A780" s="1065"/>
      <c r="B780" s="1065"/>
      <c r="C780" s="1065"/>
      <c r="D780" s="1065"/>
      <c r="E780" s="1065"/>
      <c r="F780" s="1065"/>
      <c r="G780" s="1065"/>
      <c r="H780" s="1223"/>
      <c r="I780" s="1223"/>
      <c r="J780" s="1224"/>
      <c r="K780" s="1224"/>
      <c r="L780" s="1224"/>
      <c r="M780" s="1225"/>
      <c r="N780" s="1225"/>
      <c r="O780" s="1226"/>
      <c r="P780" s="1227"/>
      <c r="Q780" s="1227"/>
      <c r="R780" s="1228"/>
      <c r="S780" s="1224"/>
      <c r="T780" s="1229"/>
      <c r="U780" s="1065"/>
      <c r="V780" s="1065"/>
      <c r="W780" s="1065"/>
      <c r="X780" s="1065"/>
      <c r="Y780" s="1065"/>
      <c r="Z780" s="1065"/>
      <c r="AA780" s="1065"/>
      <c r="AB780" s="1065"/>
      <c r="AC780" s="1065"/>
      <c r="AD780" s="1065"/>
      <c r="AE780" s="1065"/>
      <c r="AF780" s="1065"/>
      <c r="AG780" s="1065"/>
      <c r="AH780" s="1065"/>
      <c r="AI780" s="1065"/>
      <c r="AJ780" s="1065"/>
      <c r="AK780" s="1065"/>
      <c r="AL780" s="1065"/>
      <c r="AM780" s="1065"/>
      <c r="AN780" s="1065"/>
      <c r="AO780" s="1065"/>
      <c r="AP780" s="1065"/>
      <c r="AQ780" s="1065"/>
      <c r="AR780" s="1065"/>
      <c r="AS780" s="1065"/>
      <c r="AT780" s="1065"/>
      <c r="AU780" s="1065"/>
      <c r="AV780" s="1065"/>
      <c r="AW780" s="1065"/>
      <c r="AX780" s="1065"/>
      <c r="AY780" s="1065"/>
      <c r="AZ780" s="1065"/>
      <c r="BA780" s="1065"/>
      <c r="BB780" s="1065"/>
      <c r="BC780" s="1065"/>
      <c r="BD780" s="1065"/>
      <c r="BE780" s="1065"/>
      <c r="BF780" s="1065"/>
      <c r="BG780" s="1065"/>
      <c r="BH780" s="1065"/>
      <c r="BI780" s="1065"/>
      <c r="BJ780" s="1065"/>
      <c r="BK780" s="1065"/>
      <c r="BL780" s="1065"/>
      <c r="BM780" s="1065"/>
      <c r="BN780" s="1065"/>
      <c r="BO780" s="1065"/>
      <c r="BP780" s="1065"/>
      <c r="BQ780" s="1065"/>
      <c r="BR780" s="1065"/>
      <c r="BS780" s="1065"/>
      <c r="BT780" s="1065"/>
      <c r="BU780" s="1065"/>
      <c r="BV780" s="1065"/>
      <c r="BW780" s="1065"/>
      <c r="BX780" s="1065"/>
      <c r="BY780" s="1065"/>
      <c r="BZ780" s="1065"/>
      <c r="CA780" s="1065"/>
      <c r="CB780" s="1065"/>
      <c r="CC780" s="1065"/>
      <c r="CD780" s="1065"/>
      <c r="CE780" s="1065"/>
      <c r="CF780" s="1065"/>
      <c r="CG780" s="1065"/>
      <c r="CH780" s="1065"/>
      <c r="CI780" s="1065"/>
      <c r="CJ780" s="1065"/>
      <c r="CK780" s="1065"/>
      <c r="CL780" s="1065"/>
      <c r="CM780" s="1065"/>
      <c r="CN780" s="1065"/>
      <c r="CO780" s="1065"/>
      <c r="CP780" s="1065"/>
      <c r="CQ780" s="1065"/>
      <c r="CR780" s="1065"/>
      <c r="CS780" s="1065"/>
      <c r="CT780" s="1065"/>
      <c r="CU780" s="1065"/>
      <c r="CV780" s="1065"/>
      <c r="CW780" s="1065"/>
      <c r="CX780" s="1065"/>
      <c r="CY780" s="1065"/>
      <c r="CZ780" s="1065"/>
      <c r="DA780" s="1065"/>
      <c r="DB780" s="1065"/>
    </row>
    <row r="781" spans="1:106" ht="15" customHeight="1">
      <c r="A781" s="1065"/>
      <c r="B781" s="1065"/>
      <c r="C781" s="1065"/>
      <c r="D781" s="1065"/>
      <c r="E781" s="1065"/>
      <c r="F781" s="1065"/>
      <c r="G781" s="1065"/>
      <c r="H781" s="1223"/>
      <c r="I781" s="1223"/>
      <c r="J781" s="1224"/>
      <c r="K781" s="1224"/>
      <c r="L781" s="1224"/>
      <c r="M781" s="1225"/>
      <c r="N781" s="1225"/>
      <c r="O781" s="1226"/>
      <c r="P781" s="1227"/>
      <c r="Q781" s="1227"/>
      <c r="R781" s="1228"/>
      <c r="S781" s="1224"/>
      <c r="T781" s="1229"/>
      <c r="U781" s="1065"/>
      <c r="V781" s="1065"/>
      <c r="W781" s="1065"/>
      <c r="X781" s="1065"/>
      <c r="Y781" s="1065"/>
      <c r="Z781" s="1065"/>
      <c r="AA781" s="1065"/>
      <c r="AB781" s="1065"/>
      <c r="AC781" s="1065"/>
      <c r="AD781" s="1065"/>
      <c r="AE781" s="1065"/>
      <c r="AF781" s="1065"/>
      <c r="AG781" s="1065"/>
      <c r="AH781" s="1065"/>
      <c r="AI781" s="1065"/>
      <c r="AJ781" s="1065"/>
      <c r="AK781" s="1065"/>
      <c r="AL781" s="1065"/>
      <c r="AM781" s="1065"/>
      <c r="AN781" s="1065"/>
      <c r="AO781" s="1065"/>
      <c r="AP781" s="1065"/>
      <c r="AQ781" s="1065"/>
      <c r="AR781" s="1065"/>
      <c r="AS781" s="1065"/>
      <c r="AT781" s="1065"/>
      <c r="AU781" s="1065"/>
      <c r="AV781" s="1065"/>
      <c r="AW781" s="1065"/>
      <c r="AX781" s="1065"/>
      <c r="AY781" s="1065"/>
      <c r="AZ781" s="1065"/>
      <c r="BA781" s="1065"/>
      <c r="BB781" s="1065"/>
      <c r="BC781" s="1065"/>
      <c r="BD781" s="1065"/>
      <c r="BE781" s="1065"/>
      <c r="BF781" s="1065"/>
      <c r="BG781" s="1065"/>
      <c r="BH781" s="1065"/>
      <c r="BI781" s="1065"/>
      <c r="BJ781" s="1065"/>
      <c r="BK781" s="1065"/>
      <c r="BL781" s="1065"/>
      <c r="BM781" s="1065"/>
      <c r="BN781" s="1065"/>
      <c r="BO781" s="1065"/>
      <c r="BP781" s="1065"/>
      <c r="BQ781" s="1065"/>
      <c r="BR781" s="1065"/>
      <c r="BS781" s="1065"/>
      <c r="BT781" s="1065"/>
      <c r="BU781" s="1065"/>
      <c r="BV781" s="1065"/>
      <c r="BW781" s="1065"/>
      <c r="BX781" s="1065"/>
      <c r="BY781" s="1065"/>
      <c r="BZ781" s="1065"/>
      <c r="CA781" s="1065"/>
      <c r="CB781" s="1065"/>
      <c r="CC781" s="1065"/>
      <c r="CD781" s="1065"/>
      <c r="CE781" s="1065"/>
      <c r="CF781" s="1065"/>
      <c r="CG781" s="1065"/>
      <c r="CH781" s="1065"/>
      <c r="CI781" s="1065"/>
      <c r="CJ781" s="1065"/>
      <c r="CK781" s="1065"/>
      <c r="CL781" s="1065"/>
      <c r="CM781" s="1065"/>
      <c r="CN781" s="1065"/>
      <c r="CO781" s="1065"/>
      <c r="CP781" s="1065"/>
      <c r="CQ781" s="1065"/>
      <c r="CR781" s="1065"/>
      <c r="CS781" s="1065"/>
      <c r="CT781" s="1065"/>
      <c r="CU781" s="1065"/>
      <c r="CV781" s="1065"/>
      <c r="CW781" s="1065"/>
      <c r="CX781" s="1065"/>
      <c r="CY781" s="1065"/>
      <c r="CZ781" s="1065"/>
      <c r="DA781" s="1065"/>
      <c r="DB781" s="1065"/>
    </row>
    <row r="782" spans="1:106" ht="15" customHeight="1">
      <c r="A782" s="1065"/>
      <c r="B782" s="1065"/>
      <c r="C782" s="1065"/>
      <c r="D782" s="1065"/>
      <c r="E782" s="1065"/>
      <c r="F782" s="1065"/>
      <c r="G782" s="1065"/>
      <c r="H782" s="1223"/>
      <c r="I782" s="1223"/>
      <c r="J782" s="1224"/>
      <c r="K782" s="1224"/>
      <c r="L782" s="1224"/>
      <c r="M782" s="1225"/>
      <c r="N782" s="1225"/>
      <c r="O782" s="1226"/>
      <c r="P782" s="1227"/>
      <c r="Q782" s="1227"/>
      <c r="R782" s="1228"/>
      <c r="S782" s="1224"/>
      <c r="T782" s="1229"/>
      <c r="U782" s="1065"/>
      <c r="V782" s="1065"/>
      <c r="W782" s="1065"/>
      <c r="X782" s="1065"/>
      <c r="Y782" s="1065"/>
      <c r="Z782" s="1065"/>
      <c r="AA782" s="1065"/>
      <c r="AB782" s="1065"/>
      <c r="AC782" s="1065"/>
      <c r="AD782" s="1065"/>
      <c r="AE782" s="1065"/>
      <c r="AF782" s="1065"/>
      <c r="AG782" s="1065"/>
      <c r="AH782" s="1065"/>
      <c r="AI782" s="1065"/>
      <c r="AJ782" s="1065"/>
      <c r="AK782" s="1065"/>
      <c r="AL782" s="1065"/>
      <c r="AM782" s="1065"/>
      <c r="AN782" s="1065"/>
      <c r="AO782" s="1065"/>
      <c r="AP782" s="1065"/>
      <c r="AQ782" s="1065"/>
      <c r="AR782" s="1065"/>
      <c r="AS782" s="1065"/>
      <c r="AT782" s="1065"/>
      <c r="AU782" s="1065"/>
      <c r="AV782" s="1065"/>
      <c r="AW782" s="1065"/>
      <c r="AX782" s="1065"/>
      <c r="AY782" s="1065"/>
      <c r="AZ782" s="1065"/>
      <c r="BA782" s="1065"/>
      <c r="BB782" s="1065"/>
      <c r="BC782" s="1065"/>
      <c r="BD782" s="1065"/>
      <c r="BE782" s="1065"/>
      <c r="BF782" s="1065"/>
      <c r="BG782" s="1065"/>
      <c r="BH782" s="1065"/>
      <c r="BI782" s="1065"/>
      <c r="BJ782" s="1065"/>
      <c r="BK782" s="1065"/>
      <c r="BL782" s="1065"/>
      <c r="BM782" s="1065"/>
      <c r="BN782" s="1065"/>
      <c r="BO782" s="1065"/>
      <c r="BP782" s="1065"/>
      <c r="BQ782" s="1065"/>
      <c r="BR782" s="1065"/>
      <c r="BS782" s="1065"/>
      <c r="BT782" s="1065"/>
      <c r="BU782" s="1065"/>
      <c r="BV782" s="1065"/>
      <c r="BW782" s="1065"/>
      <c r="BX782" s="1065"/>
      <c r="BY782" s="1065"/>
      <c r="BZ782" s="1065"/>
      <c r="CA782" s="1065"/>
      <c r="CB782" s="1065"/>
      <c r="CC782" s="1065"/>
      <c r="CD782" s="1065"/>
      <c r="CE782" s="1065"/>
      <c r="CF782" s="1065"/>
      <c r="CG782" s="1065"/>
      <c r="CH782" s="1065"/>
      <c r="CI782" s="1065"/>
      <c r="CJ782" s="1065"/>
      <c r="CK782" s="1065"/>
      <c r="CL782" s="1065"/>
      <c r="CM782" s="1065"/>
      <c r="CN782" s="1065"/>
      <c r="CO782" s="1065"/>
      <c r="CP782" s="1065"/>
      <c r="CQ782" s="1065"/>
      <c r="CR782" s="1065"/>
      <c r="CS782" s="1065"/>
      <c r="CT782" s="1065"/>
      <c r="CU782" s="1065"/>
      <c r="CV782" s="1065"/>
      <c r="CW782" s="1065"/>
      <c r="CX782" s="1065"/>
      <c r="CY782" s="1065"/>
      <c r="CZ782" s="1065"/>
      <c r="DA782" s="1065"/>
      <c r="DB782" s="1065"/>
    </row>
    <row r="783" spans="1:106" ht="15" customHeight="1">
      <c r="A783" s="1065"/>
      <c r="B783" s="1065"/>
      <c r="C783" s="1065"/>
      <c r="D783" s="1065"/>
      <c r="E783" s="1065"/>
      <c r="F783" s="1065"/>
      <c r="G783" s="1065"/>
      <c r="H783" s="1223"/>
      <c r="I783" s="1223"/>
      <c r="J783" s="1224"/>
      <c r="K783" s="1224"/>
      <c r="L783" s="1224"/>
      <c r="M783" s="1225"/>
      <c r="N783" s="1225"/>
      <c r="O783" s="1226"/>
      <c r="P783" s="1227"/>
      <c r="Q783" s="1227"/>
      <c r="R783" s="1228"/>
      <c r="S783" s="1224"/>
      <c r="T783" s="1229"/>
      <c r="U783" s="1065"/>
      <c r="V783" s="1065"/>
      <c r="W783" s="1065"/>
      <c r="X783" s="1065"/>
      <c r="Y783" s="1065"/>
      <c r="Z783" s="1065"/>
      <c r="AA783" s="1065"/>
      <c r="AB783" s="1065"/>
      <c r="AC783" s="1065"/>
      <c r="AD783" s="1065"/>
      <c r="AE783" s="1065"/>
      <c r="AF783" s="1065"/>
      <c r="AG783" s="1065"/>
      <c r="AH783" s="1065"/>
      <c r="AI783" s="1065"/>
      <c r="AJ783" s="1065"/>
      <c r="AK783" s="1065"/>
      <c r="AL783" s="1065"/>
      <c r="AM783" s="1065"/>
      <c r="AN783" s="1065"/>
      <c r="AO783" s="1065"/>
      <c r="AP783" s="1065"/>
      <c r="AQ783" s="1065"/>
      <c r="AR783" s="1065"/>
      <c r="AS783" s="1065"/>
      <c r="AT783" s="1065"/>
      <c r="AU783" s="1065"/>
      <c r="AV783" s="1065"/>
      <c r="AW783" s="1065"/>
      <c r="AX783" s="1065"/>
      <c r="AY783" s="1065"/>
      <c r="AZ783" s="1065"/>
      <c r="BA783" s="1065"/>
      <c r="BB783" s="1065"/>
      <c r="BC783" s="1065"/>
      <c r="BD783" s="1065"/>
      <c r="BE783" s="1065"/>
      <c r="BF783" s="1065"/>
      <c r="BG783" s="1065"/>
      <c r="BH783" s="1065"/>
      <c r="BI783" s="1065"/>
      <c r="BJ783" s="1065"/>
      <c r="BK783" s="1065"/>
      <c r="BL783" s="1065"/>
      <c r="BM783" s="1065"/>
      <c r="BN783" s="1065"/>
      <c r="BO783" s="1065"/>
      <c r="BP783" s="1065"/>
      <c r="BQ783" s="1065"/>
      <c r="BR783" s="1065"/>
      <c r="BS783" s="1065"/>
      <c r="BT783" s="1065"/>
      <c r="BU783" s="1065"/>
      <c r="BV783" s="1065"/>
      <c r="BW783" s="1065"/>
      <c r="BX783" s="1065"/>
      <c r="BY783" s="1065"/>
      <c r="BZ783" s="1065"/>
      <c r="CA783" s="1065"/>
      <c r="CB783" s="1065"/>
      <c r="CC783" s="1065"/>
      <c r="CD783" s="1065"/>
      <c r="CE783" s="1065"/>
      <c r="CF783" s="1065"/>
      <c r="CG783" s="1065"/>
      <c r="CH783" s="1065"/>
      <c r="CI783" s="1065"/>
      <c r="CJ783" s="1065"/>
      <c r="CK783" s="1065"/>
      <c r="CL783" s="1065"/>
      <c r="CM783" s="1065"/>
      <c r="CN783" s="1065"/>
      <c r="CO783" s="1065"/>
      <c r="CP783" s="1065"/>
      <c r="CQ783" s="1065"/>
      <c r="CR783" s="1065"/>
      <c r="CS783" s="1065"/>
      <c r="CT783" s="1065"/>
      <c r="CU783" s="1065"/>
      <c r="CV783" s="1065"/>
      <c r="CW783" s="1065"/>
      <c r="CX783" s="1065"/>
      <c r="CY783" s="1065"/>
      <c r="CZ783" s="1065"/>
      <c r="DA783" s="1065"/>
      <c r="DB783" s="1065"/>
    </row>
    <row r="784" spans="1:106" ht="15" customHeight="1">
      <c r="A784" s="1065"/>
      <c r="B784" s="1065"/>
      <c r="C784" s="1065"/>
      <c r="D784" s="1065"/>
      <c r="E784" s="1065"/>
      <c r="F784" s="1065"/>
      <c r="G784" s="1065"/>
      <c r="H784" s="1223"/>
      <c r="I784" s="1223"/>
      <c r="J784" s="1224"/>
      <c r="K784" s="1224"/>
      <c r="L784" s="1224"/>
      <c r="M784" s="1225"/>
      <c r="N784" s="1225"/>
      <c r="O784" s="1226"/>
      <c r="P784" s="1227"/>
      <c r="Q784" s="1227"/>
      <c r="R784" s="1228"/>
      <c r="S784" s="1224"/>
      <c r="T784" s="1229"/>
      <c r="U784" s="1065"/>
      <c r="V784" s="1065"/>
      <c r="W784" s="1065"/>
      <c r="X784" s="1065"/>
      <c r="Y784" s="1065"/>
      <c r="Z784" s="1065"/>
      <c r="AA784" s="1065"/>
      <c r="AB784" s="1065"/>
      <c r="AC784" s="1065"/>
      <c r="AD784" s="1065"/>
      <c r="AE784" s="1065"/>
      <c r="AF784" s="1065"/>
      <c r="AG784" s="1065"/>
      <c r="AH784" s="1065"/>
      <c r="AI784" s="1065"/>
      <c r="AJ784" s="1065"/>
      <c r="AK784" s="1065"/>
      <c r="AL784" s="1065"/>
      <c r="AM784" s="1065"/>
      <c r="AN784" s="1065"/>
      <c r="AO784" s="1065"/>
      <c r="AP784" s="1065"/>
      <c r="AQ784" s="1065"/>
      <c r="AR784" s="1065"/>
      <c r="AS784" s="1065"/>
      <c r="AT784" s="1065"/>
      <c r="AU784" s="1065"/>
      <c r="AV784" s="1065"/>
      <c r="AW784" s="1065"/>
      <c r="AX784" s="1065"/>
      <c r="AY784" s="1065"/>
      <c r="AZ784" s="1065"/>
      <c r="BA784" s="1065"/>
      <c r="BB784" s="1065"/>
      <c r="BC784" s="1065"/>
      <c r="BD784" s="1065"/>
      <c r="BE784" s="1065"/>
      <c r="BF784" s="1065"/>
      <c r="BG784" s="1065"/>
      <c r="BH784" s="1065"/>
      <c r="BI784" s="1065"/>
      <c r="BJ784" s="1065"/>
      <c r="BK784" s="1065"/>
      <c r="BL784" s="1065"/>
      <c r="BM784" s="1065"/>
      <c r="BN784" s="1065"/>
      <c r="BO784" s="1065"/>
      <c r="BP784" s="1065"/>
      <c r="BQ784" s="1065"/>
      <c r="BR784" s="1065"/>
      <c r="BS784" s="1065"/>
      <c r="BT784" s="1065"/>
      <c r="BU784" s="1065"/>
      <c r="BV784" s="1065"/>
      <c r="BW784" s="1065"/>
      <c r="BX784" s="1065"/>
      <c r="BY784" s="1065"/>
      <c r="BZ784" s="1065"/>
      <c r="CA784" s="1065"/>
      <c r="CB784" s="1065"/>
      <c r="CC784" s="1065"/>
      <c r="CD784" s="1065"/>
      <c r="CE784" s="1065"/>
      <c r="CF784" s="1065"/>
      <c r="CG784" s="1065"/>
      <c r="CH784" s="1065"/>
      <c r="CI784" s="1065"/>
      <c r="CJ784" s="1065"/>
      <c r="CK784" s="1065"/>
      <c r="CL784" s="1065"/>
      <c r="CM784" s="1065"/>
      <c r="CN784" s="1065"/>
      <c r="CO784" s="1065"/>
      <c r="CP784" s="1065"/>
      <c r="CQ784" s="1065"/>
      <c r="CR784" s="1065"/>
      <c r="CS784" s="1065"/>
      <c r="CT784" s="1065"/>
      <c r="CU784" s="1065"/>
      <c r="CV784" s="1065"/>
      <c r="CW784" s="1065"/>
      <c r="CX784" s="1065"/>
      <c r="CY784" s="1065"/>
      <c r="CZ784" s="1065"/>
      <c r="DA784" s="1065"/>
      <c r="DB784" s="1065"/>
    </row>
    <row r="785" spans="1:106" ht="15" customHeight="1">
      <c r="A785" s="1065"/>
      <c r="B785" s="1065"/>
      <c r="C785" s="1065"/>
      <c r="D785" s="1065"/>
      <c r="E785" s="1065"/>
      <c r="F785" s="1065"/>
      <c r="G785" s="1065"/>
      <c r="H785" s="1223"/>
      <c r="I785" s="1223"/>
      <c r="J785" s="1224"/>
      <c r="K785" s="1224"/>
      <c r="L785" s="1224"/>
      <c r="M785" s="1225"/>
      <c r="N785" s="1225"/>
      <c r="O785" s="1226"/>
      <c r="P785" s="1227"/>
      <c r="Q785" s="1227"/>
      <c r="R785" s="1228"/>
      <c r="S785" s="1224"/>
      <c r="T785" s="1229"/>
      <c r="U785" s="1065"/>
      <c r="V785" s="1065"/>
      <c r="W785" s="1065"/>
      <c r="X785" s="1065"/>
      <c r="Y785" s="1065"/>
      <c r="Z785" s="1065"/>
      <c r="AA785" s="1065"/>
      <c r="AB785" s="1065"/>
      <c r="AC785" s="1065"/>
      <c r="AD785" s="1065"/>
      <c r="AE785" s="1065"/>
      <c r="AF785" s="1065"/>
      <c r="AG785" s="1065"/>
      <c r="AH785" s="1065"/>
      <c r="AI785" s="1065"/>
      <c r="AJ785" s="1065"/>
      <c r="AK785" s="1065"/>
      <c r="AL785" s="1065"/>
      <c r="AM785" s="1065"/>
      <c r="AN785" s="1065"/>
      <c r="AO785" s="1065"/>
      <c r="AP785" s="1065"/>
      <c r="AQ785" s="1065"/>
      <c r="AR785" s="1065"/>
      <c r="AS785" s="1065"/>
      <c r="AT785" s="1065"/>
      <c r="AU785" s="1065"/>
      <c r="AV785" s="1065"/>
      <c r="AW785" s="1065"/>
      <c r="AX785" s="1065"/>
      <c r="AY785" s="1065"/>
      <c r="AZ785" s="1065"/>
      <c r="BA785" s="1065"/>
      <c r="BB785" s="1065"/>
      <c r="BC785" s="1065"/>
      <c r="BD785" s="1065"/>
      <c r="BE785" s="1065"/>
      <c r="BF785" s="1065"/>
      <c r="BG785" s="1065"/>
      <c r="BH785" s="1065"/>
      <c r="BI785" s="1065"/>
      <c r="BJ785" s="1065"/>
      <c r="BK785" s="1065"/>
      <c r="BL785" s="1065"/>
      <c r="BM785" s="1065"/>
      <c r="BN785" s="1065"/>
      <c r="BO785" s="1065"/>
      <c r="BP785" s="1065"/>
      <c r="BQ785" s="1065"/>
      <c r="BR785" s="1065"/>
      <c r="BS785" s="1065"/>
      <c r="BT785" s="1065"/>
      <c r="BU785" s="1065"/>
      <c r="BV785" s="1065"/>
      <c r="BW785" s="1065"/>
      <c r="BX785" s="1065"/>
      <c r="BY785" s="1065"/>
      <c r="BZ785" s="1065"/>
      <c r="CA785" s="1065"/>
      <c r="CB785" s="1065"/>
      <c r="CC785" s="1065"/>
      <c r="CD785" s="1065"/>
      <c r="CE785" s="1065"/>
      <c r="CF785" s="1065"/>
      <c r="CG785" s="1065"/>
      <c r="CH785" s="1065"/>
      <c r="CI785" s="1065"/>
      <c r="CJ785" s="1065"/>
      <c r="CK785" s="1065"/>
      <c r="CL785" s="1065"/>
      <c r="CM785" s="1065"/>
      <c r="CN785" s="1065"/>
      <c r="CO785" s="1065"/>
      <c r="CP785" s="1065"/>
      <c r="CQ785" s="1065"/>
      <c r="CR785" s="1065"/>
      <c r="CS785" s="1065"/>
      <c r="CT785" s="1065"/>
      <c r="CU785" s="1065"/>
      <c r="CV785" s="1065"/>
      <c r="CW785" s="1065"/>
      <c r="CX785" s="1065"/>
      <c r="CY785" s="1065"/>
      <c r="CZ785" s="1065"/>
      <c r="DA785" s="1065"/>
      <c r="DB785" s="1065"/>
    </row>
    <row r="786" spans="1:106" ht="15" customHeight="1">
      <c r="A786" s="1065"/>
      <c r="B786" s="1065"/>
      <c r="C786" s="1065"/>
      <c r="D786" s="1065"/>
      <c r="E786" s="1065"/>
      <c r="F786" s="1065"/>
      <c r="G786" s="1065"/>
      <c r="H786" s="1223"/>
      <c r="I786" s="1223"/>
      <c r="J786" s="1224"/>
      <c r="K786" s="1224"/>
      <c r="L786" s="1224"/>
      <c r="M786" s="1225"/>
      <c r="N786" s="1225"/>
      <c r="O786" s="1226"/>
      <c r="P786" s="1227"/>
      <c r="Q786" s="1227"/>
      <c r="R786" s="1228"/>
      <c r="S786" s="1224"/>
      <c r="T786" s="1229"/>
      <c r="U786" s="1065"/>
      <c r="V786" s="1065"/>
      <c r="W786" s="1065"/>
      <c r="X786" s="1065"/>
      <c r="Y786" s="1065"/>
      <c r="Z786" s="1065"/>
      <c r="AA786" s="1065"/>
      <c r="AB786" s="1065"/>
      <c r="AC786" s="1065"/>
      <c r="AD786" s="1065"/>
      <c r="AE786" s="1065"/>
      <c r="AF786" s="1065"/>
      <c r="AG786" s="1065"/>
      <c r="AH786" s="1065"/>
      <c r="AI786" s="1065"/>
      <c r="AJ786" s="1065"/>
      <c r="AK786" s="1065"/>
      <c r="AL786" s="1065"/>
      <c r="AM786" s="1065"/>
      <c r="AN786" s="1065"/>
      <c r="AO786" s="1065"/>
      <c r="AP786" s="1065"/>
      <c r="AQ786" s="1065"/>
      <c r="AR786" s="1065"/>
      <c r="AS786" s="1065"/>
      <c r="AT786" s="1065"/>
      <c r="AU786" s="1065"/>
      <c r="AV786" s="1065"/>
      <c r="AW786" s="1065"/>
      <c r="AX786" s="1065"/>
      <c r="AY786" s="1065"/>
      <c r="AZ786" s="1065"/>
      <c r="BA786" s="1065"/>
      <c r="BB786" s="1065"/>
      <c r="BC786" s="1065"/>
      <c r="BD786" s="1065"/>
      <c r="BE786" s="1065"/>
      <c r="BF786" s="1065"/>
      <c r="BG786" s="1065"/>
      <c r="BH786" s="1065"/>
      <c r="BI786" s="1065"/>
      <c r="BJ786" s="1065"/>
      <c r="BK786" s="1065"/>
      <c r="BL786" s="1065"/>
      <c r="BM786" s="1065"/>
      <c r="BN786" s="1065"/>
      <c r="BO786" s="1065"/>
      <c r="BP786" s="1065"/>
      <c r="BQ786" s="1065"/>
      <c r="BR786" s="1065"/>
      <c r="BS786" s="1065"/>
      <c r="BT786" s="1065"/>
      <c r="BU786" s="1065"/>
      <c r="BV786" s="1065"/>
      <c r="BW786" s="1065"/>
      <c r="BX786" s="1065"/>
      <c r="BY786" s="1065"/>
      <c r="BZ786" s="1065"/>
      <c r="CA786" s="1065"/>
      <c r="CB786" s="1065"/>
      <c r="CC786" s="1065"/>
      <c r="CD786" s="1065"/>
      <c r="CE786" s="1065"/>
      <c r="CF786" s="1065"/>
      <c r="CG786" s="1065"/>
      <c r="CH786" s="1065"/>
      <c r="CI786" s="1065"/>
      <c r="CJ786" s="1065"/>
      <c r="CK786" s="1065"/>
      <c r="CL786" s="1065"/>
      <c r="CM786" s="1065"/>
      <c r="CN786" s="1065"/>
      <c r="CO786" s="1065"/>
      <c r="CP786" s="1065"/>
      <c r="CQ786" s="1065"/>
      <c r="CR786" s="1065"/>
      <c r="CS786" s="1065"/>
      <c r="CT786" s="1065"/>
      <c r="CU786" s="1065"/>
      <c r="CV786" s="1065"/>
      <c r="CW786" s="1065"/>
      <c r="CX786" s="1065"/>
      <c r="CY786" s="1065"/>
      <c r="CZ786" s="1065"/>
      <c r="DA786" s="1065"/>
      <c r="DB786" s="1065"/>
    </row>
    <row r="787" spans="1:106" ht="15" customHeight="1">
      <c r="A787" s="1065"/>
      <c r="B787" s="1065"/>
      <c r="C787" s="1065"/>
      <c r="D787" s="1065"/>
      <c r="E787" s="1065"/>
      <c r="F787" s="1065"/>
      <c r="G787" s="1065"/>
      <c r="H787" s="1223"/>
      <c r="I787" s="1223"/>
      <c r="J787" s="1224"/>
      <c r="K787" s="1224"/>
      <c r="L787" s="1224"/>
      <c r="M787" s="1225"/>
      <c r="N787" s="1225"/>
      <c r="O787" s="1226"/>
      <c r="P787" s="1227"/>
      <c r="Q787" s="1227"/>
      <c r="R787" s="1228"/>
      <c r="S787" s="1224"/>
      <c r="T787" s="1229"/>
      <c r="U787" s="1065"/>
      <c r="V787" s="1065"/>
      <c r="W787" s="1065"/>
      <c r="X787" s="1065"/>
      <c r="Y787" s="1065"/>
      <c r="Z787" s="1065"/>
      <c r="AA787" s="1065"/>
      <c r="AB787" s="1065"/>
      <c r="AC787" s="1065"/>
      <c r="AD787" s="1065"/>
      <c r="AE787" s="1065"/>
      <c r="AF787" s="1065"/>
      <c r="AG787" s="1065"/>
      <c r="AH787" s="1065"/>
      <c r="AI787" s="1065"/>
      <c r="AJ787" s="1065"/>
      <c r="AK787" s="1065"/>
      <c r="AL787" s="1065"/>
      <c r="AM787" s="1065"/>
      <c r="AN787" s="1065"/>
      <c r="AO787" s="1065"/>
      <c r="AP787" s="1065"/>
      <c r="AQ787" s="1065"/>
      <c r="AR787" s="1065"/>
      <c r="AS787" s="1065"/>
      <c r="AT787" s="1065"/>
      <c r="AU787" s="1065"/>
      <c r="AV787" s="1065"/>
      <c r="AW787" s="1065"/>
      <c r="AX787" s="1065"/>
      <c r="AY787" s="1065"/>
      <c r="AZ787" s="1065"/>
      <c r="BA787" s="1065"/>
      <c r="BB787" s="1065"/>
      <c r="BC787" s="1065"/>
      <c r="BD787" s="1065"/>
      <c r="BE787" s="1065"/>
      <c r="BF787" s="1065"/>
      <c r="BG787" s="1065"/>
      <c r="BH787" s="1065"/>
      <c r="BI787" s="1065"/>
      <c r="BJ787" s="1065"/>
      <c r="BK787" s="1065"/>
      <c r="BL787" s="1065"/>
      <c r="BM787" s="1065"/>
      <c r="BN787" s="1065"/>
      <c r="BO787" s="1065"/>
      <c r="BP787" s="1065"/>
      <c r="BQ787" s="1065"/>
      <c r="BR787" s="1065"/>
      <c r="BS787" s="1065"/>
      <c r="BT787" s="1065"/>
      <c r="BU787" s="1065"/>
      <c r="BV787" s="1065"/>
      <c r="BW787" s="1065"/>
      <c r="BX787" s="1065"/>
      <c r="BY787" s="1065"/>
      <c r="BZ787" s="1065"/>
      <c r="CA787" s="1065"/>
      <c r="CB787" s="1065"/>
      <c r="CC787" s="1065"/>
      <c r="CD787" s="1065"/>
      <c r="CE787" s="1065"/>
      <c r="CF787" s="1065"/>
      <c r="CG787" s="1065"/>
      <c r="CH787" s="1065"/>
      <c r="CI787" s="1065"/>
      <c r="CJ787" s="1065"/>
      <c r="CK787" s="1065"/>
      <c r="CL787" s="1065"/>
      <c r="CM787" s="1065"/>
      <c r="CN787" s="1065"/>
      <c r="CO787" s="1065"/>
      <c r="CP787" s="1065"/>
      <c r="CQ787" s="1065"/>
      <c r="CR787" s="1065"/>
      <c r="CS787" s="1065"/>
      <c r="CT787" s="1065"/>
      <c r="CU787" s="1065"/>
      <c r="CV787" s="1065"/>
      <c r="CW787" s="1065"/>
      <c r="CX787" s="1065"/>
      <c r="CY787" s="1065"/>
      <c r="CZ787" s="1065"/>
      <c r="DA787" s="1065"/>
      <c r="DB787" s="1065"/>
    </row>
    <row r="788" spans="1:106" ht="15" customHeight="1">
      <c r="A788" s="1065"/>
      <c r="B788" s="1065"/>
      <c r="C788" s="1065"/>
      <c r="D788" s="1065"/>
      <c r="E788" s="1065"/>
      <c r="F788" s="1065"/>
      <c r="G788" s="1065"/>
      <c r="H788" s="1223"/>
      <c r="I788" s="1223"/>
      <c r="J788" s="1224"/>
      <c r="K788" s="1224"/>
      <c r="L788" s="1224"/>
      <c r="M788" s="1225"/>
      <c r="N788" s="1225"/>
      <c r="O788" s="1226"/>
      <c r="P788" s="1227"/>
      <c r="Q788" s="1227"/>
      <c r="R788" s="1228"/>
      <c r="S788" s="1224"/>
      <c r="T788" s="1229"/>
      <c r="U788" s="1065"/>
      <c r="V788" s="1065"/>
      <c r="W788" s="1065"/>
      <c r="X788" s="1065"/>
      <c r="Y788" s="1065"/>
      <c r="Z788" s="1065"/>
      <c r="AA788" s="1065"/>
      <c r="AB788" s="1065"/>
      <c r="AC788" s="1065"/>
      <c r="AD788" s="1065"/>
      <c r="AE788" s="1065"/>
      <c r="AF788" s="1065"/>
      <c r="AG788" s="1065"/>
      <c r="AH788" s="1065"/>
      <c r="AI788" s="1065"/>
      <c r="AJ788" s="1065"/>
      <c r="AK788" s="1065"/>
      <c r="AL788" s="1065"/>
      <c r="AM788" s="1065"/>
      <c r="AN788" s="1065"/>
      <c r="AO788" s="1065"/>
      <c r="AP788" s="1065"/>
      <c r="AQ788" s="1065"/>
      <c r="AR788" s="1065"/>
      <c r="AS788" s="1065"/>
      <c r="AT788" s="1065"/>
      <c r="AU788" s="1065"/>
      <c r="AV788" s="1065"/>
      <c r="AW788" s="1065"/>
      <c r="AX788" s="1065"/>
      <c r="AY788" s="1065"/>
      <c r="AZ788" s="1065"/>
      <c r="BA788" s="1065"/>
      <c r="BB788" s="1065"/>
      <c r="BC788" s="1065"/>
      <c r="BD788" s="1065"/>
      <c r="BE788" s="1065"/>
      <c r="BF788" s="1065"/>
      <c r="BG788" s="1065"/>
      <c r="BH788" s="1065"/>
      <c r="BI788" s="1065"/>
      <c r="BJ788" s="1065"/>
      <c r="BK788" s="1065"/>
      <c r="BL788" s="1065"/>
      <c r="BM788" s="1065"/>
      <c r="BN788" s="1065"/>
      <c r="BO788" s="1065"/>
      <c r="BP788" s="1065"/>
      <c r="BQ788" s="1065"/>
      <c r="BR788" s="1065"/>
      <c r="BS788" s="1065"/>
      <c r="BT788" s="1065"/>
      <c r="BU788" s="1065"/>
      <c r="BV788" s="1065"/>
      <c r="BW788" s="1065"/>
      <c r="BX788" s="1065"/>
      <c r="BY788" s="1065"/>
      <c r="BZ788" s="1065"/>
      <c r="CA788" s="1065"/>
      <c r="CB788" s="1065"/>
      <c r="CC788" s="1065"/>
      <c r="CD788" s="1065"/>
      <c r="CE788" s="1065"/>
      <c r="CF788" s="1065"/>
      <c r="CG788" s="1065"/>
      <c r="CH788" s="1065"/>
      <c r="CI788" s="1065"/>
      <c r="CJ788" s="1065"/>
      <c r="CK788" s="1065"/>
      <c r="CL788" s="1065"/>
      <c r="CM788" s="1065"/>
      <c r="CN788" s="1065"/>
      <c r="CO788" s="1065"/>
      <c r="CP788" s="1065"/>
      <c r="CQ788" s="1065"/>
      <c r="CR788" s="1065"/>
      <c r="CS788" s="1065"/>
      <c r="CT788" s="1065"/>
      <c r="CU788" s="1065"/>
      <c r="CV788" s="1065"/>
      <c r="CW788" s="1065"/>
      <c r="CX788" s="1065"/>
      <c r="CY788" s="1065"/>
      <c r="CZ788" s="1065"/>
      <c r="DA788" s="1065"/>
      <c r="DB788" s="1065"/>
    </row>
    <row r="789" spans="1:106" ht="15" customHeight="1">
      <c r="A789" s="1065"/>
      <c r="B789" s="1065"/>
      <c r="C789" s="1065"/>
      <c r="D789" s="1065"/>
      <c r="E789" s="1065"/>
      <c r="F789" s="1065"/>
      <c r="G789" s="1065"/>
      <c r="H789" s="1223"/>
      <c r="I789" s="1223"/>
      <c r="J789" s="1224"/>
      <c r="K789" s="1224"/>
      <c r="L789" s="1224"/>
      <c r="M789" s="1225"/>
      <c r="N789" s="1225"/>
      <c r="O789" s="1226"/>
      <c r="P789" s="1227"/>
      <c r="Q789" s="1227"/>
      <c r="R789" s="1228"/>
      <c r="S789" s="1224"/>
      <c r="T789" s="1229"/>
      <c r="U789" s="1065"/>
      <c r="V789" s="1065"/>
      <c r="W789" s="1065"/>
      <c r="X789" s="1065"/>
      <c r="Y789" s="1065"/>
      <c r="Z789" s="1065"/>
      <c r="AA789" s="1065"/>
      <c r="AB789" s="1065"/>
      <c r="AC789" s="1065"/>
      <c r="AD789" s="1065"/>
      <c r="AE789" s="1065"/>
      <c r="AF789" s="1065"/>
      <c r="AG789" s="1065"/>
      <c r="AH789" s="1065"/>
      <c r="AI789" s="1065"/>
      <c r="AJ789" s="1065"/>
      <c r="AK789" s="1065"/>
      <c r="AL789" s="1065"/>
      <c r="AM789" s="1065"/>
      <c r="AN789" s="1065"/>
      <c r="AO789" s="1065"/>
      <c r="AP789" s="1065"/>
      <c r="AQ789" s="1065"/>
      <c r="AR789" s="1065"/>
      <c r="AS789" s="1065"/>
      <c r="AT789" s="1065"/>
      <c r="AU789" s="1065"/>
      <c r="AV789" s="1065"/>
      <c r="AW789" s="1065"/>
      <c r="AX789" s="1065"/>
      <c r="AY789" s="1065"/>
      <c r="AZ789" s="1065"/>
      <c r="BA789" s="1065"/>
      <c r="BB789" s="1065"/>
      <c r="BC789" s="1065"/>
      <c r="BD789" s="1065"/>
      <c r="BE789" s="1065"/>
      <c r="BF789" s="1065"/>
      <c r="BG789" s="1065"/>
      <c r="BH789" s="1065"/>
      <c r="BI789" s="1065"/>
      <c r="BJ789" s="1065"/>
      <c r="BK789" s="1065"/>
      <c r="BL789" s="1065"/>
      <c r="BM789" s="1065"/>
      <c r="BN789" s="1065"/>
      <c r="BO789" s="1065"/>
      <c r="BP789" s="1065"/>
      <c r="BQ789" s="1065"/>
      <c r="BR789" s="1065"/>
      <c r="BS789" s="1065"/>
      <c r="BT789" s="1065"/>
      <c r="BU789" s="1065"/>
      <c r="BV789" s="1065"/>
      <c r="BW789" s="1065"/>
      <c r="BX789" s="1065"/>
      <c r="BY789" s="1065"/>
      <c r="BZ789" s="1065"/>
      <c r="CA789" s="1065"/>
      <c r="CB789" s="1065"/>
      <c r="CC789" s="1065"/>
      <c r="CD789" s="1065"/>
      <c r="CE789" s="1065"/>
      <c r="CF789" s="1065"/>
      <c r="CG789" s="1065"/>
      <c r="CH789" s="1065"/>
      <c r="CI789" s="1065"/>
      <c r="CJ789" s="1065"/>
      <c r="CK789" s="1065"/>
      <c r="CL789" s="1065"/>
      <c r="CM789" s="1065"/>
      <c r="CN789" s="1065"/>
      <c r="CO789" s="1065"/>
      <c r="CP789" s="1065"/>
      <c r="CQ789" s="1065"/>
      <c r="CR789" s="1065"/>
      <c r="CS789" s="1065"/>
      <c r="CT789" s="1065"/>
      <c r="CU789" s="1065"/>
      <c r="CV789" s="1065"/>
      <c r="CW789" s="1065"/>
      <c r="CX789" s="1065"/>
      <c r="CY789" s="1065"/>
      <c r="CZ789" s="1065"/>
      <c r="DA789" s="1065"/>
      <c r="DB789" s="1065"/>
    </row>
    <row r="790" spans="1:106" ht="15" customHeight="1">
      <c r="A790" s="1065"/>
      <c r="B790" s="1065"/>
      <c r="C790" s="1065"/>
      <c r="D790" s="1065"/>
      <c r="E790" s="1065"/>
      <c r="F790" s="1065"/>
      <c r="G790" s="1065"/>
      <c r="H790" s="1223"/>
      <c r="I790" s="1223"/>
      <c r="J790" s="1224"/>
      <c r="K790" s="1224"/>
      <c r="L790" s="1224"/>
      <c r="M790" s="1225"/>
      <c r="N790" s="1225"/>
      <c r="O790" s="1226"/>
      <c r="P790" s="1227"/>
      <c r="Q790" s="1227"/>
      <c r="R790" s="1228"/>
      <c r="S790" s="1224"/>
      <c r="T790" s="1229"/>
      <c r="U790" s="1065"/>
      <c r="V790" s="1065"/>
      <c r="W790" s="1065"/>
      <c r="X790" s="1065"/>
      <c r="Y790" s="1065"/>
      <c r="Z790" s="1065"/>
      <c r="AA790" s="1065"/>
      <c r="AB790" s="1065"/>
      <c r="AC790" s="1065"/>
      <c r="AD790" s="1065"/>
      <c r="AE790" s="1065"/>
      <c r="AF790" s="1065"/>
      <c r="AG790" s="1065"/>
      <c r="AH790" s="1065"/>
      <c r="AI790" s="1065"/>
      <c r="AJ790" s="1065"/>
      <c r="AK790" s="1065"/>
      <c r="AL790" s="1065"/>
      <c r="AM790" s="1065"/>
      <c r="AN790" s="1065"/>
      <c r="AO790" s="1065"/>
      <c r="AP790" s="1065"/>
      <c r="AQ790" s="1065"/>
      <c r="AR790" s="1065"/>
      <c r="AS790" s="1065"/>
      <c r="AT790" s="1065"/>
      <c r="AU790" s="1065"/>
      <c r="AV790" s="1065"/>
      <c r="AW790" s="1065"/>
      <c r="AX790" s="1065"/>
      <c r="AY790" s="1065"/>
      <c r="AZ790" s="1065"/>
      <c r="BA790" s="1065"/>
      <c r="BB790" s="1065"/>
      <c r="BC790" s="1065"/>
      <c r="BD790" s="1065"/>
      <c r="BE790" s="1065"/>
      <c r="BF790" s="1065"/>
      <c r="BG790" s="1065"/>
      <c r="BH790" s="1065"/>
      <c r="BI790" s="1065"/>
      <c r="BJ790" s="1065"/>
      <c r="BK790" s="1065"/>
      <c r="BL790" s="1065"/>
      <c r="BM790" s="1065"/>
      <c r="BN790" s="1065"/>
      <c r="BO790" s="1065"/>
      <c r="BP790" s="1065"/>
      <c r="BQ790" s="1065"/>
      <c r="BR790" s="1065"/>
      <c r="BS790" s="1065"/>
      <c r="BT790" s="1065"/>
      <c r="BU790" s="1065"/>
      <c r="BV790" s="1065"/>
      <c r="BW790" s="1065"/>
      <c r="BX790" s="1065"/>
      <c r="BY790" s="1065"/>
      <c r="BZ790" s="1065"/>
      <c r="CA790" s="1065"/>
      <c r="CB790" s="1065"/>
      <c r="CC790" s="1065"/>
      <c r="CD790" s="1065"/>
      <c r="CE790" s="1065"/>
      <c r="CF790" s="1065"/>
      <c r="CG790" s="1065"/>
      <c r="CH790" s="1065"/>
      <c r="CI790" s="1065"/>
      <c r="CJ790" s="1065"/>
      <c r="CK790" s="1065"/>
      <c r="CL790" s="1065"/>
      <c r="CM790" s="1065"/>
      <c r="CN790" s="1065"/>
      <c r="CO790" s="1065"/>
      <c r="CP790" s="1065"/>
      <c r="CQ790" s="1065"/>
      <c r="CR790" s="1065"/>
      <c r="CS790" s="1065"/>
      <c r="CT790" s="1065"/>
      <c r="CU790" s="1065"/>
      <c r="CV790" s="1065"/>
      <c r="CW790" s="1065"/>
      <c r="CX790" s="1065"/>
      <c r="CY790" s="1065"/>
      <c r="CZ790" s="1065"/>
      <c r="DA790" s="1065"/>
      <c r="DB790" s="1065"/>
    </row>
    <row r="791" spans="1:106" ht="15" customHeight="1">
      <c r="A791" s="1065"/>
      <c r="B791" s="1065"/>
      <c r="C791" s="1065"/>
      <c r="D791" s="1065"/>
      <c r="E791" s="1065"/>
      <c r="F791" s="1065"/>
      <c r="G791" s="1065"/>
      <c r="H791" s="1223"/>
      <c r="I791" s="1223"/>
      <c r="J791" s="1224"/>
      <c r="K791" s="1224"/>
      <c r="L791" s="1224"/>
      <c r="M791" s="1225"/>
      <c r="N791" s="1225"/>
      <c r="O791" s="1226"/>
      <c r="P791" s="1227"/>
      <c r="Q791" s="1227"/>
      <c r="R791" s="1228"/>
      <c r="S791" s="1224"/>
      <c r="T791" s="1229"/>
      <c r="U791" s="1065"/>
      <c r="V791" s="1065"/>
      <c r="W791" s="1065"/>
      <c r="X791" s="1065"/>
      <c r="Y791" s="1065"/>
      <c r="Z791" s="1065"/>
      <c r="AA791" s="1065"/>
      <c r="AB791" s="1065"/>
      <c r="AC791" s="1065"/>
      <c r="AD791" s="1065"/>
      <c r="AE791" s="1065"/>
      <c r="AF791" s="1065"/>
      <c r="AG791" s="1065"/>
      <c r="AH791" s="1065"/>
      <c r="AI791" s="1065"/>
      <c r="AJ791" s="1065"/>
      <c r="AK791" s="1065"/>
      <c r="AL791" s="1065"/>
      <c r="AM791" s="1065"/>
      <c r="AN791" s="1065"/>
      <c r="AO791" s="1065"/>
      <c r="AP791" s="1065"/>
      <c r="AQ791" s="1065"/>
      <c r="AR791" s="1065"/>
      <c r="AS791" s="1065"/>
      <c r="AT791" s="1065"/>
      <c r="AU791" s="1065"/>
      <c r="AV791" s="1065"/>
      <c r="AW791" s="1065"/>
      <c r="AX791" s="1065"/>
      <c r="AY791" s="1065"/>
      <c r="AZ791" s="1065"/>
      <c r="BA791" s="1065"/>
      <c r="BB791" s="1065"/>
      <c r="BC791" s="1065"/>
      <c r="BD791" s="1065"/>
      <c r="BE791" s="1065"/>
      <c r="BF791" s="1065"/>
      <c r="BG791" s="1065"/>
      <c r="BH791" s="1065"/>
      <c r="BI791" s="1065"/>
      <c r="BJ791" s="1065"/>
      <c r="BK791" s="1065"/>
      <c r="BL791" s="1065"/>
      <c r="BM791" s="1065"/>
      <c r="BN791" s="1065"/>
      <c r="BO791" s="1065"/>
      <c r="BP791" s="1065"/>
      <c r="BQ791" s="1065"/>
      <c r="BR791" s="1065"/>
      <c r="BS791" s="1065"/>
      <c r="BT791" s="1065"/>
      <c r="BU791" s="1065"/>
      <c r="BV791" s="1065"/>
      <c r="BW791" s="1065"/>
      <c r="BX791" s="1065"/>
      <c r="BY791" s="1065"/>
      <c r="BZ791" s="1065"/>
      <c r="CA791" s="1065"/>
      <c r="CB791" s="1065"/>
      <c r="CC791" s="1065"/>
      <c r="CD791" s="1065"/>
      <c r="CE791" s="1065"/>
      <c r="CF791" s="1065"/>
      <c r="CG791" s="1065"/>
      <c r="CH791" s="1065"/>
      <c r="CI791" s="1065"/>
      <c r="CJ791" s="1065"/>
      <c r="CK791" s="1065"/>
      <c r="CL791" s="1065"/>
      <c r="CM791" s="1065"/>
      <c r="CN791" s="1065"/>
      <c r="CO791" s="1065"/>
      <c r="CP791" s="1065"/>
      <c r="CQ791" s="1065"/>
      <c r="CR791" s="1065"/>
      <c r="CS791" s="1065"/>
      <c r="CT791" s="1065"/>
      <c r="CU791" s="1065"/>
      <c r="CV791" s="1065"/>
      <c r="CW791" s="1065"/>
      <c r="CX791" s="1065"/>
      <c r="CY791" s="1065"/>
      <c r="CZ791" s="1065"/>
      <c r="DA791" s="1065"/>
      <c r="DB791" s="1065"/>
    </row>
    <row r="792" spans="1:106" ht="15" customHeight="1">
      <c r="A792" s="1065"/>
      <c r="B792" s="1065"/>
      <c r="C792" s="1065"/>
      <c r="D792" s="1065"/>
      <c r="E792" s="1065"/>
      <c r="F792" s="1065"/>
      <c r="G792" s="1065"/>
      <c r="H792" s="1223"/>
      <c r="I792" s="1223"/>
      <c r="J792" s="1224"/>
      <c r="K792" s="1224"/>
      <c r="L792" s="1224"/>
      <c r="M792" s="1225"/>
      <c r="N792" s="1225"/>
      <c r="O792" s="1226"/>
      <c r="P792" s="1227"/>
      <c r="Q792" s="1227"/>
      <c r="R792" s="1228"/>
      <c r="S792" s="1224"/>
      <c r="T792" s="1229"/>
      <c r="U792" s="1065"/>
      <c r="V792" s="1065"/>
      <c r="W792" s="1065"/>
      <c r="X792" s="1065"/>
      <c r="Y792" s="1065"/>
      <c r="Z792" s="1065"/>
      <c r="AA792" s="1065"/>
      <c r="AB792" s="1065"/>
      <c r="AC792" s="1065"/>
      <c r="AD792" s="1065"/>
      <c r="AE792" s="1065"/>
      <c r="AF792" s="1065"/>
      <c r="AG792" s="1065"/>
      <c r="AH792" s="1065"/>
      <c r="AI792" s="1065"/>
      <c r="AJ792" s="1065"/>
      <c r="AK792" s="1065"/>
      <c r="AL792" s="1065"/>
      <c r="AM792" s="1065"/>
      <c r="AN792" s="1065"/>
      <c r="AO792" s="1065"/>
      <c r="AP792" s="1065"/>
      <c r="AQ792" s="1065"/>
      <c r="AR792" s="1065"/>
      <c r="AS792" s="1065"/>
      <c r="AT792" s="1065"/>
      <c r="AU792" s="1065"/>
      <c r="AV792" s="1065"/>
      <c r="AW792" s="1065"/>
      <c r="AX792" s="1065"/>
      <c r="AY792" s="1065"/>
      <c r="AZ792" s="1065"/>
      <c r="BA792" s="1065"/>
      <c r="BB792" s="1065"/>
      <c r="BC792" s="1065"/>
      <c r="BD792" s="1065"/>
      <c r="BE792" s="1065"/>
      <c r="BF792" s="1065"/>
      <c r="BG792" s="1065"/>
      <c r="BH792" s="1065"/>
      <c r="BI792" s="1065"/>
      <c r="BJ792" s="1065"/>
      <c r="BK792" s="1065"/>
      <c r="BL792" s="1065"/>
      <c r="BM792" s="1065"/>
      <c r="BN792" s="1065"/>
      <c r="BO792" s="1065"/>
      <c r="BP792" s="1065"/>
      <c r="BQ792" s="1065"/>
      <c r="BR792" s="1065"/>
      <c r="BS792" s="1065"/>
      <c r="BT792" s="1065"/>
      <c r="BU792" s="1065"/>
      <c r="BV792" s="1065"/>
      <c r="BW792" s="1065"/>
      <c r="BX792" s="1065"/>
      <c r="BY792" s="1065"/>
      <c r="BZ792" s="1065"/>
      <c r="CA792" s="1065"/>
      <c r="CB792" s="1065"/>
      <c r="CC792" s="1065"/>
      <c r="CD792" s="1065"/>
      <c r="CE792" s="1065"/>
      <c r="CF792" s="1065"/>
      <c r="CG792" s="1065"/>
      <c r="CH792" s="1065"/>
      <c r="CI792" s="1065"/>
      <c r="CJ792" s="1065"/>
      <c r="CK792" s="1065"/>
      <c r="CL792" s="1065"/>
      <c r="CM792" s="1065"/>
      <c r="CN792" s="1065"/>
      <c r="CO792" s="1065"/>
      <c r="CP792" s="1065"/>
      <c r="CQ792" s="1065"/>
      <c r="CR792" s="1065"/>
      <c r="CS792" s="1065"/>
      <c r="CT792" s="1065"/>
      <c r="CU792" s="1065"/>
      <c r="CV792" s="1065"/>
      <c r="CW792" s="1065"/>
      <c r="CX792" s="1065"/>
      <c r="CY792" s="1065"/>
      <c r="CZ792" s="1065"/>
      <c r="DA792" s="1065"/>
      <c r="DB792" s="1065"/>
    </row>
    <row r="793" spans="1:106" ht="15" customHeight="1">
      <c r="A793" s="1065"/>
      <c r="B793" s="1065"/>
      <c r="C793" s="1065"/>
      <c r="D793" s="1065"/>
      <c r="E793" s="1065"/>
      <c r="F793" s="1065"/>
      <c r="G793" s="1065"/>
      <c r="H793" s="1223"/>
      <c r="I793" s="1223"/>
      <c r="J793" s="1224"/>
      <c r="K793" s="1224"/>
      <c r="L793" s="1224"/>
      <c r="M793" s="1225"/>
      <c r="N793" s="1225"/>
      <c r="O793" s="1226"/>
      <c r="P793" s="1227"/>
      <c r="Q793" s="1227"/>
      <c r="R793" s="1228"/>
      <c r="S793" s="1224"/>
      <c r="T793" s="1229"/>
      <c r="U793" s="1065"/>
      <c r="V793" s="1065"/>
      <c r="W793" s="1065"/>
      <c r="X793" s="1065"/>
      <c r="Y793" s="1065"/>
      <c r="Z793" s="1065"/>
      <c r="AA793" s="1065"/>
      <c r="AB793" s="1065"/>
      <c r="AC793" s="1065"/>
      <c r="AD793" s="1065"/>
      <c r="AE793" s="1065"/>
      <c r="AF793" s="1065"/>
      <c r="AG793" s="1065"/>
      <c r="AH793" s="1065"/>
      <c r="AI793" s="1065"/>
      <c r="AJ793" s="1065"/>
      <c r="AK793" s="1065"/>
      <c r="AL793" s="1065"/>
      <c r="AM793" s="1065"/>
      <c r="AN793" s="1065"/>
      <c r="AO793" s="1065"/>
      <c r="AP793" s="1065"/>
      <c r="AQ793" s="1065"/>
      <c r="AR793" s="1065"/>
      <c r="AS793" s="1065"/>
      <c r="AT793" s="1065"/>
      <c r="AU793" s="1065"/>
      <c r="AV793" s="1065"/>
      <c r="AW793" s="1065"/>
      <c r="AX793" s="1065"/>
      <c r="AY793" s="1065"/>
      <c r="AZ793" s="1065"/>
      <c r="BA793" s="1065"/>
      <c r="BB793" s="1065"/>
      <c r="BC793" s="1065"/>
      <c r="BD793" s="1065"/>
      <c r="BE793" s="1065"/>
      <c r="BF793" s="1065"/>
      <c r="BG793" s="1065"/>
      <c r="BH793" s="1065"/>
      <c r="BI793" s="1065"/>
      <c r="BJ793" s="1065"/>
      <c r="BK793" s="1065"/>
      <c r="BL793" s="1065"/>
      <c r="BM793" s="1065"/>
      <c r="BN793" s="1065"/>
      <c r="BO793" s="1065"/>
      <c r="BP793" s="1065"/>
      <c r="BQ793" s="1065"/>
      <c r="BR793" s="1065"/>
      <c r="BS793" s="1065"/>
      <c r="BT793" s="1065"/>
      <c r="BU793" s="1065"/>
      <c r="BV793" s="1065"/>
      <c r="BW793" s="1065"/>
      <c r="BX793" s="1065"/>
      <c r="BY793" s="1065"/>
      <c r="BZ793" s="1065"/>
      <c r="CA793" s="1065"/>
      <c r="CB793" s="1065"/>
      <c r="CC793" s="1065"/>
      <c r="CD793" s="1065"/>
      <c r="CE793" s="1065"/>
      <c r="CF793" s="1065"/>
      <c r="CG793" s="1065"/>
      <c r="CH793" s="1065"/>
      <c r="CI793" s="1065"/>
      <c r="CJ793" s="1065"/>
      <c r="CK793" s="1065"/>
      <c r="CL793" s="1065"/>
      <c r="CM793" s="1065"/>
      <c r="CN793" s="1065"/>
      <c r="CO793" s="1065"/>
      <c r="CP793" s="1065"/>
      <c r="CQ793" s="1065"/>
      <c r="CR793" s="1065"/>
      <c r="CS793" s="1065"/>
      <c r="CT793" s="1065"/>
      <c r="CU793" s="1065"/>
      <c r="CV793" s="1065"/>
      <c r="CW793" s="1065"/>
      <c r="CX793" s="1065"/>
      <c r="CY793" s="1065"/>
      <c r="CZ793" s="1065"/>
      <c r="DA793" s="1065"/>
      <c r="DB793" s="1065"/>
    </row>
    <row r="794" spans="1:106" ht="15" customHeight="1">
      <c r="A794" s="1065"/>
      <c r="B794" s="1065"/>
      <c r="C794" s="1065"/>
      <c r="D794" s="1065"/>
      <c r="E794" s="1065"/>
      <c r="F794" s="1065"/>
      <c r="G794" s="1065"/>
      <c r="H794" s="1223"/>
      <c r="I794" s="1223"/>
      <c r="J794" s="1224"/>
      <c r="K794" s="1224"/>
      <c r="L794" s="1224"/>
      <c r="M794" s="1225"/>
      <c r="N794" s="1225"/>
      <c r="O794" s="1226"/>
      <c r="P794" s="1227"/>
      <c r="Q794" s="1227"/>
      <c r="R794" s="1228"/>
      <c r="S794" s="1224"/>
      <c r="T794" s="1229"/>
      <c r="U794" s="1065"/>
      <c r="V794" s="1065"/>
      <c r="W794" s="1065"/>
      <c r="X794" s="1065"/>
      <c r="Y794" s="1065"/>
      <c r="Z794" s="1065"/>
      <c r="AA794" s="1065"/>
      <c r="AB794" s="1065"/>
      <c r="AC794" s="1065"/>
      <c r="AD794" s="1065"/>
      <c r="AE794" s="1065"/>
      <c r="AF794" s="1065"/>
      <c r="AG794" s="1065"/>
      <c r="AH794" s="1065"/>
      <c r="AI794" s="1065"/>
      <c r="AJ794" s="1065"/>
      <c r="AK794" s="1065"/>
      <c r="AL794" s="1065"/>
      <c r="AM794" s="1065"/>
      <c r="AN794" s="1065"/>
      <c r="AO794" s="1065"/>
      <c r="AP794" s="1065"/>
      <c r="AQ794" s="1065"/>
      <c r="AR794" s="1065"/>
      <c r="AS794" s="1065"/>
      <c r="AT794" s="1065"/>
      <c r="AU794" s="1065"/>
      <c r="AV794" s="1065"/>
      <c r="AW794" s="1065"/>
      <c r="AX794" s="1065"/>
      <c r="AY794" s="1065"/>
      <c r="AZ794" s="1065"/>
      <c r="BA794" s="1065"/>
      <c r="BB794" s="1065"/>
      <c r="BC794" s="1065"/>
      <c r="BD794" s="1065"/>
      <c r="BE794" s="1065"/>
      <c r="BF794" s="1065"/>
      <c r="BG794" s="1065"/>
      <c r="BH794" s="1065"/>
      <c r="BI794" s="1065"/>
      <c r="BJ794" s="1065"/>
      <c r="BK794" s="1065"/>
      <c r="BL794" s="1065"/>
      <c r="BM794" s="1065"/>
      <c r="BN794" s="1065"/>
      <c r="BO794" s="1065"/>
      <c r="BP794" s="1065"/>
      <c r="BQ794" s="1065"/>
      <c r="BR794" s="1065"/>
      <c r="BS794" s="1065"/>
      <c r="BT794" s="1065"/>
      <c r="BU794" s="1065"/>
      <c r="BV794" s="1065"/>
      <c r="BW794" s="1065"/>
      <c r="BX794" s="1065"/>
      <c r="BY794" s="1065"/>
      <c r="BZ794" s="1065"/>
      <c r="CA794" s="1065"/>
      <c r="CB794" s="1065"/>
      <c r="CC794" s="1065"/>
      <c r="CD794" s="1065"/>
      <c r="CE794" s="1065"/>
      <c r="CF794" s="1065"/>
      <c r="CG794" s="1065"/>
      <c r="CH794" s="1065"/>
      <c r="CI794" s="1065"/>
      <c r="CJ794" s="1065"/>
      <c r="CK794" s="1065"/>
      <c r="CL794" s="1065"/>
      <c r="CM794" s="1065"/>
      <c r="CN794" s="1065"/>
      <c r="CO794" s="1065"/>
      <c r="CP794" s="1065"/>
      <c r="CQ794" s="1065"/>
      <c r="CR794" s="1065"/>
      <c r="CS794" s="1065"/>
      <c r="CT794" s="1065"/>
      <c r="CU794" s="1065"/>
      <c r="CV794" s="1065"/>
      <c r="CW794" s="1065"/>
      <c r="CX794" s="1065"/>
      <c r="CY794" s="1065"/>
      <c r="CZ794" s="1065"/>
      <c r="DA794" s="1065"/>
      <c r="DB794" s="1065"/>
    </row>
    <row r="795" spans="1:106" ht="15" customHeight="1">
      <c r="A795" s="1065"/>
      <c r="B795" s="1065"/>
      <c r="C795" s="1065"/>
      <c r="D795" s="1065"/>
      <c r="E795" s="1065"/>
      <c r="F795" s="1065"/>
      <c r="G795" s="1065"/>
      <c r="H795" s="1223"/>
      <c r="I795" s="1223"/>
      <c r="J795" s="1224"/>
      <c r="K795" s="1224"/>
      <c r="L795" s="1224"/>
      <c r="M795" s="1225"/>
      <c r="N795" s="1225"/>
      <c r="O795" s="1226"/>
      <c r="P795" s="1227"/>
      <c r="Q795" s="1227"/>
      <c r="R795" s="1228"/>
      <c r="S795" s="1224"/>
      <c r="T795" s="1229"/>
      <c r="U795" s="1065"/>
      <c r="V795" s="1065"/>
      <c r="W795" s="1065"/>
      <c r="X795" s="1065"/>
      <c r="Y795" s="1065"/>
      <c r="Z795" s="1065"/>
      <c r="AA795" s="1065"/>
      <c r="AB795" s="1065"/>
      <c r="AC795" s="1065"/>
      <c r="AD795" s="1065"/>
      <c r="AE795" s="1065"/>
      <c r="AF795" s="1065"/>
      <c r="AG795" s="1065"/>
      <c r="AH795" s="1065"/>
      <c r="AI795" s="1065"/>
      <c r="AJ795" s="1065"/>
      <c r="AK795" s="1065"/>
      <c r="AL795" s="1065"/>
      <c r="AM795" s="1065"/>
      <c r="AN795" s="1065"/>
      <c r="AO795" s="1065"/>
      <c r="AP795" s="1065"/>
      <c r="AQ795" s="1065"/>
      <c r="AR795" s="1065"/>
      <c r="AS795" s="1065"/>
      <c r="AT795" s="1065"/>
      <c r="AU795" s="1065"/>
      <c r="AV795" s="1065"/>
      <c r="AW795" s="1065"/>
      <c r="AX795" s="1065"/>
      <c r="AY795" s="1065"/>
      <c r="AZ795" s="1065"/>
      <c r="BA795" s="1065"/>
      <c r="BB795" s="1065"/>
      <c r="BC795" s="1065"/>
      <c r="BD795" s="1065"/>
      <c r="BE795" s="1065"/>
      <c r="BF795" s="1065"/>
      <c r="BG795" s="1065"/>
      <c r="BH795" s="1065"/>
      <c r="BI795" s="1065"/>
      <c r="BJ795" s="1065"/>
      <c r="BK795" s="1065"/>
      <c r="BL795" s="1065"/>
      <c r="BM795" s="1065"/>
      <c r="BN795" s="1065"/>
      <c r="BO795" s="1065"/>
      <c r="BP795" s="1065"/>
      <c r="BQ795" s="1065"/>
      <c r="BR795" s="1065"/>
      <c r="BS795" s="1065"/>
      <c r="BT795" s="1065"/>
      <c r="BU795" s="1065"/>
      <c r="BV795" s="1065"/>
      <c r="BW795" s="1065"/>
      <c r="BX795" s="1065"/>
      <c r="BY795" s="1065"/>
      <c r="BZ795" s="1065"/>
      <c r="CA795" s="1065"/>
      <c r="CB795" s="1065"/>
      <c r="CC795" s="1065"/>
      <c r="CD795" s="1065"/>
      <c r="CE795" s="1065"/>
      <c r="CF795" s="1065"/>
      <c r="CG795" s="1065"/>
      <c r="CH795" s="1065"/>
      <c r="CI795" s="1065"/>
      <c r="CJ795" s="1065"/>
      <c r="CK795" s="1065"/>
      <c r="CL795" s="1065"/>
      <c r="CM795" s="1065"/>
      <c r="CN795" s="1065"/>
      <c r="CO795" s="1065"/>
      <c r="CP795" s="1065"/>
      <c r="CQ795" s="1065"/>
      <c r="CR795" s="1065"/>
      <c r="CS795" s="1065"/>
      <c r="CT795" s="1065"/>
      <c r="CU795" s="1065"/>
      <c r="CV795" s="1065"/>
      <c r="CW795" s="1065"/>
      <c r="CX795" s="1065"/>
      <c r="CY795" s="1065"/>
      <c r="CZ795" s="1065"/>
      <c r="DA795" s="1065"/>
      <c r="DB795" s="1065"/>
    </row>
    <row r="796" spans="1:106" ht="15" customHeight="1">
      <c r="A796" s="1065"/>
      <c r="B796" s="1065"/>
      <c r="C796" s="1065"/>
      <c r="D796" s="1065"/>
      <c r="E796" s="1065"/>
      <c r="F796" s="1065"/>
      <c r="G796" s="1065"/>
      <c r="H796" s="1223"/>
      <c r="I796" s="1223"/>
      <c r="J796" s="1224"/>
      <c r="K796" s="1224"/>
      <c r="L796" s="1224"/>
      <c r="M796" s="1225"/>
      <c r="N796" s="1225"/>
      <c r="O796" s="1226"/>
      <c r="P796" s="1227"/>
      <c r="Q796" s="1227"/>
      <c r="R796" s="1228"/>
      <c r="S796" s="1224"/>
      <c r="T796" s="1229"/>
      <c r="U796" s="1065"/>
      <c r="V796" s="1065"/>
      <c r="W796" s="1065"/>
      <c r="X796" s="1065"/>
      <c r="Y796" s="1065"/>
      <c r="Z796" s="1065"/>
      <c r="AA796" s="1065"/>
      <c r="AB796" s="1065"/>
      <c r="AC796" s="1065"/>
      <c r="AD796" s="1065"/>
      <c r="AE796" s="1065"/>
      <c r="AF796" s="1065"/>
      <c r="AG796" s="1065"/>
      <c r="AH796" s="1065"/>
      <c r="AI796" s="1065"/>
      <c r="AJ796" s="1065"/>
      <c r="AK796" s="1065"/>
      <c r="AL796" s="1065"/>
      <c r="AM796" s="1065"/>
      <c r="AN796" s="1065"/>
      <c r="AO796" s="1065"/>
      <c r="AP796" s="1065"/>
      <c r="AQ796" s="1065"/>
      <c r="AR796" s="1065"/>
      <c r="AS796" s="1065"/>
      <c r="AT796" s="1065"/>
      <c r="AU796" s="1065"/>
      <c r="AV796" s="1065"/>
      <c r="AW796" s="1065"/>
      <c r="AX796" s="1065"/>
      <c r="AY796" s="1065"/>
      <c r="AZ796" s="1065"/>
      <c r="BA796" s="1065"/>
      <c r="BB796" s="1065"/>
      <c r="BC796" s="1065"/>
      <c r="BD796" s="1065"/>
      <c r="BE796" s="1065"/>
      <c r="BF796" s="1065"/>
      <c r="BG796" s="1065"/>
      <c r="BH796" s="1065"/>
      <c r="BI796" s="1065"/>
      <c r="BJ796" s="1065"/>
      <c r="BK796" s="1065"/>
      <c r="BL796" s="1065"/>
      <c r="BM796" s="1065"/>
      <c r="BN796" s="1065"/>
      <c r="BO796" s="1065"/>
      <c r="BP796" s="1065"/>
      <c r="BQ796" s="1065"/>
      <c r="BR796" s="1065"/>
      <c r="BS796" s="1065"/>
      <c r="BT796" s="1065"/>
      <c r="BU796" s="1065"/>
      <c r="BV796" s="1065"/>
      <c r="BW796" s="1065"/>
      <c r="BX796" s="1065"/>
      <c r="BY796" s="1065"/>
      <c r="BZ796" s="1065"/>
      <c r="CA796" s="1065"/>
      <c r="CB796" s="1065"/>
      <c r="CC796" s="1065"/>
      <c r="CD796" s="1065"/>
      <c r="CE796" s="1065"/>
      <c r="CF796" s="1065"/>
      <c r="CG796" s="1065"/>
      <c r="CH796" s="1065"/>
      <c r="CI796" s="1065"/>
      <c r="CJ796" s="1065"/>
      <c r="CK796" s="1065"/>
      <c r="CL796" s="1065"/>
      <c r="CM796" s="1065"/>
      <c r="CN796" s="1065"/>
      <c r="CO796" s="1065"/>
      <c r="CP796" s="1065"/>
      <c r="CQ796" s="1065"/>
      <c r="CR796" s="1065"/>
      <c r="CS796" s="1065"/>
      <c r="CT796" s="1065"/>
      <c r="CU796" s="1065"/>
      <c r="CV796" s="1065"/>
      <c r="CW796" s="1065"/>
      <c r="CX796" s="1065"/>
      <c r="CY796" s="1065"/>
      <c r="CZ796" s="1065"/>
      <c r="DA796" s="1065"/>
      <c r="DB796" s="1065"/>
    </row>
    <row r="797" spans="1:106" ht="15" customHeight="1">
      <c r="A797" s="1065"/>
      <c r="B797" s="1065"/>
      <c r="C797" s="1065"/>
      <c r="D797" s="1065"/>
      <c r="E797" s="1065"/>
      <c r="F797" s="1065"/>
      <c r="G797" s="1065"/>
      <c r="H797" s="1223"/>
      <c r="I797" s="1223"/>
      <c r="J797" s="1224"/>
      <c r="K797" s="1224"/>
      <c r="L797" s="1224"/>
      <c r="M797" s="1225"/>
      <c r="N797" s="1225"/>
      <c r="O797" s="1226"/>
      <c r="P797" s="1227"/>
      <c r="Q797" s="1227"/>
      <c r="R797" s="1228"/>
      <c r="S797" s="1224"/>
      <c r="T797" s="1229"/>
      <c r="U797" s="1065"/>
      <c r="V797" s="1065"/>
      <c r="W797" s="1065"/>
      <c r="X797" s="1065"/>
      <c r="Y797" s="1065"/>
      <c r="Z797" s="1065"/>
      <c r="AA797" s="1065"/>
      <c r="AB797" s="1065"/>
      <c r="AC797" s="1065"/>
      <c r="AD797" s="1065"/>
      <c r="AE797" s="1065"/>
      <c r="AF797" s="1065"/>
      <c r="AG797" s="1065"/>
      <c r="AH797" s="1065"/>
      <c r="AI797" s="1065"/>
      <c r="AJ797" s="1065"/>
      <c r="AK797" s="1065"/>
      <c r="AL797" s="1065"/>
      <c r="AM797" s="1065"/>
      <c r="AN797" s="1065"/>
      <c r="AO797" s="1065"/>
      <c r="AP797" s="1065"/>
      <c r="AQ797" s="1065"/>
      <c r="AR797" s="1065"/>
      <c r="AS797" s="1065"/>
      <c r="AT797" s="1065"/>
      <c r="AU797" s="1065"/>
      <c r="AV797" s="1065"/>
      <c r="AW797" s="1065"/>
      <c r="AX797" s="1065"/>
      <c r="AY797" s="1065"/>
      <c r="AZ797" s="1065"/>
      <c r="BA797" s="1065"/>
      <c r="BB797" s="1065"/>
      <c r="BC797" s="1065"/>
      <c r="BD797" s="1065"/>
      <c r="BE797" s="1065"/>
      <c r="BF797" s="1065"/>
      <c r="BG797" s="1065"/>
      <c r="BH797" s="1065"/>
      <c r="BI797" s="1065"/>
      <c r="BJ797" s="1065"/>
      <c r="BK797" s="1065"/>
      <c r="BL797" s="1065"/>
      <c r="BM797" s="1065"/>
      <c r="BN797" s="1065"/>
      <c r="BO797" s="1065"/>
      <c r="BP797" s="1065"/>
      <c r="BQ797" s="1065"/>
      <c r="BR797" s="1065"/>
      <c r="BS797" s="1065"/>
      <c r="BT797" s="1065"/>
      <c r="BU797" s="1065"/>
      <c r="BV797" s="1065"/>
      <c r="BW797" s="1065"/>
      <c r="BX797" s="1065"/>
      <c r="BY797" s="1065"/>
      <c r="BZ797" s="1065"/>
      <c r="CA797" s="1065"/>
      <c r="CB797" s="1065"/>
      <c r="CC797" s="1065"/>
      <c r="CD797" s="1065"/>
      <c r="CE797" s="1065"/>
      <c r="CF797" s="1065"/>
      <c r="CG797" s="1065"/>
      <c r="CH797" s="1065"/>
      <c r="CI797" s="1065"/>
      <c r="CJ797" s="1065"/>
      <c r="CK797" s="1065"/>
      <c r="CL797" s="1065"/>
      <c r="CM797" s="1065"/>
      <c r="CN797" s="1065"/>
      <c r="CO797" s="1065"/>
      <c r="CP797" s="1065"/>
      <c r="CQ797" s="1065"/>
      <c r="CR797" s="1065"/>
      <c r="CS797" s="1065"/>
      <c r="CT797" s="1065"/>
      <c r="CU797" s="1065"/>
      <c r="CV797" s="1065"/>
      <c r="CW797" s="1065"/>
      <c r="CX797" s="1065"/>
      <c r="CY797" s="1065"/>
      <c r="CZ797" s="1065"/>
      <c r="DA797" s="1065"/>
      <c r="DB797" s="1065"/>
    </row>
    <row r="798" spans="1:106" ht="15" customHeight="1">
      <c r="A798" s="1065"/>
      <c r="B798" s="1065"/>
      <c r="C798" s="1065"/>
      <c r="D798" s="1065"/>
      <c r="E798" s="1065"/>
      <c r="F798" s="1065"/>
      <c r="G798" s="1065"/>
      <c r="H798" s="1223"/>
      <c r="I798" s="1223"/>
      <c r="J798" s="1224"/>
      <c r="K798" s="1224"/>
      <c r="L798" s="1224"/>
      <c r="M798" s="1225"/>
      <c r="N798" s="1225"/>
      <c r="O798" s="1226"/>
      <c r="P798" s="1227"/>
      <c r="Q798" s="1227"/>
      <c r="R798" s="1228"/>
      <c r="S798" s="1224"/>
      <c r="T798" s="1229"/>
      <c r="U798" s="1065"/>
      <c r="V798" s="1065"/>
      <c r="W798" s="1065"/>
      <c r="X798" s="1065"/>
      <c r="Y798" s="1065"/>
      <c r="Z798" s="1065"/>
      <c r="AA798" s="1065"/>
      <c r="AB798" s="1065"/>
      <c r="AC798" s="1065"/>
      <c r="AD798" s="1065"/>
      <c r="AE798" s="1065"/>
      <c r="AF798" s="1065"/>
      <c r="AG798" s="1065"/>
      <c r="AH798" s="1065"/>
      <c r="AI798" s="1065"/>
      <c r="AJ798" s="1065"/>
      <c r="AK798" s="1065"/>
      <c r="AL798" s="1065"/>
      <c r="AM798" s="1065"/>
      <c r="AN798" s="1065"/>
      <c r="AO798" s="1065"/>
      <c r="AP798" s="1065"/>
      <c r="AQ798" s="1065"/>
      <c r="AR798" s="1065"/>
      <c r="AS798" s="1065"/>
      <c r="AT798" s="1065"/>
      <c r="AU798" s="1065"/>
      <c r="AV798" s="1065"/>
      <c r="AW798" s="1065"/>
      <c r="AX798" s="1065"/>
      <c r="AY798" s="1065"/>
      <c r="AZ798" s="1065"/>
      <c r="BA798" s="1065"/>
      <c r="BB798" s="1065"/>
      <c r="BC798" s="1065"/>
      <c r="BD798" s="1065"/>
      <c r="BE798" s="1065"/>
      <c r="BF798" s="1065"/>
      <c r="BG798" s="1065"/>
      <c r="BH798" s="1065"/>
      <c r="BI798" s="1065"/>
      <c r="BJ798" s="1065"/>
      <c r="BK798" s="1065"/>
      <c r="BL798" s="1065"/>
      <c r="BM798" s="1065"/>
      <c r="BN798" s="1065"/>
      <c r="BO798" s="1065"/>
      <c r="BP798" s="1065"/>
      <c r="BQ798" s="1065"/>
      <c r="BR798" s="1065"/>
      <c r="BS798" s="1065"/>
      <c r="BT798" s="1065"/>
      <c r="BU798" s="1065"/>
      <c r="BV798" s="1065"/>
      <c r="BW798" s="1065"/>
      <c r="BX798" s="1065"/>
      <c r="BY798" s="1065"/>
      <c r="BZ798" s="1065"/>
      <c r="CA798" s="1065"/>
      <c r="CB798" s="1065"/>
      <c r="CC798" s="1065"/>
      <c r="CD798" s="1065"/>
      <c r="CE798" s="1065"/>
      <c r="CF798" s="1065"/>
      <c r="CG798" s="1065"/>
      <c r="CH798" s="1065"/>
      <c r="CI798" s="1065"/>
      <c r="CJ798" s="1065"/>
      <c r="CK798" s="1065"/>
      <c r="CL798" s="1065"/>
      <c r="CM798" s="1065"/>
      <c r="CN798" s="1065"/>
      <c r="CO798" s="1065"/>
      <c r="CP798" s="1065"/>
      <c r="CQ798" s="1065"/>
      <c r="CR798" s="1065"/>
      <c r="CS798" s="1065"/>
      <c r="CT798" s="1065"/>
      <c r="CU798" s="1065"/>
      <c r="CV798" s="1065"/>
      <c r="CW798" s="1065"/>
      <c r="CX798" s="1065"/>
      <c r="CY798" s="1065"/>
      <c r="CZ798" s="1065"/>
      <c r="DA798" s="1065"/>
      <c r="DB798" s="1065"/>
    </row>
    <row r="799" spans="1:106" ht="15" customHeight="1">
      <c r="A799" s="1065"/>
      <c r="B799" s="1065"/>
      <c r="C799" s="1065"/>
      <c r="D799" s="1065"/>
      <c r="E799" s="1065"/>
      <c r="F799" s="1065"/>
      <c r="G799" s="1065"/>
      <c r="H799" s="1223"/>
      <c r="I799" s="1223"/>
      <c r="J799" s="1224"/>
      <c r="K799" s="1224"/>
      <c r="L799" s="1224"/>
      <c r="M799" s="1225"/>
      <c r="N799" s="1225"/>
      <c r="O799" s="1226"/>
      <c r="P799" s="1227"/>
      <c r="Q799" s="1227"/>
      <c r="R799" s="1228"/>
      <c r="S799" s="1224"/>
      <c r="T799" s="1229"/>
      <c r="U799" s="1065"/>
      <c r="V799" s="1065"/>
      <c r="W799" s="1065"/>
      <c r="X799" s="1065"/>
      <c r="Y799" s="1065"/>
      <c r="Z799" s="1065"/>
      <c r="AA799" s="1065"/>
      <c r="AB799" s="1065"/>
      <c r="AC799" s="1065"/>
      <c r="AD799" s="1065"/>
      <c r="AE799" s="1065"/>
      <c r="AF799" s="1065"/>
      <c r="AG799" s="1065"/>
      <c r="AH799" s="1065"/>
      <c r="AI799" s="1065"/>
      <c r="AJ799" s="1065"/>
      <c r="AK799" s="1065"/>
      <c r="AL799" s="1065"/>
      <c r="AM799" s="1065"/>
      <c r="AN799" s="1065"/>
      <c r="AO799" s="1065"/>
      <c r="AP799" s="1065"/>
      <c r="AQ799" s="1065"/>
      <c r="AR799" s="1065"/>
      <c r="AS799" s="1065"/>
      <c r="AT799" s="1065"/>
      <c r="AU799" s="1065"/>
      <c r="AV799" s="1065"/>
      <c r="AW799" s="1065"/>
      <c r="AX799" s="1065"/>
      <c r="AY799" s="1065"/>
      <c r="AZ799" s="1065"/>
      <c r="BA799" s="1065"/>
      <c r="BB799" s="1065"/>
      <c r="BC799" s="1065"/>
      <c r="BD799" s="1065"/>
      <c r="BE799" s="1065"/>
      <c r="BF799" s="1065"/>
      <c r="BG799" s="1065"/>
      <c r="BH799" s="1065"/>
      <c r="BI799" s="1065"/>
      <c r="BJ799" s="1065"/>
      <c r="BK799" s="1065"/>
      <c r="BL799" s="1065"/>
      <c r="BM799" s="1065"/>
      <c r="BN799" s="1065"/>
      <c r="BO799" s="1065"/>
      <c r="BP799" s="1065"/>
      <c r="BQ799" s="1065"/>
      <c r="BR799" s="1065"/>
      <c r="BS799" s="1065"/>
      <c r="BT799" s="1065"/>
      <c r="BU799" s="1065"/>
      <c r="BV799" s="1065"/>
      <c r="BW799" s="1065"/>
      <c r="BX799" s="1065"/>
      <c r="BY799" s="1065"/>
      <c r="BZ799" s="1065"/>
      <c r="CA799" s="1065"/>
      <c r="CB799" s="1065"/>
      <c r="CC799" s="1065"/>
      <c r="CD799" s="1065"/>
      <c r="CE799" s="1065"/>
      <c r="CF799" s="1065"/>
      <c r="CG799" s="1065"/>
      <c r="CH799" s="1065"/>
      <c r="CI799" s="1065"/>
      <c r="CJ799" s="1065"/>
      <c r="CK799" s="1065"/>
      <c r="CL799" s="1065"/>
      <c r="CM799" s="1065"/>
      <c r="CN799" s="1065"/>
      <c r="CO799" s="1065"/>
      <c r="CP799" s="1065"/>
      <c r="CQ799" s="1065"/>
      <c r="CR799" s="1065"/>
      <c r="CS799" s="1065"/>
      <c r="CT799" s="1065"/>
      <c r="CU799" s="1065"/>
      <c r="CV799" s="1065"/>
      <c r="CW799" s="1065"/>
      <c r="CX799" s="1065"/>
      <c r="CY799" s="1065"/>
      <c r="CZ799" s="1065"/>
      <c r="DA799" s="1065"/>
      <c r="DB799" s="1065"/>
    </row>
    <row r="800" spans="1:106" ht="15" customHeight="1">
      <c r="A800" s="1065"/>
      <c r="B800" s="1065"/>
      <c r="C800" s="1065"/>
      <c r="D800" s="1065"/>
      <c r="E800" s="1065"/>
      <c r="F800" s="1065"/>
      <c r="G800" s="1065"/>
      <c r="H800" s="1223"/>
      <c r="I800" s="1223"/>
      <c r="J800" s="1224"/>
      <c r="K800" s="1224"/>
      <c r="L800" s="1224"/>
      <c r="M800" s="1225"/>
      <c r="N800" s="1225"/>
      <c r="O800" s="1226"/>
      <c r="P800" s="1227"/>
      <c r="Q800" s="1227"/>
      <c r="R800" s="1228"/>
      <c r="S800" s="1224"/>
      <c r="T800" s="1229"/>
      <c r="U800" s="1065"/>
      <c r="V800" s="1065"/>
      <c r="W800" s="1065"/>
      <c r="X800" s="1065"/>
      <c r="Y800" s="1065"/>
      <c r="Z800" s="1065"/>
      <c r="AA800" s="1065"/>
      <c r="AB800" s="1065"/>
      <c r="AC800" s="1065"/>
      <c r="AD800" s="1065"/>
      <c r="AE800" s="1065"/>
      <c r="AF800" s="1065"/>
      <c r="AG800" s="1065"/>
      <c r="AH800" s="1065"/>
      <c r="AI800" s="1065"/>
      <c r="AJ800" s="1065"/>
      <c r="AK800" s="1065"/>
      <c r="AL800" s="1065"/>
      <c r="AM800" s="1065"/>
      <c r="AN800" s="1065"/>
      <c r="AO800" s="1065"/>
      <c r="AP800" s="1065"/>
      <c r="AQ800" s="1065"/>
      <c r="AR800" s="1065"/>
      <c r="AS800" s="1065"/>
      <c r="AT800" s="1065"/>
      <c r="AU800" s="1065"/>
      <c r="AV800" s="1065"/>
      <c r="AW800" s="1065"/>
      <c r="AX800" s="1065"/>
      <c r="AY800" s="1065"/>
      <c r="AZ800" s="1065"/>
      <c r="BA800" s="1065"/>
      <c r="BB800" s="1065"/>
      <c r="BC800" s="1065"/>
      <c r="BD800" s="1065"/>
      <c r="BE800" s="1065"/>
      <c r="BF800" s="1065"/>
      <c r="BG800" s="1065"/>
      <c r="BH800" s="1065"/>
      <c r="BI800" s="1065"/>
      <c r="BJ800" s="1065"/>
      <c r="BK800" s="1065"/>
      <c r="BL800" s="1065"/>
      <c r="BM800" s="1065"/>
      <c r="BN800" s="1065"/>
      <c r="BO800" s="1065"/>
      <c r="BP800" s="1065"/>
      <c r="BQ800" s="1065"/>
      <c r="BR800" s="1065"/>
      <c r="BS800" s="1065"/>
      <c r="BT800" s="1065"/>
      <c r="BU800" s="1065"/>
      <c r="BV800" s="1065"/>
      <c r="BW800" s="1065"/>
      <c r="BX800" s="1065"/>
      <c r="BY800" s="1065"/>
      <c r="BZ800" s="1065"/>
      <c r="CA800" s="1065"/>
      <c r="CB800" s="1065"/>
      <c r="CC800" s="1065"/>
      <c r="CD800" s="1065"/>
      <c r="CE800" s="1065"/>
      <c r="CF800" s="1065"/>
      <c r="CG800" s="1065"/>
      <c r="CH800" s="1065"/>
      <c r="CI800" s="1065"/>
      <c r="CJ800" s="1065"/>
      <c r="CK800" s="1065"/>
      <c r="CL800" s="1065"/>
      <c r="CM800" s="1065"/>
      <c r="CN800" s="1065"/>
      <c r="CO800" s="1065"/>
      <c r="CP800" s="1065"/>
      <c r="CQ800" s="1065"/>
      <c r="CR800" s="1065"/>
      <c r="CS800" s="1065"/>
      <c r="CT800" s="1065"/>
      <c r="CU800" s="1065"/>
      <c r="CV800" s="1065"/>
      <c r="CW800" s="1065"/>
      <c r="CX800" s="1065"/>
      <c r="CY800" s="1065"/>
      <c r="CZ800" s="1065"/>
      <c r="DA800" s="1065"/>
      <c r="DB800" s="1065"/>
    </row>
    <row r="801" spans="1:106" ht="15" customHeight="1">
      <c r="A801" s="1065"/>
      <c r="B801" s="1065"/>
      <c r="C801" s="1065"/>
      <c r="D801" s="1065"/>
      <c r="E801" s="1065"/>
      <c r="F801" s="1065"/>
      <c r="G801" s="1065"/>
      <c r="H801" s="1223"/>
      <c r="I801" s="1223"/>
      <c r="J801" s="1224"/>
      <c r="K801" s="1224"/>
      <c r="L801" s="1224"/>
      <c r="M801" s="1225"/>
      <c r="N801" s="1225"/>
      <c r="O801" s="1226"/>
      <c r="P801" s="1227"/>
      <c r="Q801" s="1227"/>
      <c r="R801" s="1228"/>
      <c r="S801" s="1224"/>
      <c r="T801" s="1229"/>
      <c r="U801" s="1065"/>
      <c r="V801" s="1065"/>
      <c r="W801" s="1065"/>
      <c r="X801" s="1065"/>
      <c r="Y801" s="1065"/>
      <c r="Z801" s="1065"/>
      <c r="AA801" s="1065"/>
      <c r="AB801" s="1065"/>
      <c r="AC801" s="1065"/>
      <c r="AD801" s="1065"/>
      <c r="AE801" s="1065"/>
      <c r="AF801" s="1065"/>
      <c r="AG801" s="1065"/>
      <c r="AH801" s="1065"/>
      <c r="AI801" s="1065"/>
      <c r="AJ801" s="1065"/>
      <c r="AK801" s="1065"/>
      <c r="AL801" s="1065"/>
      <c r="AM801" s="1065"/>
      <c r="AN801" s="1065"/>
      <c r="AO801" s="1065"/>
      <c r="AP801" s="1065"/>
      <c r="AQ801" s="1065"/>
      <c r="AR801" s="1065"/>
      <c r="AS801" s="1065"/>
      <c r="AT801" s="1065"/>
      <c r="AU801" s="1065"/>
      <c r="AV801" s="1065"/>
      <c r="AW801" s="1065"/>
      <c r="AX801" s="1065"/>
      <c r="AY801" s="1065"/>
      <c r="AZ801" s="1065"/>
      <c r="BA801" s="1065"/>
      <c r="BB801" s="1065"/>
      <c r="BC801" s="1065"/>
      <c r="BD801" s="1065"/>
      <c r="BE801" s="1065"/>
      <c r="BF801" s="1065"/>
      <c r="BG801" s="1065"/>
      <c r="BH801" s="1065"/>
      <c r="BI801" s="1065"/>
      <c r="BJ801" s="1065"/>
      <c r="BK801" s="1065"/>
      <c r="BL801" s="1065"/>
      <c r="BM801" s="1065"/>
      <c r="BN801" s="1065"/>
      <c r="BO801" s="1065"/>
      <c r="BP801" s="1065"/>
      <c r="BQ801" s="1065"/>
      <c r="BR801" s="1065"/>
      <c r="BS801" s="1065"/>
      <c r="BT801" s="1065"/>
      <c r="BU801" s="1065"/>
      <c r="BV801" s="1065"/>
      <c r="BW801" s="1065"/>
      <c r="BX801" s="1065"/>
      <c r="BY801" s="1065"/>
      <c r="BZ801" s="1065"/>
      <c r="CA801" s="1065"/>
      <c r="CB801" s="1065"/>
      <c r="CC801" s="1065"/>
      <c r="CD801" s="1065"/>
      <c r="CE801" s="1065"/>
      <c r="CF801" s="1065"/>
      <c r="CG801" s="1065"/>
      <c r="CH801" s="1065"/>
      <c r="CI801" s="1065"/>
      <c r="CJ801" s="1065"/>
      <c r="CK801" s="1065"/>
      <c r="CL801" s="1065"/>
      <c r="CM801" s="1065"/>
      <c r="CN801" s="1065"/>
      <c r="CO801" s="1065"/>
      <c r="CP801" s="1065"/>
      <c r="CQ801" s="1065"/>
      <c r="CR801" s="1065"/>
      <c r="CS801" s="1065"/>
      <c r="CT801" s="1065"/>
      <c r="CU801" s="1065"/>
      <c r="CV801" s="1065"/>
      <c r="CW801" s="1065"/>
      <c r="CX801" s="1065"/>
      <c r="CY801" s="1065"/>
      <c r="CZ801" s="1065"/>
      <c r="DA801" s="1065"/>
      <c r="DB801" s="1065"/>
    </row>
    <row r="802" spans="1:106" ht="15" customHeight="1">
      <c r="A802" s="1065"/>
      <c r="B802" s="1065"/>
      <c r="C802" s="1065"/>
      <c r="D802" s="1065"/>
      <c r="E802" s="1065"/>
      <c r="F802" s="1065"/>
      <c r="G802" s="1065"/>
      <c r="H802" s="1223"/>
      <c r="I802" s="1223"/>
      <c r="J802" s="1224"/>
      <c r="K802" s="1224"/>
      <c r="L802" s="1224"/>
      <c r="M802" s="1225"/>
      <c r="N802" s="1225"/>
      <c r="O802" s="1226"/>
      <c r="P802" s="1227"/>
      <c r="Q802" s="1227"/>
      <c r="R802" s="1228"/>
      <c r="S802" s="1224"/>
      <c r="T802" s="1229"/>
      <c r="U802" s="1065"/>
      <c r="V802" s="1065"/>
      <c r="W802" s="1065"/>
      <c r="X802" s="1065"/>
      <c r="Y802" s="1065"/>
      <c r="Z802" s="1065"/>
      <c r="AA802" s="1065"/>
      <c r="AB802" s="1065"/>
      <c r="AC802" s="1065"/>
      <c r="AD802" s="1065"/>
      <c r="AE802" s="1065"/>
      <c r="AF802" s="1065"/>
      <c r="AG802" s="1065"/>
      <c r="AH802" s="1065"/>
      <c r="AI802" s="1065"/>
      <c r="AJ802" s="1065"/>
      <c r="AK802" s="1065"/>
      <c r="AL802" s="1065"/>
      <c r="AM802" s="1065"/>
      <c r="AN802" s="1065"/>
      <c r="AO802" s="1065"/>
      <c r="AP802" s="1065"/>
      <c r="AQ802" s="1065"/>
      <c r="AR802" s="1065"/>
      <c r="AS802" s="1065"/>
      <c r="AT802" s="1065"/>
      <c r="AU802" s="1065"/>
      <c r="AV802" s="1065"/>
      <c r="AW802" s="1065"/>
      <c r="AX802" s="1065"/>
      <c r="AY802" s="1065"/>
      <c r="AZ802" s="1065"/>
      <c r="BA802" s="1065"/>
      <c r="BB802" s="1065"/>
      <c r="BC802" s="1065"/>
      <c r="BD802" s="1065"/>
      <c r="BE802" s="1065"/>
      <c r="BF802" s="1065"/>
      <c r="BG802" s="1065"/>
      <c r="BH802" s="1065"/>
      <c r="BI802" s="1065"/>
      <c r="BJ802" s="1065"/>
      <c r="BK802" s="1065"/>
      <c r="BL802" s="1065"/>
      <c r="BM802" s="1065"/>
      <c r="BN802" s="1065"/>
      <c r="BO802" s="1065"/>
      <c r="BP802" s="1065"/>
      <c r="BQ802" s="1065"/>
      <c r="BR802" s="1065"/>
      <c r="BS802" s="1065"/>
      <c r="BT802" s="1065"/>
      <c r="BU802" s="1065"/>
      <c r="BV802" s="1065"/>
      <c r="BW802" s="1065"/>
      <c r="BX802" s="1065"/>
      <c r="BY802" s="1065"/>
      <c r="BZ802" s="1065"/>
      <c r="CA802" s="1065"/>
      <c r="CB802" s="1065"/>
      <c r="CC802" s="1065"/>
      <c r="CD802" s="1065"/>
      <c r="CE802" s="1065"/>
      <c r="CF802" s="1065"/>
      <c r="CG802" s="1065"/>
      <c r="CH802" s="1065"/>
      <c r="CI802" s="1065"/>
      <c r="CJ802" s="1065"/>
      <c r="CK802" s="1065"/>
      <c r="CL802" s="1065"/>
      <c r="CM802" s="1065"/>
      <c r="CN802" s="1065"/>
      <c r="CO802" s="1065"/>
      <c r="CP802" s="1065"/>
      <c r="CQ802" s="1065"/>
      <c r="CR802" s="1065"/>
      <c r="CS802" s="1065"/>
      <c r="CT802" s="1065"/>
      <c r="CU802" s="1065"/>
      <c r="CV802" s="1065"/>
      <c r="CW802" s="1065"/>
      <c r="CX802" s="1065"/>
      <c r="CY802" s="1065"/>
      <c r="CZ802" s="1065"/>
      <c r="DA802" s="1065"/>
      <c r="DB802" s="1065"/>
    </row>
    <row r="803" spans="1:106" ht="15" customHeight="1">
      <c r="A803" s="1065"/>
      <c r="B803" s="1065"/>
      <c r="C803" s="1065"/>
      <c r="D803" s="1065"/>
      <c r="E803" s="1065"/>
      <c r="F803" s="1065"/>
      <c r="G803" s="1065"/>
      <c r="H803" s="1223"/>
      <c r="I803" s="1223"/>
      <c r="J803" s="1224"/>
      <c r="K803" s="1224"/>
      <c r="L803" s="1224"/>
      <c r="M803" s="1225"/>
      <c r="N803" s="1225"/>
      <c r="O803" s="1226"/>
      <c r="P803" s="1227"/>
      <c r="Q803" s="1227"/>
      <c r="R803" s="1228"/>
      <c r="S803" s="1224"/>
      <c r="T803" s="1229"/>
      <c r="U803" s="1065"/>
      <c r="V803" s="1065"/>
      <c r="W803" s="1065"/>
      <c r="X803" s="1065"/>
      <c r="Y803" s="1065"/>
      <c r="Z803" s="1065"/>
      <c r="AA803" s="1065"/>
      <c r="AB803" s="1065"/>
      <c r="AC803" s="1065"/>
      <c r="AD803" s="1065"/>
      <c r="AE803" s="1065"/>
      <c r="AF803" s="1065"/>
      <c r="AG803" s="1065"/>
      <c r="AH803" s="1065"/>
      <c r="AI803" s="1065"/>
      <c r="AJ803" s="1065"/>
      <c r="AK803" s="1065"/>
      <c r="AL803" s="1065"/>
      <c r="AM803" s="1065"/>
      <c r="AN803" s="1065"/>
      <c r="AO803" s="1065"/>
      <c r="AP803" s="1065"/>
      <c r="AQ803" s="1065"/>
      <c r="AR803" s="1065"/>
      <c r="AS803" s="1065"/>
      <c r="AT803" s="1065"/>
      <c r="AU803" s="1065"/>
      <c r="AV803" s="1065"/>
      <c r="AW803" s="1065"/>
      <c r="AX803" s="1065"/>
      <c r="AY803" s="1065"/>
      <c r="AZ803" s="1065"/>
      <c r="BA803" s="1065"/>
      <c r="BB803" s="1065"/>
      <c r="BC803" s="1065"/>
      <c r="BD803" s="1065"/>
      <c r="BE803" s="1065"/>
      <c r="BF803" s="1065"/>
      <c r="BG803" s="1065"/>
      <c r="BH803" s="1065"/>
      <c r="BI803" s="1065"/>
      <c r="BJ803" s="1065"/>
      <c r="BK803" s="1065"/>
      <c r="BL803" s="1065"/>
      <c r="BM803" s="1065"/>
      <c r="BN803" s="1065"/>
      <c r="BO803" s="1065"/>
      <c r="BP803" s="1065"/>
      <c r="BQ803" s="1065"/>
      <c r="BR803" s="1065"/>
      <c r="BS803" s="1065"/>
      <c r="BT803" s="1065"/>
      <c r="BU803" s="1065"/>
      <c r="BV803" s="1065"/>
      <c r="BW803" s="1065"/>
      <c r="BX803" s="1065"/>
      <c r="BY803" s="1065"/>
      <c r="BZ803" s="1065"/>
      <c r="CA803" s="1065"/>
      <c r="CB803" s="1065"/>
      <c r="CC803" s="1065"/>
      <c r="CD803" s="1065"/>
      <c r="CE803" s="1065"/>
      <c r="CF803" s="1065"/>
      <c r="CG803" s="1065"/>
      <c r="CH803" s="1065"/>
      <c r="CI803" s="1065"/>
      <c r="CJ803" s="1065"/>
      <c r="CK803" s="1065"/>
      <c r="CL803" s="1065"/>
      <c r="CM803" s="1065"/>
      <c r="CN803" s="1065"/>
      <c r="CO803" s="1065"/>
      <c r="CP803" s="1065"/>
      <c r="CQ803" s="1065"/>
      <c r="CR803" s="1065"/>
      <c r="CS803" s="1065"/>
      <c r="CT803" s="1065"/>
      <c r="CU803" s="1065"/>
      <c r="CV803" s="1065"/>
      <c r="CW803" s="1065"/>
      <c r="CX803" s="1065"/>
      <c r="CY803" s="1065"/>
      <c r="CZ803" s="1065"/>
      <c r="DA803" s="1065"/>
      <c r="DB803" s="1065"/>
    </row>
    <row r="804" spans="1:106" ht="15" customHeight="1">
      <c r="A804" s="1065"/>
      <c r="B804" s="1065"/>
      <c r="C804" s="1065"/>
      <c r="D804" s="1065"/>
      <c r="E804" s="1065"/>
      <c r="F804" s="1065"/>
      <c r="G804" s="1065"/>
      <c r="H804" s="1223"/>
      <c r="I804" s="1223"/>
      <c r="J804" s="1224"/>
      <c r="K804" s="1224"/>
      <c r="L804" s="1224"/>
      <c r="M804" s="1225"/>
      <c r="N804" s="1225"/>
      <c r="O804" s="1226"/>
      <c r="P804" s="1227"/>
      <c r="Q804" s="1227"/>
      <c r="R804" s="1228"/>
      <c r="S804" s="1224"/>
      <c r="T804" s="1229"/>
      <c r="U804" s="1065"/>
      <c r="V804" s="1065"/>
      <c r="W804" s="1065"/>
      <c r="X804" s="1065"/>
      <c r="Y804" s="1065"/>
      <c r="Z804" s="1065"/>
      <c r="AA804" s="1065"/>
      <c r="AB804" s="1065"/>
      <c r="AC804" s="1065"/>
      <c r="AD804" s="1065"/>
      <c r="AE804" s="1065"/>
      <c r="AF804" s="1065"/>
      <c r="AG804" s="1065"/>
      <c r="AH804" s="1065"/>
      <c r="AI804" s="1065"/>
      <c r="AJ804" s="1065"/>
      <c r="AK804" s="1065"/>
      <c r="AL804" s="1065"/>
      <c r="AM804" s="1065"/>
      <c r="AN804" s="1065"/>
      <c r="AO804" s="1065"/>
      <c r="AP804" s="1065"/>
      <c r="AQ804" s="1065"/>
      <c r="AR804" s="1065"/>
      <c r="AS804" s="1065"/>
      <c r="AT804" s="1065"/>
      <c r="AU804" s="1065"/>
      <c r="AV804" s="1065"/>
      <c r="AW804" s="1065"/>
      <c r="AX804" s="1065"/>
      <c r="AY804" s="1065"/>
      <c r="AZ804" s="1065"/>
      <c r="BA804" s="1065"/>
      <c r="BB804" s="1065"/>
      <c r="BC804" s="1065"/>
      <c r="BD804" s="1065"/>
      <c r="BE804" s="1065"/>
      <c r="BF804" s="1065"/>
      <c r="BG804" s="1065"/>
      <c r="BH804" s="1065"/>
      <c r="BI804" s="1065"/>
      <c r="BJ804" s="1065"/>
      <c r="BK804" s="1065"/>
      <c r="BL804" s="1065"/>
      <c r="BM804" s="1065"/>
      <c r="BN804" s="1065"/>
      <c r="BO804" s="1065"/>
      <c r="BP804" s="1065"/>
      <c r="BQ804" s="1065"/>
      <c r="BR804" s="1065"/>
      <c r="BS804" s="1065"/>
      <c r="BT804" s="1065"/>
      <c r="BU804" s="1065"/>
      <c r="BV804" s="1065"/>
      <c r="BW804" s="1065"/>
      <c r="BX804" s="1065"/>
      <c r="BY804" s="1065"/>
      <c r="BZ804" s="1065"/>
      <c r="CA804" s="1065"/>
      <c r="CB804" s="1065"/>
      <c r="CC804" s="1065"/>
      <c r="CD804" s="1065"/>
      <c r="CE804" s="1065"/>
      <c r="CF804" s="1065"/>
      <c r="CG804" s="1065"/>
      <c r="CH804" s="1065"/>
      <c r="CI804" s="1065"/>
      <c r="CJ804" s="1065"/>
      <c r="CK804" s="1065"/>
      <c r="CL804" s="1065"/>
      <c r="CM804" s="1065"/>
      <c r="CN804" s="1065"/>
      <c r="CO804" s="1065"/>
      <c r="CP804" s="1065"/>
      <c r="CQ804" s="1065"/>
      <c r="CR804" s="1065"/>
      <c r="CS804" s="1065"/>
      <c r="CT804" s="1065"/>
      <c r="CU804" s="1065"/>
      <c r="CV804" s="1065"/>
      <c r="CW804" s="1065"/>
      <c r="CX804" s="1065"/>
      <c r="CY804" s="1065"/>
      <c r="CZ804" s="1065"/>
      <c r="DA804" s="1065"/>
      <c r="DB804" s="1065"/>
    </row>
    <row r="805" spans="1:106" ht="15" customHeight="1">
      <c r="A805" s="1065"/>
      <c r="B805" s="1065"/>
      <c r="C805" s="1065"/>
      <c r="D805" s="1065"/>
      <c r="E805" s="1065"/>
      <c r="F805" s="1065"/>
      <c r="G805" s="1065"/>
      <c r="H805" s="1223"/>
      <c r="I805" s="1223"/>
      <c r="J805" s="1224"/>
      <c r="K805" s="1224"/>
      <c r="L805" s="1224"/>
      <c r="M805" s="1225"/>
      <c r="N805" s="1225"/>
      <c r="O805" s="1226"/>
      <c r="P805" s="1227"/>
      <c r="Q805" s="1227"/>
      <c r="R805" s="1228"/>
      <c r="S805" s="1224"/>
      <c r="T805" s="1229"/>
      <c r="U805" s="1065"/>
      <c r="V805" s="1065"/>
      <c r="W805" s="1065"/>
      <c r="X805" s="1065"/>
      <c r="Y805" s="1065"/>
      <c r="Z805" s="1065"/>
      <c r="AA805" s="1065"/>
      <c r="AB805" s="1065"/>
      <c r="AC805" s="1065"/>
      <c r="AD805" s="1065"/>
      <c r="AE805" s="1065"/>
      <c r="AF805" s="1065"/>
      <c r="AG805" s="1065"/>
      <c r="AH805" s="1065"/>
      <c r="AI805" s="1065"/>
      <c r="AJ805" s="1065"/>
      <c r="AK805" s="1065"/>
      <c r="AL805" s="1065"/>
      <c r="AM805" s="1065"/>
      <c r="AN805" s="1065"/>
      <c r="AO805" s="1065"/>
      <c r="AP805" s="1065"/>
      <c r="AQ805" s="1065"/>
      <c r="AR805" s="1065"/>
      <c r="AS805" s="1065"/>
      <c r="AT805" s="1065"/>
      <c r="AU805" s="1065"/>
      <c r="AV805" s="1065"/>
      <c r="AW805" s="1065"/>
      <c r="AX805" s="1065"/>
      <c r="AY805" s="1065"/>
      <c r="AZ805" s="1065"/>
      <c r="BA805" s="1065"/>
      <c r="BB805" s="1065"/>
      <c r="BC805" s="1065"/>
      <c r="BD805" s="1065"/>
      <c r="BE805" s="1065"/>
      <c r="BF805" s="1065"/>
      <c r="BG805" s="1065"/>
      <c r="BH805" s="1065"/>
      <c r="BI805" s="1065"/>
      <c r="BJ805" s="1065"/>
      <c r="BK805" s="1065"/>
      <c r="BL805" s="1065"/>
      <c r="BM805" s="1065"/>
      <c r="BN805" s="1065"/>
      <c r="BO805" s="1065"/>
      <c r="BP805" s="1065"/>
      <c r="BQ805" s="1065"/>
      <c r="BR805" s="1065"/>
      <c r="BS805" s="1065"/>
      <c r="BT805" s="1065"/>
      <c r="BU805" s="1065"/>
      <c r="BV805" s="1065"/>
      <c r="BW805" s="1065"/>
      <c r="BX805" s="1065"/>
      <c r="BY805" s="1065"/>
      <c r="BZ805" s="1065"/>
      <c r="CA805" s="1065"/>
      <c r="CB805" s="1065"/>
      <c r="CC805" s="1065"/>
      <c r="CD805" s="1065"/>
      <c r="CE805" s="1065"/>
      <c r="CF805" s="1065"/>
      <c r="CG805" s="1065"/>
      <c r="CH805" s="1065"/>
      <c r="CI805" s="1065"/>
      <c r="CJ805" s="1065"/>
      <c r="CK805" s="1065"/>
      <c r="CL805" s="1065"/>
      <c r="CM805" s="1065"/>
      <c r="CN805" s="1065"/>
      <c r="CO805" s="1065"/>
      <c r="CP805" s="1065"/>
      <c r="CQ805" s="1065"/>
      <c r="CR805" s="1065"/>
      <c r="CS805" s="1065"/>
      <c r="CT805" s="1065"/>
      <c r="CU805" s="1065"/>
      <c r="CV805" s="1065"/>
      <c r="CW805" s="1065"/>
      <c r="CX805" s="1065"/>
      <c r="CY805" s="1065"/>
      <c r="CZ805" s="1065"/>
      <c r="DA805" s="1065"/>
      <c r="DB805" s="1065"/>
    </row>
    <row r="806" spans="1:106" ht="15" customHeight="1">
      <c r="A806" s="1065"/>
      <c r="B806" s="1065"/>
      <c r="C806" s="1065"/>
      <c r="D806" s="1065"/>
      <c r="E806" s="1065"/>
      <c r="F806" s="1065"/>
      <c r="G806" s="1065"/>
      <c r="H806" s="1223"/>
      <c r="I806" s="1223"/>
      <c r="J806" s="1224"/>
      <c r="K806" s="1224"/>
      <c r="L806" s="1224"/>
      <c r="M806" s="1225"/>
      <c r="N806" s="1225"/>
      <c r="O806" s="1226"/>
      <c r="P806" s="1227"/>
      <c r="Q806" s="1227"/>
      <c r="R806" s="1228"/>
      <c r="S806" s="1224"/>
      <c r="T806" s="1229"/>
      <c r="U806" s="1065"/>
      <c r="V806" s="1065"/>
      <c r="W806" s="1065"/>
      <c r="X806" s="1065"/>
      <c r="Y806" s="1065"/>
      <c r="Z806" s="1065"/>
      <c r="AA806" s="1065"/>
      <c r="AB806" s="1065"/>
      <c r="AC806" s="1065"/>
      <c r="AD806" s="1065"/>
      <c r="AE806" s="1065"/>
      <c r="AF806" s="1065"/>
      <c r="AG806" s="1065"/>
      <c r="AH806" s="1065"/>
      <c r="AI806" s="1065"/>
      <c r="AJ806" s="1065"/>
      <c r="AK806" s="1065"/>
      <c r="AL806" s="1065"/>
      <c r="AM806" s="1065"/>
      <c r="AN806" s="1065"/>
      <c r="AO806" s="1065"/>
      <c r="AP806" s="1065"/>
      <c r="AQ806" s="1065"/>
      <c r="AR806" s="1065"/>
      <c r="AS806" s="1065"/>
      <c r="AT806" s="1065"/>
      <c r="AU806" s="1065"/>
      <c r="AV806" s="1065"/>
      <c r="AW806" s="1065"/>
      <c r="AX806" s="1065"/>
      <c r="AY806" s="1065"/>
      <c r="AZ806" s="1065"/>
      <c r="BA806" s="1065"/>
      <c r="BB806" s="1065"/>
      <c r="BC806" s="1065"/>
      <c r="BD806" s="1065"/>
      <c r="BE806" s="1065"/>
      <c r="BF806" s="1065"/>
      <c r="BG806" s="1065"/>
      <c r="BH806" s="1065"/>
      <c r="BI806" s="1065"/>
      <c r="BJ806" s="1065"/>
      <c r="BK806" s="1065"/>
      <c r="BL806" s="1065"/>
      <c r="BM806" s="1065"/>
      <c r="BN806" s="1065"/>
      <c r="BO806" s="1065"/>
      <c r="BP806" s="1065"/>
      <c r="BQ806" s="1065"/>
      <c r="BR806" s="1065"/>
      <c r="BS806" s="1065"/>
      <c r="BT806" s="1065"/>
      <c r="BU806" s="1065"/>
      <c r="BV806" s="1065"/>
      <c r="BW806" s="1065"/>
      <c r="BX806" s="1065"/>
      <c r="BY806" s="1065"/>
      <c r="BZ806" s="1065"/>
      <c r="CA806" s="1065"/>
      <c r="CB806" s="1065"/>
      <c r="CC806" s="1065"/>
      <c r="CD806" s="1065"/>
      <c r="CE806" s="1065"/>
      <c r="CF806" s="1065"/>
      <c r="CG806" s="1065"/>
      <c r="CH806" s="1065"/>
      <c r="CI806" s="1065"/>
      <c r="CJ806" s="1065"/>
      <c r="CK806" s="1065"/>
      <c r="CL806" s="1065"/>
      <c r="CM806" s="1065"/>
      <c r="CN806" s="1065"/>
      <c r="CO806" s="1065"/>
      <c r="CP806" s="1065"/>
      <c r="CQ806" s="1065"/>
      <c r="CR806" s="1065"/>
      <c r="CS806" s="1065"/>
      <c r="CT806" s="1065"/>
      <c r="CU806" s="1065"/>
      <c r="CV806" s="1065"/>
      <c r="CW806" s="1065"/>
      <c r="CX806" s="1065"/>
      <c r="CY806" s="1065"/>
      <c r="CZ806" s="1065"/>
      <c r="DA806" s="1065"/>
      <c r="DB806" s="1065"/>
    </row>
    <row r="807" spans="1:106" ht="15" customHeight="1">
      <c r="A807" s="1065"/>
      <c r="B807" s="1065"/>
      <c r="C807" s="1065"/>
      <c r="D807" s="1065"/>
      <c r="E807" s="1065"/>
      <c r="F807" s="1065"/>
      <c r="G807" s="1065"/>
      <c r="H807" s="1223"/>
      <c r="I807" s="1223"/>
      <c r="J807" s="1224"/>
      <c r="K807" s="1224"/>
      <c r="L807" s="1224"/>
      <c r="M807" s="1225"/>
      <c r="N807" s="1225"/>
      <c r="O807" s="1226"/>
      <c r="P807" s="1227"/>
      <c r="Q807" s="1227"/>
      <c r="R807" s="1228"/>
      <c r="S807" s="1224"/>
      <c r="T807" s="1229"/>
      <c r="U807" s="1065"/>
      <c r="V807" s="1065"/>
      <c r="W807" s="1065"/>
      <c r="X807" s="1065"/>
      <c r="Y807" s="1065"/>
      <c r="Z807" s="1065"/>
      <c r="AA807" s="1065"/>
      <c r="AB807" s="1065"/>
      <c r="AC807" s="1065"/>
      <c r="AD807" s="1065"/>
      <c r="AE807" s="1065"/>
      <c r="AF807" s="1065"/>
      <c r="AG807" s="1065"/>
      <c r="AH807" s="1065"/>
      <c r="AI807" s="1065"/>
      <c r="AJ807" s="1065"/>
      <c r="AK807" s="1065"/>
      <c r="AL807" s="1065"/>
      <c r="AM807" s="1065"/>
      <c r="AN807" s="1065"/>
      <c r="AO807" s="1065"/>
      <c r="AP807" s="1065"/>
      <c r="AQ807" s="1065"/>
      <c r="AR807" s="1065"/>
      <c r="AS807" s="1065"/>
      <c r="AT807" s="1065"/>
      <c r="AU807" s="1065"/>
      <c r="AV807" s="1065"/>
      <c r="AW807" s="1065"/>
      <c r="AX807" s="1065"/>
      <c r="AY807" s="1065"/>
      <c r="AZ807" s="1065"/>
      <c r="BA807" s="1065"/>
      <c r="BB807" s="1065"/>
      <c r="BC807" s="1065"/>
      <c r="BD807" s="1065"/>
      <c r="BE807" s="1065"/>
      <c r="BF807" s="1065"/>
      <c r="BG807" s="1065"/>
      <c r="BH807" s="1065"/>
      <c r="BI807" s="1065"/>
      <c r="BJ807" s="1065"/>
      <c r="BK807" s="1065"/>
      <c r="BL807" s="1065"/>
      <c r="BM807" s="1065"/>
      <c r="BN807" s="1065"/>
      <c r="BO807" s="1065"/>
      <c r="BP807" s="1065"/>
      <c r="BQ807" s="1065"/>
      <c r="BR807" s="1065"/>
      <c r="BS807" s="1065"/>
      <c r="BT807" s="1065"/>
      <c r="BU807" s="1065"/>
      <c r="BV807" s="1065"/>
      <c r="BW807" s="1065"/>
      <c r="BX807" s="1065"/>
      <c r="BY807" s="1065"/>
      <c r="BZ807" s="1065"/>
      <c r="CA807" s="1065"/>
      <c r="CB807" s="1065"/>
      <c r="CC807" s="1065"/>
      <c r="CD807" s="1065"/>
      <c r="CE807" s="1065"/>
      <c r="CF807" s="1065"/>
      <c r="CG807" s="1065"/>
      <c r="CH807" s="1065"/>
      <c r="CI807" s="1065"/>
      <c r="CJ807" s="1065"/>
      <c r="CK807" s="1065"/>
      <c r="CL807" s="1065"/>
      <c r="CM807" s="1065"/>
      <c r="CN807" s="1065"/>
      <c r="CO807" s="1065"/>
      <c r="CP807" s="1065"/>
      <c r="CQ807" s="1065"/>
      <c r="CR807" s="1065"/>
      <c r="CS807" s="1065"/>
      <c r="CT807" s="1065"/>
      <c r="CU807" s="1065"/>
      <c r="CV807" s="1065"/>
      <c r="CW807" s="1065"/>
      <c r="CX807" s="1065"/>
      <c r="CY807" s="1065"/>
      <c r="CZ807" s="1065"/>
      <c r="DA807" s="1065"/>
      <c r="DB807" s="1065"/>
    </row>
    <row r="808" spans="1:106" ht="15" customHeight="1">
      <c r="A808" s="1065"/>
      <c r="B808" s="1065"/>
      <c r="C808" s="1065"/>
      <c r="D808" s="1065"/>
      <c r="E808" s="1065"/>
      <c r="F808" s="1065"/>
      <c r="G808" s="1065"/>
      <c r="H808" s="1223"/>
      <c r="I808" s="1223"/>
      <c r="J808" s="1224"/>
      <c r="K808" s="1224"/>
      <c r="L808" s="1224"/>
      <c r="M808" s="1225"/>
      <c r="N808" s="1225"/>
      <c r="O808" s="1226"/>
      <c r="P808" s="1227"/>
      <c r="Q808" s="1227"/>
      <c r="R808" s="1228"/>
      <c r="S808" s="1224"/>
      <c r="T808" s="1229"/>
      <c r="U808" s="1065"/>
      <c r="V808" s="1065"/>
      <c r="W808" s="1065"/>
      <c r="X808" s="1065"/>
      <c r="Y808" s="1065"/>
      <c r="Z808" s="1065"/>
      <c r="AA808" s="1065"/>
      <c r="AB808" s="1065"/>
      <c r="AC808" s="1065"/>
      <c r="AD808" s="1065"/>
      <c r="AE808" s="1065"/>
      <c r="AF808" s="1065"/>
      <c r="AG808" s="1065"/>
      <c r="AH808" s="1065"/>
      <c r="AI808" s="1065"/>
      <c r="AJ808" s="1065"/>
      <c r="AK808" s="1065"/>
      <c r="AL808" s="1065"/>
      <c r="AM808" s="1065"/>
      <c r="AN808" s="1065"/>
      <c r="AO808" s="1065"/>
      <c r="AP808" s="1065"/>
      <c r="AQ808" s="1065"/>
      <c r="AR808" s="1065"/>
      <c r="AS808" s="1065"/>
      <c r="AT808" s="1065"/>
      <c r="AU808" s="1065"/>
      <c r="AV808" s="1065"/>
      <c r="AW808" s="1065"/>
      <c r="AX808" s="1065"/>
      <c r="AY808" s="1065"/>
      <c r="AZ808" s="1065"/>
      <c r="BA808" s="1065"/>
      <c r="BB808" s="1065"/>
      <c r="BC808" s="1065"/>
      <c r="BD808" s="1065"/>
      <c r="BE808" s="1065"/>
      <c r="BF808" s="1065"/>
      <c r="BG808" s="1065"/>
      <c r="BH808" s="1065"/>
      <c r="BI808" s="1065"/>
      <c r="BJ808" s="1065"/>
      <c r="BK808" s="1065"/>
      <c r="BL808" s="1065"/>
      <c r="BM808" s="1065"/>
      <c r="BN808" s="1065"/>
      <c r="BO808" s="1065"/>
      <c r="BP808" s="1065"/>
      <c r="BQ808" s="1065"/>
      <c r="BR808" s="1065"/>
      <c r="BS808" s="1065"/>
      <c r="BT808" s="1065"/>
      <c r="BU808" s="1065"/>
      <c r="BV808" s="1065"/>
      <c r="BW808" s="1065"/>
      <c r="BX808" s="1065"/>
      <c r="BY808" s="1065"/>
      <c r="BZ808" s="1065"/>
      <c r="CA808" s="1065"/>
      <c r="CB808" s="1065"/>
      <c r="CC808" s="1065"/>
      <c r="CD808" s="1065"/>
      <c r="CE808" s="1065"/>
      <c r="CF808" s="1065"/>
      <c r="CG808" s="1065"/>
      <c r="CH808" s="1065"/>
      <c r="CI808" s="1065"/>
      <c r="CJ808" s="1065"/>
      <c r="CK808" s="1065"/>
      <c r="CL808" s="1065"/>
      <c r="CM808" s="1065"/>
      <c r="CN808" s="1065"/>
      <c r="CO808" s="1065"/>
      <c r="CP808" s="1065"/>
      <c r="CQ808" s="1065"/>
      <c r="CR808" s="1065"/>
      <c r="CS808" s="1065"/>
      <c r="CT808" s="1065"/>
      <c r="CU808" s="1065"/>
      <c r="CV808" s="1065"/>
      <c r="CW808" s="1065"/>
      <c r="CX808" s="1065"/>
      <c r="CY808" s="1065"/>
      <c r="CZ808" s="1065"/>
      <c r="DA808" s="1065"/>
      <c r="DB808" s="1065"/>
    </row>
    <row r="809" spans="1:106" ht="15" customHeight="1">
      <c r="A809" s="1065"/>
      <c r="B809" s="1065"/>
      <c r="C809" s="1065"/>
      <c r="D809" s="1065"/>
      <c r="E809" s="1065"/>
      <c r="F809" s="1065"/>
      <c r="G809" s="1065"/>
      <c r="H809" s="1223"/>
      <c r="I809" s="1223"/>
      <c r="J809" s="1224"/>
      <c r="K809" s="1224"/>
      <c r="L809" s="1224"/>
      <c r="M809" s="1225"/>
      <c r="N809" s="1225"/>
      <c r="O809" s="1226"/>
      <c r="P809" s="1227"/>
      <c r="Q809" s="1227"/>
      <c r="R809" s="1228"/>
      <c r="S809" s="1224"/>
      <c r="T809" s="1229"/>
      <c r="U809" s="1065"/>
      <c r="V809" s="1065"/>
      <c r="W809" s="1065"/>
      <c r="X809" s="1065"/>
      <c r="Y809" s="1065"/>
      <c r="Z809" s="1065"/>
      <c r="AA809" s="1065"/>
      <c r="AB809" s="1065"/>
      <c r="AC809" s="1065"/>
      <c r="AD809" s="1065"/>
      <c r="AE809" s="1065"/>
      <c r="AF809" s="1065"/>
      <c r="AG809" s="1065"/>
      <c r="AH809" s="1065"/>
      <c r="AI809" s="1065"/>
      <c r="AJ809" s="1065"/>
      <c r="AK809" s="1065"/>
      <c r="AL809" s="1065"/>
      <c r="AM809" s="1065"/>
      <c r="AN809" s="1065"/>
      <c r="AO809" s="1065"/>
      <c r="AP809" s="1065"/>
      <c r="AQ809" s="1065"/>
      <c r="AR809" s="1065"/>
      <c r="AS809" s="1065"/>
      <c r="AT809" s="1065"/>
      <c r="AU809" s="1065"/>
      <c r="AV809" s="1065"/>
      <c r="AW809" s="1065"/>
      <c r="AX809" s="1065"/>
      <c r="AY809" s="1065"/>
      <c r="AZ809" s="1065"/>
      <c r="BA809" s="1065"/>
      <c r="BB809" s="1065"/>
      <c r="BC809" s="1065"/>
      <c r="BD809" s="1065"/>
      <c r="BE809" s="1065"/>
      <c r="BF809" s="1065"/>
      <c r="BG809" s="1065"/>
      <c r="BH809" s="1065"/>
      <c r="BI809" s="1065"/>
      <c r="BJ809" s="1065"/>
      <c r="BK809" s="1065"/>
      <c r="BL809" s="1065"/>
      <c r="BM809" s="1065"/>
      <c r="BN809" s="1065"/>
      <c r="BO809" s="1065"/>
      <c r="BP809" s="1065"/>
      <c r="BQ809" s="1065"/>
      <c r="BR809" s="1065"/>
      <c r="BS809" s="1065"/>
      <c r="BT809" s="1065"/>
      <c r="BU809" s="1065"/>
      <c r="BV809" s="1065"/>
      <c r="BW809" s="1065"/>
      <c r="BX809" s="1065"/>
      <c r="BY809" s="1065"/>
      <c r="BZ809" s="1065"/>
      <c r="CA809" s="1065"/>
      <c r="CB809" s="1065"/>
      <c r="CC809" s="1065"/>
      <c r="CD809" s="1065"/>
      <c r="CE809" s="1065"/>
      <c r="CF809" s="1065"/>
      <c r="CG809" s="1065"/>
      <c r="CH809" s="1065"/>
      <c r="CI809" s="1065"/>
      <c r="CJ809" s="1065"/>
      <c r="CK809" s="1065"/>
      <c r="CL809" s="1065"/>
      <c r="CM809" s="1065"/>
      <c r="CN809" s="1065"/>
      <c r="CO809" s="1065"/>
      <c r="CP809" s="1065"/>
      <c r="CQ809" s="1065"/>
      <c r="CR809" s="1065"/>
      <c r="CS809" s="1065"/>
      <c r="CT809" s="1065"/>
      <c r="CU809" s="1065"/>
      <c r="CV809" s="1065"/>
      <c r="CW809" s="1065"/>
      <c r="CX809" s="1065"/>
      <c r="CY809" s="1065"/>
      <c r="CZ809" s="1065"/>
      <c r="DA809" s="1065"/>
      <c r="DB809" s="1065"/>
    </row>
    <row r="810" spans="1:106" ht="15" customHeight="1">
      <c r="A810" s="1065"/>
      <c r="B810" s="1065"/>
      <c r="C810" s="1065"/>
      <c r="D810" s="1065"/>
      <c r="E810" s="1065"/>
      <c r="F810" s="1065"/>
      <c r="G810" s="1065"/>
      <c r="H810" s="1223"/>
      <c r="I810" s="1223"/>
      <c r="J810" s="1224"/>
      <c r="K810" s="1224"/>
      <c r="L810" s="1224"/>
      <c r="M810" s="1225"/>
      <c r="N810" s="1225"/>
      <c r="O810" s="1226"/>
      <c r="P810" s="1227"/>
      <c r="Q810" s="1227"/>
      <c r="R810" s="1228"/>
      <c r="S810" s="1224"/>
      <c r="T810" s="1229"/>
      <c r="U810" s="1065"/>
      <c r="V810" s="1065"/>
      <c r="W810" s="1065"/>
      <c r="X810" s="1065"/>
      <c r="Y810" s="1065"/>
      <c r="Z810" s="1065"/>
      <c r="AA810" s="1065"/>
      <c r="AB810" s="1065"/>
      <c r="AC810" s="1065"/>
      <c r="AD810" s="1065"/>
      <c r="AE810" s="1065"/>
      <c r="AF810" s="1065"/>
      <c r="AG810" s="1065"/>
      <c r="AH810" s="1065"/>
      <c r="AI810" s="1065"/>
      <c r="AJ810" s="1065"/>
      <c r="AK810" s="1065"/>
      <c r="AL810" s="1065"/>
      <c r="AM810" s="1065"/>
      <c r="AN810" s="1065"/>
      <c r="AO810" s="1065"/>
      <c r="AP810" s="1065"/>
      <c r="AQ810" s="1065"/>
      <c r="AR810" s="1065"/>
      <c r="AS810" s="1065"/>
      <c r="AT810" s="1065"/>
      <c r="AU810" s="1065"/>
      <c r="AV810" s="1065"/>
      <c r="AW810" s="1065"/>
      <c r="AX810" s="1065"/>
      <c r="AY810" s="1065"/>
      <c r="AZ810" s="1065"/>
      <c r="BA810" s="1065"/>
      <c r="BB810" s="1065"/>
      <c r="BC810" s="1065"/>
      <c r="BD810" s="1065"/>
      <c r="BE810" s="1065"/>
      <c r="BF810" s="1065"/>
      <c r="BG810" s="1065"/>
      <c r="BH810" s="1065"/>
      <c r="BI810" s="1065"/>
      <c r="BJ810" s="1065"/>
      <c r="BK810" s="1065"/>
      <c r="BL810" s="1065"/>
      <c r="BM810" s="1065"/>
      <c r="BN810" s="1065"/>
      <c r="BO810" s="1065"/>
      <c r="BP810" s="1065"/>
      <c r="BQ810" s="1065"/>
      <c r="BR810" s="1065"/>
      <c r="BS810" s="1065"/>
      <c r="BT810" s="1065"/>
      <c r="BU810" s="1065"/>
      <c r="BV810" s="1065"/>
      <c r="BW810" s="1065"/>
      <c r="BX810" s="1065"/>
      <c r="BY810" s="1065"/>
      <c r="BZ810" s="1065"/>
      <c r="CA810" s="1065"/>
      <c r="CB810" s="1065"/>
      <c r="CC810" s="1065"/>
      <c r="CD810" s="1065"/>
      <c r="CE810" s="1065"/>
      <c r="CF810" s="1065"/>
      <c r="CG810" s="1065"/>
      <c r="CH810" s="1065"/>
      <c r="CI810" s="1065"/>
      <c r="CJ810" s="1065"/>
      <c r="CK810" s="1065"/>
      <c r="CL810" s="1065"/>
      <c r="CM810" s="1065"/>
      <c r="CN810" s="1065"/>
      <c r="CO810" s="1065"/>
      <c r="CP810" s="1065"/>
      <c r="CQ810" s="1065"/>
      <c r="CR810" s="1065"/>
      <c r="CS810" s="1065"/>
      <c r="CT810" s="1065"/>
      <c r="CU810" s="1065"/>
      <c r="CV810" s="1065"/>
      <c r="CW810" s="1065"/>
      <c r="CX810" s="1065"/>
      <c r="CY810" s="1065"/>
      <c r="CZ810" s="1065"/>
      <c r="DA810" s="1065"/>
      <c r="DB810" s="1065"/>
    </row>
    <row r="811" spans="1:106" ht="15" customHeight="1">
      <c r="A811" s="1065"/>
      <c r="B811" s="1065"/>
      <c r="C811" s="1065"/>
      <c r="D811" s="1065"/>
      <c r="E811" s="1065"/>
      <c r="F811" s="1065"/>
      <c r="G811" s="1065"/>
      <c r="H811" s="1223"/>
      <c r="I811" s="1223"/>
      <c r="J811" s="1224"/>
      <c r="K811" s="1224"/>
      <c r="L811" s="1224"/>
      <c r="M811" s="1225"/>
      <c r="N811" s="1225"/>
      <c r="O811" s="1226"/>
      <c r="P811" s="1227"/>
      <c r="Q811" s="1227"/>
      <c r="R811" s="1228"/>
      <c r="S811" s="1224"/>
      <c r="T811" s="1229"/>
      <c r="U811" s="1065"/>
      <c r="V811" s="1065"/>
      <c r="W811" s="1065"/>
      <c r="X811" s="1065"/>
      <c r="Y811" s="1065"/>
      <c r="Z811" s="1065"/>
      <c r="AA811" s="1065"/>
      <c r="AB811" s="1065"/>
      <c r="AC811" s="1065"/>
      <c r="AD811" s="1065"/>
      <c r="AE811" s="1065"/>
      <c r="AF811" s="1065"/>
      <c r="AG811" s="1065"/>
      <c r="AH811" s="1065"/>
      <c r="AI811" s="1065"/>
      <c r="AJ811" s="1065"/>
      <c r="AK811" s="1065"/>
      <c r="AL811" s="1065"/>
      <c r="AM811" s="1065"/>
      <c r="AN811" s="1065"/>
      <c r="AO811" s="1065"/>
      <c r="AP811" s="1065"/>
      <c r="AQ811" s="1065"/>
      <c r="AR811" s="1065"/>
      <c r="AS811" s="1065"/>
      <c r="AT811" s="1065"/>
      <c r="AU811" s="1065"/>
      <c r="AV811" s="1065"/>
      <c r="AW811" s="1065"/>
      <c r="AX811" s="1065"/>
      <c r="AY811" s="1065"/>
      <c r="AZ811" s="1065"/>
      <c r="BA811" s="1065"/>
      <c r="BB811" s="1065"/>
      <c r="BC811" s="1065"/>
      <c r="BD811" s="1065"/>
      <c r="BE811" s="1065"/>
      <c r="BF811" s="1065"/>
      <c r="BG811" s="1065"/>
      <c r="BH811" s="1065"/>
      <c r="BI811" s="1065"/>
      <c r="BJ811" s="1065"/>
      <c r="BK811" s="1065"/>
      <c r="BL811" s="1065"/>
      <c r="BM811" s="1065"/>
      <c r="BN811" s="1065"/>
      <c r="BO811" s="1065"/>
      <c r="BP811" s="1065"/>
      <c r="BQ811" s="1065"/>
      <c r="BR811" s="1065"/>
      <c r="BS811" s="1065"/>
      <c r="BT811" s="1065"/>
      <c r="BU811" s="1065"/>
      <c r="BV811" s="1065"/>
      <c r="BW811" s="1065"/>
      <c r="BX811" s="1065"/>
      <c r="BY811" s="1065"/>
      <c r="BZ811" s="1065"/>
      <c r="CA811" s="1065"/>
      <c r="CB811" s="1065"/>
      <c r="CC811" s="1065"/>
      <c r="CD811" s="1065"/>
      <c r="CE811" s="1065"/>
      <c r="CF811" s="1065"/>
      <c r="CG811" s="1065"/>
      <c r="CH811" s="1065"/>
      <c r="CI811" s="1065"/>
      <c r="CJ811" s="1065"/>
      <c r="CK811" s="1065"/>
      <c r="CL811" s="1065"/>
      <c r="CM811" s="1065"/>
      <c r="CN811" s="1065"/>
      <c r="CO811" s="1065"/>
      <c r="CP811" s="1065"/>
      <c r="CQ811" s="1065"/>
      <c r="CR811" s="1065"/>
      <c r="CS811" s="1065"/>
      <c r="CT811" s="1065"/>
      <c r="CU811" s="1065"/>
      <c r="CV811" s="1065"/>
      <c r="CW811" s="1065"/>
      <c r="CX811" s="1065"/>
      <c r="CY811" s="1065"/>
      <c r="CZ811" s="1065"/>
      <c r="DA811" s="1065"/>
      <c r="DB811" s="1065"/>
    </row>
    <row r="812" spans="1:106" ht="15" customHeight="1">
      <c r="A812" s="1065"/>
      <c r="B812" s="1065"/>
      <c r="C812" s="1065"/>
      <c r="D812" s="1065"/>
      <c r="E812" s="1065"/>
      <c r="F812" s="1065"/>
      <c r="G812" s="1065"/>
      <c r="H812" s="1223"/>
      <c r="I812" s="1223"/>
      <c r="J812" s="1224"/>
      <c r="K812" s="1224"/>
      <c r="L812" s="1224"/>
      <c r="M812" s="1225"/>
      <c r="N812" s="1225"/>
      <c r="O812" s="1226"/>
      <c r="P812" s="1227"/>
      <c r="Q812" s="1227"/>
      <c r="R812" s="1228"/>
      <c r="S812" s="1224"/>
      <c r="T812" s="1229"/>
      <c r="U812" s="1065"/>
      <c r="V812" s="1065"/>
      <c r="W812" s="1065"/>
      <c r="X812" s="1065"/>
      <c r="Y812" s="1065"/>
      <c r="Z812" s="1065"/>
      <c r="AA812" s="1065"/>
      <c r="AB812" s="1065"/>
      <c r="AC812" s="1065"/>
      <c r="AD812" s="1065"/>
      <c r="AE812" s="1065"/>
      <c r="AF812" s="1065"/>
      <c r="AG812" s="1065"/>
      <c r="AH812" s="1065"/>
      <c r="AI812" s="1065"/>
      <c r="AJ812" s="1065"/>
      <c r="AK812" s="1065"/>
      <c r="AL812" s="1065"/>
      <c r="AM812" s="1065"/>
      <c r="AN812" s="1065"/>
      <c r="AO812" s="1065"/>
      <c r="AP812" s="1065"/>
      <c r="AQ812" s="1065"/>
      <c r="AR812" s="1065"/>
      <c r="AS812" s="1065"/>
      <c r="AT812" s="1065"/>
      <c r="AU812" s="1065"/>
      <c r="AV812" s="1065"/>
      <c r="AW812" s="1065"/>
      <c r="AX812" s="1065"/>
      <c r="AY812" s="1065"/>
      <c r="AZ812" s="1065"/>
      <c r="BA812" s="1065"/>
      <c r="BB812" s="1065"/>
      <c r="BC812" s="1065"/>
      <c r="BD812" s="1065"/>
      <c r="BE812" s="1065"/>
      <c r="BF812" s="1065"/>
      <c r="BG812" s="1065"/>
      <c r="BH812" s="1065"/>
      <c r="BI812" s="1065"/>
      <c r="BJ812" s="1065"/>
      <c r="BK812" s="1065"/>
      <c r="BL812" s="1065"/>
      <c r="BM812" s="1065"/>
      <c r="BN812" s="1065"/>
      <c r="BO812" s="1065"/>
      <c r="BP812" s="1065"/>
      <c r="BQ812" s="1065"/>
      <c r="BR812" s="1065"/>
      <c r="BS812" s="1065"/>
      <c r="BT812" s="1065"/>
      <c r="BU812" s="1065"/>
      <c r="BV812" s="1065"/>
      <c r="BW812" s="1065"/>
      <c r="BX812" s="1065"/>
      <c r="BY812" s="1065"/>
      <c r="BZ812" s="1065"/>
      <c r="CA812" s="1065"/>
      <c r="CB812" s="1065"/>
      <c r="CC812" s="1065"/>
      <c r="CD812" s="1065"/>
      <c r="CE812" s="1065"/>
      <c r="CF812" s="1065"/>
      <c r="CG812" s="1065"/>
      <c r="CH812" s="1065"/>
      <c r="CI812" s="1065"/>
      <c r="CJ812" s="1065"/>
      <c r="CK812" s="1065"/>
      <c r="CL812" s="1065"/>
      <c r="CM812" s="1065"/>
      <c r="CN812" s="1065"/>
      <c r="CO812" s="1065"/>
      <c r="CP812" s="1065"/>
      <c r="CQ812" s="1065"/>
      <c r="CR812" s="1065"/>
      <c r="CS812" s="1065"/>
      <c r="CT812" s="1065"/>
      <c r="CU812" s="1065"/>
      <c r="CV812" s="1065"/>
      <c r="CW812" s="1065"/>
      <c r="CX812" s="1065"/>
      <c r="CY812" s="1065"/>
      <c r="CZ812" s="1065"/>
      <c r="DA812" s="1065"/>
      <c r="DB812" s="1065"/>
    </row>
    <row r="813" spans="1:106" ht="15" customHeight="1">
      <c r="A813" s="1065"/>
      <c r="B813" s="1065"/>
      <c r="C813" s="1065"/>
      <c r="D813" s="1065"/>
      <c r="E813" s="1065"/>
      <c r="F813" s="1065"/>
      <c r="G813" s="1065"/>
      <c r="H813" s="1223"/>
      <c r="I813" s="1223"/>
      <c r="J813" s="1224"/>
      <c r="K813" s="1224"/>
      <c r="L813" s="1224"/>
      <c r="M813" s="1225"/>
      <c r="N813" s="1225"/>
      <c r="O813" s="1226"/>
      <c r="P813" s="1227"/>
      <c r="Q813" s="1227"/>
      <c r="R813" s="1228"/>
      <c r="S813" s="1224"/>
      <c r="T813" s="1229"/>
      <c r="U813" s="1065"/>
      <c r="V813" s="1065"/>
      <c r="W813" s="1065"/>
      <c r="X813" s="1065"/>
      <c r="Y813" s="1065"/>
      <c r="Z813" s="1065"/>
      <c r="AA813" s="1065"/>
      <c r="AB813" s="1065"/>
      <c r="AC813" s="1065"/>
      <c r="AD813" s="1065"/>
      <c r="AE813" s="1065"/>
      <c r="AF813" s="1065"/>
      <c r="AG813" s="1065"/>
      <c r="AH813" s="1065"/>
      <c r="AI813" s="1065"/>
      <c r="AJ813" s="1065"/>
      <c r="AK813" s="1065"/>
      <c r="AL813" s="1065"/>
      <c r="AM813" s="1065"/>
      <c r="AN813" s="1065"/>
      <c r="AO813" s="1065"/>
      <c r="AP813" s="1065"/>
      <c r="AQ813" s="1065"/>
      <c r="AR813" s="1065"/>
      <c r="AS813" s="1065"/>
      <c r="AT813" s="1065"/>
      <c r="AU813" s="1065"/>
      <c r="AV813" s="1065"/>
      <c r="AW813" s="1065"/>
      <c r="AX813" s="1065"/>
      <c r="AY813" s="1065"/>
      <c r="AZ813" s="1065"/>
      <c r="BA813" s="1065"/>
      <c r="BB813" s="1065"/>
      <c r="BC813" s="1065"/>
      <c r="BD813" s="1065"/>
      <c r="BE813" s="1065"/>
      <c r="BF813" s="1065"/>
      <c r="BG813" s="1065"/>
      <c r="BH813" s="1065"/>
      <c r="BI813" s="1065"/>
      <c r="BJ813" s="1065"/>
      <c r="BK813" s="1065"/>
      <c r="BL813" s="1065"/>
      <c r="BM813" s="1065"/>
      <c r="BN813" s="1065"/>
      <c r="BO813" s="1065"/>
      <c r="BP813" s="1065"/>
      <c r="BQ813" s="1065"/>
      <c r="BR813" s="1065"/>
      <c r="BS813" s="1065"/>
      <c r="BT813" s="1065"/>
      <c r="BU813" s="1065"/>
      <c r="BV813" s="1065"/>
      <c r="BW813" s="1065"/>
      <c r="BX813" s="1065"/>
      <c r="BY813" s="1065"/>
      <c r="BZ813" s="1065"/>
      <c r="CA813" s="1065"/>
      <c r="CB813" s="1065"/>
      <c r="CC813" s="1065"/>
      <c r="CD813" s="1065"/>
      <c r="CE813" s="1065"/>
      <c r="CF813" s="1065"/>
      <c r="CG813" s="1065"/>
      <c r="CH813" s="1065"/>
      <c r="CI813" s="1065"/>
      <c r="CJ813" s="1065"/>
      <c r="CK813" s="1065"/>
      <c r="CL813" s="1065"/>
      <c r="CM813" s="1065"/>
      <c r="CN813" s="1065"/>
      <c r="CO813" s="1065"/>
      <c r="CP813" s="1065"/>
      <c r="CQ813" s="1065"/>
      <c r="CR813" s="1065"/>
      <c r="CS813" s="1065"/>
      <c r="CT813" s="1065"/>
      <c r="CU813" s="1065"/>
      <c r="CV813" s="1065"/>
      <c r="CW813" s="1065"/>
      <c r="CX813" s="1065"/>
      <c r="CY813" s="1065"/>
      <c r="CZ813" s="1065"/>
      <c r="DA813" s="1065"/>
      <c r="DB813" s="1065"/>
    </row>
    <row r="814" spans="1:106" ht="15" customHeight="1">
      <c r="A814" s="1065"/>
      <c r="B814" s="1065"/>
      <c r="C814" s="1065"/>
      <c r="D814" s="1065"/>
      <c r="E814" s="1065"/>
      <c r="F814" s="1065"/>
      <c r="G814" s="1065"/>
      <c r="H814" s="1223"/>
      <c r="I814" s="1223"/>
      <c r="J814" s="1224"/>
      <c r="K814" s="1224"/>
      <c r="L814" s="1224"/>
      <c r="M814" s="1225"/>
      <c r="N814" s="1225"/>
      <c r="O814" s="1226"/>
      <c r="P814" s="1227"/>
      <c r="Q814" s="1227"/>
      <c r="R814" s="1228"/>
      <c r="S814" s="1224"/>
      <c r="T814" s="1229"/>
      <c r="U814" s="1065"/>
      <c r="V814" s="1065"/>
      <c r="W814" s="1065"/>
      <c r="X814" s="1065"/>
      <c r="Y814" s="1065"/>
      <c r="Z814" s="1065"/>
      <c r="AA814" s="1065"/>
      <c r="AB814" s="1065"/>
      <c r="AC814" s="1065"/>
      <c r="AD814" s="1065"/>
      <c r="AE814" s="1065"/>
      <c r="AF814" s="1065"/>
      <c r="AG814" s="1065"/>
      <c r="AH814" s="1065"/>
      <c r="AI814" s="1065"/>
      <c r="AJ814" s="1065"/>
      <c r="AK814" s="1065"/>
      <c r="AL814" s="1065"/>
      <c r="AM814" s="1065"/>
      <c r="AN814" s="1065"/>
      <c r="AO814" s="1065"/>
      <c r="AP814" s="1065"/>
      <c r="AQ814" s="1065"/>
      <c r="AR814" s="1065"/>
      <c r="AS814" s="1065"/>
      <c r="AT814" s="1065"/>
      <c r="AU814" s="1065"/>
      <c r="AV814" s="1065"/>
      <c r="AW814" s="1065"/>
      <c r="AX814" s="1065"/>
      <c r="AY814" s="1065"/>
      <c r="AZ814" s="1065"/>
      <c r="BA814" s="1065"/>
      <c r="BB814" s="1065"/>
      <c r="BC814" s="1065"/>
      <c r="BD814" s="1065"/>
      <c r="BE814" s="1065"/>
      <c r="BF814" s="1065"/>
      <c r="BG814" s="1065"/>
      <c r="BH814" s="1065"/>
      <c r="BI814" s="1065"/>
      <c r="BJ814" s="1065"/>
      <c r="BK814" s="1065"/>
      <c r="BL814" s="1065"/>
      <c r="BM814" s="1065"/>
      <c r="BN814" s="1065"/>
      <c r="BO814" s="1065"/>
      <c r="BP814" s="1065"/>
      <c r="BQ814" s="1065"/>
      <c r="BR814" s="1065"/>
      <c r="BS814" s="1065"/>
      <c r="BT814" s="1065"/>
      <c r="BU814" s="1065"/>
      <c r="BV814" s="1065"/>
      <c r="BW814" s="1065"/>
      <c r="BX814" s="1065"/>
      <c r="BY814" s="1065"/>
      <c r="BZ814" s="1065"/>
      <c r="CA814" s="1065"/>
      <c r="CB814" s="1065"/>
      <c r="CC814" s="1065"/>
      <c r="CD814" s="1065"/>
      <c r="CE814" s="1065"/>
      <c r="CF814" s="1065"/>
      <c r="CG814" s="1065"/>
      <c r="CH814" s="1065"/>
      <c r="CI814" s="1065"/>
      <c r="CJ814" s="1065"/>
      <c r="CK814" s="1065"/>
      <c r="CL814" s="1065"/>
      <c r="CM814" s="1065"/>
      <c r="CN814" s="1065"/>
      <c r="CO814" s="1065"/>
      <c r="CP814" s="1065"/>
      <c r="CQ814" s="1065"/>
      <c r="CR814" s="1065"/>
      <c r="CS814" s="1065"/>
      <c r="CT814" s="1065"/>
      <c r="CU814" s="1065"/>
      <c r="CV814" s="1065"/>
      <c r="CW814" s="1065"/>
      <c r="CX814" s="1065"/>
      <c r="CY814" s="1065"/>
      <c r="CZ814" s="1065"/>
      <c r="DA814" s="1065"/>
      <c r="DB814" s="1065"/>
    </row>
    <row r="815" spans="1:106" ht="15" customHeight="1">
      <c r="A815" s="1065"/>
      <c r="B815" s="1065"/>
      <c r="C815" s="1065"/>
      <c r="D815" s="1065"/>
      <c r="E815" s="1065"/>
      <c r="F815" s="1065"/>
      <c r="G815" s="1065"/>
      <c r="H815" s="1223"/>
      <c r="I815" s="1223"/>
      <c r="J815" s="1224"/>
      <c r="K815" s="1224"/>
      <c r="L815" s="1224"/>
      <c r="M815" s="1225"/>
      <c r="N815" s="1225"/>
      <c r="O815" s="1226"/>
      <c r="P815" s="1227"/>
      <c r="Q815" s="1227"/>
      <c r="R815" s="1228"/>
      <c r="S815" s="1224"/>
      <c r="T815" s="1229"/>
      <c r="U815" s="1065"/>
      <c r="V815" s="1065"/>
      <c r="W815" s="1065"/>
      <c r="X815" s="1065"/>
      <c r="Y815" s="1065"/>
      <c r="Z815" s="1065"/>
      <c r="AA815" s="1065"/>
      <c r="AB815" s="1065"/>
      <c r="AC815" s="1065"/>
      <c r="AD815" s="1065"/>
      <c r="AE815" s="1065"/>
      <c r="AF815" s="1065"/>
      <c r="AG815" s="1065"/>
      <c r="AH815" s="1065"/>
      <c r="AI815" s="1065"/>
      <c r="AJ815" s="1065"/>
      <c r="AK815" s="1065"/>
      <c r="AL815" s="1065"/>
      <c r="AM815" s="1065"/>
      <c r="AN815" s="1065"/>
      <c r="AO815" s="1065"/>
      <c r="AP815" s="1065"/>
      <c r="AQ815" s="1065"/>
      <c r="AR815" s="1065"/>
      <c r="AS815" s="1065"/>
      <c r="AT815" s="1065"/>
      <c r="AU815" s="1065"/>
      <c r="AV815" s="1065"/>
      <c r="AW815" s="1065"/>
      <c r="AX815" s="1065"/>
      <c r="AY815" s="1065"/>
      <c r="AZ815" s="1065"/>
      <c r="BA815" s="1065"/>
      <c r="BB815" s="1065"/>
      <c r="BC815" s="1065"/>
      <c r="BD815" s="1065"/>
      <c r="BE815" s="1065"/>
      <c r="BF815" s="1065"/>
      <c r="BG815" s="1065"/>
      <c r="BH815" s="1065"/>
      <c r="BI815" s="1065"/>
      <c r="BJ815" s="1065"/>
      <c r="BK815" s="1065"/>
      <c r="BL815" s="1065"/>
      <c r="BM815" s="1065"/>
      <c r="BN815" s="1065"/>
      <c r="BO815" s="1065"/>
      <c r="BP815" s="1065"/>
      <c r="BQ815" s="1065"/>
      <c r="BR815" s="1065"/>
      <c r="BS815" s="1065"/>
      <c r="BT815" s="1065"/>
      <c r="BU815" s="1065"/>
      <c r="BV815" s="1065"/>
      <c r="BW815" s="1065"/>
      <c r="BX815" s="1065"/>
      <c r="BY815" s="1065"/>
      <c r="BZ815" s="1065"/>
      <c r="CA815" s="1065"/>
      <c r="CB815" s="1065"/>
      <c r="CC815" s="1065"/>
      <c r="CD815" s="1065"/>
      <c r="CE815" s="1065"/>
      <c r="CF815" s="1065"/>
      <c r="CG815" s="1065"/>
      <c r="CH815" s="1065"/>
      <c r="CI815" s="1065"/>
      <c r="CJ815" s="1065"/>
      <c r="CK815" s="1065"/>
      <c r="CL815" s="1065"/>
      <c r="CM815" s="1065"/>
      <c r="CN815" s="1065"/>
      <c r="CO815" s="1065"/>
      <c r="CP815" s="1065"/>
      <c r="CQ815" s="1065"/>
      <c r="CR815" s="1065"/>
      <c r="CS815" s="1065"/>
      <c r="CT815" s="1065"/>
      <c r="CU815" s="1065"/>
      <c r="CV815" s="1065"/>
      <c r="CW815" s="1065"/>
      <c r="CX815" s="1065"/>
      <c r="CY815" s="1065"/>
      <c r="CZ815" s="1065"/>
      <c r="DA815" s="1065"/>
      <c r="DB815" s="1065"/>
    </row>
    <row r="816" spans="1:106" ht="15" customHeight="1">
      <c r="A816" s="1065"/>
      <c r="B816" s="1065"/>
      <c r="C816" s="1065"/>
      <c r="D816" s="1065"/>
      <c r="E816" s="1065"/>
      <c r="F816" s="1065"/>
      <c r="G816" s="1065"/>
      <c r="H816" s="1223"/>
      <c r="I816" s="1223"/>
      <c r="J816" s="1224"/>
      <c r="K816" s="1224"/>
      <c r="L816" s="1224"/>
      <c r="M816" s="1225"/>
      <c r="N816" s="1225"/>
      <c r="O816" s="1226"/>
      <c r="P816" s="1227"/>
      <c r="Q816" s="1227"/>
      <c r="R816" s="1228"/>
      <c r="S816" s="1224"/>
      <c r="T816" s="1229"/>
      <c r="U816" s="1065"/>
      <c r="V816" s="1065"/>
      <c r="W816" s="1065"/>
      <c r="X816" s="1065"/>
      <c r="Y816" s="1065"/>
      <c r="Z816" s="1065"/>
      <c r="AA816" s="1065"/>
      <c r="AB816" s="1065"/>
      <c r="AC816" s="1065"/>
      <c r="AD816" s="1065"/>
      <c r="AE816" s="1065"/>
      <c r="AF816" s="1065"/>
      <c r="AG816" s="1065"/>
      <c r="AH816" s="1065"/>
      <c r="AI816" s="1065"/>
      <c r="AJ816" s="1065"/>
      <c r="AK816" s="1065"/>
      <c r="AL816" s="1065"/>
      <c r="AM816" s="1065"/>
      <c r="AN816" s="1065"/>
      <c r="AO816" s="1065"/>
      <c r="AP816" s="1065"/>
      <c r="AQ816" s="1065"/>
      <c r="AR816" s="1065"/>
      <c r="AS816" s="1065"/>
      <c r="AT816" s="1065"/>
      <c r="AU816" s="1065"/>
      <c r="AV816" s="1065"/>
      <c r="AW816" s="1065"/>
      <c r="AX816" s="1065"/>
      <c r="AY816" s="1065"/>
      <c r="AZ816" s="1065"/>
      <c r="BA816" s="1065"/>
      <c r="BB816" s="1065"/>
      <c r="BC816" s="1065"/>
      <c r="BD816" s="1065"/>
      <c r="BE816" s="1065"/>
      <c r="BF816" s="1065"/>
      <c r="BG816" s="1065"/>
      <c r="BH816" s="1065"/>
      <c r="BI816" s="1065"/>
      <c r="BJ816" s="1065"/>
      <c r="BK816" s="1065"/>
      <c r="BL816" s="1065"/>
      <c r="BM816" s="1065"/>
      <c r="BN816" s="1065"/>
      <c r="BO816" s="1065"/>
      <c r="BP816" s="1065"/>
      <c r="BQ816" s="1065"/>
      <c r="BR816" s="1065"/>
      <c r="BS816" s="1065"/>
      <c r="BT816" s="1065"/>
      <c r="BU816" s="1065"/>
      <c r="BV816" s="1065"/>
      <c r="BW816" s="1065"/>
      <c r="BX816" s="1065"/>
      <c r="BY816" s="1065"/>
      <c r="BZ816" s="1065"/>
      <c r="CA816" s="1065"/>
      <c r="CB816" s="1065"/>
      <c r="CC816" s="1065"/>
      <c r="CD816" s="1065"/>
      <c r="CE816" s="1065"/>
      <c r="CF816" s="1065"/>
      <c r="CG816" s="1065"/>
      <c r="CH816" s="1065"/>
      <c r="CI816" s="1065"/>
      <c r="CJ816" s="1065"/>
      <c r="CK816" s="1065"/>
      <c r="CL816" s="1065"/>
      <c r="CM816" s="1065"/>
      <c r="CN816" s="1065"/>
      <c r="CO816" s="1065"/>
      <c r="CP816" s="1065"/>
      <c r="CQ816" s="1065"/>
      <c r="CR816" s="1065"/>
      <c r="CS816" s="1065"/>
      <c r="CT816" s="1065"/>
      <c r="CU816" s="1065"/>
      <c r="CV816" s="1065"/>
      <c r="CW816" s="1065"/>
      <c r="CX816" s="1065"/>
      <c r="CY816" s="1065"/>
      <c r="CZ816" s="1065"/>
      <c r="DA816" s="1065"/>
      <c r="DB816" s="1065"/>
    </row>
    <row r="817" spans="1:106" ht="15" customHeight="1">
      <c r="A817" s="1065"/>
      <c r="B817" s="1065"/>
      <c r="C817" s="1065"/>
      <c r="D817" s="1065"/>
      <c r="E817" s="1065"/>
      <c r="F817" s="1065"/>
      <c r="G817" s="1065"/>
      <c r="H817" s="1223"/>
      <c r="I817" s="1223"/>
      <c r="J817" s="1224"/>
      <c r="K817" s="1224"/>
      <c r="L817" s="1224"/>
      <c r="M817" s="1225"/>
      <c r="N817" s="1225"/>
      <c r="O817" s="1226"/>
      <c r="P817" s="1227"/>
      <c r="Q817" s="1227"/>
      <c r="R817" s="1228"/>
      <c r="S817" s="1224"/>
      <c r="T817" s="1229"/>
      <c r="U817" s="1065"/>
      <c r="V817" s="1065"/>
      <c r="W817" s="1065"/>
      <c r="X817" s="1065"/>
      <c r="Y817" s="1065"/>
      <c r="Z817" s="1065"/>
      <c r="AA817" s="1065"/>
      <c r="AB817" s="1065"/>
      <c r="AC817" s="1065"/>
      <c r="AD817" s="1065"/>
      <c r="AE817" s="1065"/>
      <c r="AF817" s="1065"/>
      <c r="AG817" s="1065"/>
      <c r="AH817" s="1065"/>
      <c r="AI817" s="1065"/>
      <c r="AJ817" s="1065"/>
      <c r="AK817" s="1065"/>
      <c r="AL817" s="1065"/>
      <c r="AM817" s="1065"/>
      <c r="AN817" s="1065"/>
      <c r="AO817" s="1065"/>
      <c r="AP817" s="1065"/>
      <c r="AQ817" s="1065"/>
      <c r="AR817" s="1065"/>
      <c r="AS817" s="1065"/>
      <c r="AT817" s="1065"/>
      <c r="AU817" s="1065"/>
      <c r="AV817" s="1065"/>
      <c r="AW817" s="1065"/>
      <c r="AX817" s="1065"/>
      <c r="AY817" s="1065"/>
      <c r="AZ817" s="1065"/>
      <c r="BA817" s="1065"/>
      <c r="BB817" s="1065"/>
      <c r="BC817" s="1065"/>
      <c r="BD817" s="1065"/>
      <c r="BE817" s="1065"/>
      <c r="BF817" s="1065"/>
      <c r="BG817" s="1065"/>
      <c r="BH817" s="1065"/>
      <c r="BI817" s="1065"/>
      <c r="BJ817" s="1065"/>
      <c r="BK817" s="1065"/>
      <c r="BL817" s="1065"/>
      <c r="BM817" s="1065"/>
      <c r="BN817" s="1065"/>
      <c r="BO817" s="1065"/>
      <c r="BP817" s="1065"/>
      <c r="BQ817" s="1065"/>
      <c r="BR817" s="1065"/>
      <c r="BS817" s="1065"/>
      <c r="BT817" s="1065"/>
      <c r="BU817" s="1065"/>
      <c r="BV817" s="1065"/>
      <c r="BW817" s="1065"/>
      <c r="BX817" s="1065"/>
      <c r="BY817" s="1065"/>
      <c r="BZ817" s="1065"/>
      <c r="CA817" s="1065"/>
      <c r="CB817" s="1065"/>
      <c r="CC817" s="1065"/>
      <c r="CD817" s="1065"/>
      <c r="CE817" s="1065"/>
      <c r="CF817" s="1065"/>
      <c r="CG817" s="1065"/>
      <c r="CH817" s="1065"/>
      <c r="CI817" s="1065"/>
      <c r="CJ817" s="1065"/>
      <c r="CK817" s="1065"/>
      <c r="CL817" s="1065"/>
      <c r="CM817" s="1065"/>
      <c r="CN817" s="1065"/>
      <c r="CO817" s="1065"/>
      <c r="CP817" s="1065"/>
      <c r="CQ817" s="1065"/>
      <c r="CR817" s="1065"/>
      <c r="CS817" s="1065"/>
      <c r="CT817" s="1065"/>
      <c r="CU817" s="1065"/>
      <c r="CV817" s="1065"/>
      <c r="CW817" s="1065"/>
      <c r="CX817" s="1065"/>
      <c r="CY817" s="1065"/>
      <c r="CZ817" s="1065"/>
      <c r="DA817" s="1065"/>
      <c r="DB817" s="1065"/>
    </row>
    <row r="818" spans="1:106" ht="15" customHeight="1">
      <c r="A818" s="1065"/>
      <c r="B818" s="1065"/>
      <c r="C818" s="1065"/>
      <c r="D818" s="1065"/>
      <c r="E818" s="1065"/>
      <c r="F818" s="1065"/>
      <c r="G818" s="1065"/>
      <c r="H818" s="1223"/>
      <c r="I818" s="1223"/>
      <c r="J818" s="1224"/>
      <c r="K818" s="1224"/>
      <c r="L818" s="1224"/>
      <c r="M818" s="1225"/>
      <c r="N818" s="1225"/>
      <c r="O818" s="1226"/>
      <c r="P818" s="1227"/>
      <c r="Q818" s="1227"/>
      <c r="R818" s="1228"/>
      <c r="S818" s="1224"/>
      <c r="T818" s="1229"/>
      <c r="U818" s="1065"/>
      <c r="V818" s="1065"/>
      <c r="W818" s="1065"/>
      <c r="X818" s="1065"/>
      <c r="Y818" s="1065"/>
      <c r="Z818" s="1065"/>
      <c r="AA818" s="1065"/>
      <c r="AB818" s="1065"/>
      <c r="AC818" s="1065"/>
      <c r="AD818" s="1065"/>
      <c r="AE818" s="1065"/>
      <c r="AF818" s="1065"/>
      <c r="AG818" s="1065"/>
      <c r="AH818" s="1065"/>
      <c r="AI818" s="1065"/>
      <c r="AJ818" s="1065"/>
      <c r="AK818" s="1065"/>
      <c r="AL818" s="1065"/>
      <c r="AM818" s="1065"/>
      <c r="AN818" s="1065"/>
      <c r="AO818" s="1065"/>
      <c r="AP818" s="1065"/>
      <c r="AQ818" s="1065"/>
      <c r="AR818" s="1065"/>
      <c r="AS818" s="1065"/>
      <c r="AT818" s="1065"/>
      <c r="AU818" s="1065"/>
      <c r="AV818" s="1065"/>
      <c r="AW818" s="1065"/>
      <c r="AX818" s="1065"/>
      <c r="AY818" s="1065"/>
      <c r="AZ818" s="1065"/>
      <c r="BA818" s="1065"/>
      <c r="BB818" s="1065"/>
      <c r="BC818" s="1065"/>
      <c r="BD818" s="1065"/>
      <c r="BE818" s="1065"/>
      <c r="BF818" s="1065"/>
      <c r="BG818" s="1065"/>
      <c r="BH818" s="1065"/>
      <c r="BI818" s="1065"/>
      <c r="BJ818" s="1065"/>
      <c r="BK818" s="1065"/>
      <c r="BL818" s="1065"/>
      <c r="BM818" s="1065"/>
      <c r="BN818" s="1065"/>
      <c r="BO818" s="1065"/>
      <c r="BP818" s="1065"/>
      <c r="BQ818" s="1065"/>
      <c r="BR818" s="1065"/>
      <c r="BS818" s="1065"/>
      <c r="BT818" s="1065"/>
      <c r="BU818" s="1065"/>
      <c r="BV818" s="1065"/>
      <c r="BW818" s="1065"/>
      <c r="BX818" s="1065"/>
      <c r="BY818" s="1065"/>
      <c r="BZ818" s="1065"/>
      <c r="CA818" s="1065"/>
      <c r="CB818" s="1065"/>
      <c r="CC818" s="1065"/>
      <c r="CD818" s="1065"/>
      <c r="CE818" s="1065"/>
      <c r="CF818" s="1065"/>
      <c r="CG818" s="1065"/>
      <c r="CH818" s="1065"/>
      <c r="CI818" s="1065"/>
      <c r="CJ818" s="1065"/>
      <c r="CK818" s="1065"/>
      <c r="CL818" s="1065"/>
      <c r="CM818" s="1065"/>
      <c r="CN818" s="1065"/>
      <c r="CO818" s="1065"/>
      <c r="CP818" s="1065"/>
      <c r="CQ818" s="1065"/>
      <c r="CR818" s="1065"/>
      <c r="CS818" s="1065"/>
      <c r="CT818" s="1065"/>
      <c r="CU818" s="1065"/>
      <c r="CV818" s="1065"/>
      <c r="CW818" s="1065"/>
      <c r="CX818" s="1065"/>
      <c r="CY818" s="1065"/>
      <c r="CZ818" s="1065"/>
      <c r="DA818" s="1065"/>
      <c r="DB818" s="1065"/>
    </row>
    <row r="819" spans="1:106" ht="15" customHeight="1">
      <c r="A819" s="1065"/>
      <c r="B819" s="1065"/>
      <c r="C819" s="1065"/>
      <c r="D819" s="1065"/>
      <c r="E819" s="1065"/>
      <c r="F819" s="1065"/>
      <c r="G819" s="1065"/>
      <c r="H819" s="1223"/>
      <c r="I819" s="1223"/>
      <c r="J819" s="1224"/>
      <c r="K819" s="1224"/>
      <c r="L819" s="1224"/>
      <c r="M819" s="1225"/>
      <c r="N819" s="1225"/>
      <c r="O819" s="1226"/>
      <c r="P819" s="1227"/>
      <c r="Q819" s="1227"/>
      <c r="R819" s="1228"/>
      <c r="S819" s="1224"/>
      <c r="T819" s="1229"/>
      <c r="U819" s="1065"/>
      <c r="V819" s="1065"/>
      <c r="W819" s="1065"/>
      <c r="X819" s="1065"/>
      <c r="Y819" s="1065"/>
      <c r="Z819" s="1065"/>
      <c r="AA819" s="1065"/>
      <c r="AB819" s="1065"/>
      <c r="AC819" s="1065"/>
      <c r="AD819" s="1065"/>
      <c r="AE819" s="1065"/>
      <c r="AF819" s="1065"/>
      <c r="AG819" s="1065"/>
      <c r="AH819" s="1065"/>
      <c r="AI819" s="1065"/>
      <c r="AJ819" s="1065"/>
      <c r="AK819" s="1065"/>
      <c r="AL819" s="1065"/>
      <c r="AM819" s="1065"/>
      <c r="AN819" s="1065"/>
      <c r="AO819" s="1065"/>
      <c r="AP819" s="1065"/>
      <c r="AQ819" s="1065"/>
      <c r="AR819" s="1065"/>
      <c r="AS819" s="1065"/>
      <c r="AT819" s="1065"/>
      <c r="AU819" s="1065"/>
      <c r="AV819" s="1065"/>
      <c r="AW819" s="1065"/>
      <c r="AX819" s="1065"/>
      <c r="AY819" s="1065"/>
      <c r="AZ819" s="1065"/>
      <c r="BA819" s="1065"/>
      <c r="BB819" s="1065"/>
      <c r="BC819" s="1065"/>
      <c r="BD819" s="1065"/>
      <c r="BE819" s="1065"/>
      <c r="BF819" s="1065"/>
      <c r="BG819" s="1065"/>
      <c r="BH819" s="1065"/>
      <c r="BI819" s="1065"/>
      <c r="BJ819" s="1065"/>
      <c r="BK819" s="1065"/>
      <c r="BL819" s="1065"/>
      <c r="BM819" s="1065"/>
      <c r="BN819" s="1065"/>
      <c r="BO819" s="1065"/>
      <c r="BP819" s="1065"/>
      <c r="BQ819" s="1065"/>
      <c r="BR819" s="1065"/>
      <c r="BS819" s="1065"/>
      <c r="BT819" s="1065"/>
      <c r="BU819" s="1065"/>
      <c r="BV819" s="1065"/>
      <c r="BW819" s="1065"/>
      <c r="BX819" s="1065"/>
      <c r="BY819" s="1065"/>
      <c r="BZ819" s="1065"/>
      <c r="CA819" s="1065"/>
      <c r="CB819" s="1065"/>
      <c r="CC819" s="1065"/>
      <c r="CD819" s="1065"/>
      <c r="CE819" s="1065"/>
      <c r="CF819" s="1065"/>
      <c r="CG819" s="1065"/>
      <c r="CH819" s="1065"/>
      <c r="CI819" s="1065"/>
      <c r="CJ819" s="1065"/>
      <c r="CK819" s="1065"/>
      <c r="CL819" s="1065"/>
      <c r="CM819" s="1065"/>
      <c r="CN819" s="1065"/>
      <c r="CO819" s="1065"/>
      <c r="CP819" s="1065"/>
      <c r="CQ819" s="1065"/>
      <c r="CR819" s="1065"/>
      <c r="CS819" s="1065"/>
      <c r="CT819" s="1065"/>
      <c r="CU819" s="1065"/>
      <c r="CV819" s="1065"/>
      <c r="CW819" s="1065"/>
      <c r="CX819" s="1065"/>
      <c r="CY819" s="1065"/>
      <c r="CZ819" s="1065"/>
      <c r="DA819" s="1065"/>
      <c r="DB819" s="1065"/>
    </row>
    <row r="820" spans="1:106" ht="15" customHeight="1">
      <c r="A820" s="1065"/>
      <c r="B820" s="1065"/>
      <c r="C820" s="1065"/>
      <c r="D820" s="1065"/>
      <c r="E820" s="1065"/>
      <c r="F820" s="1065"/>
      <c r="G820" s="1065"/>
      <c r="H820" s="1223"/>
      <c r="I820" s="1223"/>
      <c r="J820" s="1224"/>
      <c r="K820" s="1224"/>
      <c r="L820" s="1224"/>
      <c r="M820" s="1225"/>
      <c r="N820" s="1225"/>
      <c r="O820" s="1226"/>
      <c r="P820" s="1227"/>
      <c r="Q820" s="1227"/>
      <c r="R820" s="1228"/>
      <c r="S820" s="1224"/>
      <c r="T820" s="1229"/>
      <c r="U820" s="1065"/>
      <c r="V820" s="1065"/>
      <c r="W820" s="1065"/>
      <c r="X820" s="1065"/>
      <c r="Y820" s="1065"/>
      <c r="Z820" s="1065"/>
      <c r="AA820" s="1065"/>
      <c r="AB820" s="1065"/>
      <c r="AC820" s="1065"/>
      <c r="AD820" s="1065"/>
      <c r="AE820" s="1065"/>
      <c r="AF820" s="1065"/>
      <c r="AG820" s="1065"/>
      <c r="AH820" s="1065"/>
      <c r="AI820" s="1065"/>
      <c r="AJ820" s="1065"/>
      <c r="AK820" s="1065"/>
      <c r="AL820" s="1065"/>
      <c r="AM820" s="1065"/>
      <c r="AN820" s="1065"/>
      <c r="AO820" s="1065"/>
      <c r="AP820" s="1065"/>
      <c r="AQ820" s="1065"/>
      <c r="AR820" s="1065"/>
      <c r="AS820" s="1065"/>
      <c r="AT820" s="1065"/>
      <c r="AU820" s="1065"/>
      <c r="AV820" s="1065"/>
      <c r="AW820" s="1065"/>
      <c r="AX820" s="1065"/>
      <c r="AY820" s="1065"/>
      <c r="AZ820" s="1065"/>
      <c r="BA820" s="1065"/>
      <c r="BB820" s="1065"/>
      <c r="BC820" s="1065"/>
      <c r="BD820" s="1065"/>
      <c r="BE820" s="1065"/>
      <c r="BF820" s="1065"/>
      <c r="BG820" s="1065"/>
      <c r="BH820" s="1065"/>
      <c r="BI820" s="1065"/>
      <c r="BJ820" s="1065"/>
      <c r="BK820" s="1065"/>
      <c r="BL820" s="1065"/>
      <c r="BM820" s="1065"/>
      <c r="BN820" s="1065"/>
      <c r="BO820" s="1065"/>
      <c r="BP820" s="1065"/>
      <c r="BQ820" s="1065"/>
      <c r="BR820" s="1065"/>
      <c r="BS820" s="1065"/>
      <c r="BT820" s="1065"/>
      <c r="BU820" s="1065"/>
      <c r="BV820" s="1065"/>
      <c r="BW820" s="1065"/>
      <c r="BX820" s="1065"/>
      <c r="BY820" s="1065"/>
      <c r="BZ820" s="1065"/>
      <c r="CA820" s="1065"/>
      <c r="CB820" s="1065"/>
      <c r="CC820" s="1065"/>
      <c r="CD820" s="1065"/>
      <c r="CE820" s="1065"/>
      <c r="CF820" s="1065"/>
      <c r="CG820" s="1065"/>
      <c r="CH820" s="1065"/>
      <c r="CI820" s="1065"/>
      <c r="CJ820" s="1065"/>
      <c r="CK820" s="1065"/>
      <c r="CL820" s="1065"/>
      <c r="CM820" s="1065"/>
      <c r="CN820" s="1065"/>
      <c r="CO820" s="1065"/>
      <c r="CP820" s="1065"/>
      <c r="CQ820" s="1065"/>
      <c r="CR820" s="1065"/>
      <c r="CS820" s="1065"/>
      <c r="CT820" s="1065"/>
      <c r="CU820" s="1065"/>
      <c r="CV820" s="1065"/>
      <c r="CW820" s="1065"/>
      <c r="CX820" s="1065"/>
      <c r="CY820" s="1065"/>
      <c r="CZ820" s="1065"/>
      <c r="DA820" s="1065"/>
      <c r="DB820" s="1065"/>
    </row>
    <row r="821" spans="1:106" ht="15" customHeight="1">
      <c r="A821" s="1065"/>
      <c r="B821" s="1065"/>
      <c r="C821" s="1065"/>
      <c r="D821" s="1065"/>
      <c r="E821" s="1065"/>
      <c r="F821" s="1065"/>
      <c r="G821" s="1065"/>
      <c r="H821" s="1223"/>
      <c r="I821" s="1223"/>
      <c r="J821" s="1224"/>
      <c r="K821" s="1224"/>
      <c r="L821" s="1224"/>
      <c r="M821" s="1225"/>
      <c r="N821" s="1225"/>
      <c r="O821" s="1226"/>
      <c r="P821" s="1227"/>
      <c r="Q821" s="1227"/>
      <c r="R821" s="1228"/>
      <c r="S821" s="1224"/>
      <c r="T821" s="1229"/>
      <c r="U821" s="1065"/>
      <c r="V821" s="1065"/>
      <c r="W821" s="1065"/>
      <c r="X821" s="1065"/>
      <c r="Y821" s="1065"/>
      <c r="Z821" s="1065"/>
      <c r="AA821" s="1065"/>
      <c r="AB821" s="1065"/>
      <c r="AC821" s="1065"/>
      <c r="AD821" s="1065"/>
      <c r="AE821" s="1065"/>
      <c r="AF821" s="1065"/>
      <c r="AG821" s="1065"/>
      <c r="AH821" s="1065"/>
      <c r="AI821" s="1065"/>
      <c r="AJ821" s="1065"/>
      <c r="AK821" s="1065"/>
      <c r="AL821" s="1065"/>
      <c r="AM821" s="1065"/>
      <c r="AN821" s="1065"/>
      <c r="AO821" s="1065"/>
      <c r="AP821" s="1065"/>
      <c r="AQ821" s="1065"/>
      <c r="AR821" s="1065"/>
      <c r="AS821" s="1065"/>
      <c r="AT821" s="1065"/>
      <c r="AU821" s="1065"/>
      <c r="AV821" s="1065"/>
      <c r="AW821" s="1065"/>
      <c r="AX821" s="1065"/>
      <c r="AY821" s="1065"/>
      <c r="AZ821" s="1065"/>
      <c r="BA821" s="1065"/>
      <c r="BB821" s="1065"/>
      <c r="BC821" s="1065"/>
      <c r="BD821" s="1065"/>
      <c r="BE821" s="1065"/>
      <c r="BF821" s="1065"/>
      <c r="BG821" s="1065"/>
      <c r="BH821" s="1065"/>
      <c r="BI821" s="1065"/>
      <c r="BJ821" s="1065"/>
      <c r="BK821" s="1065"/>
      <c r="BL821" s="1065"/>
      <c r="BM821" s="1065"/>
      <c r="BN821" s="1065"/>
      <c r="BO821" s="1065"/>
      <c r="BP821" s="1065"/>
      <c r="BQ821" s="1065"/>
      <c r="BR821" s="1065"/>
      <c r="BS821" s="1065"/>
      <c r="BT821" s="1065"/>
      <c r="BU821" s="1065"/>
      <c r="BV821" s="1065"/>
      <c r="BW821" s="1065"/>
      <c r="BX821" s="1065"/>
      <c r="BY821" s="1065"/>
      <c r="BZ821" s="1065"/>
      <c r="CA821" s="1065"/>
      <c r="CB821" s="1065"/>
      <c r="CC821" s="1065"/>
      <c r="CD821" s="1065"/>
      <c r="CE821" s="1065"/>
      <c r="CF821" s="1065"/>
      <c r="CG821" s="1065"/>
      <c r="CH821" s="1065"/>
      <c r="CI821" s="1065"/>
      <c r="CJ821" s="1065"/>
      <c r="CK821" s="1065"/>
      <c r="CL821" s="1065"/>
      <c r="CM821" s="1065"/>
      <c r="CN821" s="1065"/>
      <c r="CO821" s="1065"/>
      <c r="CP821" s="1065"/>
      <c r="CQ821" s="1065"/>
      <c r="CR821" s="1065"/>
      <c r="CS821" s="1065"/>
      <c r="CT821" s="1065"/>
      <c r="CU821" s="1065"/>
      <c r="CV821" s="1065"/>
      <c r="CW821" s="1065"/>
      <c r="CX821" s="1065"/>
      <c r="CY821" s="1065"/>
      <c r="CZ821" s="1065"/>
      <c r="DA821" s="1065"/>
      <c r="DB821" s="1065"/>
    </row>
    <row r="822" spans="1:106" ht="15" customHeight="1">
      <c r="A822" s="1065"/>
      <c r="B822" s="1065"/>
      <c r="C822" s="1065"/>
      <c r="D822" s="1065"/>
      <c r="E822" s="1065"/>
      <c r="F822" s="1065"/>
      <c r="G822" s="1065"/>
      <c r="H822" s="1223"/>
      <c r="I822" s="1223"/>
      <c r="J822" s="1224"/>
      <c r="K822" s="1224"/>
      <c r="L822" s="1224"/>
      <c r="M822" s="1225"/>
      <c r="N822" s="1225"/>
      <c r="O822" s="1226"/>
      <c r="P822" s="1227"/>
      <c r="Q822" s="1227"/>
      <c r="R822" s="1228"/>
      <c r="S822" s="1224"/>
      <c r="T822" s="1229"/>
      <c r="U822" s="1065"/>
      <c r="V822" s="1065"/>
      <c r="W822" s="1065"/>
      <c r="X822" s="1065"/>
      <c r="Y822" s="1065"/>
      <c r="Z822" s="1065"/>
      <c r="AA822" s="1065"/>
      <c r="AB822" s="1065"/>
      <c r="AC822" s="1065"/>
      <c r="AD822" s="1065"/>
      <c r="AE822" s="1065"/>
      <c r="AF822" s="1065"/>
      <c r="AG822" s="1065"/>
      <c r="AH822" s="1065"/>
      <c r="AI822" s="1065"/>
      <c r="AJ822" s="1065"/>
      <c r="AK822" s="1065"/>
      <c r="AL822" s="1065"/>
      <c r="AM822" s="1065"/>
      <c r="AN822" s="1065"/>
      <c r="AO822" s="1065"/>
      <c r="AP822" s="1065"/>
      <c r="AQ822" s="1065"/>
      <c r="AR822" s="1065"/>
      <c r="AS822" s="1065"/>
      <c r="AT822" s="1065"/>
      <c r="AU822" s="1065"/>
      <c r="AV822" s="1065"/>
      <c r="AW822" s="1065"/>
      <c r="AX822" s="1065"/>
      <c r="AY822" s="1065"/>
      <c r="AZ822" s="1065"/>
      <c r="BA822" s="1065"/>
      <c r="BB822" s="1065"/>
      <c r="BC822" s="1065"/>
      <c r="BD822" s="1065"/>
      <c r="BE822" s="1065"/>
      <c r="BF822" s="1065"/>
      <c r="BG822" s="1065"/>
      <c r="BH822" s="1065"/>
      <c r="BI822" s="1065"/>
      <c r="BJ822" s="1065"/>
      <c r="BK822" s="1065"/>
      <c r="BL822" s="1065"/>
      <c r="BM822" s="1065"/>
      <c r="BN822" s="1065"/>
      <c r="BO822" s="1065"/>
      <c r="BP822" s="1065"/>
      <c r="BQ822" s="1065"/>
      <c r="BR822" s="1065"/>
      <c r="BS822" s="1065"/>
      <c r="BT822" s="1065"/>
      <c r="BU822" s="1065"/>
      <c r="BV822" s="1065"/>
      <c r="BW822" s="1065"/>
      <c r="BX822" s="1065"/>
      <c r="BY822" s="1065"/>
      <c r="BZ822" s="1065"/>
      <c r="CA822" s="1065"/>
      <c r="CB822" s="1065"/>
      <c r="CC822" s="1065"/>
      <c r="CD822" s="1065"/>
      <c r="CE822" s="1065"/>
      <c r="CF822" s="1065"/>
      <c r="CG822" s="1065"/>
      <c r="CH822" s="1065"/>
      <c r="CI822" s="1065"/>
      <c r="CJ822" s="1065"/>
      <c r="CK822" s="1065"/>
      <c r="CL822" s="1065"/>
      <c r="CM822" s="1065"/>
      <c r="CN822" s="1065"/>
      <c r="CO822" s="1065"/>
      <c r="CP822" s="1065"/>
      <c r="CQ822" s="1065"/>
      <c r="CR822" s="1065"/>
      <c r="CS822" s="1065"/>
      <c r="CT822" s="1065"/>
      <c r="CU822" s="1065"/>
      <c r="CV822" s="1065"/>
      <c r="CW822" s="1065"/>
      <c r="CX822" s="1065"/>
      <c r="CY822" s="1065"/>
      <c r="CZ822" s="1065"/>
      <c r="DA822" s="1065"/>
      <c r="DB822" s="1065"/>
    </row>
    <row r="823" spans="1:106" ht="15" customHeight="1">
      <c r="A823" s="1065"/>
      <c r="B823" s="1065"/>
      <c r="C823" s="1065"/>
      <c r="D823" s="1065"/>
      <c r="E823" s="1065"/>
      <c r="F823" s="1065"/>
      <c r="G823" s="1065"/>
      <c r="H823" s="1223"/>
      <c r="I823" s="1223"/>
      <c r="J823" s="1224"/>
      <c r="K823" s="1224"/>
      <c r="L823" s="1224"/>
      <c r="M823" s="1225"/>
      <c r="N823" s="1225"/>
      <c r="O823" s="1226"/>
      <c r="P823" s="1227"/>
      <c r="Q823" s="1227"/>
      <c r="R823" s="1228"/>
      <c r="S823" s="1224"/>
      <c r="T823" s="1229"/>
      <c r="U823" s="1065"/>
      <c r="V823" s="1065"/>
      <c r="W823" s="1065"/>
      <c r="X823" s="1065"/>
      <c r="Y823" s="1065"/>
      <c r="Z823" s="1065"/>
      <c r="AA823" s="1065"/>
      <c r="AB823" s="1065"/>
      <c r="AC823" s="1065"/>
      <c r="AD823" s="1065"/>
      <c r="AE823" s="1065"/>
      <c r="AF823" s="1065"/>
      <c r="AG823" s="1065"/>
      <c r="AH823" s="1065"/>
      <c r="AI823" s="1065"/>
      <c r="AJ823" s="1065"/>
      <c r="AK823" s="1065"/>
      <c r="AL823" s="1065"/>
      <c r="AM823" s="1065"/>
      <c r="AN823" s="1065"/>
      <c r="AO823" s="1065"/>
      <c r="AP823" s="1065"/>
      <c r="AQ823" s="1065"/>
      <c r="AR823" s="1065"/>
      <c r="AS823" s="1065"/>
      <c r="AT823" s="1065"/>
      <c r="AU823" s="1065"/>
      <c r="AV823" s="1065"/>
      <c r="AW823" s="1065"/>
      <c r="AX823" s="1065"/>
      <c r="AY823" s="1065"/>
      <c r="AZ823" s="1065"/>
      <c r="BA823" s="1065"/>
      <c r="BB823" s="1065"/>
      <c r="BC823" s="1065"/>
      <c r="BD823" s="1065"/>
      <c r="BE823" s="1065"/>
      <c r="BF823" s="1065"/>
      <c r="BG823" s="1065"/>
      <c r="BH823" s="1065"/>
      <c r="BI823" s="1065"/>
      <c r="BJ823" s="1065"/>
      <c r="BK823" s="1065"/>
      <c r="BL823" s="1065"/>
      <c r="BM823" s="1065"/>
      <c r="BN823" s="1065"/>
      <c r="BO823" s="1065"/>
      <c r="BP823" s="1065"/>
      <c r="BQ823" s="1065"/>
      <c r="BR823" s="1065"/>
      <c r="BS823" s="1065"/>
      <c r="BT823" s="1065"/>
      <c r="BU823" s="1065"/>
      <c r="BV823" s="1065"/>
      <c r="BW823" s="1065"/>
      <c r="BX823" s="1065"/>
      <c r="BY823" s="1065"/>
      <c r="BZ823" s="1065"/>
      <c r="CA823" s="1065"/>
      <c r="CB823" s="1065"/>
      <c r="CC823" s="1065"/>
      <c r="CD823" s="1065"/>
      <c r="CE823" s="1065"/>
      <c r="CF823" s="1065"/>
      <c r="CG823" s="1065"/>
      <c r="CH823" s="1065"/>
      <c r="CI823" s="1065"/>
      <c r="CJ823" s="1065"/>
      <c r="CK823" s="1065"/>
      <c r="CL823" s="1065"/>
      <c r="CM823" s="1065"/>
      <c r="CN823" s="1065"/>
      <c r="CO823" s="1065"/>
      <c r="CP823" s="1065"/>
      <c r="CQ823" s="1065"/>
      <c r="CR823" s="1065"/>
      <c r="CS823" s="1065"/>
      <c r="CT823" s="1065"/>
      <c r="CU823" s="1065"/>
      <c r="CV823" s="1065"/>
      <c r="CW823" s="1065"/>
      <c r="CX823" s="1065"/>
      <c r="CY823" s="1065"/>
      <c r="CZ823" s="1065"/>
      <c r="DA823" s="1065"/>
      <c r="DB823" s="1065"/>
    </row>
    <row r="824" spans="1:106" ht="15" customHeight="1">
      <c r="A824" s="1065"/>
      <c r="B824" s="1065"/>
      <c r="C824" s="1065"/>
      <c r="D824" s="1065"/>
      <c r="E824" s="1065"/>
      <c r="F824" s="1065"/>
      <c r="G824" s="1065"/>
      <c r="H824" s="1223"/>
      <c r="I824" s="1223"/>
      <c r="J824" s="1224"/>
      <c r="K824" s="1224"/>
      <c r="L824" s="1224"/>
      <c r="M824" s="1225"/>
      <c r="N824" s="1225"/>
      <c r="O824" s="1226"/>
      <c r="P824" s="1227"/>
      <c r="Q824" s="1227"/>
      <c r="R824" s="1228"/>
      <c r="S824" s="1224"/>
      <c r="T824" s="1229"/>
      <c r="U824" s="1065"/>
      <c r="V824" s="1065"/>
      <c r="W824" s="1065"/>
      <c r="X824" s="1065"/>
      <c r="Y824" s="1065"/>
      <c r="Z824" s="1065"/>
      <c r="AA824" s="1065"/>
      <c r="AB824" s="1065"/>
      <c r="AC824" s="1065"/>
      <c r="AD824" s="1065"/>
      <c r="AE824" s="1065"/>
      <c r="AF824" s="1065"/>
      <c r="AG824" s="1065"/>
      <c r="AH824" s="1065"/>
      <c r="AI824" s="1065"/>
      <c r="AJ824" s="1065"/>
      <c r="AK824" s="1065"/>
      <c r="AL824" s="1065"/>
      <c r="AM824" s="1065"/>
      <c r="AN824" s="1065"/>
      <c r="AO824" s="1065"/>
      <c r="AP824" s="1065"/>
      <c r="AQ824" s="1065"/>
      <c r="AR824" s="1065"/>
      <c r="AS824" s="1065"/>
      <c r="AT824" s="1065"/>
      <c r="AU824" s="1065"/>
      <c r="AV824" s="1065"/>
      <c r="AW824" s="1065"/>
      <c r="AX824" s="1065"/>
      <c r="AY824" s="1065"/>
      <c r="AZ824" s="1065"/>
      <c r="BA824" s="1065"/>
      <c r="BB824" s="1065"/>
      <c r="BC824" s="1065"/>
      <c r="BD824" s="1065"/>
      <c r="BE824" s="1065"/>
      <c r="BF824" s="1065"/>
      <c r="BG824" s="1065"/>
      <c r="BH824" s="1065"/>
      <c r="BI824" s="1065"/>
      <c r="BJ824" s="1065"/>
      <c r="BK824" s="1065"/>
      <c r="BL824" s="1065"/>
      <c r="BM824" s="1065"/>
      <c r="BN824" s="1065"/>
      <c r="BO824" s="1065"/>
      <c r="BP824" s="1065"/>
      <c r="BQ824" s="1065"/>
      <c r="BR824" s="1065"/>
      <c r="BS824" s="1065"/>
      <c r="BT824" s="1065"/>
      <c r="BU824" s="1065"/>
      <c r="BV824" s="1065"/>
      <c r="BW824" s="1065"/>
      <c r="BX824" s="1065"/>
      <c r="BY824" s="1065"/>
      <c r="BZ824" s="1065"/>
      <c r="CA824" s="1065"/>
      <c r="CB824" s="1065"/>
      <c r="CC824" s="1065"/>
      <c r="CD824" s="1065"/>
      <c r="CE824" s="1065"/>
      <c r="CF824" s="1065"/>
      <c r="CG824" s="1065"/>
      <c r="CH824" s="1065"/>
      <c r="CI824" s="1065"/>
      <c r="CJ824" s="1065"/>
      <c r="CK824" s="1065"/>
      <c r="CL824" s="1065"/>
      <c r="CM824" s="1065"/>
      <c r="CN824" s="1065"/>
      <c r="CO824" s="1065"/>
      <c r="CP824" s="1065"/>
      <c r="CQ824" s="1065"/>
      <c r="CR824" s="1065"/>
      <c r="CS824" s="1065"/>
      <c r="CT824" s="1065"/>
      <c r="CU824" s="1065"/>
      <c r="CV824" s="1065"/>
      <c r="CW824" s="1065"/>
      <c r="CX824" s="1065"/>
      <c r="CY824" s="1065"/>
      <c r="CZ824" s="1065"/>
      <c r="DA824" s="1065"/>
      <c r="DB824" s="1065"/>
    </row>
    <row r="825" spans="1:106" ht="15" customHeight="1">
      <c r="A825" s="1065"/>
      <c r="B825" s="1065"/>
      <c r="C825" s="1065"/>
      <c r="D825" s="1065"/>
      <c r="E825" s="1065"/>
      <c r="F825" s="1065"/>
      <c r="G825" s="1065"/>
      <c r="H825" s="1223"/>
      <c r="I825" s="1223"/>
      <c r="J825" s="1224"/>
      <c r="K825" s="1224"/>
      <c r="L825" s="1224"/>
      <c r="M825" s="1225"/>
      <c r="N825" s="1225"/>
      <c r="O825" s="1226"/>
      <c r="P825" s="1227"/>
      <c r="Q825" s="1227"/>
      <c r="R825" s="1228"/>
      <c r="S825" s="1224"/>
      <c r="T825" s="1229"/>
      <c r="U825" s="1065"/>
      <c r="V825" s="1065"/>
      <c r="W825" s="1065"/>
      <c r="X825" s="1065"/>
      <c r="Y825" s="1065"/>
      <c r="Z825" s="1065"/>
      <c r="AA825" s="1065"/>
      <c r="AB825" s="1065"/>
      <c r="AC825" s="1065"/>
      <c r="AD825" s="1065"/>
      <c r="AE825" s="1065"/>
      <c r="AF825" s="1065"/>
      <c r="AG825" s="1065"/>
      <c r="AH825" s="1065"/>
      <c r="AI825" s="1065"/>
      <c r="AJ825" s="1065"/>
      <c r="AK825" s="1065"/>
      <c r="AL825" s="1065"/>
      <c r="AM825" s="1065"/>
      <c r="AN825" s="1065"/>
      <c r="AO825" s="1065"/>
      <c r="AP825" s="1065"/>
      <c r="AQ825" s="1065"/>
      <c r="AR825" s="1065"/>
      <c r="AS825" s="1065"/>
      <c r="AT825" s="1065"/>
      <c r="AU825" s="1065"/>
      <c r="AV825" s="1065"/>
      <c r="AW825" s="1065"/>
      <c r="AX825" s="1065"/>
      <c r="AY825" s="1065"/>
      <c r="AZ825" s="1065"/>
      <c r="BA825" s="1065"/>
      <c r="BB825" s="1065"/>
      <c r="BC825" s="1065"/>
      <c r="BD825" s="1065"/>
      <c r="BE825" s="1065"/>
      <c r="BF825" s="1065"/>
      <c r="BG825" s="1065"/>
      <c r="BH825" s="1065"/>
      <c r="BI825" s="1065"/>
      <c r="BJ825" s="1065"/>
      <c r="BK825" s="1065"/>
      <c r="BL825" s="1065"/>
      <c r="BM825" s="1065"/>
      <c r="BN825" s="1065"/>
      <c r="BO825" s="1065"/>
      <c r="BP825" s="1065"/>
      <c r="BQ825" s="1065"/>
      <c r="BR825" s="1065"/>
      <c r="BS825" s="1065"/>
      <c r="BT825" s="1065"/>
      <c r="BU825" s="1065"/>
      <c r="BV825" s="1065"/>
      <c r="BW825" s="1065"/>
      <c r="BX825" s="1065"/>
      <c r="BY825" s="1065"/>
      <c r="BZ825" s="1065"/>
      <c r="CA825" s="1065"/>
      <c r="CB825" s="1065"/>
      <c r="CC825" s="1065"/>
      <c r="CD825" s="1065"/>
      <c r="CE825" s="1065"/>
      <c r="CF825" s="1065"/>
      <c r="CG825" s="1065"/>
      <c r="CH825" s="1065"/>
      <c r="CI825" s="1065"/>
      <c r="CJ825" s="1065"/>
      <c r="CK825" s="1065"/>
      <c r="CL825" s="1065"/>
      <c r="CM825" s="1065"/>
      <c r="CN825" s="1065"/>
      <c r="CO825" s="1065"/>
      <c r="CP825" s="1065"/>
      <c r="CQ825" s="1065"/>
      <c r="CR825" s="1065"/>
      <c r="CS825" s="1065"/>
      <c r="CT825" s="1065"/>
      <c r="CU825" s="1065"/>
      <c r="CV825" s="1065"/>
      <c r="CW825" s="1065"/>
      <c r="CX825" s="1065"/>
      <c r="CY825" s="1065"/>
      <c r="CZ825" s="1065"/>
      <c r="DA825" s="1065"/>
      <c r="DB825" s="1065"/>
    </row>
    <row r="826" spans="1:106" ht="15" customHeight="1">
      <c r="A826" s="1065"/>
      <c r="B826" s="1065"/>
      <c r="C826" s="1065"/>
      <c r="D826" s="1065"/>
      <c r="E826" s="1065"/>
      <c r="F826" s="1065"/>
      <c r="G826" s="1065"/>
      <c r="H826" s="1223"/>
      <c r="I826" s="1223"/>
      <c r="J826" s="1224"/>
      <c r="K826" s="1224"/>
      <c r="L826" s="1224"/>
      <c r="M826" s="1225"/>
      <c r="N826" s="1225"/>
      <c r="O826" s="1226"/>
      <c r="P826" s="1227"/>
      <c r="Q826" s="1227"/>
      <c r="R826" s="1228"/>
      <c r="S826" s="1224"/>
      <c r="T826" s="1229"/>
      <c r="U826" s="1065"/>
      <c r="V826" s="1065"/>
      <c r="W826" s="1065"/>
      <c r="X826" s="1065"/>
      <c r="Y826" s="1065"/>
      <c r="Z826" s="1065"/>
      <c r="AA826" s="1065"/>
      <c r="AB826" s="1065"/>
      <c r="AC826" s="1065"/>
      <c r="AD826" s="1065"/>
      <c r="AE826" s="1065"/>
      <c r="AF826" s="1065"/>
      <c r="AG826" s="1065"/>
      <c r="AH826" s="1065"/>
      <c r="AI826" s="1065"/>
      <c r="AJ826" s="1065"/>
      <c r="AK826" s="1065"/>
      <c r="AL826" s="1065"/>
      <c r="AM826" s="1065"/>
      <c r="AN826" s="1065"/>
      <c r="AO826" s="1065"/>
      <c r="AP826" s="1065"/>
      <c r="AQ826" s="1065"/>
      <c r="AR826" s="1065"/>
      <c r="AS826" s="1065"/>
      <c r="AT826" s="1065"/>
      <c r="AU826" s="1065"/>
      <c r="AV826" s="1065"/>
      <c r="AW826" s="1065"/>
      <c r="AX826" s="1065"/>
      <c r="AY826" s="1065"/>
      <c r="AZ826" s="1065"/>
      <c r="BA826" s="1065"/>
      <c r="BB826" s="1065"/>
      <c r="BC826" s="1065"/>
      <c r="BD826" s="1065"/>
      <c r="BE826" s="1065"/>
      <c r="BF826" s="1065"/>
      <c r="BG826" s="1065"/>
      <c r="BH826" s="1065"/>
      <c r="BI826" s="1065"/>
      <c r="BJ826" s="1065"/>
      <c r="BK826" s="1065"/>
      <c r="BL826" s="1065"/>
      <c r="BM826" s="1065"/>
      <c r="BN826" s="1065"/>
      <c r="BO826" s="1065"/>
      <c r="BP826" s="1065"/>
      <c r="BQ826" s="1065"/>
      <c r="BR826" s="1065"/>
      <c r="BS826" s="1065"/>
      <c r="BT826" s="1065"/>
      <c r="BU826" s="1065"/>
      <c r="BV826" s="1065"/>
      <c r="BW826" s="1065"/>
      <c r="BX826" s="1065"/>
      <c r="BY826" s="1065"/>
      <c r="BZ826" s="1065"/>
      <c r="CA826" s="1065"/>
      <c r="CB826" s="1065"/>
      <c r="CC826" s="1065"/>
      <c r="CD826" s="1065"/>
      <c r="CE826" s="1065"/>
      <c r="CF826" s="1065"/>
      <c r="CG826" s="1065"/>
      <c r="CH826" s="1065"/>
      <c r="CI826" s="1065"/>
      <c r="CJ826" s="1065"/>
      <c r="CK826" s="1065"/>
      <c r="CL826" s="1065"/>
      <c r="CM826" s="1065"/>
      <c r="CN826" s="1065"/>
      <c r="CO826" s="1065"/>
      <c r="CP826" s="1065"/>
      <c r="CQ826" s="1065"/>
      <c r="CR826" s="1065"/>
      <c r="CS826" s="1065"/>
      <c r="CT826" s="1065"/>
      <c r="CU826" s="1065"/>
      <c r="CV826" s="1065"/>
      <c r="CW826" s="1065"/>
      <c r="CX826" s="1065"/>
      <c r="CY826" s="1065"/>
      <c r="CZ826" s="1065"/>
      <c r="DA826" s="1065"/>
      <c r="DB826" s="1065"/>
    </row>
    <row r="827" spans="1:106" ht="15" customHeight="1">
      <c r="A827" s="1065"/>
      <c r="B827" s="1065"/>
      <c r="C827" s="1065"/>
      <c r="D827" s="1065"/>
      <c r="E827" s="1065"/>
      <c r="F827" s="1065"/>
      <c r="G827" s="1065"/>
      <c r="H827" s="1223"/>
      <c r="I827" s="1223"/>
      <c r="J827" s="1224"/>
      <c r="K827" s="1224"/>
      <c r="L827" s="1224"/>
      <c r="M827" s="1225"/>
      <c r="N827" s="1225"/>
      <c r="O827" s="1226"/>
      <c r="P827" s="1227"/>
      <c r="Q827" s="1227"/>
      <c r="R827" s="1228"/>
      <c r="S827" s="1224"/>
      <c r="T827" s="1229"/>
      <c r="U827" s="1065"/>
      <c r="V827" s="1065"/>
      <c r="W827" s="1065"/>
      <c r="X827" s="1065"/>
      <c r="Y827" s="1065"/>
      <c r="Z827" s="1065"/>
      <c r="AA827" s="1065"/>
      <c r="AB827" s="1065"/>
      <c r="AC827" s="1065"/>
      <c r="AD827" s="1065"/>
      <c r="AE827" s="1065"/>
      <c r="AF827" s="1065"/>
      <c r="AG827" s="1065"/>
      <c r="AH827" s="1065"/>
      <c r="AI827" s="1065"/>
      <c r="AJ827" s="1065"/>
      <c r="AK827" s="1065"/>
      <c r="AL827" s="1065"/>
      <c r="AM827" s="1065"/>
      <c r="AN827" s="1065"/>
      <c r="AO827" s="1065"/>
      <c r="AP827" s="1065"/>
      <c r="AQ827" s="1065"/>
      <c r="AR827" s="1065"/>
      <c r="AS827" s="1065"/>
      <c r="AT827" s="1065"/>
      <c r="AU827" s="1065"/>
      <c r="AV827" s="1065"/>
      <c r="AW827" s="1065"/>
      <c r="AX827" s="1065"/>
      <c r="AY827" s="1065"/>
      <c r="AZ827" s="1065"/>
      <c r="BA827" s="1065"/>
      <c r="BB827" s="1065"/>
      <c r="BC827" s="1065"/>
      <c r="BD827" s="1065"/>
      <c r="BE827" s="1065"/>
      <c r="BF827" s="1065"/>
      <c r="BG827" s="1065"/>
      <c r="BH827" s="1065"/>
      <c r="BI827" s="1065"/>
      <c r="BJ827" s="1065"/>
      <c r="BK827" s="1065"/>
      <c r="BL827" s="1065"/>
      <c r="BM827" s="1065"/>
      <c r="BN827" s="1065"/>
      <c r="BO827" s="1065"/>
      <c r="BP827" s="1065"/>
      <c r="BQ827" s="1065"/>
      <c r="BR827" s="1065"/>
      <c r="BS827" s="1065"/>
      <c r="BT827" s="1065"/>
      <c r="BU827" s="1065"/>
      <c r="BV827" s="1065"/>
      <c r="BW827" s="1065"/>
      <c r="BX827" s="1065"/>
      <c r="BY827" s="1065"/>
      <c r="BZ827" s="1065"/>
      <c r="CA827" s="1065"/>
      <c r="CB827" s="1065"/>
      <c r="CC827" s="1065"/>
      <c r="CD827" s="1065"/>
      <c r="CE827" s="1065"/>
      <c r="CF827" s="1065"/>
      <c r="CG827" s="1065"/>
      <c r="CH827" s="1065"/>
      <c r="CI827" s="1065"/>
      <c r="CJ827" s="1065"/>
      <c r="CK827" s="1065"/>
      <c r="CL827" s="1065"/>
      <c r="CM827" s="1065"/>
      <c r="CN827" s="1065"/>
      <c r="CO827" s="1065"/>
      <c r="CP827" s="1065"/>
      <c r="CQ827" s="1065"/>
      <c r="CR827" s="1065"/>
      <c r="CS827" s="1065"/>
      <c r="CT827" s="1065"/>
      <c r="CU827" s="1065"/>
      <c r="CV827" s="1065"/>
      <c r="CW827" s="1065"/>
      <c r="CX827" s="1065"/>
      <c r="CY827" s="1065"/>
      <c r="CZ827" s="1065"/>
      <c r="DA827" s="1065"/>
      <c r="DB827" s="1065"/>
    </row>
    <row r="828" spans="1:106" ht="15" customHeight="1">
      <c r="A828" s="1065"/>
      <c r="B828" s="1065"/>
      <c r="C828" s="1065"/>
      <c r="D828" s="1065"/>
      <c r="E828" s="1065"/>
      <c r="F828" s="1065"/>
      <c r="G828" s="1065"/>
      <c r="H828" s="1223"/>
      <c r="I828" s="1223"/>
      <c r="J828" s="1224"/>
      <c r="K828" s="1224"/>
      <c r="L828" s="1224"/>
      <c r="M828" s="1225"/>
      <c r="N828" s="1225"/>
      <c r="O828" s="1226"/>
      <c r="P828" s="1227"/>
      <c r="Q828" s="1227"/>
      <c r="R828" s="1228"/>
      <c r="S828" s="1224"/>
      <c r="T828" s="1229"/>
      <c r="U828" s="1065"/>
      <c r="V828" s="1065"/>
      <c r="W828" s="1065"/>
      <c r="X828" s="1065"/>
      <c r="Y828" s="1065"/>
      <c r="Z828" s="1065"/>
      <c r="AA828" s="1065"/>
      <c r="AB828" s="1065"/>
      <c r="AC828" s="1065"/>
      <c r="AD828" s="1065"/>
      <c r="AE828" s="1065"/>
      <c r="AF828" s="1065"/>
      <c r="AG828" s="1065"/>
      <c r="AH828" s="1065"/>
      <c r="AI828" s="1065"/>
      <c r="AJ828" s="1065"/>
      <c r="AK828" s="1065"/>
      <c r="AL828" s="1065"/>
      <c r="AM828" s="1065"/>
      <c r="AN828" s="1065"/>
      <c r="AO828" s="1065"/>
      <c r="AP828" s="1065"/>
      <c r="AQ828" s="1065"/>
      <c r="AR828" s="1065"/>
      <c r="AS828" s="1065"/>
      <c r="AT828" s="1065"/>
      <c r="AU828" s="1065"/>
      <c r="AV828" s="1065"/>
      <c r="AW828" s="1065"/>
      <c r="AX828" s="1065"/>
      <c r="AY828" s="1065"/>
      <c r="AZ828" s="1065"/>
      <c r="BA828" s="1065"/>
      <c r="BB828" s="1065"/>
      <c r="BC828" s="1065"/>
      <c r="BD828" s="1065"/>
      <c r="BE828" s="1065"/>
      <c r="BF828" s="1065"/>
      <c r="BG828" s="1065"/>
      <c r="BH828" s="1065"/>
      <c r="BI828" s="1065"/>
      <c r="BJ828" s="1065"/>
      <c r="BK828" s="1065"/>
      <c r="BL828" s="1065"/>
      <c r="BM828" s="1065"/>
      <c r="BN828" s="1065"/>
      <c r="BO828" s="1065"/>
      <c r="BP828" s="1065"/>
      <c r="BQ828" s="1065"/>
      <c r="BR828" s="1065"/>
      <c r="BS828" s="1065"/>
      <c r="BT828" s="1065"/>
      <c r="BU828" s="1065"/>
      <c r="BV828" s="1065"/>
      <c r="BW828" s="1065"/>
      <c r="BX828" s="1065"/>
      <c r="BY828" s="1065"/>
      <c r="BZ828" s="1065"/>
      <c r="CA828" s="1065"/>
      <c r="CB828" s="1065"/>
      <c r="CC828" s="1065"/>
      <c r="CD828" s="1065"/>
      <c r="CE828" s="1065"/>
      <c r="CF828" s="1065"/>
      <c r="CG828" s="1065"/>
      <c r="CH828" s="1065"/>
      <c r="CI828" s="1065"/>
      <c r="CJ828" s="1065"/>
      <c r="CK828" s="1065"/>
      <c r="CL828" s="1065"/>
      <c r="CM828" s="1065"/>
      <c r="CN828" s="1065"/>
      <c r="CO828" s="1065"/>
      <c r="CP828" s="1065"/>
      <c r="CQ828" s="1065"/>
      <c r="CR828" s="1065"/>
      <c r="CS828" s="1065"/>
      <c r="CT828" s="1065"/>
      <c r="CU828" s="1065"/>
      <c r="CV828" s="1065"/>
      <c r="CW828" s="1065"/>
      <c r="CX828" s="1065"/>
      <c r="CY828" s="1065"/>
      <c r="CZ828" s="1065"/>
      <c r="DA828" s="1065"/>
      <c r="DB828" s="1065"/>
    </row>
    <row r="829" spans="1:106" ht="15" customHeight="1">
      <c r="A829" s="1065"/>
      <c r="B829" s="1065"/>
      <c r="C829" s="1065"/>
      <c r="D829" s="1065"/>
      <c r="E829" s="1065"/>
      <c r="F829" s="1065"/>
      <c r="G829" s="1065"/>
      <c r="H829" s="1223"/>
      <c r="I829" s="1223"/>
      <c r="J829" s="1224"/>
      <c r="K829" s="1224"/>
      <c r="L829" s="1224"/>
      <c r="M829" s="1225"/>
      <c r="N829" s="1225"/>
      <c r="O829" s="1226"/>
      <c r="P829" s="1227"/>
      <c r="Q829" s="1227"/>
      <c r="R829" s="1228"/>
      <c r="S829" s="1224"/>
      <c r="T829" s="1229"/>
      <c r="U829" s="1065"/>
      <c r="V829" s="1065"/>
      <c r="W829" s="1065"/>
      <c r="X829" s="1065"/>
      <c r="Y829" s="1065"/>
      <c r="Z829" s="1065"/>
      <c r="AA829" s="1065"/>
      <c r="AB829" s="1065"/>
      <c r="AC829" s="1065"/>
      <c r="AD829" s="1065"/>
      <c r="AE829" s="1065"/>
      <c r="AF829" s="1065"/>
      <c r="AG829" s="1065"/>
      <c r="AH829" s="1065"/>
      <c r="AI829" s="1065"/>
      <c r="AJ829" s="1065"/>
      <c r="AK829" s="1065"/>
      <c r="AL829" s="1065"/>
      <c r="AM829" s="1065"/>
      <c r="AN829" s="1065"/>
      <c r="AO829" s="1065"/>
      <c r="AP829" s="1065"/>
      <c r="AQ829" s="1065"/>
      <c r="AR829" s="1065"/>
      <c r="AS829" s="1065"/>
      <c r="AT829" s="1065"/>
      <c r="AU829" s="1065"/>
      <c r="AV829" s="1065"/>
      <c r="AW829" s="1065"/>
      <c r="AX829" s="1065"/>
      <c r="AY829" s="1065"/>
      <c r="AZ829" s="1065"/>
      <c r="BA829" s="1065"/>
      <c r="BB829" s="1065"/>
      <c r="BC829" s="1065"/>
      <c r="BD829" s="1065"/>
      <c r="BE829" s="1065"/>
      <c r="BF829" s="1065"/>
      <c r="BG829" s="1065"/>
      <c r="BH829" s="1065"/>
      <c r="BI829" s="1065"/>
      <c r="BJ829" s="1065"/>
      <c r="BK829" s="1065"/>
      <c r="BL829" s="1065"/>
      <c r="BM829" s="1065"/>
      <c r="BN829" s="1065"/>
      <c r="BO829" s="1065"/>
      <c r="BP829" s="1065"/>
      <c r="BQ829" s="1065"/>
      <c r="BR829" s="1065"/>
      <c r="BS829" s="1065"/>
      <c r="BT829" s="1065"/>
      <c r="BU829" s="1065"/>
      <c r="BV829" s="1065"/>
      <c r="BW829" s="1065"/>
      <c r="BX829" s="1065"/>
      <c r="BY829" s="1065"/>
      <c r="BZ829" s="1065"/>
      <c r="CA829" s="1065"/>
      <c r="CB829" s="1065"/>
      <c r="CC829" s="1065"/>
      <c r="CD829" s="1065"/>
      <c r="CE829" s="1065"/>
      <c r="CF829" s="1065"/>
      <c r="CG829" s="1065"/>
      <c r="CH829" s="1065"/>
      <c r="CI829" s="1065"/>
      <c r="CJ829" s="1065"/>
      <c r="CK829" s="1065"/>
      <c r="CL829" s="1065"/>
      <c r="CM829" s="1065"/>
      <c r="CN829" s="1065"/>
      <c r="CO829" s="1065"/>
      <c r="CP829" s="1065"/>
      <c r="CQ829" s="1065"/>
      <c r="CR829" s="1065"/>
      <c r="CS829" s="1065"/>
      <c r="CT829" s="1065"/>
      <c r="CU829" s="1065"/>
      <c r="CV829" s="1065"/>
      <c r="CW829" s="1065"/>
      <c r="CX829" s="1065"/>
      <c r="CY829" s="1065"/>
      <c r="CZ829" s="1065"/>
      <c r="DA829" s="1065"/>
      <c r="DB829" s="1065"/>
    </row>
    <row r="830" spans="1:106" ht="15" customHeight="1">
      <c r="A830" s="1065"/>
      <c r="B830" s="1065"/>
      <c r="C830" s="1065"/>
      <c r="D830" s="1065"/>
      <c r="E830" s="1065"/>
      <c r="F830" s="1065"/>
      <c r="G830" s="1065"/>
      <c r="H830" s="1223"/>
      <c r="I830" s="1223"/>
      <c r="J830" s="1224"/>
      <c r="K830" s="1224"/>
      <c r="L830" s="1224"/>
      <c r="M830" s="1225"/>
      <c r="N830" s="1225"/>
      <c r="O830" s="1226"/>
      <c r="P830" s="1227"/>
      <c r="Q830" s="1227"/>
      <c r="R830" s="1228"/>
      <c r="S830" s="1224"/>
      <c r="T830" s="1229"/>
      <c r="U830" s="1065"/>
      <c r="V830" s="1065"/>
      <c r="W830" s="1065"/>
      <c r="X830" s="1065"/>
      <c r="Y830" s="1065"/>
      <c r="Z830" s="1065"/>
      <c r="AA830" s="1065"/>
      <c r="AB830" s="1065"/>
      <c r="AC830" s="1065"/>
      <c r="AD830" s="1065"/>
      <c r="AE830" s="1065"/>
      <c r="AF830" s="1065"/>
      <c r="AG830" s="1065"/>
      <c r="AH830" s="1065"/>
      <c r="AI830" s="1065"/>
      <c r="AJ830" s="1065"/>
      <c r="AK830" s="1065"/>
      <c r="AL830" s="1065"/>
      <c r="AM830" s="1065"/>
      <c r="AN830" s="1065"/>
      <c r="AO830" s="1065"/>
      <c r="AP830" s="1065"/>
      <c r="AQ830" s="1065"/>
      <c r="AR830" s="1065"/>
      <c r="AS830" s="1065"/>
      <c r="AT830" s="1065"/>
      <c r="AU830" s="1065"/>
      <c r="AV830" s="1065"/>
      <c r="AW830" s="1065"/>
      <c r="AX830" s="1065"/>
      <c r="AY830" s="1065"/>
      <c r="AZ830" s="1065"/>
      <c r="BA830" s="1065"/>
      <c r="BB830" s="1065"/>
      <c r="BC830" s="1065"/>
      <c r="BD830" s="1065"/>
      <c r="BE830" s="1065"/>
      <c r="BF830" s="1065"/>
      <c r="BG830" s="1065"/>
      <c r="BH830" s="1065"/>
      <c r="BI830" s="1065"/>
      <c r="BJ830" s="1065"/>
      <c r="BK830" s="1065"/>
      <c r="BL830" s="1065"/>
      <c r="BM830" s="1065"/>
      <c r="BN830" s="1065"/>
      <c r="BO830" s="1065"/>
      <c r="BP830" s="1065"/>
      <c r="BQ830" s="1065"/>
      <c r="BR830" s="1065"/>
      <c r="BS830" s="1065"/>
      <c r="BT830" s="1065"/>
      <c r="BU830" s="1065"/>
      <c r="BV830" s="1065"/>
      <c r="BW830" s="1065"/>
      <c r="BX830" s="1065"/>
      <c r="BY830" s="1065"/>
      <c r="BZ830" s="1065"/>
      <c r="CA830" s="1065"/>
      <c r="CB830" s="1065"/>
      <c r="CC830" s="1065"/>
      <c r="CD830" s="1065"/>
      <c r="CE830" s="1065"/>
      <c r="CF830" s="1065"/>
      <c r="CG830" s="1065"/>
      <c r="CH830" s="1065"/>
      <c r="CI830" s="1065"/>
      <c r="CJ830" s="1065"/>
      <c r="CK830" s="1065"/>
      <c r="CL830" s="1065"/>
      <c r="CM830" s="1065"/>
      <c r="CN830" s="1065"/>
      <c r="CO830" s="1065"/>
      <c r="CP830" s="1065"/>
      <c r="CQ830" s="1065"/>
      <c r="CR830" s="1065"/>
      <c r="CS830" s="1065"/>
      <c r="CT830" s="1065"/>
      <c r="CU830" s="1065"/>
      <c r="CV830" s="1065"/>
      <c r="CW830" s="1065"/>
      <c r="CX830" s="1065"/>
      <c r="CY830" s="1065"/>
      <c r="CZ830" s="1065"/>
      <c r="DA830" s="1065"/>
      <c r="DB830" s="1065"/>
    </row>
    <row r="831" spans="1:106" ht="15" customHeight="1">
      <c r="A831" s="1065"/>
      <c r="B831" s="1065"/>
      <c r="C831" s="1065"/>
      <c r="D831" s="1065"/>
      <c r="E831" s="1065"/>
      <c r="F831" s="1065"/>
      <c r="G831" s="1065"/>
      <c r="H831" s="1223"/>
      <c r="I831" s="1223"/>
      <c r="J831" s="1224"/>
      <c r="K831" s="1224"/>
      <c r="L831" s="1224"/>
      <c r="M831" s="1225"/>
      <c r="N831" s="1225"/>
      <c r="O831" s="1226"/>
      <c r="P831" s="1227"/>
      <c r="Q831" s="1227"/>
      <c r="R831" s="1228"/>
      <c r="S831" s="1224"/>
      <c r="T831" s="1229"/>
      <c r="U831" s="1065"/>
      <c r="V831" s="1065"/>
      <c r="W831" s="1065"/>
      <c r="X831" s="1065"/>
      <c r="Y831" s="1065"/>
      <c r="Z831" s="1065"/>
      <c r="AA831" s="1065"/>
      <c r="AB831" s="1065"/>
      <c r="AC831" s="1065"/>
      <c r="AD831" s="1065"/>
      <c r="AE831" s="1065"/>
      <c r="AF831" s="1065"/>
      <c r="AG831" s="1065"/>
      <c r="AH831" s="1065"/>
      <c r="AI831" s="1065"/>
      <c r="AJ831" s="1065"/>
      <c r="AK831" s="1065"/>
      <c r="AL831" s="1065"/>
      <c r="AM831" s="1065"/>
      <c r="AN831" s="1065"/>
      <c r="AO831" s="1065"/>
      <c r="AP831" s="1065"/>
      <c r="AQ831" s="1065"/>
      <c r="AR831" s="1065"/>
      <c r="AS831" s="1065"/>
      <c r="AT831" s="1065"/>
      <c r="AU831" s="1065"/>
      <c r="AV831" s="1065"/>
      <c r="AW831" s="1065"/>
      <c r="AX831" s="1065"/>
      <c r="AY831" s="1065"/>
      <c r="AZ831" s="1065"/>
      <c r="BA831" s="1065"/>
      <c r="BB831" s="1065"/>
      <c r="BC831" s="1065"/>
      <c r="BD831" s="1065"/>
      <c r="BE831" s="1065"/>
      <c r="BF831" s="1065"/>
      <c r="BG831" s="1065"/>
      <c r="BH831" s="1065"/>
      <c r="BI831" s="1065"/>
      <c r="BJ831" s="1065"/>
      <c r="BK831" s="1065"/>
      <c r="BL831" s="1065"/>
      <c r="BM831" s="1065"/>
      <c r="BN831" s="1065"/>
      <c r="BO831" s="1065"/>
      <c r="BP831" s="1065"/>
      <c r="BQ831" s="1065"/>
      <c r="BR831" s="1065"/>
      <c r="BS831" s="1065"/>
      <c r="BT831" s="1065"/>
      <c r="BU831" s="1065"/>
      <c r="BV831" s="1065"/>
      <c r="BW831" s="1065"/>
      <c r="BX831" s="1065"/>
      <c r="BY831" s="1065"/>
      <c r="BZ831" s="1065"/>
      <c r="CA831" s="1065"/>
      <c r="CB831" s="1065"/>
      <c r="CC831" s="1065"/>
      <c r="CD831" s="1065"/>
      <c r="CE831" s="1065"/>
      <c r="CF831" s="1065"/>
      <c r="CG831" s="1065"/>
      <c r="CH831" s="1065"/>
      <c r="CI831" s="1065"/>
      <c r="CJ831" s="1065"/>
      <c r="CK831" s="1065"/>
      <c r="CL831" s="1065"/>
      <c r="CM831" s="1065"/>
      <c r="CN831" s="1065"/>
      <c r="CO831" s="1065"/>
      <c r="CP831" s="1065"/>
      <c r="CQ831" s="1065"/>
      <c r="CR831" s="1065"/>
      <c r="CS831" s="1065"/>
      <c r="CT831" s="1065"/>
      <c r="CU831" s="1065"/>
      <c r="CV831" s="1065"/>
      <c r="CW831" s="1065"/>
      <c r="CX831" s="1065"/>
      <c r="CY831" s="1065"/>
      <c r="CZ831" s="1065"/>
      <c r="DA831" s="1065"/>
      <c r="DB831" s="1065"/>
    </row>
    <row r="832" spans="1:106" ht="15" customHeight="1">
      <c r="A832" s="1065"/>
      <c r="B832" s="1065"/>
      <c r="C832" s="1065"/>
      <c r="D832" s="1065"/>
      <c r="E832" s="1065"/>
      <c r="F832" s="1065"/>
      <c r="G832" s="1065"/>
      <c r="H832" s="1223"/>
      <c r="I832" s="1223"/>
      <c r="J832" s="1224"/>
      <c r="K832" s="1224"/>
      <c r="L832" s="1224"/>
      <c r="M832" s="1225"/>
      <c r="N832" s="1225"/>
      <c r="O832" s="1226"/>
      <c r="P832" s="1227"/>
      <c r="Q832" s="1227"/>
      <c r="R832" s="1228"/>
      <c r="S832" s="1224"/>
      <c r="T832" s="1229"/>
      <c r="U832" s="1065"/>
      <c r="V832" s="1065"/>
      <c r="W832" s="1065"/>
      <c r="X832" s="1065"/>
      <c r="Y832" s="1065"/>
      <c r="Z832" s="1065"/>
      <c r="AA832" s="1065"/>
      <c r="AB832" s="1065"/>
      <c r="AC832" s="1065"/>
      <c r="AD832" s="1065"/>
      <c r="AE832" s="1065"/>
      <c r="AF832" s="1065"/>
      <c r="AG832" s="1065"/>
      <c r="AH832" s="1065"/>
      <c r="AI832" s="1065"/>
      <c r="AJ832" s="1065"/>
      <c r="AK832" s="1065"/>
      <c r="AL832" s="1065"/>
      <c r="AM832" s="1065"/>
      <c r="AN832" s="1065"/>
      <c r="AO832" s="1065"/>
      <c r="AP832" s="1065"/>
      <c r="AQ832" s="1065"/>
      <c r="AR832" s="1065"/>
      <c r="AS832" s="1065"/>
      <c r="AT832" s="1065"/>
      <c r="AU832" s="1065"/>
      <c r="AV832" s="1065"/>
      <c r="AW832" s="1065"/>
      <c r="AX832" s="1065"/>
      <c r="AY832" s="1065"/>
      <c r="AZ832" s="1065"/>
      <c r="BA832" s="1065"/>
      <c r="BB832" s="1065"/>
      <c r="BC832" s="1065"/>
      <c r="BD832" s="1065"/>
      <c r="BE832" s="1065"/>
      <c r="BF832" s="1065"/>
      <c r="BG832" s="1065"/>
      <c r="BH832" s="1065"/>
      <c r="BI832" s="1065"/>
      <c r="BJ832" s="1065"/>
      <c r="BK832" s="1065"/>
      <c r="BL832" s="1065"/>
      <c r="BM832" s="1065"/>
      <c r="BN832" s="1065"/>
      <c r="BO832" s="1065"/>
      <c r="BP832" s="1065"/>
      <c r="BQ832" s="1065"/>
      <c r="BR832" s="1065"/>
      <c r="BS832" s="1065"/>
      <c r="BT832" s="1065"/>
      <c r="BU832" s="1065"/>
      <c r="BV832" s="1065"/>
      <c r="BW832" s="1065"/>
      <c r="BX832" s="1065"/>
      <c r="BY832" s="1065"/>
      <c r="BZ832" s="1065"/>
      <c r="CA832" s="1065"/>
      <c r="CB832" s="1065"/>
      <c r="CC832" s="1065"/>
      <c r="CD832" s="1065"/>
      <c r="CE832" s="1065"/>
      <c r="CF832" s="1065"/>
      <c r="CG832" s="1065"/>
      <c r="CH832" s="1065"/>
      <c r="CI832" s="1065"/>
      <c r="CJ832" s="1065"/>
      <c r="CK832" s="1065"/>
      <c r="CL832" s="1065"/>
      <c r="CM832" s="1065"/>
      <c r="CN832" s="1065"/>
      <c r="CO832" s="1065"/>
      <c r="CP832" s="1065"/>
      <c r="CQ832" s="1065"/>
      <c r="CR832" s="1065"/>
      <c r="CS832" s="1065"/>
      <c r="CT832" s="1065"/>
      <c r="CU832" s="1065"/>
      <c r="CV832" s="1065"/>
      <c r="CW832" s="1065"/>
      <c r="CX832" s="1065"/>
      <c r="CY832" s="1065"/>
      <c r="CZ832" s="1065"/>
      <c r="DA832" s="1065"/>
      <c r="DB832" s="1065"/>
    </row>
    <row r="833" spans="1:106" ht="15" customHeight="1">
      <c r="A833" s="1065"/>
      <c r="B833" s="1065"/>
      <c r="C833" s="1065"/>
      <c r="D833" s="1065"/>
      <c r="E833" s="1065"/>
      <c r="F833" s="1065"/>
      <c r="G833" s="1065"/>
      <c r="H833" s="1223"/>
      <c r="I833" s="1223"/>
      <c r="J833" s="1224"/>
      <c r="K833" s="1224"/>
      <c r="L833" s="1224"/>
      <c r="M833" s="1225"/>
      <c r="N833" s="1225"/>
      <c r="O833" s="1226"/>
      <c r="P833" s="1227"/>
      <c r="Q833" s="1227"/>
      <c r="R833" s="1228"/>
      <c r="S833" s="1224"/>
      <c r="T833" s="1229"/>
      <c r="U833" s="1065"/>
      <c r="V833" s="1065"/>
      <c r="W833" s="1065"/>
      <c r="X833" s="1065"/>
      <c r="Y833" s="1065"/>
      <c r="Z833" s="1065"/>
      <c r="AA833" s="1065"/>
      <c r="AB833" s="1065"/>
      <c r="AC833" s="1065"/>
      <c r="AD833" s="1065"/>
      <c r="AE833" s="1065"/>
      <c r="AF833" s="1065"/>
      <c r="AG833" s="1065"/>
      <c r="AH833" s="1065"/>
      <c r="AI833" s="1065"/>
      <c r="AJ833" s="1065"/>
      <c r="AK833" s="1065"/>
      <c r="AL833" s="1065"/>
      <c r="AM833" s="1065"/>
      <c r="AN833" s="1065"/>
      <c r="AO833" s="1065"/>
      <c r="AP833" s="1065"/>
      <c r="AQ833" s="1065"/>
      <c r="AR833" s="1065"/>
      <c r="AS833" s="1065"/>
      <c r="AT833" s="1065"/>
      <c r="AU833" s="1065"/>
      <c r="AV833" s="1065"/>
      <c r="AW833" s="1065"/>
      <c r="AX833" s="1065"/>
      <c r="AY833" s="1065"/>
      <c r="AZ833" s="1065"/>
      <c r="BA833" s="1065"/>
      <c r="BB833" s="1065"/>
      <c r="BC833" s="1065"/>
      <c r="BD833" s="1065"/>
      <c r="BE833" s="1065"/>
      <c r="BF833" s="1065"/>
      <c r="BG833" s="1065"/>
      <c r="BH833" s="1065"/>
      <c r="BI833" s="1065"/>
      <c r="BJ833" s="1065"/>
      <c r="BK833" s="1065"/>
      <c r="BL833" s="1065"/>
      <c r="BM833" s="1065"/>
      <c r="BN833" s="1065"/>
      <c r="BO833" s="1065"/>
      <c r="BP833" s="1065"/>
      <c r="BQ833" s="1065"/>
      <c r="BR833" s="1065"/>
      <c r="BS833" s="1065"/>
      <c r="BT833" s="1065"/>
      <c r="BU833" s="1065"/>
      <c r="BV833" s="1065"/>
      <c r="BW833" s="1065"/>
      <c r="BX833" s="1065"/>
      <c r="BY833" s="1065"/>
      <c r="BZ833" s="1065"/>
      <c r="CA833" s="1065"/>
      <c r="CB833" s="1065"/>
      <c r="CC833" s="1065"/>
      <c r="CD833" s="1065"/>
      <c r="CE833" s="1065"/>
      <c r="CF833" s="1065"/>
      <c r="CG833" s="1065"/>
      <c r="CH833" s="1065"/>
      <c r="CI833" s="1065"/>
      <c r="CJ833" s="1065"/>
      <c r="CK833" s="1065"/>
      <c r="CL833" s="1065"/>
      <c r="CM833" s="1065"/>
      <c r="CN833" s="1065"/>
      <c r="CO833" s="1065"/>
      <c r="CP833" s="1065"/>
      <c r="CQ833" s="1065"/>
      <c r="CR833" s="1065"/>
      <c r="CS833" s="1065"/>
      <c r="CT833" s="1065"/>
      <c r="CU833" s="1065"/>
      <c r="CV833" s="1065"/>
      <c r="CW833" s="1065"/>
      <c r="CX833" s="1065"/>
      <c r="CY833" s="1065"/>
      <c r="CZ833" s="1065"/>
      <c r="DA833" s="1065"/>
      <c r="DB833" s="1065"/>
    </row>
    <row r="834" spans="1:106" ht="15" customHeight="1">
      <c r="A834" s="1065"/>
      <c r="B834" s="1065"/>
      <c r="C834" s="1065"/>
      <c r="D834" s="1065"/>
      <c r="E834" s="1065"/>
      <c r="F834" s="1065"/>
      <c r="G834" s="1065"/>
      <c r="H834" s="1223"/>
      <c r="I834" s="1223"/>
      <c r="J834" s="1224"/>
      <c r="K834" s="1224"/>
      <c r="L834" s="1224"/>
      <c r="M834" s="1225"/>
      <c r="N834" s="1225"/>
      <c r="O834" s="1226"/>
      <c r="P834" s="1227"/>
      <c r="Q834" s="1227"/>
      <c r="R834" s="1228"/>
      <c r="S834" s="1224"/>
      <c r="T834" s="1229"/>
      <c r="U834" s="1065"/>
      <c r="V834" s="1065"/>
      <c r="W834" s="1065"/>
      <c r="X834" s="1065"/>
      <c r="Y834" s="1065"/>
      <c r="Z834" s="1065"/>
      <c r="AA834" s="1065"/>
      <c r="AB834" s="1065"/>
      <c r="AC834" s="1065"/>
      <c r="AD834" s="1065"/>
      <c r="AE834" s="1065"/>
      <c r="AF834" s="1065"/>
      <c r="AG834" s="1065"/>
      <c r="AH834" s="1065"/>
      <c r="AI834" s="1065"/>
      <c r="AJ834" s="1065"/>
      <c r="AK834" s="1065"/>
      <c r="AL834" s="1065"/>
      <c r="AM834" s="1065"/>
      <c r="AN834" s="1065"/>
      <c r="AO834" s="1065"/>
      <c r="AP834" s="1065"/>
      <c r="AQ834" s="1065"/>
      <c r="AR834" s="1065"/>
      <c r="AS834" s="1065"/>
      <c r="AT834" s="1065"/>
      <c r="AU834" s="1065"/>
      <c r="AV834" s="1065"/>
      <c r="AW834" s="1065"/>
      <c r="AX834" s="1065"/>
      <c r="AY834" s="1065"/>
      <c r="AZ834" s="1065"/>
      <c r="BA834" s="1065"/>
      <c r="BB834" s="1065"/>
      <c r="BC834" s="1065"/>
      <c r="BD834" s="1065"/>
      <c r="BE834" s="1065"/>
      <c r="BF834" s="1065"/>
      <c r="BG834" s="1065"/>
      <c r="BH834" s="1065"/>
      <c r="BI834" s="1065"/>
      <c r="BJ834" s="1065"/>
      <c r="BK834" s="1065"/>
      <c r="BL834" s="1065"/>
      <c r="BM834" s="1065"/>
      <c r="BN834" s="1065"/>
      <c r="BO834" s="1065"/>
      <c r="BP834" s="1065"/>
      <c r="BQ834" s="1065"/>
      <c r="BR834" s="1065"/>
      <c r="BS834" s="1065"/>
      <c r="BT834" s="1065"/>
      <c r="BU834" s="1065"/>
      <c r="BV834" s="1065"/>
      <c r="BW834" s="1065"/>
      <c r="BX834" s="1065"/>
      <c r="BY834" s="1065"/>
      <c r="BZ834" s="1065"/>
      <c r="CA834" s="1065"/>
      <c r="CB834" s="1065"/>
      <c r="CC834" s="1065"/>
      <c r="CD834" s="1065"/>
      <c r="CE834" s="1065"/>
      <c r="CF834" s="1065"/>
      <c r="CG834" s="1065"/>
      <c r="CH834" s="1065"/>
      <c r="CI834" s="1065"/>
      <c r="CJ834" s="1065"/>
      <c r="CK834" s="1065"/>
      <c r="CL834" s="1065"/>
      <c r="CM834" s="1065"/>
      <c r="CN834" s="1065"/>
      <c r="CO834" s="1065"/>
      <c r="CP834" s="1065"/>
      <c r="CQ834" s="1065"/>
      <c r="CR834" s="1065"/>
      <c r="CS834" s="1065"/>
      <c r="CT834" s="1065"/>
      <c r="CU834" s="1065"/>
      <c r="CV834" s="1065"/>
      <c r="CW834" s="1065"/>
      <c r="CX834" s="1065"/>
      <c r="CY834" s="1065"/>
      <c r="CZ834" s="1065"/>
      <c r="DA834" s="1065"/>
      <c r="DB834" s="1065"/>
    </row>
    <row r="835" spans="1:106" ht="15" customHeight="1">
      <c r="A835" s="1065"/>
      <c r="B835" s="1065"/>
      <c r="C835" s="1065"/>
      <c r="D835" s="1065"/>
      <c r="E835" s="1065"/>
      <c r="F835" s="1065"/>
      <c r="G835" s="1065"/>
      <c r="H835" s="1223"/>
      <c r="I835" s="1223"/>
      <c r="J835" s="1224"/>
      <c r="K835" s="1224"/>
      <c r="L835" s="1224"/>
      <c r="M835" s="1225"/>
      <c r="N835" s="1225"/>
      <c r="O835" s="1226"/>
      <c r="P835" s="1227"/>
      <c r="Q835" s="1227"/>
      <c r="R835" s="1228"/>
      <c r="S835" s="1224"/>
      <c r="T835" s="1229"/>
      <c r="U835" s="1065"/>
      <c r="V835" s="1065"/>
      <c r="W835" s="1065"/>
      <c r="X835" s="1065"/>
      <c r="Y835" s="1065"/>
      <c r="Z835" s="1065"/>
      <c r="AA835" s="1065"/>
      <c r="AB835" s="1065"/>
      <c r="AC835" s="1065"/>
      <c r="AD835" s="1065"/>
      <c r="AE835" s="1065"/>
      <c r="AF835" s="1065"/>
      <c r="AG835" s="1065"/>
      <c r="AH835" s="1065"/>
      <c r="AI835" s="1065"/>
      <c r="AJ835" s="1065"/>
      <c r="AK835" s="1065"/>
      <c r="AL835" s="1065"/>
      <c r="AM835" s="1065"/>
      <c r="AN835" s="1065"/>
      <c r="AO835" s="1065"/>
      <c r="AP835" s="1065"/>
      <c r="AQ835" s="1065"/>
      <c r="AR835" s="1065"/>
      <c r="AS835" s="1065"/>
      <c r="AT835" s="1065"/>
      <c r="AU835" s="1065"/>
      <c r="AV835" s="1065"/>
      <c r="AW835" s="1065"/>
      <c r="AX835" s="1065"/>
      <c r="AY835" s="1065"/>
      <c r="AZ835" s="1065"/>
      <c r="BA835" s="1065"/>
      <c r="BB835" s="1065"/>
      <c r="BC835" s="1065"/>
      <c r="BD835" s="1065"/>
      <c r="BE835" s="1065"/>
      <c r="BF835" s="1065"/>
      <c r="BG835" s="1065"/>
      <c r="BH835" s="1065"/>
      <c r="BI835" s="1065"/>
      <c r="BJ835" s="1065"/>
      <c r="BK835" s="1065"/>
      <c r="BL835" s="1065"/>
      <c r="BM835" s="1065"/>
      <c r="BN835" s="1065"/>
      <c r="BO835" s="1065"/>
      <c r="BP835" s="1065"/>
      <c r="BQ835" s="1065"/>
      <c r="BR835" s="1065"/>
      <c r="BS835" s="1065"/>
      <c r="BT835" s="1065"/>
      <c r="BU835" s="1065"/>
      <c r="BV835" s="1065"/>
      <c r="BW835" s="1065"/>
      <c r="BX835" s="1065"/>
      <c r="BY835" s="1065"/>
      <c r="BZ835" s="1065"/>
      <c r="CA835" s="1065"/>
      <c r="CB835" s="1065"/>
      <c r="CC835" s="1065"/>
      <c r="CD835" s="1065"/>
      <c r="CE835" s="1065"/>
      <c r="CF835" s="1065"/>
      <c r="CG835" s="1065"/>
      <c r="CH835" s="1065"/>
      <c r="CI835" s="1065"/>
      <c r="CJ835" s="1065"/>
      <c r="CK835" s="1065"/>
      <c r="CL835" s="1065"/>
      <c r="CM835" s="1065"/>
      <c r="CN835" s="1065"/>
      <c r="CO835" s="1065"/>
      <c r="CP835" s="1065"/>
      <c r="CQ835" s="1065"/>
      <c r="CR835" s="1065"/>
      <c r="CS835" s="1065"/>
      <c r="CT835" s="1065"/>
      <c r="CU835" s="1065"/>
      <c r="CV835" s="1065"/>
      <c r="CW835" s="1065"/>
      <c r="CX835" s="1065"/>
      <c r="CY835" s="1065"/>
      <c r="CZ835" s="1065"/>
      <c r="DA835" s="1065"/>
      <c r="DB835" s="1065"/>
    </row>
    <row r="836" spans="1:106" ht="15" customHeight="1">
      <c r="A836" s="1065"/>
      <c r="B836" s="1065"/>
      <c r="C836" s="1065"/>
      <c r="D836" s="1065"/>
      <c r="E836" s="1065"/>
      <c r="F836" s="1065"/>
      <c r="G836" s="1065"/>
      <c r="H836" s="1223"/>
      <c r="I836" s="1223"/>
      <c r="J836" s="1224"/>
      <c r="K836" s="1224"/>
      <c r="L836" s="1224"/>
      <c r="M836" s="1225"/>
      <c r="N836" s="1225"/>
      <c r="O836" s="1226"/>
      <c r="P836" s="1227"/>
      <c r="Q836" s="1227"/>
      <c r="R836" s="1228"/>
      <c r="S836" s="1224"/>
      <c r="T836" s="1229"/>
      <c r="U836" s="1065"/>
      <c r="V836" s="1065"/>
      <c r="W836" s="1065"/>
      <c r="X836" s="1065"/>
      <c r="Y836" s="1065"/>
      <c r="Z836" s="1065"/>
      <c r="AA836" s="1065"/>
      <c r="AB836" s="1065"/>
      <c r="AC836" s="1065"/>
      <c r="AD836" s="1065"/>
      <c r="AE836" s="1065"/>
      <c r="AF836" s="1065"/>
      <c r="AG836" s="1065"/>
      <c r="AH836" s="1065"/>
      <c r="AI836" s="1065"/>
      <c r="AJ836" s="1065"/>
      <c r="AK836" s="1065"/>
      <c r="AL836" s="1065"/>
      <c r="AM836" s="1065"/>
      <c r="AN836" s="1065"/>
      <c r="AO836" s="1065"/>
      <c r="AP836" s="1065"/>
      <c r="AQ836" s="1065"/>
      <c r="AR836" s="1065"/>
      <c r="AS836" s="1065"/>
      <c r="AT836" s="1065"/>
      <c r="AU836" s="1065"/>
      <c r="AV836" s="1065"/>
      <c r="AW836" s="1065"/>
      <c r="AX836" s="1065"/>
      <c r="AY836" s="1065"/>
      <c r="AZ836" s="1065"/>
      <c r="BA836" s="1065"/>
      <c r="BB836" s="1065"/>
      <c r="BC836" s="1065"/>
      <c r="BD836" s="1065"/>
      <c r="BE836" s="1065"/>
      <c r="BF836" s="1065"/>
      <c r="BG836" s="1065"/>
      <c r="BH836" s="1065"/>
      <c r="BI836" s="1065"/>
      <c r="BJ836" s="1065"/>
      <c r="BK836" s="1065"/>
      <c r="BL836" s="1065"/>
      <c r="BM836" s="1065"/>
      <c r="BN836" s="1065"/>
      <c r="BO836" s="1065"/>
      <c r="BP836" s="1065"/>
      <c r="BQ836" s="1065"/>
      <c r="BR836" s="1065"/>
      <c r="BS836" s="1065"/>
      <c r="BT836" s="1065"/>
      <c r="BU836" s="1065"/>
      <c r="BV836" s="1065"/>
      <c r="BW836" s="1065"/>
      <c r="BX836" s="1065"/>
      <c r="BY836" s="1065"/>
      <c r="BZ836" s="1065"/>
      <c r="CA836" s="1065"/>
      <c r="CB836" s="1065"/>
      <c r="CC836" s="1065"/>
      <c r="CD836" s="1065"/>
      <c r="CE836" s="1065"/>
      <c r="CF836" s="1065"/>
      <c r="CG836" s="1065"/>
      <c r="CH836" s="1065"/>
      <c r="CI836" s="1065"/>
      <c r="CJ836" s="1065"/>
      <c r="CK836" s="1065"/>
      <c r="CL836" s="1065"/>
      <c r="CM836" s="1065"/>
      <c r="CN836" s="1065"/>
      <c r="CO836" s="1065"/>
      <c r="CP836" s="1065"/>
      <c r="CQ836" s="1065"/>
      <c r="CR836" s="1065"/>
      <c r="CS836" s="1065"/>
      <c r="CT836" s="1065"/>
      <c r="CU836" s="1065"/>
      <c r="CV836" s="1065"/>
      <c r="CW836" s="1065"/>
      <c r="CX836" s="1065"/>
      <c r="CY836" s="1065"/>
      <c r="CZ836" s="1065"/>
      <c r="DA836" s="1065"/>
      <c r="DB836" s="1065"/>
    </row>
    <row r="837" spans="1:106" ht="15" customHeight="1">
      <c r="A837" s="1065"/>
      <c r="B837" s="1065"/>
      <c r="C837" s="1065"/>
      <c r="D837" s="1065"/>
      <c r="E837" s="1065"/>
      <c r="F837" s="1065"/>
      <c r="G837" s="1065"/>
      <c r="H837" s="1223"/>
      <c r="I837" s="1223"/>
      <c r="J837" s="1224"/>
      <c r="K837" s="1224"/>
      <c r="L837" s="1224"/>
      <c r="M837" s="1225"/>
      <c r="N837" s="1225"/>
      <c r="O837" s="1226"/>
      <c r="P837" s="1227"/>
      <c r="Q837" s="1227"/>
      <c r="R837" s="1228"/>
      <c r="S837" s="1224"/>
      <c r="T837" s="1229"/>
      <c r="U837" s="1065"/>
      <c r="V837" s="1065"/>
      <c r="W837" s="1065"/>
      <c r="X837" s="1065"/>
      <c r="Y837" s="1065"/>
      <c r="Z837" s="1065"/>
      <c r="AA837" s="1065"/>
      <c r="AB837" s="1065"/>
      <c r="AC837" s="1065"/>
      <c r="AD837" s="1065"/>
      <c r="AE837" s="1065"/>
      <c r="AF837" s="1065"/>
      <c r="AG837" s="1065"/>
      <c r="AH837" s="1065"/>
      <c r="AI837" s="1065"/>
      <c r="AJ837" s="1065"/>
      <c r="AK837" s="1065"/>
      <c r="AL837" s="1065"/>
      <c r="AM837" s="1065"/>
      <c r="AN837" s="1065"/>
      <c r="AO837" s="1065"/>
      <c r="AP837" s="1065"/>
      <c r="AQ837" s="1065"/>
      <c r="AR837" s="1065"/>
      <c r="AS837" s="1065"/>
      <c r="AT837" s="1065"/>
      <c r="AU837" s="1065"/>
      <c r="AV837" s="1065"/>
      <c r="AW837" s="1065"/>
      <c r="AX837" s="1065"/>
      <c r="AY837" s="1065"/>
      <c r="AZ837" s="1065"/>
      <c r="BA837" s="1065"/>
      <c r="BB837" s="1065"/>
      <c r="BC837" s="1065"/>
      <c r="BD837" s="1065"/>
      <c r="BE837" s="1065"/>
      <c r="BF837" s="1065"/>
      <c r="BG837" s="1065"/>
      <c r="BH837" s="1065"/>
      <c r="BI837" s="1065"/>
      <c r="BJ837" s="1065"/>
      <c r="BK837" s="1065"/>
      <c r="BL837" s="1065"/>
      <c r="BM837" s="1065"/>
      <c r="BN837" s="1065"/>
      <c r="BO837" s="1065"/>
      <c r="BP837" s="1065"/>
      <c r="BQ837" s="1065"/>
      <c r="BR837" s="1065"/>
      <c r="BS837" s="1065"/>
      <c r="BT837" s="1065"/>
      <c r="BU837" s="1065"/>
      <c r="BV837" s="1065"/>
      <c r="BW837" s="1065"/>
      <c r="BX837" s="1065"/>
      <c r="BY837" s="1065"/>
      <c r="BZ837" s="1065"/>
      <c r="CA837" s="1065"/>
      <c r="CB837" s="1065"/>
      <c r="CC837" s="1065"/>
      <c r="CD837" s="1065"/>
      <c r="CE837" s="1065"/>
      <c r="CF837" s="1065"/>
      <c r="CG837" s="1065"/>
      <c r="CH837" s="1065"/>
      <c r="CI837" s="1065"/>
      <c r="CJ837" s="1065"/>
      <c r="CK837" s="1065"/>
      <c r="CL837" s="1065"/>
      <c r="CM837" s="1065"/>
      <c r="CN837" s="1065"/>
      <c r="CO837" s="1065"/>
      <c r="CP837" s="1065"/>
      <c r="CQ837" s="1065"/>
      <c r="CR837" s="1065"/>
      <c r="CS837" s="1065"/>
      <c r="CT837" s="1065"/>
      <c r="CU837" s="1065"/>
      <c r="CV837" s="1065"/>
      <c r="CW837" s="1065"/>
      <c r="CX837" s="1065"/>
      <c r="CY837" s="1065"/>
      <c r="CZ837" s="1065"/>
      <c r="DA837" s="1065"/>
      <c r="DB837" s="1065"/>
    </row>
    <row r="838" spans="1:106" ht="15" customHeight="1">
      <c r="A838" s="1065"/>
      <c r="B838" s="1065"/>
      <c r="C838" s="1065"/>
      <c r="D838" s="1065"/>
      <c r="E838" s="1065"/>
      <c r="F838" s="1065"/>
      <c r="G838" s="1065"/>
      <c r="H838" s="1223"/>
      <c r="I838" s="1223"/>
      <c r="J838" s="1224"/>
      <c r="K838" s="1224"/>
      <c r="L838" s="1224"/>
      <c r="M838" s="1225"/>
      <c r="N838" s="1225"/>
      <c r="O838" s="1226"/>
      <c r="P838" s="1227"/>
      <c r="Q838" s="1227"/>
      <c r="R838" s="1228"/>
      <c r="S838" s="1224"/>
      <c r="T838" s="1229"/>
      <c r="U838" s="1065"/>
      <c r="V838" s="1065"/>
      <c r="W838" s="1065"/>
      <c r="X838" s="1065"/>
      <c r="Y838" s="1065"/>
      <c r="Z838" s="1065"/>
      <c r="AA838" s="1065"/>
      <c r="AB838" s="1065"/>
      <c r="AC838" s="1065"/>
      <c r="AD838" s="1065"/>
      <c r="AE838" s="1065"/>
      <c r="AF838" s="1065"/>
      <c r="AG838" s="1065"/>
      <c r="AH838" s="1065"/>
      <c r="AI838" s="1065"/>
      <c r="AJ838" s="1065"/>
      <c r="AK838" s="1065"/>
      <c r="AL838" s="1065"/>
      <c r="AM838" s="1065"/>
      <c r="AN838" s="1065"/>
      <c r="AO838" s="1065"/>
      <c r="AP838" s="1065"/>
      <c r="AQ838" s="1065"/>
      <c r="AR838" s="1065"/>
      <c r="AS838" s="1065"/>
      <c r="AT838" s="1065"/>
      <c r="AU838" s="1065"/>
      <c r="AV838" s="1065"/>
      <c r="AW838" s="1065"/>
      <c r="AX838" s="1065"/>
      <c r="AY838" s="1065"/>
      <c r="AZ838" s="1065"/>
      <c r="BA838" s="1065"/>
      <c r="BB838" s="1065"/>
      <c r="BC838" s="1065"/>
      <c r="BD838" s="1065"/>
      <c r="BE838" s="1065"/>
      <c r="BF838" s="1065"/>
      <c r="BG838" s="1065"/>
      <c r="BH838" s="1065"/>
      <c r="BI838" s="1065"/>
      <c r="BJ838" s="1065"/>
      <c r="BK838" s="1065"/>
      <c r="BL838" s="1065"/>
      <c r="BM838" s="1065"/>
      <c r="BN838" s="1065"/>
      <c r="BO838" s="1065"/>
      <c r="BP838" s="1065"/>
      <c r="BQ838" s="1065"/>
      <c r="BR838" s="1065"/>
      <c r="BS838" s="1065"/>
      <c r="BT838" s="1065"/>
      <c r="BU838" s="1065"/>
      <c r="BV838" s="1065"/>
      <c r="BW838" s="1065"/>
      <c r="BX838" s="1065"/>
      <c r="BY838" s="1065"/>
      <c r="BZ838" s="1065"/>
      <c r="CA838" s="1065"/>
      <c r="CB838" s="1065"/>
      <c r="CC838" s="1065"/>
      <c r="CD838" s="1065"/>
      <c r="CE838" s="1065"/>
      <c r="CF838" s="1065"/>
      <c r="CG838" s="1065"/>
      <c r="CH838" s="1065"/>
      <c r="CI838" s="1065"/>
      <c r="CJ838" s="1065"/>
      <c r="CK838" s="1065"/>
      <c r="CL838" s="1065"/>
      <c r="CM838" s="1065"/>
      <c r="CN838" s="1065"/>
      <c r="CO838" s="1065"/>
      <c r="CP838" s="1065"/>
      <c r="CQ838" s="1065"/>
      <c r="CR838" s="1065"/>
      <c r="CS838" s="1065"/>
      <c r="CT838" s="1065"/>
      <c r="CU838" s="1065"/>
      <c r="CV838" s="1065"/>
      <c r="CW838" s="1065"/>
      <c r="CX838" s="1065"/>
      <c r="CY838" s="1065"/>
      <c r="CZ838" s="1065"/>
      <c r="DA838" s="1065"/>
      <c r="DB838" s="1065"/>
    </row>
    <row r="839" spans="1:106" ht="15" customHeight="1">
      <c r="A839" s="1065"/>
      <c r="B839" s="1065"/>
      <c r="C839" s="1065"/>
      <c r="D839" s="1065"/>
      <c r="E839" s="1065"/>
      <c r="F839" s="1065"/>
      <c r="G839" s="1065"/>
      <c r="H839" s="1223"/>
      <c r="I839" s="1223"/>
      <c r="J839" s="1224"/>
      <c r="K839" s="1224"/>
      <c r="L839" s="1224"/>
      <c r="M839" s="1225"/>
      <c r="N839" s="1225"/>
      <c r="O839" s="1226"/>
      <c r="P839" s="1227"/>
      <c r="Q839" s="1227"/>
      <c r="R839" s="1228"/>
      <c r="S839" s="1224"/>
      <c r="T839" s="1229"/>
      <c r="U839" s="1065"/>
      <c r="V839" s="1065"/>
      <c r="W839" s="1065"/>
      <c r="X839" s="1065"/>
      <c r="Y839" s="1065"/>
      <c r="Z839" s="1065"/>
      <c r="AA839" s="1065"/>
      <c r="AB839" s="1065"/>
      <c r="AC839" s="1065"/>
      <c r="AD839" s="1065"/>
      <c r="AE839" s="1065"/>
      <c r="AF839" s="1065"/>
      <c r="AG839" s="1065"/>
      <c r="AH839" s="1065"/>
      <c r="AI839" s="1065"/>
      <c r="AJ839" s="1065"/>
      <c r="AK839" s="1065"/>
      <c r="AL839" s="1065"/>
      <c r="AM839" s="1065"/>
      <c r="AN839" s="1065"/>
      <c r="AO839" s="1065"/>
      <c r="AP839" s="1065"/>
      <c r="AQ839" s="1065"/>
      <c r="AR839" s="1065"/>
      <c r="AS839" s="1065"/>
      <c r="AT839" s="1065"/>
      <c r="AU839" s="1065"/>
      <c r="AV839" s="1065"/>
      <c r="AW839" s="1065"/>
      <c r="AX839" s="1065"/>
      <c r="AY839" s="1065"/>
      <c r="AZ839" s="1065"/>
      <c r="BA839" s="1065"/>
      <c r="BB839" s="1065"/>
      <c r="BC839" s="1065"/>
      <c r="BD839" s="1065"/>
      <c r="BE839" s="1065"/>
      <c r="BF839" s="1065"/>
      <c r="BG839" s="1065"/>
      <c r="BH839" s="1065"/>
      <c r="BI839" s="1065"/>
      <c r="BJ839" s="1065"/>
      <c r="BK839" s="1065"/>
      <c r="BL839" s="1065"/>
      <c r="BM839" s="1065"/>
      <c r="BN839" s="1065"/>
      <c r="BO839" s="1065"/>
      <c r="BP839" s="1065"/>
      <c r="BQ839" s="1065"/>
      <c r="BR839" s="1065"/>
      <c r="BS839" s="1065"/>
      <c r="BT839" s="1065"/>
      <c r="BU839" s="1065"/>
      <c r="BV839" s="1065"/>
      <c r="BW839" s="1065"/>
      <c r="BX839" s="1065"/>
      <c r="BY839" s="1065"/>
      <c r="BZ839" s="1065"/>
      <c r="CA839" s="1065"/>
      <c r="CB839" s="1065"/>
      <c r="CC839" s="1065"/>
      <c r="CD839" s="1065"/>
      <c r="CE839" s="1065"/>
      <c r="CF839" s="1065"/>
      <c r="CG839" s="1065"/>
      <c r="CH839" s="1065"/>
      <c r="CI839" s="1065"/>
      <c r="CJ839" s="1065"/>
      <c r="CK839" s="1065"/>
      <c r="CL839" s="1065"/>
      <c r="CM839" s="1065"/>
      <c r="CN839" s="1065"/>
      <c r="CO839" s="1065"/>
      <c r="CP839" s="1065"/>
      <c r="CQ839" s="1065"/>
      <c r="CR839" s="1065"/>
      <c r="CS839" s="1065"/>
      <c r="CT839" s="1065"/>
      <c r="CU839" s="1065"/>
      <c r="CV839" s="1065"/>
      <c r="CW839" s="1065"/>
      <c r="CX839" s="1065"/>
      <c r="CY839" s="1065"/>
      <c r="CZ839" s="1065"/>
      <c r="DA839" s="1065"/>
      <c r="DB839" s="1065"/>
    </row>
    <row r="840" spans="1:106" ht="15" customHeight="1">
      <c r="A840" s="1065"/>
      <c r="B840" s="1065"/>
      <c r="C840" s="1065"/>
      <c r="D840" s="1065"/>
      <c r="E840" s="1065"/>
      <c r="F840" s="1065"/>
      <c r="G840" s="1065"/>
      <c r="H840" s="1223"/>
      <c r="I840" s="1223"/>
      <c r="J840" s="1224"/>
      <c r="K840" s="1224"/>
      <c r="L840" s="1224"/>
      <c r="M840" s="1225"/>
      <c r="N840" s="1225"/>
      <c r="O840" s="1226"/>
      <c r="P840" s="1227"/>
      <c r="Q840" s="1227"/>
      <c r="R840" s="1228"/>
      <c r="S840" s="1224"/>
      <c r="T840" s="1229"/>
      <c r="U840" s="1065"/>
      <c r="V840" s="1065"/>
      <c r="W840" s="1065"/>
      <c r="X840" s="1065"/>
      <c r="Y840" s="1065"/>
      <c r="Z840" s="1065"/>
      <c r="AA840" s="1065"/>
      <c r="AB840" s="1065"/>
      <c r="AC840" s="1065"/>
      <c r="AD840" s="1065"/>
      <c r="AE840" s="1065"/>
      <c r="AF840" s="1065"/>
      <c r="AG840" s="1065"/>
      <c r="AH840" s="1065"/>
      <c r="AI840" s="1065"/>
      <c r="AJ840" s="1065"/>
      <c r="AK840" s="1065"/>
      <c r="AL840" s="1065"/>
      <c r="AM840" s="1065"/>
      <c r="AN840" s="1065"/>
      <c r="AO840" s="1065"/>
      <c r="AP840" s="1065"/>
      <c r="AQ840" s="1065"/>
      <c r="AR840" s="1065"/>
      <c r="AS840" s="1065"/>
      <c r="AT840" s="1065"/>
      <c r="AU840" s="1065"/>
      <c r="AV840" s="1065"/>
      <c r="AW840" s="1065"/>
      <c r="AX840" s="1065"/>
      <c r="AY840" s="1065"/>
      <c r="AZ840" s="1065"/>
      <c r="BA840" s="1065"/>
      <c r="BB840" s="1065"/>
      <c r="BC840" s="1065"/>
      <c r="BD840" s="1065"/>
      <c r="BE840" s="1065"/>
      <c r="BF840" s="1065"/>
      <c r="BG840" s="1065"/>
      <c r="BH840" s="1065"/>
      <c r="BI840" s="1065"/>
      <c r="BJ840" s="1065"/>
      <c r="BK840" s="1065"/>
      <c r="BL840" s="1065"/>
      <c r="BM840" s="1065"/>
      <c r="BN840" s="1065"/>
      <c r="BO840" s="1065"/>
      <c r="BP840" s="1065"/>
      <c r="BQ840" s="1065"/>
      <c r="BR840" s="1065"/>
      <c r="BS840" s="1065"/>
      <c r="BT840" s="1065"/>
      <c r="BU840" s="1065"/>
      <c r="BV840" s="1065"/>
      <c r="BW840" s="1065"/>
      <c r="BX840" s="1065"/>
      <c r="BY840" s="1065"/>
      <c r="BZ840" s="1065"/>
      <c r="CA840" s="1065"/>
      <c r="CB840" s="1065"/>
      <c r="CC840" s="1065"/>
      <c r="CD840" s="1065"/>
      <c r="CE840" s="1065"/>
      <c r="CF840" s="1065"/>
      <c r="CG840" s="1065"/>
      <c r="CH840" s="1065"/>
      <c r="CI840" s="1065"/>
      <c r="CJ840" s="1065"/>
      <c r="CK840" s="1065"/>
      <c r="CL840" s="1065"/>
      <c r="CM840" s="1065"/>
      <c r="CN840" s="1065"/>
      <c r="CO840" s="1065"/>
      <c r="CP840" s="1065"/>
      <c r="CQ840" s="1065"/>
      <c r="CR840" s="1065"/>
      <c r="CS840" s="1065"/>
      <c r="CT840" s="1065"/>
      <c r="CU840" s="1065"/>
      <c r="CV840" s="1065"/>
      <c r="CW840" s="1065"/>
      <c r="CX840" s="1065"/>
      <c r="CY840" s="1065"/>
      <c r="CZ840" s="1065"/>
      <c r="DA840" s="1065"/>
      <c r="DB840" s="1065"/>
    </row>
    <row r="841" spans="1:106" ht="15" customHeight="1">
      <c r="A841" s="1065"/>
      <c r="B841" s="1065"/>
      <c r="C841" s="1065"/>
      <c r="D841" s="1065"/>
      <c r="E841" s="1065"/>
      <c r="F841" s="1065"/>
      <c r="G841" s="1065"/>
      <c r="H841" s="1223"/>
      <c r="I841" s="1223"/>
      <c r="J841" s="1224"/>
      <c r="K841" s="1224"/>
      <c r="L841" s="1224"/>
      <c r="M841" s="1225"/>
      <c r="N841" s="1225"/>
      <c r="O841" s="1226"/>
      <c r="P841" s="1227"/>
      <c r="Q841" s="1227"/>
      <c r="R841" s="1228"/>
      <c r="S841" s="1224"/>
      <c r="T841" s="1229"/>
      <c r="U841" s="1065"/>
      <c r="V841" s="1065"/>
      <c r="W841" s="1065"/>
      <c r="X841" s="1065"/>
      <c r="Y841" s="1065"/>
      <c r="Z841" s="1065"/>
      <c r="AA841" s="1065"/>
      <c r="AB841" s="1065"/>
      <c r="AC841" s="1065"/>
      <c r="AD841" s="1065"/>
      <c r="AE841" s="1065"/>
      <c r="AF841" s="1065"/>
      <c r="AG841" s="1065"/>
      <c r="AH841" s="1065"/>
      <c r="AI841" s="1065"/>
      <c r="AJ841" s="1065"/>
      <c r="AK841" s="1065"/>
      <c r="AL841" s="1065"/>
      <c r="AM841" s="1065"/>
      <c r="AN841" s="1065"/>
      <c r="AO841" s="1065"/>
      <c r="AP841" s="1065"/>
      <c r="AQ841" s="1065"/>
      <c r="AR841" s="1065"/>
      <c r="AS841" s="1065"/>
      <c r="AT841" s="1065"/>
      <c r="AU841" s="1065"/>
      <c r="AV841" s="1065"/>
      <c r="AW841" s="1065"/>
      <c r="AX841" s="1065"/>
      <c r="AY841" s="1065"/>
      <c r="AZ841" s="1065"/>
      <c r="BA841" s="1065"/>
      <c r="BB841" s="1065"/>
      <c r="BC841" s="1065"/>
      <c r="BD841" s="1065"/>
      <c r="BE841" s="1065"/>
      <c r="BF841" s="1065"/>
      <c r="BG841" s="1065"/>
      <c r="BH841" s="1065"/>
      <c r="BI841" s="1065"/>
      <c r="BJ841" s="1065"/>
      <c r="BK841" s="1065"/>
      <c r="BL841" s="1065"/>
      <c r="BM841" s="1065"/>
      <c r="BN841" s="1065"/>
      <c r="BO841" s="1065"/>
      <c r="BP841" s="1065"/>
      <c r="BQ841" s="1065"/>
      <c r="BR841" s="1065"/>
      <c r="BS841" s="1065"/>
      <c r="BT841" s="1065"/>
      <c r="BU841" s="1065"/>
      <c r="BV841" s="1065"/>
      <c r="BW841" s="1065"/>
      <c r="BX841" s="1065"/>
      <c r="BY841" s="1065"/>
      <c r="BZ841" s="1065"/>
      <c r="CA841" s="1065"/>
      <c r="CB841" s="1065"/>
      <c r="CC841" s="1065"/>
      <c r="CD841" s="1065"/>
      <c r="CE841" s="1065"/>
      <c r="CF841" s="1065"/>
      <c r="CG841" s="1065"/>
      <c r="CH841" s="1065"/>
      <c r="CI841" s="1065"/>
      <c r="CJ841" s="1065"/>
      <c r="CK841" s="1065"/>
      <c r="CL841" s="1065"/>
      <c r="CM841" s="1065"/>
      <c r="CN841" s="1065"/>
      <c r="CO841" s="1065"/>
      <c r="CP841" s="1065"/>
      <c r="CQ841" s="1065"/>
      <c r="CR841" s="1065"/>
      <c r="CS841" s="1065"/>
      <c r="CT841" s="1065"/>
      <c r="CU841" s="1065"/>
      <c r="CV841" s="1065"/>
      <c r="CW841" s="1065"/>
      <c r="CX841" s="1065"/>
      <c r="CY841" s="1065"/>
      <c r="CZ841" s="1065"/>
      <c r="DA841" s="1065"/>
      <c r="DB841" s="1065"/>
    </row>
    <row r="842" spans="1:106" ht="15" customHeight="1">
      <c r="A842" s="1065"/>
      <c r="B842" s="1065"/>
      <c r="C842" s="1065"/>
      <c r="D842" s="1065"/>
      <c r="E842" s="1065"/>
      <c r="F842" s="1065"/>
      <c r="G842" s="1065"/>
      <c r="H842" s="1223"/>
      <c r="I842" s="1223"/>
      <c r="J842" s="1224"/>
      <c r="K842" s="1224"/>
      <c r="L842" s="1224"/>
      <c r="M842" s="1225"/>
      <c r="N842" s="1225"/>
      <c r="O842" s="1226"/>
      <c r="P842" s="1227"/>
      <c r="Q842" s="1227"/>
      <c r="R842" s="1228"/>
      <c r="S842" s="1224"/>
      <c r="T842" s="1229"/>
      <c r="U842" s="1065"/>
      <c r="V842" s="1065"/>
      <c r="W842" s="1065"/>
      <c r="X842" s="1065"/>
      <c r="Y842" s="1065"/>
      <c r="Z842" s="1065"/>
      <c r="AA842" s="1065"/>
      <c r="AB842" s="1065"/>
      <c r="AC842" s="1065"/>
      <c r="AD842" s="1065"/>
      <c r="AE842" s="1065"/>
      <c r="AF842" s="1065"/>
      <c r="AG842" s="1065"/>
      <c r="AH842" s="1065"/>
      <c r="AI842" s="1065"/>
      <c r="AJ842" s="1065"/>
      <c r="AK842" s="1065"/>
      <c r="AL842" s="1065"/>
      <c r="AM842" s="1065"/>
      <c r="AN842" s="1065"/>
      <c r="AO842" s="1065"/>
      <c r="AP842" s="1065"/>
      <c r="AQ842" s="1065"/>
      <c r="AR842" s="1065"/>
      <c r="AS842" s="1065"/>
      <c r="AT842" s="1065"/>
      <c r="AU842" s="1065"/>
      <c r="AV842" s="1065"/>
      <c r="AW842" s="1065"/>
      <c r="AX842" s="1065"/>
      <c r="AY842" s="1065"/>
      <c r="AZ842" s="1065"/>
      <c r="BA842" s="1065"/>
      <c r="BB842" s="1065"/>
      <c r="BC842" s="1065"/>
      <c r="BD842" s="1065"/>
      <c r="BE842" s="1065"/>
      <c r="BF842" s="1065"/>
      <c r="BG842" s="1065"/>
      <c r="BH842" s="1065"/>
      <c r="BI842" s="1065"/>
      <c r="BJ842" s="1065"/>
      <c r="BK842" s="1065"/>
      <c r="BL842" s="1065"/>
      <c r="BM842" s="1065"/>
      <c r="BN842" s="1065"/>
      <c r="BO842" s="1065"/>
      <c r="BP842" s="1065"/>
      <c r="BQ842" s="1065"/>
      <c r="BR842" s="1065"/>
      <c r="BS842" s="1065"/>
      <c r="BT842" s="1065"/>
      <c r="BU842" s="1065"/>
      <c r="BV842" s="1065"/>
      <c r="BW842" s="1065"/>
      <c r="BX842" s="1065"/>
      <c r="BY842" s="1065"/>
      <c r="BZ842" s="1065"/>
      <c r="CA842" s="1065"/>
      <c r="CB842" s="1065"/>
      <c r="CC842" s="1065"/>
      <c r="CD842" s="1065"/>
      <c r="CE842" s="1065"/>
      <c r="CF842" s="1065"/>
      <c r="CG842" s="1065"/>
      <c r="CH842" s="1065"/>
      <c r="CI842" s="1065"/>
      <c r="CJ842" s="1065"/>
      <c r="CK842" s="1065"/>
      <c r="CL842" s="1065"/>
      <c r="CM842" s="1065"/>
      <c r="CN842" s="1065"/>
      <c r="CO842" s="1065"/>
      <c r="CP842" s="1065"/>
      <c r="CQ842" s="1065"/>
      <c r="CR842" s="1065"/>
      <c r="CS842" s="1065"/>
      <c r="CT842" s="1065"/>
      <c r="CU842" s="1065"/>
      <c r="CV842" s="1065"/>
      <c r="CW842" s="1065"/>
      <c r="CX842" s="1065"/>
      <c r="CY842" s="1065"/>
      <c r="CZ842" s="1065"/>
      <c r="DA842" s="1065"/>
      <c r="DB842" s="1065"/>
    </row>
    <row r="843" spans="1:106" ht="15" customHeight="1">
      <c r="A843" s="1065"/>
      <c r="B843" s="1065"/>
      <c r="C843" s="1065"/>
      <c r="D843" s="1065"/>
      <c r="E843" s="1065"/>
      <c r="F843" s="1065"/>
      <c r="G843" s="1065"/>
      <c r="H843" s="1223"/>
      <c r="I843" s="1223"/>
      <c r="J843" s="1224"/>
      <c r="K843" s="1224"/>
      <c r="L843" s="1224"/>
      <c r="M843" s="1225"/>
      <c r="N843" s="1225"/>
      <c r="O843" s="1226"/>
      <c r="P843" s="1227"/>
      <c r="Q843" s="1227"/>
      <c r="R843" s="1228"/>
      <c r="S843" s="1224"/>
      <c r="T843" s="1229"/>
      <c r="U843" s="1065"/>
      <c r="V843" s="1065"/>
      <c r="W843" s="1065"/>
      <c r="X843" s="1065"/>
      <c r="Y843" s="1065"/>
      <c r="Z843" s="1065"/>
      <c r="AA843" s="1065"/>
      <c r="AB843" s="1065"/>
      <c r="AC843" s="1065"/>
      <c r="AD843" s="1065"/>
      <c r="AE843" s="1065"/>
      <c r="AF843" s="1065"/>
      <c r="AG843" s="1065"/>
      <c r="AH843" s="1065"/>
      <c r="AI843" s="1065"/>
      <c r="AJ843" s="1065"/>
      <c r="AK843" s="1065"/>
      <c r="AL843" s="1065"/>
      <c r="AM843" s="1065"/>
      <c r="AN843" s="1065"/>
      <c r="AO843" s="1065"/>
      <c r="AP843" s="1065"/>
      <c r="AQ843" s="1065"/>
      <c r="AR843" s="1065"/>
      <c r="AS843" s="1065"/>
      <c r="AT843" s="1065"/>
      <c r="AU843" s="1065"/>
      <c r="AV843" s="1065"/>
      <c r="AW843" s="1065"/>
      <c r="AX843" s="1065"/>
      <c r="AY843" s="1065"/>
      <c r="AZ843" s="1065"/>
      <c r="BA843" s="1065"/>
      <c r="BB843" s="1065"/>
      <c r="BC843" s="1065"/>
      <c r="BD843" s="1065"/>
      <c r="BE843" s="1065"/>
      <c r="BF843" s="1065"/>
      <c r="BG843" s="1065"/>
      <c r="BH843" s="1065"/>
      <c r="BI843" s="1065"/>
      <c r="BJ843" s="1065"/>
      <c r="BK843" s="1065"/>
      <c r="BL843" s="1065"/>
      <c r="BM843" s="1065"/>
      <c r="BN843" s="1065"/>
      <c r="BO843" s="1065"/>
      <c r="BP843" s="1065"/>
      <c r="BQ843" s="1065"/>
      <c r="BR843" s="1065"/>
      <c r="BS843" s="1065"/>
      <c r="BT843" s="1065"/>
      <c r="BU843" s="1065"/>
      <c r="BV843" s="1065"/>
      <c r="BW843" s="1065"/>
      <c r="BX843" s="1065"/>
      <c r="BY843" s="1065"/>
      <c r="BZ843" s="1065"/>
      <c r="CA843" s="1065"/>
      <c r="CB843" s="1065"/>
      <c r="CC843" s="1065"/>
      <c r="CD843" s="1065"/>
      <c r="CE843" s="1065"/>
      <c r="CF843" s="1065"/>
      <c r="CG843" s="1065"/>
      <c r="CH843" s="1065"/>
      <c r="CI843" s="1065"/>
      <c r="CJ843" s="1065"/>
      <c r="CK843" s="1065"/>
      <c r="CL843" s="1065"/>
      <c r="CM843" s="1065"/>
      <c r="CN843" s="1065"/>
      <c r="CO843" s="1065"/>
      <c r="CP843" s="1065"/>
      <c r="CQ843" s="1065"/>
      <c r="CR843" s="1065"/>
      <c r="CS843" s="1065"/>
      <c r="CT843" s="1065"/>
      <c r="CU843" s="1065"/>
      <c r="CV843" s="1065"/>
      <c r="CW843" s="1065"/>
      <c r="CX843" s="1065"/>
      <c r="CY843" s="1065"/>
      <c r="CZ843" s="1065"/>
      <c r="DA843" s="1065"/>
      <c r="DB843" s="1065"/>
    </row>
    <row r="844" spans="1:106" ht="15" customHeight="1">
      <c r="A844" s="1065"/>
      <c r="B844" s="1065"/>
      <c r="C844" s="1065"/>
      <c r="D844" s="1065"/>
      <c r="E844" s="1065"/>
      <c r="F844" s="1065"/>
      <c r="G844" s="1065"/>
      <c r="H844" s="1223"/>
      <c r="I844" s="1223"/>
      <c r="J844" s="1224"/>
      <c r="K844" s="1224"/>
      <c r="L844" s="1224"/>
      <c r="M844" s="1225"/>
      <c r="N844" s="1225"/>
      <c r="O844" s="1226"/>
      <c r="P844" s="1227"/>
      <c r="Q844" s="1227"/>
      <c r="R844" s="1228"/>
      <c r="S844" s="1224"/>
      <c r="T844" s="1229"/>
      <c r="U844" s="1065"/>
      <c r="V844" s="1065"/>
      <c r="W844" s="1065"/>
      <c r="X844" s="1065"/>
      <c r="Y844" s="1065"/>
      <c r="Z844" s="1065"/>
      <c r="AA844" s="1065"/>
      <c r="AB844" s="1065"/>
      <c r="AC844" s="1065"/>
      <c r="AD844" s="1065"/>
      <c r="AE844" s="1065"/>
      <c r="AF844" s="1065"/>
      <c r="AG844" s="1065"/>
      <c r="AH844" s="1065"/>
      <c r="AI844" s="1065"/>
      <c r="AJ844" s="1065"/>
      <c r="AK844" s="1065"/>
      <c r="AL844" s="1065"/>
      <c r="AM844" s="1065"/>
      <c r="AN844" s="1065"/>
      <c r="AO844" s="1065"/>
      <c r="AP844" s="1065"/>
      <c r="AQ844" s="1065"/>
      <c r="AR844" s="1065"/>
      <c r="AS844" s="1065"/>
      <c r="AT844" s="1065"/>
      <c r="AU844" s="1065"/>
      <c r="AV844" s="1065"/>
      <c r="AW844" s="1065"/>
      <c r="AX844" s="1065"/>
      <c r="AY844" s="1065"/>
      <c r="AZ844" s="1065"/>
      <c r="BA844" s="1065"/>
      <c r="BB844" s="1065"/>
      <c r="BC844" s="1065"/>
      <c r="BD844" s="1065"/>
      <c r="BE844" s="1065"/>
      <c r="BF844" s="1065"/>
      <c r="BG844" s="1065"/>
      <c r="BH844" s="1065"/>
      <c r="BI844" s="1065"/>
      <c r="BJ844" s="1065"/>
      <c r="BK844" s="1065"/>
      <c r="BL844" s="1065"/>
      <c r="BM844" s="1065"/>
      <c r="BN844" s="1065"/>
      <c r="BO844" s="1065"/>
      <c r="BP844" s="1065"/>
      <c r="BQ844" s="1065"/>
      <c r="BR844" s="1065"/>
      <c r="BS844" s="1065"/>
      <c r="BT844" s="1065"/>
      <c r="BU844" s="1065"/>
      <c r="BV844" s="1065"/>
      <c r="BW844" s="1065"/>
      <c r="BX844" s="1065"/>
      <c r="BY844" s="1065"/>
      <c r="BZ844" s="1065"/>
      <c r="CA844" s="1065"/>
      <c r="CB844" s="1065"/>
      <c r="CC844" s="1065"/>
      <c r="CD844" s="1065"/>
      <c r="CE844" s="1065"/>
      <c r="CF844" s="1065"/>
      <c r="CG844" s="1065"/>
      <c r="CH844" s="1065"/>
      <c r="CI844" s="1065"/>
      <c r="CJ844" s="1065"/>
      <c r="CK844" s="1065"/>
      <c r="CL844" s="1065"/>
      <c r="CM844" s="1065"/>
      <c r="CN844" s="1065"/>
      <c r="CO844" s="1065"/>
      <c r="CP844" s="1065"/>
      <c r="CQ844" s="1065"/>
      <c r="CR844" s="1065"/>
      <c r="CS844" s="1065"/>
      <c r="CT844" s="1065"/>
      <c r="CU844" s="1065"/>
      <c r="CV844" s="1065"/>
      <c r="CW844" s="1065"/>
      <c r="CX844" s="1065"/>
      <c r="CY844" s="1065"/>
      <c r="CZ844" s="1065"/>
      <c r="DA844" s="1065"/>
      <c r="DB844" s="1065"/>
    </row>
    <row r="845" spans="1:106" ht="15" customHeight="1">
      <c r="A845" s="1065"/>
      <c r="B845" s="1065"/>
      <c r="C845" s="1065"/>
      <c r="D845" s="1065"/>
      <c r="E845" s="1065"/>
      <c r="F845" s="1065"/>
      <c r="G845" s="1065"/>
      <c r="H845" s="1223"/>
      <c r="I845" s="1223"/>
      <c r="J845" s="1224"/>
      <c r="K845" s="1224"/>
      <c r="L845" s="1224"/>
      <c r="M845" s="1225"/>
      <c r="N845" s="1225"/>
      <c r="O845" s="1226"/>
      <c r="P845" s="1227"/>
      <c r="Q845" s="1227"/>
      <c r="R845" s="1228"/>
      <c r="S845" s="1224"/>
      <c r="T845" s="1229"/>
      <c r="U845" s="1065"/>
      <c r="V845" s="1065"/>
      <c r="W845" s="1065"/>
      <c r="X845" s="1065"/>
      <c r="Y845" s="1065"/>
      <c r="Z845" s="1065"/>
      <c r="AA845" s="1065"/>
      <c r="AB845" s="1065"/>
      <c r="AC845" s="1065"/>
      <c r="AD845" s="1065"/>
      <c r="AE845" s="1065"/>
      <c r="AF845" s="1065"/>
      <c r="AG845" s="1065"/>
      <c r="AH845" s="1065"/>
      <c r="AI845" s="1065"/>
      <c r="AJ845" s="1065"/>
      <c r="AK845" s="1065"/>
      <c r="AL845" s="1065"/>
      <c r="AM845" s="1065"/>
      <c r="AN845" s="1065"/>
      <c r="AO845" s="1065"/>
      <c r="AP845" s="1065"/>
      <c r="AQ845" s="1065"/>
      <c r="AR845" s="1065"/>
      <c r="AS845" s="1065"/>
      <c r="AT845" s="1065"/>
      <c r="AU845" s="1065"/>
      <c r="AV845" s="1065"/>
      <c r="AW845" s="1065"/>
      <c r="AX845" s="1065"/>
      <c r="AY845" s="1065"/>
      <c r="AZ845" s="1065"/>
      <c r="BA845" s="1065"/>
      <c r="BB845" s="1065"/>
      <c r="BC845" s="1065"/>
      <c r="BD845" s="1065"/>
      <c r="BE845" s="1065"/>
      <c r="BF845" s="1065"/>
      <c r="BG845" s="1065"/>
      <c r="BH845" s="1065"/>
      <c r="BI845" s="1065"/>
      <c r="BJ845" s="1065"/>
      <c r="BK845" s="1065"/>
      <c r="BL845" s="1065"/>
      <c r="BM845" s="1065"/>
      <c r="BN845" s="1065"/>
      <c r="BO845" s="1065"/>
      <c r="BP845" s="1065"/>
      <c r="BQ845" s="1065"/>
      <c r="BR845" s="1065"/>
      <c r="BS845" s="1065"/>
      <c r="BT845" s="1065"/>
      <c r="BU845" s="1065"/>
      <c r="BV845" s="1065"/>
      <c r="BW845" s="1065"/>
      <c r="BX845" s="1065"/>
      <c r="BY845" s="1065"/>
      <c r="BZ845" s="1065"/>
      <c r="CA845" s="1065"/>
      <c r="CB845" s="1065"/>
      <c r="CC845" s="1065"/>
      <c r="CD845" s="1065"/>
      <c r="CE845" s="1065"/>
      <c r="CF845" s="1065"/>
      <c r="CG845" s="1065"/>
      <c r="CH845" s="1065"/>
      <c r="CI845" s="1065"/>
      <c r="CJ845" s="1065"/>
      <c r="CK845" s="1065"/>
      <c r="CL845" s="1065"/>
      <c r="CM845" s="1065"/>
      <c r="CN845" s="1065"/>
      <c r="CO845" s="1065"/>
      <c r="CP845" s="1065"/>
      <c r="CQ845" s="1065"/>
      <c r="CR845" s="1065"/>
      <c r="CS845" s="1065"/>
      <c r="CT845" s="1065"/>
      <c r="CU845" s="1065"/>
      <c r="CV845" s="1065"/>
      <c r="CW845" s="1065"/>
      <c r="CX845" s="1065"/>
      <c r="CY845" s="1065"/>
      <c r="CZ845" s="1065"/>
      <c r="DA845" s="1065"/>
      <c r="DB845" s="1065"/>
    </row>
    <row r="846" spans="1:106" ht="15" customHeight="1">
      <c r="A846" s="1065"/>
      <c r="B846" s="1065"/>
      <c r="C846" s="1065"/>
      <c r="D846" s="1065"/>
      <c r="E846" s="1065"/>
      <c r="F846" s="1065"/>
      <c r="G846" s="1065"/>
      <c r="H846" s="1223"/>
      <c r="I846" s="1223"/>
      <c r="J846" s="1224"/>
      <c r="K846" s="1224"/>
      <c r="L846" s="1224"/>
      <c r="M846" s="1225"/>
      <c r="N846" s="1225"/>
      <c r="O846" s="1226"/>
      <c r="P846" s="1227"/>
      <c r="Q846" s="1227"/>
      <c r="R846" s="1228"/>
      <c r="S846" s="1224"/>
      <c r="T846" s="1229"/>
      <c r="U846" s="1065"/>
      <c r="V846" s="1065"/>
      <c r="W846" s="1065"/>
      <c r="X846" s="1065"/>
      <c r="Y846" s="1065"/>
      <c r="Z846" s="1065"/>
      <c r="AA846" s="1065"/>
      <c r="AB846" s="1065"/>
      <c r="AC846" s="1065"/>
      <c r="AD846" s="1065"/>
      <c r="AE846" s="1065"/>
      <c r="AF846" s="1065"/>
      <c r="AG846" s="1065"/>
      <c r="AH846" s="1065"/>
      <c r="AI846" s="1065"/>
      <c r="AJ846" s="1065"/>
      <c r="AK846" s="1065"/>
      <c r="AL846" s="1065"/>
      <c r="AM846" s="1065"/>
      <c r="AN846" s="1065"/>
      <c r="AO846" s="1065"/>
      <c r="AP846" s="1065"/>
      <c r="AQ846" s="1065"/>
      <c r="AR846" s="1065"/>
      <c r="AS846" s="1065"/>
      <c r="AT846" s="1065"/>
      <c r="AU846" s="1065"/>
      <c r="AV846" s="1065"/>
      <c r="AW846" s="1065"/>
      <c r="AX846" s="1065"/>
      <c r="AY846" s="1065"/>
      <c r="AZ846" s="1065"/>
      <c r="BA846" s="1065"/>
      <c r="BB846" s="1065"/>
      <c r="BC846" s="1065"/>
      <c r="BD846" s="1065"/>
      <c r="BE846" s="1065"/>
      <c r="BF846" s="1065"/>
      <c r="BG846" s="1065"/>
      <c r="BH846" s="1065"/>
      <c r="BI846" s="1065"/>
      <c r="BJ846" s="1065"/>
      <c r="BK846" s="1065"/>
      <c r="BL846" s="1065"/>
      <c r="BM846" s="1065"/>
      <c r="BN846" s="1065"/>
      <c r="BO846" s="1065"/>
      <c r="BP846" s="1065"/>
      <c r="BQ846" s="1065"/>
      <c r="BR846" s="1065"/>
      <c r="BS846" s="1065"/>
      <c r="BT846" s="1065"/>
      <c r="BU846" s="1065"/>
      <c r="BV846" s="1065"/>
      <c r="BW846" s="1065"/>
      <c r="BX846" s="1065"/>
      <c r="BY846" s="1065"/>
      <c r="BZ846" s="1065"/>
      <c r="CA846" s="1065"/>
      <c r="CB846" s="1065"/>
      <c r="CC846" s="1065"/>
      <c r="CD846" s="1065"/>
      <c r="CE846" s="1065"/>
      <c r="CF846" s="1065"/>
      <c r="CG846" s="1065"/>
      <c r="CH846" s="1065"/>
      <c r="CI846" s="1065"/>
      <c r="CJ846" s="1065"/>
      <c r="CK846" s="1065"/>
      <c r="CL846" s="1065"/>
      <c r="CM846" s="1065"/>
      <c r="CN846" s="1065"/>
      <c r="CO846" s="1065"/>
      <c r="CP846" s="1065"/>
      <c r="CQ846" s="1065"/>
      <c r="CR846" s="1065"/>
      <c r="CS846" s="1065"/>
      <c r="CT846" s="1065"/>
      <c r="CU846" s="1065"/>
      <c r="CV846" s="1065"/>
      <c r="CW846" s="1065"/>
      <c r="CX846" s="1065"/>
      <c r="CY846" s="1065"/>
      <c r="CZ846" s="1065"/>
      <c r="DA846" s="1065"/>
      <c r="DB846" s="1065"/>
    </row>
    <row r="847" spans="1:106" ht="15" customHeight="1">
      <c r="A847" s="1065"/>
      <c r="B847" s="1065"/>
      <c r="C847" s="1065"/>
      <c r="D847" s="1065"/>
      <c r="E847" s="1065"/>
      <c r="F847" s="1065"/>
      <c r="G847" s="1065"/>
      <c r="H847" s="1223"/>
      <c r="I847" s="1223"/>
      <c r="J847" s="1224"/>
      <c r="K847" s="1224"/>
      <c r="L847" s="1224"/>
      <c r="M847" s="1225"/>
      <c r="N847" s="1225"/>
      <c r="O847" s="1226"/>
      <c r="P847" s="1227"/>
      <c r="Q847" s="1227"/>
      <c r="R847" s="1228"/>
      <c r="S847" s="1224"/>
      <c r="T847" s="1229"/>
      <c r="U847" s="1065"/>
      <c r="V847" s="1065"/>
      <c r="W847" s="1065"/>
      <c r="X847" s="1065"/>
      <c r="Y847" s="1065"/>
      <c r="Z847" s="1065"/>
      <c r="AA847" s="1065"/>
      <c r="AB847" s="1065"/>
      <c r="AC847" s="1065"/>
      <c r="AD847" s="1065"/>
      <c r="AE847" s="1065"/>
      <c r="AF847" s="1065"/>
      <c r="AG847" s="1065"/>
      <c r="AH847" s="1065"/>
      <c r="AI847" s="1065"/>
      <c r="AJ847" s="1065"/>
      <c r="AK847" s="1065"/>
      <c r="AL847" s="1065"/>
      <c r="AM847" s="1065"/>
      <c r="AN847" s="1065"/>
      <c r="AO847" s="1065"/>
      <c r="AP847" s="1065"/>
      <c r="AQ847" s="1065"/>
      <c r="AR847" s="1065"/>
      <c r="AS847" s="1065"/>
      <c r="AT847" s="1065"/>
      <c r="AU847" s="1065"/>
      <c r="AV847" s="1065"/>
      <c r="AW847" s="1065"/>
      <c r="AX847" s="1065"/>
      <c r="AY847" s="1065"/>
      <c r="AZ847" s="1065"/>
      <c r="BA847" s="1065"/>
      <c r="BB847" s="1065"/>
      <c r="BC847" s="1065"/>
      <c r="BD847" s="1065"/>
      <c r="BE847" s="1065"/>
      <c r="BF847" s="1065"/>
      <c r="BG847" s="1065"/>
      <c r="BH847" s="1065"/>
      <c r="BI847" s="1065"/>
      <c r="BJ847" s="1065"/>
      <c r="BK847" s="1065"/>
      <c r="BL847" s="1065"/>
      <c r="BM847" s="1065"/>
      <c r="BN847" s="1065"/>
      <c r="BO847" s="1065"/>
      <c r="BP847" s="1065"/>
      <c r="BQ847" s="1065"/>
      <c r="BR847" s="1065"/>
      <c r="BS847" s="1065"/>
      <c r="BT847" s="1065"/>
      <c r="BU847" s="1065"/>
      <c r="BV847" s="1065"/>
      <c r="BW847" s="1065"/>
      <c r="BX847" s="1065"/>
      <c r="BY847" s="1065"/>
      <c r="BZ847" s="1065"/>
      <c r="CA847" s="1065"/>
      <c r="CB847" s="1065"/>
      <c r="CC847" s="1065"/>
      <c r="CD847" s="1065"/>
      <c r="CE847" s="1065"/>
      <c r="CF847" s="1065"/>
      <c r="CG847" s="1065"/>
      <c r="CH847" s="1065"/>
      <c r="CI847" s="1065"/>
      <c r="CJ847" s="1065"/>
      <c r="CK847" s="1065"/>
      <c r="CL847" s="1065"/>
      <c r="CM847" s="1065"/>
      <c r="CN847" s="1065"/>
      <c r="CO847" s="1065"/>
      <c r="CP847" s="1065"/>
      <c r="CQ847" s="1065"/>
      <c r="CR847" s="1065"/>
      <c r="CS847" s="1065"/>
      <c r="CT847" s="1065"/>
      <c r="CU847" s="1065"/>
      <c r="CV847" s="1065"/>
      <c r="CW847" s="1065"/>
      <c r="CX847" s="1065"/>
      <c r="CY847" s="1065"/>
      <c r="CZ847" s="1065"/>
      <c r="DA847" s="1065"/>
      <c r="DB847" s="1065"/>
    </row>
    <row r="848" spans="1:106" ht="15" customHeight="1">
      <c r="A848" s="1065"/>
      <c r="B848" s="1065"/>
      <c r="C848" s="1065"/>
      <c r="D848" s="1065"/>
      <c r="E848" s="1065"/>
      <c r="F848" s="1065"/>
      <c r="G848" s="1065"/>
      <c r="H848" s="1223"/>
      <c r="I848" s="1223"/>
      <c r="J848" s="1224"/>
      <c r="K848" s="1224"/>
      <c r="L848" s="1224"/>
      <c r="M848" s="1225"/>
      <c r="N848" s="1225"/>
      <c r="O848" s="1226"/>
      <c r="P848" s="1227"/>
      <c r="Q848" s="1227"/>
      <c r="R848" s="1228"/>
      <c r="S848" s="1224"/>
      <c r="T848" s="1229"/>
      <c r="U848" s="1065"/>
      <c r="V848" s="1065"/>
      <c r="W848" s="1065"/>
      <c r="X848" s="1065"/>
      <c r="Y848" s="1065"/>
      <c r="Z848" s="1065"/>
      <c r="AA848" s="1065"/>
      <c r="AB848" s="1065"/>
      <c r="AC848" s="1065"/>
      <c r="AD848" s="1065"/>
      <c r="AE848" s="1065"/>
      <c r="AF848" s="1065"/>
      <c r="AG848" s="1065"/>
      <c r="AH848" s="1065"/>
      <c r="AI848" s="1065"/>
      <c r="AJ848" s="1065"/>
      <c r="AK848" s="1065"/>
      <c r="AL848" s="1065"/>
      <c r="AM848" s="1065"/>
      <c r="AN848" s="1065"/>
      <c r="AO848" s="1065"/>
      <c r="AP848" s="1065"/>
      <c r="AQ848" s="1065"/>
      <c r="AR848" s="1065"/>
      <c r="AS848" s="1065"/>
      <c r="AT848" s="1065"/>
      <c r="AU848" s="1065"/>
      <c r="AV848" s="1065"/>
      <c r="AW848" s="1065"/>
      <c r="AX848" s="1065"/>
      <c r="AY848" s="1065"/>
      <c r="AZ848" s="1065"/>
      <c r="BA848" s="1065"/>
      <c r="BB848" s="1065"/>
      <c r="BC848" s="1065"/>
      <c r="BD848" s="1065"/>
      <c r="BE848" s="1065"/>
      <c r="BF848" s="1065"/>
      <c r="BG848" s="1065"/>
      <c r="BH848" s="1065"/>
      <c r="BI848" s="1065"/>
      <c r="BJ848" s="1065"/>
      <c r="BK848" s="1065"/>
      <c r="BL848" s="1065"/>
      <c r="BM848" s="1065"/>
      <c r="BN848" s="1065"/>
      <c r="BO848" s="1065"/>
      <c r="BP848" s="1065"/>
      <c r="BQ848" s="1065"/>
      <c r="BR848" s="1065"/>
      <c r="BS848" s="1065"/>
      <c r="BT848" s="1065"/>
      <c r="BU848" s="1065"/>
      <c r="BV848" s="1065"/>
      <c r="BW848" s="1065"/>
      <c r="BX848" s="1065"/>
      <c r="BY848" s="1065"/>
      <c r="BZ848" s="1065"/>
      <c r="CA848" s="1065"/>
      <c r="CB848" s="1065"/>
      <c r="CC848" s="1065"/>
      <c r="CD848" s="1065"/>
      <c r="CE848" s="1065"/>
      <c r="CF848" s="1065"/>
      <c r="CG848" s="1065"/>
      <c r="CH848" s="1065"/>
      <c r="CI848" s="1065"/>
      <c r="CJ848" s="1065"/>
      <c r="CK848" s="1065"/>
      <c r="CL848" s="1065"/>
      <c r="CM848" s="1065"/>
      <c r="CN848" s="1065"/>
      <c r="CO848" s="1065"/>
      <c r="CP848" s="1065"/>
      <c r="CQ848" s="1065"/>
      <c r="CR848" s="1065"/>
      <c r="CS848" s="1065"/>
      <c r="CT848" s="1065"/>
      <c r="CU848" s="1065"/>
      <c r="CV848" s="1065"/>
      <c r="CW848" s="1065"/>
      <c r="CX848" s="1065"/>
      <c r="CY848" s="1065"/>
      <c r="CZ848" s="1065"/>
      <c r="DA848" s="1065"/>
      <c r="DB848" s="1065"/>
    </row>
    <row r="849" spans="1:106" ht="15" customHeight="1">
      <c r="A849" s="1065"/>
      <c r="B849" s="1065"/>
      <c r="C849" s="1065"/>
      <c r="D849" s="1065"/>
      <c r="E849" s="1065"/>
      <c r="F849" s="1065"/>
      <c r="G849" s="1065"/>
      <c r="H849" s="1223"/>
      <c r="I849" s="1223"/>
      <c r="J849" s="1224"/>
      <c r="K849" s="1224"/>
      <c r="L849" s="1224"/>
      <c r="M849" s="1225"/>
      <c r="N849" s="1225"/>
      <c r="O849" s="1226"/>
      <c r="P849" s="1227"/>
      <c r="Q849" s="1227"/>
      <c r="R849" s="1228"/>
      <c r="S849" s="1224"/>
      <c r="T849" s="1229"/>
      <c r="U849" s="1065"/>
      <c r="V849" s="1065"/>
      <c r="W849" s="1065"/>
      <c r="X849" s="1065"/>
      <c r="Y849" s="1065"/>
      <c r="Z849" s="1065"/>
      <c r="AA849" s="1065"/>
      <c r="AB849" s="1065"/>
      <c r="AC849" s="1065"/>
      <c r="AD849" s="1065"/>
      <c r="AE849" s="1065"/>
      <c r="AF849" s="1065"/>
      <c r="AG849" s="1065"/>
      <c r="AH849" s="1065"/>
      <c r="AI849" s="1065"/>
      <c r="AJ849" s="1065"/>
      <c r="AK849" s="1065"/>
      <c r="AL849" s="1065"/>
      <c r="AM849" s="1065"/>
      <c r="AN849" s="1065"/>
      <c r="AO849" s="1065"/>
      <c r="AP849" s="1065"/>
      <c r="AQ849" s="1065"/>
      <c r="AR849" s="1065"/>
      <c r="AS849" s="1065"/>
      <c r="AT849" s="1065"/>
      <c r="AU849" s="1065"/>
      <c r="AV849" s="1065"/>
      <c r="AW849" s="1065"/>
      <c r="AX849" s="1065"/>
      <c r="AY849" s="1065"/>
      <c r="AZ849" s="1065"/>
      <c r="BA849" s="1065"/>
      <c r="BB849" s="1065"/>
      <c r="BC849" s="1065"/>
      <c r="BD849" s="1065"/>
      <c r="BE849" s="1065"/>
      <c r="BF849" s="1065"/>
      <c r="BG849" s="1065"/>
      <c r="BH849" s="1065"/>
      <c r="BI849" s="1065"/>
      <c r="BJ849" s="1065"/>
      <c r="BK849" s="1065"/>
      <c r="BL849" s="1065"/>
      <c r="BM849" s="1065"/>
      <c r="BN849" s="1065"/>
      <c r="BO849" s="1065"/>
      <c r="BP849" s="1065"/>
      <c r="BQ849" s="1065"/>
      <c r="BR849" s="1065"/>
      <c r="BS849" s="1065"/>
      <c r="BT849" s="1065"/>
      <c r="BU849" s="1065"/>
      <c r="BV849" s="1065"/>
      <c r="BW849" s="1065"/>
      <c r="BX849" s="1065"/>
      <c r="BY849" s="1065"/>
      <c r="BZ849" s="1065"/>
      <c r="CA849" s="1065"/>
      <c r="CB849" s="1065"/>
      <c r="CC849" s="1065"/>
      <c r="CD849" s="1065"/>
      <c r="CE849" s="1065"/>
      <c r="CF849" s="1065"/>
      <c r="CG849" s="1065"/>
      <c r="CH849" s="1065"/>
      <c r="CI849" s="1065"/>
      <c r="CJ849" s="1065"/>
      <c r="CK849" s="1065"/>
      <c r="CL849" s="1065"/>
      <c r="CM849" s="1065"/>
      <c r="CN849" s="1065"/>
      <c r="CO849" s="1065"/>
      <c r="CP849" s="1065"/>
      <c r="CQ849" s="1065"/>
      <c r="CR849" s="1065"/>
      <c r="CS849" s="1065"/>
      <c r="CT849" s="1065"/>
      <c r="CU849" s="1065"/>
      <c r="CV849" s="1065"/>
      <c r="CW849" s="1065"/>
      <c r="CX849" s="1065"/>
      <c r="CY849" s="1065"/>
      <c r="CZ849" s="1065"/>
      <c r="DA849" s="1065"/>
      <c r="DB849" s="1065"/>
    </row>
    <row r="850" spans="1:106" ht="15" customHeight="1">
      <c r="A850" s="1065"/>
      <c r="B850" s="1065"/>
      <c r="C850" s="1065"/>
      <c r="D850" s="1065"/>
      <c r="E850" s="1065"/>
      <c r="F850" s="1065"/>
      <c r="G850" s="1065"/>
      <c r="H850" s="1223"/>
      <c r="I850" s="1223"/>
      <c r="J850" s="1224"/>
      <c r="K850" s="1224"/>
      <c r="L850" s="1224"/>
      <c r="M850" s="1225"/>
      <c r="N850" s="1225"/>
      <c r="O850" s="1226"/>
      <c r="P850" s="1227"/>
      <c r="Q850" s="1227"/>
      <c r="R850" s="1228"/>
      <c r="S850" s="1224"/>
      <c r="T850" s="1229"/>
      <c r="U850" s="1065"/>
      <c r="V850" s="1065"/>
      <c r="W850" s="1065"/>
      <c r="X850" s="1065"/>
      <c r="Y850" s="1065"/>
      <c r="Z850" s="1065"/>
      <c r="AA850" s="1065"/>
      <c r="AB850" s="1065"/>
      <c r="AC850" s="1065"/>
      <c r="AD850" s="1065"/>
      <c r="AE850" s="1065"/>
      <c r="AF850" s="1065"/>
      <c r="AG850" s="1065"/>
      <c r="AH850" s="1065"/>
      <c r="AI850" s="1065"/>
      <c r="AJ850" s="1065"/>
      <c r="AK850" s="1065"/>
      <c r="AL850" s="1065"/>
      <c r="AM850" s="1065"/>
      <c r="AN850" s="1065"/>
      <c r="AO850" s="1065"/>
      <c r="AP850" s="1065"/>
      <c r="AQ850" s="1065"/>
      <c r="AR850" s="1065"/>
      <c r="AS850" s="1065"/>
      <c r="AT850" s="1065"/>
      <c r="AU850" s="1065"/>
      <c r="AV850" s="1065"/>
      <c r="AW850" s="1065"/>
      <c r="AX850" s="1065"/>
      <c r="AY850" s="1065"/>
      <c r="AZ850" s="1065"/>
      <c r="BA850" s="1065"/>
      <c r="BB850" s="1065"/>
      <c r="BC850" s="1065"/>
      <c r="BD850" s="1065"/>
      <c r="BE850" s="1065"/>
      <c r="BF850" s="1065"/>
      <c r="BG850" s="1065"/>
      <c r="BH850" s="1065"/>
      <c r="BI850" s="1065"/>
      <c r="BJ850" s="1065"/>
      <c r="BK850" s="1065"/>
      <c r="BL850" s="1065"/>
      <c r="BM850" s="1065"/>
      <c r="BN850" s="1065"/>
      <c r="BO850" s="1065"/>
      <c r="BP850" s="1065"/>
      <c r="BQ850" s="1065"/>
      <c r="BR850" s="1065"/>
      <c r="BS850" s="1065"/>
      <c r="BT850" s="1065"/>
      <c r="BU850" s="1065"/>
      <c r="BV850" s="1065"/>
      <c r="BW850" s="1065"/>
      <c r="BX850" s="1065"/>
      <c r="BY850" s="1065"/>
      <c r="BZ850" s="1065"/>
      <c r="CA850" s="1065"/>
      <c r="CB850" s="1065"/>
      <c r="CC850" s="1065"/>
      <c r="CD850" s="1065"/>
      <c r="CE850" s="1065"/>
      <c r="CF850" s="1065"/>
      <c r="CG850" s="1065"/>
      <c r="CH850" s="1065"/>
      <c r="CI850" s="1065"/>
      <c r="CJ850" s="1065"/>
      <c r="CK850" s="1065"/>
      <c r="CL850" s="1065"/>
      <c r="CM850" s="1065"/>
      <c r="CN850" s="1065"/>
      <c r="CO850" s="1065"/>
      <c r="CP850" s="1065"/>
      <c r="CQ850" s="1065"/>
      <c r="CR850" s="1065"/>
      <c r="CS850" s="1065"/>
      <c r="CT850" s="1065"/>
      <c r="CU850" s="1065"/>
      <c r="CV850" s="1065"/>
      <c r="CW850" s="1065"/>
      <c r="CX850" s="1065"/>
      <c r="CY850" s="1065"/>
      <c r="CZ850" s="1065"/>
      <c r="DA850" s="1065"/>
      <c r="DB850" s="1065"/>
    </row>
    <row r="851" spans="1:106" ht="15" customHeight="1">
      <c r="A851" s="1065"/>
      <c r="B851" s="1065"/>
      <c r="C851" s="1065"/>
      <c r="D851" s="1065"/>
      <c r="E851" s="1065"/>
      <c r="F851" s="1065"/>
      <c r="G851" s="1065"/>
      <c r="H851" s="1223"/>
      <c r="I851" s="1223"/>
      <c r="J851" s="1224"/>
      <c r="K851" s="1224"/>
      <c r="L851" s="1224"/>
      <c r="M851" s="1225"/>
      <c r="N851" s="1225"/>
      <c r="O851" s="1226"/>
      <c r="P851" s="1227"/>
      <c r="Q851" s="1227"/>
      <c r="R851" s="1228"/>
      <c r="S851" s="1224"/>
      <c r="T851" s="1229"/>
      <c r="U851" s="1065"/>
      <c r="V851" s="1065"/>
      <c r="W851" s="1065"/>
      <c r="X851" s="1065"/>
      <c r="Y851" s="1065"/>
      <c r="Z851" s="1065"/>
      <c r="AA851" s="1065"/>
      <c r="AB851" s="1065"/>
      <c r="AC851" s="1065"/>
      <c r="AD851" s="1065"/>
      <c r="AE851" s="1065"/>
      <c r="AF851" s="1065"/>
      <c r="AG851" s="1065"/>
      <c r="AH851" s="1065"/>
      <c r="AI851" s="1065"/>
      <c r="AJ851" s="1065"/>
      <c r="AK851" s="1065"/>
      <c r="AL851" s="1065"/>
      <c r="AM851" s="1065"/>
      <c r="AN851" s="1065"/>
      <c r="AO851" s="1065"/>
      <c r="AP851" s="1065"/>
      <c r="AQ851" s="1065"/>
      <c r="AR851" s="1065"/>
      <c r="AS851" s="1065"/>
      <c r="AT851" s="1065"/>
      <c r="AU851" s="1065"/>
      <c r="AV851" s="1065"/>
      <c r="AW851" s="1065"/>
      <c r="AX851" s="1065"/>
      <c r="AY851" s="1065"/>
      <c r="AZ851" s="1065"/>
      <c r="BA851" s="1065"/>
      <c r="BB851" s="1065"/>
      <c r="BC851" s="1065"/>
      <c r="BD851" s="1065"/>
      <c r="BE851" s="1065"/>
      <c r="BF851" s="1065"/>
      <c r="BG851" s="1065"/>
      <c r="BH851" s="1065"/>
      <c r="BI851" s="1065"/>
      <c r="BJ851" s="1065"/>
      <c r="BK851" s="1065"/>
      <c r="BL851" s="1065"/>
      <c r="BM851" s="1065"/>
      <c r="BN851" s="1065"/>
      <c r="BO851" s="1065"/>
      <c r="BP851" s="1065"/>
      <c r="BQ851" s="1065"/>
      <c r="BR851" s="1065"/>
      <c r="BS851" s="1065"/>
      <c r="BT851" s="1065"/>
      <c r="BU851" s="1065"/>
      <c r="BV851" s="1065"/>
      <c r="BW851" s="1065"/>
      <c r="BX851" s="1065"/>
      <c r="BY851" s="1065"/>
      <c r="BZ851" s="1065"/>
      <c r="CA851" s="1065"/>
      <c r="CB851" s="1065"/>
      <c r="CC851" s="1065"/>
      <c r="CD851" s="1065"/>
      <c r="CE851" s="1065"/>
      <c r="CF851" s="1065"/>
      <c r="CG851" s="1065"/>
      <c r="CH851" s="1065"/>
      <c r="CI851" s="1065"/>
      <c r="CJ851" s="1065"/>
      <c r="CK851" s="1065"/>
      <c r="CL851" s="1065"/>
      <c r="CM851" s="1065"/>
      <c r="CN851" s="1065"/>
      <c r="CO851" s="1065"/>
      <c r="CP851" s="1065"/>
      <c r="CQ851" s="1065"/>
      <c r="CR851" s="1065"/>
      <c r="CS851" s="1065"/>
      <c r="CT851" s="1065"/>
      <c r="CU851" s="1065"/>
      <c r="CV851" s="1065"/>
      <c r="CW851" s="1065"/>
      <c r="CX851" s="1065"/>
      <c r="CY851" s="1065"/>
      <c r="CZ851" s="1065"/>
      <c r="DA851" s="1065"/>
      <c r="DB851" s="1065"/>
    </row>
    <row r="852" spans="1:106" ht="15" customHeight="1">
      <c r="A852" s="1065"/>
      <c r="B852" s="1065"/>
      <c r="C852" s="1065"/>
      <c r="D852" s="1065"/>
      <c r="E852" s="1065"/>
      <c r="F852" s="1065"/>
      <c r="G852" s="1065"/>
      <c r="H852" s="1223"/>
      <c r="I852" s="1223"/>
      <c r="J852" s="1224"/>
      <c r="K852" s="1224"/>
      <c r="L852" s="1224"/>
      <c r="M852" s="1225"/>
      <c r="N852" s="1225"/>
      <c r="O852" s="1226"/>
      <c r="P852" s="1227"/>
      <c r="Q852" s="1227"/>
      <c r="R852" s="1228"/>
      <c r="S852" s="1224"/>
      <c r="T852" s="1229"/>
      <c r="U852" s="1065"/>
      <c r="V852" s="1065"/>
      <c r="W852" s="1065"/>
      <c r="X852" s="1065"/>
      <c r="Y852" s="1065"/>
      <c r="Z852" s="1065"/>
      <c r="AA852" s="1065"/>
      <c r="AB852" s="1065"/>
      <c r="AC852" s="1065"/>
      <c r="AD852" s="1065"/>
      <c r="AE852" s="1065"/>
      <c r="AF852" s="1065"/>
      <c r="AG852" s="1065"/>
      <c r="AH852" s="1065"/>
      <c r="AI852" s="1065"/>
      <c r="AJ852" s="1065"/>
      <c r="AK852" s="1065"/>
      <c r="AL852" s="1065"/>
      <c r="AM852" s="1065"/>
      <c r="AN852" s="1065"/>
      <c r="AO852" s="1065"/>
      <c r="AP852" s="1065"/>
      <c r="AQ852" s="1065"/>
      <c r="AR852" s="1065"/>
      <c r="AS852" s="1065"/>
      <c r="AT852" s="1065"/>
      <c r="AU852" s="1065"/>
      <c r="AV852" s="1065"/>
      <c r="AW852" s="1065"/>
      <c r="AX852" s="1065"/>
      <c r="AY852" s="1065"/>
      <c r="AZ852" s="1065"/>
      <c r="BA852" s="1065"/>
      <c r="BB852" s="1065"/>
      <c r="BC852" s="1065"/>
      <c r="BD852" s="1065"/>
      <c r="BE852" s="1065"/>
      <c r="BF852" s="1065"/>
      <c r="BG852" s="1065"/>
      <c r="BH852" s="1065"/>
      <c r="BI852" s="1065"/>
      <c r="BJ852" s="1065"/>
      <c r="BK852" s="1065"/>
      <c r="BL852" s="1065"/>
      <c r="BM852" s="1065"/>
      <c r="BN852" s="1065"/>
      <c r="BO852" s="1065"/>
      <c r="BP852" s="1065"/>
      <c r="BQ852" s="1065"/>
      <c r="BR852" s="1065"/>
      <c r="BS852" s="1065"/>
      <c r="BT852" s="1065"/>
      <c r="BU852" s="1065"/>
      <c r="BV852" s="1065"/>
      <c r="BW852" s="1065"/>
      <c r="BX852" s="1065"/>
      <c r="BY852" s="1065"/>
      <c r="BZ852" s="1065"/>
      <c r="CA852" s="1065"/>
      <c r="CB852" s="1065"/>
      <c r="CC852" s="1065"/>
      <c r="CD852" s="1065"/>
      <c r="CE852" s="1065"/>
      <c r="CF852" s="1065"/>
      <c r="CG852" s="1065"/>
      <c r="CH852" s="1065"/>
      <c r="CI852" s="1065"/>
      <c r="CJ852" s="1065"/>
      <c r="CK852" s="1065"/>
      <c r="CL852" s="1065"/>
      <c r="CM852" s="1065"/>
      <c r="CN852" s="1065"/>
      <c r="CO852" s="1065"/>
      <c r="CP852" s="1065"/>
      <c r="CQ852" s="1065"/>
      <c r="CR852" s="1065"/>
      <c r="CS852" s="1065"/>
      <c r="CT852" s="1065"/>
      <c r="CU852" s="1065"/>
      <c r="CV852" s="1065"/>
      <c r="CW852" s="1065"/>
      <c r="CX852" s="1065"/>
      <c r="CY852" s="1065"/>
      <c r="CZ852" s="1065"/>
      <c r="DA852" s="1065"/>
      <c r="DB852" s="1065"/>
    </row>
    <row r="853" spans="1:106" ht="15" customHeight="1">
      <c r="A853" s="1065"/>
      <c r="B853" s="1065"/>
      <c r="C853" s="1065"/>
      <c r="D853" s="1065"/>
      <c r="E853" s="1065"/>
      <c r="F853" s="1065"/>
      <c r="G853" s="1065"/>
      <c r="H853" s="1223"/>
      <c r="I853" s="1223"/>
      <c r="J853" s="1224"/>
      <c r="K853" s="1224"/>
      <c r="L853" s="1224"/>
      <c r="M853" s="1225"/>
      <c r="N853" s="1225"/>
      <c r="O853" s="1226"/>
      <c r="P853" s="1227"/>
      <c r="Q853" s="1227"/>
      <c r="R853" s="1228"/>
      <c r="S853" s="1224"/>
      <c r="T853" s="1229"/>
      <c r="U853" s="1065"/>
      <c r="V853" s="1065"/>
      <c r="W853" s="1065"/>
      <c r="X853" s="1065"/>
      <c r="Y853" s="1065"/>
      <c r="Z853" s="1065"/>
      <c r="AA853" s="1065"/>
      <c r="AB853" s="1065"/>
      <c r="AC853" s="1065"/>
      <c r="AD853" s="1065"/>
      <c r="AE853" s="1065"/>
      <c r="AF853" s="1065"/>
      <c r="AG853" s="1065"/>
      <c r="AH853" s="1065"/>
      <c r="AI853" s="1065"/>
      <c r="AJ853" s="1065"/>
      <c r="AK853" s="1065"/>
      <c r="AL853" s="1065"/>
      <c r="AM853" s="1065"/>
      <c r="AN853" s="1065"/>
      <c r="AO853" s="1065"/>
      <c r="AP853" s="1065"/>
      <c r="AQ853" s="1065"/>
      <c r="AR853" s="1065"/>
      <c r="AS853" s="1065"/>
      <c r="AT853" s="1065"/>
      <c r="AU853" s="1065"/>
      <c r="AV853" s="1065"/>
      <c r="AW853" s="1065"/>
      <c r="AX853" s="1065"/>
      <c r="AY853" s="1065"/>
      <c r="AZ853" s="1065"/>
      <c r="BA853" s="1065"/>
      <c r="BB853" s="1065"/>
      <c r="BC853" s="1065"/>
      <c r="BD853" s="1065"/>
      <c r="BE853" s="1065"/>
      <c r="BF853" s="1065"/>
      <c r="BG853" s="1065"/>
      <c r="BH853" s="1065"/>
      <c r="BI853" s="1065"/>
      <c r="BJ853" s="1065"/>
      <c r="BK853" s="1065"/>
      <c r="BL853" s="1065"/>
      <c r="BM853" s="1065"/>
      <c r="BN853" s="1065"/>
      <c r="BO853" s="1065"/>
      <c r="BP853" s="1065"/>
      <c r="BQ853" s="1065"/>
      <c r="BR853" s="1065"/>
      <c r="BS853" s="1065"/>
      <c r="BT853" s="1065"/>
      <c r="BU853" s="1065"/>
      <c r="BV853" s="1065"/>
      <c r="BW853" s="1065"/>
      <c r="BX853" s="1065"/>
      <c r="BY853" s="1065"/>
      <c r="BZ853" s="1065"/>
      <c r="CA853" s="1065"/>
      <c r="CB853" s="1065"/>
      <c r="CC853" s="1065"/>
      <c r="CD853" s="1065"/>
      <c r="CE853" s="1065"/>
      <c r="CF853" s="1065"/>
      <c r="CG853" s="1065"/>
      <c r="CH853" s="1065"/>
      <c r="CI853" s="1065"/>
      <c r="CJ853" s="1065"/>
      <c r="CK853" s="1065"/>
      <c r="CL853" s="1065"/>
      <c r="CM853" s="1065"/>
      <c r="CN853" s="1065"/>
      <c r="CO853" s="1065"/>
      <c r="CP853" s="1065"/>
      <c r="CQ853" s="1065"/>
      <c r="CR853" s="1065"/>
      <c r="CS853" s="1065"/>
      <c r="CT853" s="1065"/>
      <c r="CU853" s="1065"/>
      <c r="CV853" s="1065"/>
      <c r="CW853" s="1065"/>
      <c r="CX853" s="1065"/>
      <c r="CY853" s="1065"/>
      <c r="CZ853" s="1065"/>
      <c r="DA853" s="1065"/>
      <c r="DB853" s="1065"/>
    </row>
    <row r="854" spans="1:106" ht="15" customHeight="1">
      <c r="A854" s="1065"/>
      <c r="B854" s="1065"/>
      <c r="C854" s="1065"/>
      <c r="D854" s="1065"/>
      <c r="E854" s="1065"/>
      <c r="F854" s="1065"/>
      <c r="G854" s="1065"/>
      <c r="H854" s="1223"/>
      <c r="I854" s="1223"/>
      <c r="J854" s="1224"/>
      <c r="K854" s="1224"/>
      <c r="L854" s="1224"/>
      <c r="M854" s="1225"/>
      <c r="N854" s="1225"/>
      <c r="O854" s="1226"/>
      <c r="P854" s="1227"/>
      <c r="Q854" s="1227"/>
      <c r="R854" s="1228"/>
      <c r="S854" s="1224"/>
      <c r="T854" s="1229"/>
      <c r="U854" s="1065"/>
      <c r="V854" s="1065"/>
      <c r="W854" s="1065"/>
      <c r="X854" s="1065"/>
      <c r="Y854" s="1065"/>
      <c r="Z854" s="1065"/>
      <c r="AA854" s="1065"/>
      <c r="AB854" s="1065"/>
      <c r="AC854" s="1065"/>
      <c r="AD854" s="1065"/>
      <c r="AE854" s="1065"/>
      <c r="AF854" s="1065"/>
      <c r="AG854" s="1065"/>
      <c r="AH854" s="1065"/>
      <c r="AI854" s="1065"/>
      <c r="AJ854" s="1065"/>
      <c r="AK854" s="1065"/>
      <c r="AL854" s="1065"/>
      <c r="AM854" s="1065"/>
      <c r="AN854" s="1065"/>
      <c r="AO854" s="1065"/>
      <c r="AP854" s="1065"/>
      <c r="AQ854" s="1065"/>
      <c r="AR854" s="1065"/>
      <c r="AS854" s="1065"/>
      <c r="AT854" s="1065"/>
      <c r="AU854" s="1065"/>
      <c r="AV854" s="1065"/>
      <c r="AW854" s="1065"/>
      <c r="AX854" s="1065"/>
      <c r="AY854" s="1065"/>
      <c r="AZ854" s="1065"/>
      <c r="BA854" s="1065"/>
      <c r="BB854" s="1065"/>
      <c r="BC854" s="1065"/>
      <c r="BD854" s="1065"/>
      <c r="BE854" s="1065"/>
      <c r="BF854" s="1065"/>
      <c r="BG854" s="1065"/>
      <c r="BH854" s="1065"/>
      <c r="BI854" s="1065"/>
      <c r="BJ854" s="1065"/>
      <c r="BK854" s="1065"/>
      <c r="BL854" s="1065"/>
      <c r="BM854" s="1065"/>
      <c r="BN854" s="1065"/>
      <c r="BO854" s="1065"/>
      <c r="BP854" s="1065"/>
      <c r="BQ854" s="1065"/>
      <c r="BR854" s="1065"/>
      <c r="BS854" s="1065"/>
      <c r="BT854" s="1065"/>
      <c r="BU854" s="1065"/>
      <c r="BV854" s="1065"/>
      <c r="BW854" s="1065"/>
      <c r="BX854" s="1065"/>
      <c r="BY854" s="1065"/>
      <c r="BZ854" s="1065"/>
      <c r="CA854" s="1065"/>
      <c r="CB854" s="1065"/>
      <c r="CC854" s="1065"/>
      <c r="CD854" s="1065"/>
      <c r="CE854" s="1065"/>
      <c r="CF854" s="1065"/>
      <c r="CG854" s="1065"/>
      <c r="CH854" s="1065"/>
      <c r="CI854" s="1065"/>
      <c r="CJ854" s="1065"/>
      <c r="CK854" s="1065"/>
      <c r="CL854" s="1065"/>
      <c r="CM854" s="1065"/>
      <c r="CN854" s="1065"/>
      <c r="CO854" s="1065"/>
      <c r="CP854" s="1065"/>
      <c r="CQ854" s="1065"/>
      <c r="CR854" s="1065"/>
      <c r="CS854" s="1065"/>
      <c r="CT854" s="1065"/>
      <c r="CU854" s="1065"/>
      <c r="CV854" s="1065"/>
      <c r="CW854" s="1065"/>
      <c r="CX854" s="1065"/>
      <c r="CY854" s="1065"/>
      <c r="CZ854" s="1065"/>
      <c r="DA854" s="1065"/>
      <c r="DB854" s="1065"/>
    </row>
    <row r="855" spans="1:106" ht="15" customHeight="1">
      <c r="A855" s="1065"/>
      <c r="B855" s="1065"/>
      <c r="C855" s="1065"/>
      <c r="D855" s="1065"/>
      <c r="E855" s="1065"/>
      <c r="F855" s="1065"/>
      <c r="G855" s="1065"/>
      <c r="H855" s="1223"/>
      <c r="I855" s="1223"/>
      <c r="J855" s="1224"/>
      <c r="K855" s="1224"/>
      <c r="L855" s="1224"/>
      <c r="M855" s="1225"/>
      <c r="N855" s="1225"/>
      <c r="O855" s="1226"/>
      <c r="P855" s="1227"/>
      <c r="Q855" s="1227"/>
      <c r="R855" s="1228"/>
      <c r="S855" s="1224"/>
      <c r="T855" s="1229"/>
      <c r="U855" s="1065"/>
      <c r="V855" s="1065"/>
      <c r="W855" s="1065"/>
      <c r="X855" s="1065"/>
      <c r="Y855" s="1065"/>
      <c r="Z855" s="1065"/>
      <c r="AA855" s="1065"/>
      <c r="AB855" s="1065"/>
      <c r="AC855" s="1065"/>
      <c r="AD855" s="1065"/>
      <c r="AE855" s="1065"/>
      <c r="AF855" s="1065"/>
      <c r="AG855" s="1065"/>
      <c r="AH855" s="1065"/>
      <c r="AI855" s="1065"/>
      <c r="AJ855" s="1065"/>
      <c r="AK855" s="1065"/>
      <c r="AL855" s="1065"/>
      <c r="AM855" s="1065"/>
      <c r="AN855" s="1065"/>
      <c r="AO855" s="1065"/>
      <c r="AP855" s="1065"/>
      <c r="AQ855" s="1065"/>
      <c r="AR855" s="1065"/>
      <c r="AS855" s="1065"/>
      <c r="AT855" s="1065"/>
      <c r="AU855" s="1065"/>
      <c r="AV855" s="1065"/>
      <c r="AW855" s="1065"/>
      <c r="AX855" s="1065"/>
      <c r="AY855" s="1065"/>
      <c r="AZ855" s="1065"/>
      <c r="BA855" s="1065"/>
      <c r="BB855" s="1065"/>
      <c r="BC855" s="1065"/>
      <c r="BD855" s="1065"/>
      <c r="BE855" s="1065"/>
      <c r="BF855" s="1065"/>
      <c r="BG855" s="1065"/>
      <c r="BH855" s="1065"/>
      <c r="BI855" s="1065"/>
      <c r="BJ855" s="1065"/>
      <c r="BK855" s="1065"/>
      <c r="BL855" s="1065"/>
      <c r="BM855" s="1065"/>
      <c r="BN855" s="1065"/>
      <c r="BO855" s="1065"/>
      <c r="BP855" s="1065"/>
      <c r="BQ855" s="1065"/>
      <c r="BR855" s="1065"/>
      <c r="BS855" s="1065"/>
      <c r="BT855" s="1065"/>
      <c r="BU855" s="1065"/>
      <c r="BV855" s="1065"/>
      <c r="BW855" s="1065"/>
      <c r="BX855" s="1065"/>
      <c r="BY855" s="1065"/>
      <c r="BZ855" s="1065"/>
      <c r="CA855" s="1065"/>
      <c r="CB855" s="1065"/>
      <c r="CC855" s="1065"/>
      <c r="CD855" s="1065"/>
      <c r="CE855" s="1065"/>
      <c r="CF855" s="1065"/>
      <c r="CG855" s="1065"/>
      <c r="CH855" s="1065"/>
      <c r="CI855" s="1065"/>
      <c r="CJ855" s="1065"/>
      <c r="CK855" s="1065"/>
      <c r="CL855" s="1065"/>
      <c r="CM855" s="1065"/>
      <c r="CN855" s="1065"/>
      <c r="CO855" s="1065"/>
      <c r="CP855" s="1065"/>
      <c r="CQ855" s="1065"/>
      <c r="CR855" s="1065"/>
      <c r="CS855" s="1065"/>
      <c r="CT855" s="1065"/>
      <c r="CU855" s="1065"/>
      <c r="CV855" s="1065"/>
      <c r="CW855" s="1065"/>
      <c r="CX855" s="1065"/>
      <c r="CY855" s="1065"/>
      <c r="CZ855" s="1065"/>
      <c r="DA855" s="1065"/>
      <c r="DB855" s="1065"/>
    </row>
    <row r="856" spans="1:106" ht="15" customHeight="1">
      <c r="A856" s="1065"/>
      <c r="B856" s="1065"/>
      <c r="C856" s="1065"/>
      <c r="D856" s="1065"/>
      <c r="E856" s="1065"/>
      <c r="F856" s="1065"/>
      <c r="G856" s="1065"/>
      <c r="H856" s="1223"/>
      <c r="I856" s="1223"/>
      <c r="J856" s="1224"/>
      <c r="K856" s="1224"/>
      <c r="L856" s="1224"/>
      <c r="M856" s="1225"/>
      <c r="N856" s="1225"/>
      <c r="O856" s="1226"/>
      <c r="P856" s="1227"/>
      <c r="Q856" s="1227"/>
      <c r="R856" s="1228"/>
      <c r="S856" s="1224"/>
      <c r="T856" s="1229"/>
      <c r="U856" s="1065"/>
      <c r="V856" s="1065"/>
      <c r="W856" s="1065"/>
      <c r="X856" s="1065"/>
      <c r="Y856" s="1065"/>
      <c r="Z856" s="1065"/>
      <c r="AA856" s="1065"/>
      <c r="AB856" s="1065"/>
      <c r="AC856" s="1065"/>
      <c r="AD856" s="1065"/>
      <c r="AE856" s="1065"/>
      <c r="AF856" s="1065"/>
      <c r="AG856" s="1065"/>
      <c r="AH856" s="1065"/>
      <c r="AI856" s="1065"/>
      <c r="AJ856" s="1065"/>
      <c r="AK856" s="1065"/>
      <c r="AL856" s="1065"/>
      <c r="AM856" s="1065"/>
      <c r="AN856" s="1065"/>
      <c r="AO856" s="1065"/>
      <c r="AP856" s="1065"/>
      <c r="AQ856" s="1065"/>
      <c r="AR856" s="1065"/>
      <c r="AS856" s="1065"/>
      <c r="AT856" s="1065"/>
      <c r="AU856" s="1065"/>
      <c r="AV856" s="1065"/>
      <c r="AW856" s="1065"/>
      <c r="AX856" s="1065"/>
      <c r="AY856" s="1065"/>
      <c r="AZ856" s="1065"/>
      <c r="BA856" s="1065"/>
      <c r="BB856" s="1065"/>
      <c r="BC856" s="1065"/>
      <c r="BD856" s="1065"/>
      <c r="BE856" s="1065"/>
      <c r="BF856" s="1065"/>
      <c r="BG856" s="1065"/>
      <c r="BH856" s="1065"/>
      <c r="BI856" s="1065"/>
      <c r="BJ856" s="1065"/>
      <c r="BK856" s="1065"/>
      <c r="BL856" s="1065"/>
      <c r="BM856" s="1065"/>
      <c r="BN856" s="1065"/>
      <c r="BO856" s="1065"/>
      <c r="BP856" s="1065"/>
      <c r="BQ856" s="1065"/>
      <c r="BR856" s="1065"/>
      <c r="BS856" s="1065"/>
      <c r="BT856" s="1065"/>
      <c r="BU856" s="1065"/>
      <c r="BV856" s="1065"/>
      <c r="BW856" s="1065"/>
      <c r="BX856" s="1065"/>
      <c r="BY856" s="1065"/>
      <c r="BZ856" s="1065"/>
      <c r="CA856" s="1065"/>
      <c r="CB856" s="1065"/>
      <c r="CC856" s="1065"/>
      <c r="CD856" s="1065"/>
      <c r="CE856" s="1065"/>
      <c r="CF856" s="1065"/>
      <c r="CG856" s="1065"/>
      <c r="CH856" s="1065"/>
      <c r="CI856" s="1065"/>
      <c r="CJ856" s="1065"/>
      <c r="CK856" s="1065"/>
      <c r="CL856" s="1065"/>
      <c r="CM856" s="1065"/>
      <c r="CN856" s="1065"/>
      <c r="CO856" s="1065"/>
      <c r="CP856" s="1065"/>
      <c r="CQ856" s="1065"/>
      <c r="CR856" s="1065"/>
      <c r="CS856" s="1065"/>
      <c r="CT856" s="1065"/>
      <c r="CU856" s="1065"/>
      <c r="CV856" s="1065"/>
      <c r="CW856" s="1065"/>
      <c r="CX856" s="1065"/>
      <c r="CY856" s="1065"/>
      <c r="CZ856" s="1065"/>
      <c r="DA856" s="1065"/>
      <c r="DB856" s="1065"/>
    </row>
    <row r="857" spans="1:106" ht="15" customHeight="1">
      <c r="A857" s="1065"/>
      <c r="B857" s="1065"/>
      <c r="C857" s="1065"/>
      <c r="D857" s="1065"/>
      <c r="E857" s="1065"/>
      <c r="F857" s="1065"/>
      <c r="G857" s="1065"/>
      <c r="H857" s="1223"/>
      <c r="I857" s="1223"/>
      <c r="J857" s="1224"/>
      <c r="K857" s="1224"/>
      <c r="L857" s="1224"/>
      <c r="M857" s="1225"/>
      <c r="N857" s="1225"/>
      <c r="O857" s="1226"/>
      <c r="P857" s="1227"/>
      <c r="Q857" s="1227"/>
      <c r="R857" s="1228"/>
      <c r="S857" s="1224"/>
      <c r="T857" s="1229"/>
      <c r="U857" s="1065"/>
      <c r="V857" s="1065"/>
      <c r="W857" s="1065"/>
      <c r="X857" s="1065"/>
      <c r="Y857" s="1065"/>
      <c r="Z857" s="1065"/>
      <c r="AA857" s="1065"/>
      <c r="AB857" s="1065"/>
      <c r="AC857" s="1065"/>
      <c r="AD857" s="1065"/>
      <c r="AE857" s="1065"/>
      <c r="AF857" s="1065"/>
      <c r="AG857" s="1065"/>
      <c r="AH857" s="1065"/>
      <c r="AI857" s="1065"/>
      <c r="AJ857" s="1065"/>
      <c r="AK857" s="1065"/>
      <c r="AL857" s="1065"/>
      <c r="AM857" s="1065"/>
      <c r="AN857" s="1065"/>
      <c r="AO857" s="1065"/>
      <c r="AP857" s="1065"/>
      <c r="AQ857" s="1065"/>
      <c r="AR857" s="1065"/>
      <c r="AS857" s="1065"/>
      <c r="AT857" s="1065"/>
      <c r="AU857" s="1065"/>
      <c r="AV857" s="1065"/>
      <c r="AW857" s="1065"/>
      <c r="AX857" s="1065"/>
      <c r="AY857" s="1065"/>
      <c r="AZ857" s="1065"/>
      <c r="BA857" s="1065"/>
      <c r="BB857" s="1065"/>
      <c r="BC857" s="1065"/>
      <c r="BD857" s="1065"/>
      <c r="BE857" s="1065"/>
      <c r="BF857" s="1065"/>
      <c r="BG857" s="1065"/>
      <c r="BH857" s="1065"/>
      <c r="BI857" s="1065"/>
      <c r="BJ857" s="1065"/>
      <c r="BK857" s="1065"/>
      <c r="BL857" s="1065"/>
      <c r="BM857" s="1065"/>
      <c r="BN857" s="1065"/>
      <c r="BO857" s="1065"/>
      <c r="BP857" s="1065"/>
      <c r="BQ857" s="1065"/>
      <c r="BR857" s="1065"/>
      <c r="BS857" s="1065"/>
      <c r="BT857" s="1065"/>
      <c r="BU857" s="1065"/>
      <c r="BV857" s="1065"/>
      <c r="BW857" s="1065"/>
      <c r="BX857" s="1065"/>
      <c r="BY857" s="1065"/>
      <c r="BZ857" s="1065"/>
      <c r="CA857" s="1065"/>
      <c r="CB857" s="1065"/>
      <c r="CC857" s="1065"/>
      <c r="CD857" s="1065"/>
      <c r="CE857" s="1065"/>
      <c r="CF857" s="1065"/>
      <c r="CG857" s="1065"/>
      <c r="CH857" s="1065"/>
      <c r="CI857" s="1065"/>
      <c r="CJ857" s="1065"/>
      <c r="CK857" s="1065"/>
      <c r="CL857" s="1065"/>
      <c r="CM857" s="1065"/>
      <c r="CN857" s="1065"/>
      <c r="CO857" s="1065"/>
      <c r="CP857" s="1065"/>
      <c r="CQ857" s="1065"/>
      <c r="CR857" s="1065"/>
      <c r="CS857" s="1065"/>
      <c r="CT857" s="1065"/>
      <c r="CU857" s="1065"/>
      <c r="CV857" s="1065"/>
      <c r="CW857" s="1065"/>
      <c r="CX857" s="1065"/>
      <c r="CY857" s="1065"/>
      <c r="CZ857" s="1065"/>
      <c r="DA857" s="1065"/>
      <c r="DB857" s="1065"/>
    </row>
    <row r="858" spans="1:106" ht="15" customHeight="1">
      <c r="A858" s="1065"/>
      <c r="B858" s="1065"/>
      <c r="C858" s="1065"/>
      <c r="D858" s="1065"/>
      <c r="E858" s="1065"/>
      <c r="F858" s="1065"/>
      <c r="G858" s="1065"/>
      <c r="H858" s="1223"/>
      <c r="I858" s="1223"/>
      <c r="J858" s="1224"/>
      <c r="K858" s="1224"/>
      <c r="L858" s="1224"/>
      <c r="M858" s="1225"/>
      <c r="N858" s="1225"/>
      <c r="O858" s="1226"/>
      <c r="P858" s="1227"/>
      <c r="Q858" s="1227"/>
      <c r="R858" s="1228"/>
      <c r="S858" s="1224"/>
      <c r="T858" s="1229"/>
      <c r="U858" s="1065"/>
      <c r="V858" s="1065"/>
      <c r="W858" s="1065"/>
      <c r="X858" s="1065"/>
      <c r="Y858" s="1065"/>
      <c r="Z858" s="1065"/>
      <c r="AA858" s="1065"/>
      <c r="AB858" s="1065"/>
      <c r="AC858" s="1065"/>
      <c r="AD858" s="1065"/>
      <c r="AE858" s="1065"/>
      <c r="AF858" s="1065"/>
      <c r="AG858" s="1065"/>
      <c r="AH858" s="1065"/>
      <c r="AI858" s="1065"/>
      <c r="AJ858" s="1065"/>
      <c r="AK858" s="1065"/>
      <c r="AL858" s="1065"/>
      <c r="AM858" s="1065"/>
      <c r="AN858" s="1065"/>
      <c r="AO858" s="1065"/>
      <c r="AP858" s="1065"/>
      <c r="AQ858" s="1065"/>
      <c r="AR858" s="1065"/>
      <c r="AS858" s="1065"/>
      <c r="AT858" s="1065"/>
      <c r="AU858" s="1065"/>
      <c r="AV858" s="1065"/>
      <c r="AW858" s="1065"/>
      <c r="AX858" s="1065"/>
      <c r="AY858" s="1065"/>
      <c r="AZ858" s="1065"/>
      <c r="BA858" s="1065"/>
      <c r="BB858" s="1065"/>
      <c r="BC858" s="1065"/>
      <c r="BD858" s="1065"/>
      <c r="BE858" s="1065"/>
      <c r="BF858" s="1065"/>
      <c r="BG858" s="1065"/>
      <c r="BH858" s="1065"/>
      <c r="BI858" s="1065"/>
      <c r="BJ858" s="1065"/>
      <c r="BK858" s="1065"/>
      <c r="BL858" s="1065"/>
      <c r="BM858" s="1065"/>
      <c r="BN858" s="1065"/>
      <c r="BO858" s="1065"/>
      <c r="BP858" s="1065"/>
      <c r="BQ858" s="1065"/>
      <c r="BR858" s="1065"/>
      <c r="BS858" s="1065"/>
      <c r="BT858" s="1065"/>
      <c r="BU858" s="1065"/>
      <c r="BV858" s="1065"/>
      <c r="BW858" s="1065"/>
      <c r="BX858" s="1065"/>
      <c r="BY858" s="1065"/>
      <c r="BZ858" s="1065"/>
      <c r="CA858" s="1065"/>
      <c r="CB858" s="1065"/>
      <c r="CC858" s="1065"/>
      <c r="CD858" s="1065"/>
      <c r="CE858" s="1065"/>
      <c r="CF858" s="1065"/>
      <c r="CG858" s="1065"/>
      <c r="CH858" s="1065"/>
      <c r="CI858" s="1065"/>
      <c r="CJ858" s="1065"/>
      <c r="CK858" s="1065"/>
      <c r="CL858" s="1065"/>
      <c r="CM858" s="1065"/>
      <c r="CN858" s="1065"/>
      <c r="CO858" s="1065"/>
      <c r="CP858" s="1065"/>
      <c r="CQ858" s="1065"/>
      <c r="CR858" s="1065"/>
      <c r="CS858" s="1065"/>
      <c r="CT858" s="1065"/>
      <c r="CU858" s="1065"/>
      <c r="CV858" s="1065"/>
      <c r="CW858" s="1065"/>
      <c r="CX858" s="1065"/>
      <c r="CY858" s="1065"/>
      <c r="CZ858" s="1065"/>
      <c r="DA858" s="1065"/>
      <c r="DB858" s="1065"/>
    </row>
    <row r="859" spans="1:106" ht="15" customHeight="1">
      <c r="A859" s="1065"/>
      <c r="B859" s="1065"/>
      <c r="C859" s="1065"/>
      <c r="D859" s="1065"/>
      <c r="E859" s="1065"/>
      <c r="F859" s="1065"/>
      <c r="G859" s="1065"/>
      <c r="H859" s="1223"/>
      <c r="I859" s="1223"/>
      <c r="J859" s="1224"/>
      <c r="K859" s="1224"/>
      <c r="L859" s="1224"/>
      <c r="M859" s="1225"/>
      <c r="N859" s="1225"/>
      <c r="O859" s="1226"/>
      <c r="P859" s="1227"/>
      <c r="Q859" s="1227"/>
      <c r="R859" s="1228"/>
      <c r="S859" s="1224"/>
      <c r="T859" s="1229"/>
      <c r="U859" s="1065"/>
      <c r="V859" s="1065"/>
      <c r="W859" s="1065"/>
      <c r="X859" s="1065"/>
      <c r="Y859" s="1065"/>
      <c r="Z859" s="1065"/>
      <c r="AA859" s="1065"/>
      <c r="AB859" s="1065"/>
      <c r="AC859" s="1065"/>
      <c r="AD859" s="1065"/>
      <c r="AE859" s="1065"/>
      <c r="AF859" s="1065"/>
      <c r="AG859" s="1065"/>
      <c r="AH859" s="1065"/>
      <c r="AI859" s="1065"/>
      <c r="AJ859" s="1065"/>
      <c r="AK859" s="1065"/>
      <c r="AL859" s="1065"/>
      <c r="AM859" s="1065"/>
      <c r="AN859" s="1065"/>
      <c r="AO859" s="1065"/>
      <c r="AP859" s="1065"/>
      <c r="AQ859" s="1065"/>
      <c r="AR859" s="1065"/>
      <c r="AS859" s="1065"/>
      <c r="AT859" s="1065"/>
      <c r="AU859" s="1065"/>
      <c r="AV859" s="1065"/>
      <c r="AW859" s="1065"/>
      <c r="AX859" s="1065"/>
      <c r="AY859" s="1065"/>
      <c r="AZ859" s="1065"/>
      <c r="BA859" s="1065"/>
      <c r="BB859" s="1065"/>
      <c r="BC859" s="1065"/>
      <c r="BD859" s="1065"/>
      <c r="BE859" s="1065"/>
      <c r="BF859" s="1065"/>
      <c r="BG859" s="1065"/>
      <c r="BH859" s="1065"/>
      <c r="BI859" s="1065"/>
      <c r="BJ859" s="1065"/>
      <c r="BK859" s="1065"/>
      <c r="BL859" s="1065"/>
      <c r="BM859" s="1065"/>
      <c r="BN859" s="1065"/>
      <c r="BO859" s="1065"/>
      <c r="BP859" s="1065"/>
      <c r="BQ859" s="1065"/>
      <c r="BR859" s="1065"/>
      <c r="BS859" s="1065"/>
      <c r="BT859" s="1065"/>
      <c r="BU859" s="1065"/>
      <c r="BV859" s="1065"/>
      <c r="BW859" s="1065"/>
      <c r="BX859" s="1065"/>
      <c r="BY859" s="1065"/>
      <c r="BZ859" s="1065"/>
      <c r="CA859" s="1065"/>
      <c r="CB859" s="1065"/>
      <c r="CC859" s="1065"/>
      <c r="CD859" s="1065"/>
      <c r="CE859" s="1065"/>
      <c r="CF859" s="1065"/>
      <c r="CG859" s="1065"/>
      <c r="CH859" s="1065"/>
      <c r="CI859" s="1065"/>
      <c r="CJ859" s="1065"/>
      <c r="CK859" s="1065"/>
      <c r="CL859" s="1065"/>
      <c r="CM859" s="1065"/>
      <c r="CN859" s="1065"/>
      <c r="CO859" s="1065"/>
      <c r="CP859" s="1065"/>
      <c r="CQ859" s="1065"/>
      <c r="CR859" s="1065"/>
      <c r="CS859" s="1065"/>
      <c r="CT859" s="1065"/>
      <c r="CU859" s="1065"/>
      <c r="CV859" s="1065"/>
      <c r="CW859" s="1065"/>
      <c r="CX859" s="1065"/>
      <c r="CY859" s="1065"/>
      <c r="CZ859" s="1065"/>
      <c r="DA859" s="1065"/>
      <c r="DB859" s="1065"/>
    </row>
    <row r="860" spans="1:106" ht="15" customHeight="1">
      <c r="A860" s="1065"/>
      <c r="B860" s="1065"/>
      <c r="C860" s="1065"/>
      <c r="D860" s="1065"/>
      <c r="E860" s="1065"/>
      <c r="F860" s="1065"/>
      <c r="G860" s="1065"/>
      <c r="H860" s="1223"/>
      <c r="I860" s="1223"/>
      <c r="J860" s="1224"/>
      <c r="K860" s="1224"/>
      <c r="L860" s="1224"/>
      <c r="M860" s="1225"/>
      <c r="N860" s="1225"/>
      <c r="O860" s="1226"/>
      <c r="P860" s="1227"/>
      <c r="Q860" s="1227"/>
      <c r="R860" s="1228"/>
      <c r="S860" s="1224"/>
      <c r="T860" s="1229"/>
      <c r="U860" s="1065"/>
      <c r="V860" s="1065"/>
      <c r="W860" s="1065"/>
      <c r="X860" s="1065"/>
      <c r="Y860" s="1065"/>
      <c r="Z860" s="1065"/>
      <c r="AA860" s="1065"/>
      <c r="AB860" s="1065"/>
      <c r="AC860" s="1065"/>
      <c r="AD860" s="1065"/>
      <c r="AE860" s="1065"/>
      <c r="AF860" s="1065"/>
      <c r="AG860" s="1065"/>
      <c r="AH860" s="1065"/>
      <c r="AI860" s="1065"/>
      <c r="AJ860" s="1065"/>
      <c r="AK860" s="1065"/>
      <c r="AL860" s="1065"/>
      <c r="AM860" s="1065"/>
      <c r="AN860" s="1065"/>
      <c r="AO860" s="1065"/>
      <c r="AP860" s="1065"/>
      <c r="AQ860" s="1065"/>
      <c r="AR860" s="1065"/>
      <c r="AS860" s="1065"/>
      <c r="AT860" s="1065"/>
      <c r="AU860" s="1065"/>
      <c r="AV860" s="1065"/>
      <c r="AW860" s="1065"/>
      <c r="AX860" s="1065"/>
      <c r="AY860" s="1065"/>
      <c r="AZ860" s="1065"/>
      <c r="BA860" s="1065"/>
      <c r="BB860" s="1065"/>
      <c r="BC860" s="1065"/>
      <c r="BD860" s="1065"/>
      <c r="BE860" s="1065"/>
      <c r="BF860" s="1065"/>
      <c r="BG860" s="1065"/>
      <c r="BH860" s="1065"/>
      <c r="BI860" s="1065"/>
      <c r="BJ860" s="1065"/>
      <c r="BK860" s="1065"/>
      <c r="BL860" s="1065"/>
      <c r="BM860" s="1065"/>
      <c r="BN860" s="1065"/>
      <c r="BO860" s="1065"/>
      <c r="BP860" s="1065"/>
      <c r="BQ860" s="1065"/>
      <c r="BR860" s="1065"/>
      <c r="BS860" s="1065"/>
      <c r="BT860" s="1065"/>
      <c r="BU860" s="1065"/>
      <c r="BV860" s="1065"/>
      <c r="BW860" s="1065"/>
      <c r="BX860" s="1065"/>
      <c r="BY860" s="1065"/>
      <c r="BZ860" s="1065"/>
      <c r="CA860" s="1065"/>
      <c r="CB860" s="1065"/>
      <c r="CC860" s="1065"/>
      <c r="CD860" s="1065"/>
      <c r="CE860" s="1065"/>
      <c r="CF860" s="1065"/>
      <c r="CG860" s="1065"/>
      <c r="CH860" s="1065"/>
      <c r="CI860" s="1065"/>
      <c r="CJ860" s="1065"/>
      <c r="CK860" s="1065"/>
      <c r="CL860" s="1065"/>
      <c r="CM860" s="1065"/>
      <c r="CN860" s="1065"/>
      <c r="CO860" s="1065"/>
      <c r="CP860" s="1065"/>
      <c r="CQ860" s="1065"/>
      <c r="CR860" s="1065"/>
      <c r="CS860" s="1065"/>
      <c r="CT860" s="1065"/>
      <c r="CU860" s="1065"/>
      <c r="CV860" s="1065"/>
      <c r="CW860" s="1065"/>
      <c r="CX860" s="1065"/>
      <c r="CY860" s="1065"/>
      <c r="CZ860" s="1065"/>
      <c r="DA860" s="1065"/>
      <c r="DB860" s="1065"/>
    </row>
    <row r="861" spans="1:106" ht="15" customHeight="1">
      <c r="A861" s="1065"/>
      <c r="B861" s="1065"/>
      <c r="C861" s="1065"/>
      <c r="D861" s="1065"/>
      <c r="E861" s="1065"/>
      <c r="F861" s="1065"/>
      <c r="G861" s="1065"/>
      <c r="H861" s="1223"/>
      <c r="I861" s="1223"/>
      <c r="J861" s="1224"/>
      <c r="K861" s="1224"/>
      <c r="L861" s="1224"/>
      <c r="M861" s="1225"/>
      <c r="N861" s="1225"/>
      <c r="O861" s="1226"/>
      <c r="P861" s="1227"/>
      <c r="Q861" s="1227"/>
      <c r="R861" s="1228"/>
      <c r="S861" s="1224"/>
      <c r="T861" s="1229"/>
      <c r="U861" s="1065"/>
      <c r="V861" s="1065"/>
      <c r="W861" s="1065"/>
      <c r="X861" s="1065"/>
      <c r="Y861" s="1065"/>
      <c r="Z861" s="1065"/>
      <c r="AA861" s="1065"/>
      <c r="AB861" s="1065"/>
      <c r="AC861" s="1065"/>
      <c r="AD861" s="1065"/>
      <c r="AE861" s="1065"/>
      <c r="AF861" s="1065"/>
      <c r="AG861" s="1065"/>
      <c r="AH861" s="1065"/>
      <c r="AI861" s="1065"/>
      <c r="AJ861" s="1065"/>
      <c r="AK861" s="1065"/>
      <c r="AL861" s="1065"/>
      <c r="AM861" s="1065"/>
      <c r="AN861" s="1065"/>
      <c r="AO861" s="1065"/>
      <c r="AP861" s="1065"/>
      <c r="AQ861" s="1065"/>
      <c r="AR861" s="1065"/>
      <c r="AS861" s="1065"/>
      <c r="AT861" s="1065"/>
      <c r="AU861" s="1065"/>
      <c r="AV861" s="1065"/>
      <c r="AW861" s="1065"/>
      <c r="AX861" s="1065"/>
      <c r="AY861" s="1065"/>
      <c r="AZ861" s="1065"/>
      <c r="BA861" s="1065"/>
      <c r="BB861" s="1065"/>
      <c r="BC861" s="1065"/>
      <c r="BD861" s="1065"/>
      <c r="BE861" s="1065"/>
      <c r="BF861" s="1065"/>
      <c r="BG861" s="1065"/>
      <c r="BH861" s="1065"/>
      <c r="BI861" s="1065"/>
      <c r="BJ861" s="1065"/>
      <c r="BK861" s="1065"/>
      <c r="BL861" s="1065"/>
      <c r="BM861" s="1065"/>
      <c r="BN861" s="1065"/>
      <c r="BO861" s="1065"/>
      <c r="BP861" s="1065"/>
      <c r="BQ861" s="1065"/>
      <c r="BR861" s="1065"/>
      <c r="BS861" s="1065"/>
      <c r="BT861" s="1065"/>
      <c r="BU861" s="1065"/>
      <c r="BV861" s="1065"/>
      <c r="BW861" s="1065"/>
      <c r="BX861" s="1065"/>
      <c r="BY861" s="1065"/>
      <c r="BZ861" s="1065"/>
      <c r="CA861" s="1065"/>
      <c r="CB861" s="1065"/>
      <c r="CC861" s="1065"/>
      <c r="CD861" s="1065"/>
      <c r="CE861" s="1065"/>
      <c r="CF861" s="1065"/>
      <c r="CG861" s="1065"/>
      <c r="CH861" s="1065"/>
      <c r="CI861" s="1065"/>
      <c r="CJ861" s="1065"/>
      <c r="CK861" s="1065"/>
      <c r="CL861" s="1065"/>
      <c r="CM861" s="1065"/>
      <c r="CN861" s="1065"/>
      <c r="CO861" s="1065"/>
      <c r="CP861" s="1065"/>
      <c r="CQ861" s="1065"/>
      <c r="CR861" s="1065"/>
      <c r="CS861" s="1065"/>
      <c r="CT861" s="1065"/>
      <c r="CU861" s="1065"/>
      <c r="CV861" s="1065"/>
      <c r="CW861" s="1065"/>
      <c r="CX861" s="1065"/>
      <c r="CY861" s="1065"/>
      <c r="CZ861" s="1065"/>
      <c r="DA861" s="1065"/>
      <c r="DB861" s="1065"/>
    </row>
    <row r="862" spans="1:106" ht="15" customHeight="1">
      <c r="A862" s="1065"/>
      <c r="B862" s="1065"/>
      <c r="C862" s="1065"/>
      <c r="D862" s="1065"/>
      <c r="E862" s="1065"/>
      <c r="F862" s="1065"/>
      <c r="G862" s="1065"/>
      <c r="H862" s="1223"/>
      <c r="I862" s="1223"/>
      <c r="J862" s="1224"/>
      <c r="K862" s="1224"/>
      <c r="L862" s="1224"/>
      <c r="M862" s="1225"/>
      <c r="N862" s="1225"/>
      <c r="O862" s="1226"/>
      <c r="P862" s="1227"/>
      <c r="Q862" s="1227"/>
      <c r="R862" s="1228"/>
      <c r="S862" s="1224"/>
      <c r="T862" s="1229"/>
      <c r="U862" s="1065"/>
      <c r="V862" s="1065"/>
      <c r="W862" s="1065"/>
      <c r="X862" s="1065"/>
      <c r="Y862" s="1065"/>
      <c r="Z862" s="1065"/>
      <c r="AA862" s="1065"/>
      <c r="AB862" s="1065"/>
      <c r="AC862" s="1065"/>
      <c r="AD862" s="1065"/>
      <c r="AE862" s="1065"/>
      <c r="AF862" s="1065"/>
      <c r="AG862" s="1065"/>
      <c r="AH862" s="1065"/>
      <c r="AI862" s="1065"/>
      <c r="AJ862" s="1065"/>
      <c r="AK862" s="1065"/>
      <c r="AL862" s="1065"/>
      <c r="AM862" s="1065"/>
      <c r="AN862" s="1065"/>
      <c r="AO862" s="1065"/>
      <c r="AP862" s="1065"/>
      <c r="AQ862" s="1065"/>
      <c r="AR862" s="1065"/>
      <c r="AS862" s="1065"/>
      <c r="AT862" s="1065"/>
      <c r="AU862" s="1065"/>
      <c r="AV862" s="1065"/>
      <c r="AW862" s="1065"/>
      <c r="AX862" s="1065"/>
      <c r="AY862" s="1065"/>
      <c r="AZ862" s="1065"/>
      <c r="BA862" s="1065"/>
      <c r="BB862" s="1065"/>
      <c r="BC862" s="1065"/>
      <c r="BD862" s="1065"/>
      <c r="BE862" s="1065"/>
      <c r="BF862" s="1065"/>
      <c r="BG862" s="1065"/>
      <c r="BH862" s="1065"/>
      <c r="BI862" s="1065"/>
      <c r="BJ862" s="1065"/>
      <c r="BK862" s="1065"/>
      <c r="BL862" s="1065"/>
      <c r="BM862" s="1065"/>
      <c r="BN862" s="1065"/>
      <c r="BO862" s="1065"/>
      <c r="BP862" s="1065"/>
      <c r="BQ862" s="1065"/>
      <c r="BR862" s="1065"/>
      <c r="BS862" s="1065"/>
      <c r="BT862" s="1065"/>
      <c r="BU862" s="1065"/>
      <c r="BV862" s="1065"/>
      <c r="BW862" s="1065"/>
      <c r="BX862" s="1065"/>
      <c r="BY862" s="1065"/>
      <c r="BZ862" s="1065"/>
      <c r="CA862" s="1065"/>
      <c r="CB862" s="1065"/>
      <c r="CC862" s="1065"/>
      <c r="CD862" s="1065"/>
      <c r="CE862" s="1065"/>
      <c r="CF862" s="1065"/>
      <c r="CG862" s="1065"/>
      <c r="CH862" s="1065"/>
      <c r="CI862" s="1065"/>
      <c r="CJ862" s="1065"/>
      <c r="CK862" s="1065"/>
      <c r="CL862" s="1065"/>
      <c r="CM862" s="1065"/>
      <c r="CN862" s="1065"/>
      <c r="CO862" s="1065"/>
      <c r="CP862" s="1065"/>
      <c r="CQ862" s="1065"/>
      <c r="CR862" s="1065"/>
      <c r="CS862" s="1065"/>
      <c r="CT862" s="1065"/>
      <c r="CU862" s="1065"/>
      <c r="CV862" s="1065"/>
      <c r="CW862" s="1065"/>
      <c r="CX862" s="1065"/>
      <c r="CY862" s="1065"/>
      <c r="CZ862" s="1065"/>
      <c r="DA862" s="1065"/>
      <c r="DB862" s="1065"/>
    </row>
    <row r="863" spans="1:106" ht="15" customHeight="1">
      <c r="A863" s="1065"/>
      <c r="B863" s="1065"/>
      <c r="C863" s="1065"/>
      <c r="D863" s="1065"/>
      <c r="E863" s="1065"/>
      <c r="F863" s="1065"/>
      <c r="G863" s="1065"/>
      <c r="H863" s="1223"/>
      <c r="I863" s="1223"/>
      <c r="J863" s="1224"/>
      <c r="K863" s="1224"/>
      <c r="L863" s="1224"/>
      <c r="M863" s="1225"/>
      <c r="N863" s="1225"/>
      <c r="O863" s="1226"/>
      <c r="P863" s="1227"/>
      <c r="Q863" s="1227"/>
      <c r="R863" s="1228"/>
      <c r="S863" s="1224"/>
      <c r="T863" s="1229"/>
      <c r="U863" s="1065"/>
      <c r="V863" s="1065"/>
      <c r="W863" s="1065"/>
      <c r="X863" s="1065"/>
      <c r="Y863" s="1065"/>
      <c r="Z863" s="1065"/>
      <c r="AA863" s="1065"/>
      <c r="AB863" s="1065"/>
      <c r="AC863" s="1065"/>
      <c r="AD863" s="1065"/>
      <c r="AE863" s="1065"/>
      <c r="AF863" s="1065"/>
      <c r="AG863" s="1065"/>
      <c r="AH863" s="1065"/>
      <c r="AI863" s="1065"/>
      <c r="AJ863" s="1065"/>
      <c r="AK863" s="1065"/>
      <c r="AL863" s="1065"/>
      <c r="AM863" s="1065"/>
      <c r="AN863" s="1065"/>
      <c r="AO863" s="1065"/>
      <c r="AP863" s="1065"/>
      <c r="AQ863" s="1065"/>
      <c r="AR863" s="1065"/>
      <c r="AS863" s="1065"/>
      <c r="AT863" s="1065"/>
      <c r="AU863" s="1065"/>
      <c r="AV863" s="1065"/>
      <c r="AW863" s="1065"/>
      <c r="AX863" s="1065"/>
      <c r="AY863" s="1065"/>
      <c r="AZ863" s="1065"/>
      <c r="BA863" s="1065"/>
      <c r="BB863" s="1065"/>
      <c r="BC863" s="1065"/>
      <c r="BD863" s="1065"/>
      <c r="BE863" s="1065"/>
      <c r="BF863" s="1065"/>
      <c r="BG863" s="1065"/>
      <c r="BH863" s="1065"/>
      <c r="BI863" s="1065"/>
      <c r="BJ863" s="1065"/>
      <c r="BK863" s="1065"/>
      <c r="BL863" s="1065"/>
      <c r="BM863" s="1065"/>
      <c r="BN863" s="1065"/>
      <c r="BO863" s="1065"/>
      <c r="BP863" s="1065"/>
      <c r="BQ863" s="1065"/>
      <c r="BR863" s="1065"/>
      <c r="BS863" s="1065"/>
      <c r="BT863" s="1065"/>
      <c r="BU863" s="1065"/>
      <c r="BV863" s="1065"/>
      <c r="BW863" s="1065"/>
      <c r="BX863" s="1065"/>
      <c r="BY863" s="1065"/>
      <c r="BZ863" s="1065"/>
      <c r="CA863" s="1065"/>
      <c r="CB863" s="1065"/>
      <c r="CC863" s="1065"/>
      <c r="CD863" s="1065"/>
      <c r="CE863" s="1065"/>
      <c r="CF863" s="1065"/>
      <c r="CG863" s="1065"/>
      <c r="CH863" s="1065"/>
      <c r="CI863" s="1065"/>
      <c r="CJ863" s="1065"/>
      <c r="CK863" s="1065"/>
      <c r="CL863" s="1065"/>
      <c r="CM863" s="1065"/>
      <c r="CN863" s="1065"/>
      <c r="CO863" s="1065"/>
      <c r="CP863" s="1065"/>
      <c r="CQ863" s="1065"/>
      <c r="CR863" s="1065"/>
      <c r="CS863" s="1065"/>
      <c r="CT863" s="1065"/>
      <c r="CU863" s="1065"/>
      <c r="CV863" s="1065"/>
      <c r="CW863" s="1065"/>
      <c r="CX863" s="1065"/>
      <c r="CY863" s="1065"/>
      <c r="CZ863" s="1065"/>
      <c r="DA863" s="1065"/>
      <c r="DB863" s="1065"/>
    </row>
    <row r="864" spans="1:106" ht="15" customHeight="1">
      <c r="A864" s="1065"/>
      <c r="B864" s="1065"/>
      <c r="C864" s="1065"/>
      <c r="D864" s="1065"/>
      <c r="E864" s="1065"/>
      <c r="F864" s="1065"/>
      <c r="G864" s="1065"/>
      <c r="H864" s="1223"/>
      <c r="I864" s="1223"/>
      <c r="J864" s="1224"/>
      <c r="K864" s="1224"/>
      <c r="L864" s="1224"/>
      <c r="M864" s="1225"/>
      <c r="N864" s="1225"/>
      <c r="O864" s="1226"/>
      <c r="P864" s="1227"/>
      <c r="Q864" s="1227"/>
      <c r="R864" s="1228"/>
      <c r="S864" s="1224"/>
      <c r="T864" s="1229"/>
      <c r="U864" s="1065"/>
      <c r="V864" s="1065"/>
      <c r="W864" s="1065"/>
      <c r="X864" s="1065"/>
      <c r="Y864" s="1065"/>
      <c r="Z864" s="1065"/>
      <c r="AA864" s="1065"/>
      <c r="AB864" s="1065"/>
      <c r="AC864" s="1065"/>
      <c r="AD864" s="1065"/>
      <c r="AE864" s="1065"/>
      <c r="AF864" s="1065"/>
      <c r="AG864" s="1065"/>
      <c r="AH864" s="1065"/>
      <c r="AI864" s="1065"/>
      <c r="AJ864" s="1065"/>
      <c r="AK864" s="1065"/>
      <c r="AL864" s="1065"/>
      <c r="AM864" s="1065"/>
      <c r="AN864" s="1065"/>
      <c r="AO864" s="1065"/>
      <c r="AP864" s="1065"/>
      <c r="AQ864" s="1065"/>
      <c r="AR864" s="1065"/>
      <c r="AS864" s="1065"/>
      <c r="AT864" s="1065"/>
      <c r="AU864" s="1065"/>
      <c r="AV864" s="1065"/>
      <c r="AW864" s="1065"/>
      <c r="AX864" s="1065"/>
      <c r="AY864" s="1065"/>
      <c r="AZ864" s="1065"/>
      <c r="BA864" s="1065"/>
      <c r="BB864" s="1065"/>
      <c r="BC864" s="1065"/>
      <c r="BD864" s="1065"/>
      <c r="BE864" s="1065"/>
      <c r="BF864" s="1065"/>
      <c r="BG864" s="1065"/>
      <c r="BH864" s="1065"/>
      <c r="BI864" s="1065"/>
      <c r="BJ864" s="1065"/>
      <c r="BK864" s="1065"/>
      <c r="BL864" s="1065"/>
      <c r="BM864" s="1065"/>
      <c r="BN864" s="1065"/>
      <c r="BO864" s="1065"/>
      <c r="BP864" s="1065"/>
      <c r="BQ864" s="1065"/>
      <c r="BR864" s="1065"/>
      <c r="BS864" s="1065"/>
      <c r="BT864" s="1065"/>
      <c r="BU864" s="1065"/>
      <c r="BV864" s="1065"/>
      <c r="BW864" s="1065"/>
      <c r="BX864" s="1065"/>
      <c r="BY864" s="1065"/>
      <c r="BZ864" s="1065"/>
      <c r="CA864" s="1065"/>
      <c r="CB864" s="1065"/>
      <c r="CC864" s="1065"/>
      <c r="CD864" s="1065"/>
      <c r="CE864" s="1065"/>
      <c r="CF864" s="1065"/>
      <c r="CG864" s="1065"/>
      <c r="CH864" s="1065"/>
      <c r="CI864" s="1065"/>
      <c r="CJ864" s="1065"/>
      <c r="CK864" s="1065"/>
      <c r="CL864" s="1065"/>
      <c r="CM864" s="1065"/>
      <c r="CN864" s="1065"/>
      <c r="CO864" s="1065"/>
      <c r="CP864" s="1065"/>
      <c r="CQ864" s="1065"/>
      <c r="CR864" s="1065"/>
      <c r="CS864" s="1065"/>
      <c r="CT864" s="1065"/>
      <c r="CU864" s="1065"/>
      <c r="CV864" s="1065"/>
      <c r="CW864" s="1065"/>
      <c r="CX864" s="1065"/>
      <c r="CY864" s="1065"/>
      <c r="CZ864" s="1065"/>
      <c r="DA864" s="1065"/>
      <c r="DB864" s="1065"/>
    </row>
    <row r="865" spans="1:106" ht="15" customHeight="1">
      <c r="A865" s="1065"/>
      <c r="B865" s="1065"/>
      <c r="C865" s="1065"/>
      <c r="D865" s="1065"/>
      <c r="E865" s="1065"/>
      <c r="F865" s="1065"/>
      <c r="G865" s="1065"/>
      <c r="H865" s="1223"/>
      <c r="I865" s="1223"/>
      <c r="J865" s="1224"/>
      <c r="K865" s="1224"/>
      <c r="L865" s="1224"/>
      <c r="M865" s="1225"/>
      <c r="N865" s="1225"/>
      <c r="O865" s="1226"/>
      <c r="P865" s="1227"/>
      <c r="Q865" s="1227"/>
      <c r="R865" s="1228"/>
      <c r="S865" s="1224"/>
      <c r="T865" s="1229"/>
      <c r="U865" s="1065"/>
      <c r="V865" s="1065"/>
      <c r="W865" s="1065"/>
      <c r="X865" s="1065"/>
      <c r="Y865" s="1065"/>
      <c r="Z865" s="1065"/>
      <c r="AA865" s="1065"/>
      <c r="AB865" s="1065"/>
      <c r="AC865" s="1065"/>
      <c r="AD865" s="1065"/>
      <c r="AE865" s="1065"/>
      <c r="AF865" s="1065"/>
      <c r="AG865" s="1065"/>
      <c r="AH865" s="1065"/>
      <c r="AI865" s="1065"/>
      <c r="AJ865" s="1065"/>
      <c r="AK865" s="1065"/>
      <c r="AL865" s="1065"/>
      <c r="AM865" s="1065"/>
      <c r="AN865" s="1065"/>
      <c r="AO865" s="1065"/>
      <c r="AP865" s="1065"/>
      <c r="AQ865" s="1065"/>
      <c r="AR865" s="1065"/>
      <c r="AS865" s="1065"/>
      <c r="AT865" s="1065"/>
      <c r="AU865" s="1065"/>
      <c r="AV865" s="1065"/>
      <c r="AW865" s="1065"/>
      <c r="AX865" s="1065"/>
      <c r="AY865" s="1065"/>
      <c r="AZ865" s="1065"/>
      <c r="BA865" s="1065"/>
      <c r="BB865" s="1065"/>
      <c r="BC865" s="1065"/>
      <c r="BD865" s="1065"/>
      <c r="BE865" s="1065"/>
      <c r="BF865" s="1065"/>
      <c r="BG865" s="1065"/>
      <c r="BH865" s="1065"/>
      <c r="BI865" s="1065"/>
      <c r="BJ865" s="1065"/>
      <c r="BK865" s="1065"/>
      <c r="BL865" s="1065"/>
      <c r="BM865" s="1065"/>
      <c r="BN865" s="1065"/>
      <c r="BO865" s="1065"/>
      <c r="BP865" s="1065"/>
      <c r="BQ865" s="1065"/>
      <c r="BR865" s="1065"/>
      <c r="BS865" s="1065"/>
      <c r="BT865" s="1065"/>
      <c r="BU865" s="1065"/>
      <c r="BV865" s="1065"/>
      <c r="BW865" s="1065"/>
      <c r="BX865" s="1065"/>
      <c r="BY865" s="1065"/>
      <c r="BZ865" s="1065"/>
      <c r="CA865" s="1065"/>
      <c r="CB865" s="1065"/>
      <c r="CC865" s="1065"/>
      <c r="CD865" s="1065"/>
      <c r="CE865" s="1065"/>
      <c r="CF865" s="1065"/>
      <c r="CG865" s="1065"/>
      <c r="CH865" s="1065"/>
      <c r="CI865" s="1065"/>
      <c r="CJ865" s="1065"/>
      <c r="CK865" s="1065"/>
      <c r="CL865" s="1065"/>
      <c r="CM865" s="1065"/>
      <c r="CN865" s="1065"/>
      <c r="CO865" s="1065"/>
      <c r="CP865" s="1065"/>
      <c r="CQ865" s="1065"/>
      <c r="CR865" s="1065"/>
      <c r="CS865" s="1065"/>
      <c r="CT865" s="1065"/>
      <c r="CU865" s="1065"/>
      <c r="CV865" s="1065"/>
      <c r="CW865" s="1065"/>
      <c r="CX865" s="1065"/>
      <c r="CY865" s="1065"/>
      <c r="CZ865" s="1065"/>
      <c r="DA865" s="1065"/>
      <c r="DB865" s="1065"/>
    </row>
    <row r="866" spans="1:106" ht="15" customHeight="1">
      <c r="A866" s="1065"/>
      <c r="B866" s="1065"/>
      <c r="C866" s="1065"/>
      <c r="D866" s="1065"/>
      <c r="E866" s="1065"/>
      <c r="F866" s="1065"/>
      <c r="G866" s="1065"/>
      <c r="H866" s="1223"/>
      <c r="I866" s="1223"/>
      <c r="J866" s="1224"/>
      <c r="K866" s="1224"/>
      <c r="L866" s="1224"/>
      <c r="M866" s="1225"/>
      <c r="N866" s="1225"/>
      <c r="O866" s="1226"/>
      <c r="P866" s="1227"/>
      <c r="Q866" s="1227"/>
      <c r="R866" s="1228"/>
      <c r="S866" s="1224"/>
      <c r="T866" s="1229"/>
      <c r="U866" s="1065"/>
      <c r="V866" s="1065"/>
      <c r="W866" s="1065"/>
      <c r="X866" s="1065"/>
      <c r="Y866" s="1065"/>
      <c r="Z866" s="1065"/>
      <c r="AA866" s="1065"/>
      <c r="AB866" s="1065"/>
      <c r="AC866" s="1065"/>
      <c r="AD866" s="1065"/>
      <c r="AE866" s="1065"/>
      <c r="AF866" s="1065"/>
      <c r="AG866" s="1065"/>
      <c r="AH866" s="1065"/>
      <c r="AI866" s="1065"/>
      <c r="AJ866" s="1065"/>
      <c r="AK866" s="1065"/>
      <c r="AL866" s="1065"/>
      <c r="AM866" s="1065"/>
      <c r="AN866" s="1065"/>
      <c r="AO866" s="1065"/>
      <c r="AP866" s="1065"/>
      <c r="AQ866" s="1065"/>
      <c r="AR866" s="1065"/>
      <c r="AS866" s="1065"/>
      <c r="AT866" s="1065"/>
      <c r="AU866" s="1065"/>
      <c r="AV866" s="1065"/>
      <c r="AW866" s="1065"/>
      <c r="AX866" s="1065"/>
      <c r="AY866" s="1065"/>
      <c r="AZ866" s="1065"/>
      <c r="BA866" s="1065"/>
      <c r="BB866" s="1065"/>
      <c r="BC866" s="1065"/>
      <c r="BD866" s="1065"/>
      <c r="BE866" s="1065"/>
      <c r="BF866" s="1065"/>
      <c r="BG866" s="1065"/>
      <c r="BH866" s="1065"/>
      <c r="BI866" s="1065"/>
      <c r="BJ866" s="1065"/>
      <c r="BK866" s="1065"/>
      <c r="BL866" s="1065"/>
      <c r="BM866" s="1065"/>
      <c r="BN866" s="1065"/>
      <c r="BO866" s="1065"/>
      <c r="BP866" s="1065"/>
      <c r="BQ866" s="1065"/>
      <c r="BR866" s="1065"/>
      <c r="BS866" s="1065"/>
      <c r="BT866" s="1065"/>
      <c r="BU866" s="1065"/>
      <c r="BV866" s="1065"/>
      <c r="BW866" s="1065"/>
      <c r="BX866" s="1065"/>
      <c r="BY866" s="1065"/>
      <c r="BZ866" s="1065"/>
      <c r="CA866" s="1065"/>
      <c r="CB866" s="1065"/>
      <c r="CC866" s="1065"/>
      <c r="CD866" s="1065"/>
      <c r="CE866" s="1065"/>
      <c r="CF866" s="1065"/>
      <c r="CG866" s="1065"/>
      <c r="CH866" s="1065"/>
      <c r="CI866" s="1065"/>
      <c r="CJ866" s="1065"/>
      <c r="CK866" s="1065"/>
      <c r="CL866" s="1065"/>
      <c r="CM866" s="1065"/>
      <c r="CN866" s="1065"/>
      <c r="CO866" s="1065"/>
      <c r="CP866" s="1065"/>
      <c r="CQ866" s="1065"/>
      <c r="CR866" s="1065"/>
      <c r="CS866" s="1065"/>
      <c r="CT866" s="1065"/>
      <c r="CU866" s="1065"/>
      <c r="CV866" s="1065"/>
      <c r="CW866" s="1065"/>
      <c r="CX866" s="1065"/>
      <c r="CY866" s="1065"/>
      <c r="CZ866" s="1065"/>
      <c r="DA866" s="1065"/>
      <c r="DB866" s="1065"/>
    </row>
    <row r="867" spans="1:106" ht="15" customHeight="1">
      <c r="A867" s="1065"/>
      <c r="B867" s="1065"/>
      <c r="C867" s="1065"/>
      <c r="D867" s="1065"/>
      <c r="E867" s="1065"/>
      <c r="F867" s="1065"/>
      <c r="G867" s="1065"/>
      <c r="H867" s="1223"/>
      <c r="I867" s="1223"/>
      <c r="J867" s="1224"/>
      <c r="K867" s="1224"/>
      <c r="L867" s="1224"/>
      <c r="M867" s="1225"/>
      <c r="N867" s="1225"/>
      <c r="O867" s="1226"/>
      <c r="P867" s="1227"/>
      <c r="Q867" s="1227"/>
      <c r="R867" s="1228"/>
      <c r="S867" s="1224"/>
      <c r="T867" s="1229"/>
      <c r="U867" s="1065"/>
      <c r="V867" s="1065"/>
      <c r="W867" s="1065"/>
      <c r="X867" s="1065"/>
      <c r="Y867" s="1065"/>
      <c r="Z867" s="1065"/>
      <c r="AA867" s="1065"/>
      <c r="AB867" s="1065"/>
      <c r="AC867" s="1065"/>
      <c r="AD867" s="1065"/>
      <c r="AE867" s="1065"/>
      <c r="AF867" s="1065"/>
      <c r="AG867" s="1065"/>
      <c r="AH867" s="1065"/>
      <c r="AI867" s="1065"/>
      <c r="AJ867" s="1065"/>
      <c r="AK867" s="1065"/>
      <c r="AL867" s="1065"/>
      <c r="AM867" s="1065"/>
      <c r="AN867" s="1065"/>
      <c r="AO867" s="1065"/>
      <c r="AP867" s="1065"/>
      <c r="AQ867" s="1065"/>
      <c r="AR867" s="1065"/>
      <c r="AS867" s="1065"/>
      <c r="AT867" s="1065"/>
      <c r="AU867" s="1065"/>
      <c r="AV867" s="1065"/>
      <c r="AW867" s="1065"/>
      <c r="AX867" s="1065"/>
      <c r="AY867" s="1065"/>
      <c r="AZ867" s="1065"/>
      <c r="BA867" s="1065"/>
      <c r="BB867" s="1065"/>
      <c r="BC867" s="1065"/>
      <c r="BD867" s="1065"/>
      <c r="BE867" s="1065"/>
      <c r="BF867" s="1065"/>
      <c r="BG867" s="1065"/>
      <c r="BH867" s="1065"/>
      <c r="BI867" s="1065"/>
      <c r="BJ867" s="1065"/>
      <c r="BK867" s="1065"/>
      <c r="BL867" s="1065"/>
      <c r="BM867" s="1065"/>
      <c r="BN867" s="1065"/>
      <c r="BO867" s="1065"/>
      <c r="BP867" s="1065"/>
      <c r="BQ867" s="1065"/>
      <c r="BR867" s="1065"/>
      <c r="BS867" s="1065"/>
      <c r="BT867" s="1065"/>
      <c r="BU867" s="1065"/>
      <c r="BV867" s="1065"/>
      <c r="BW867" s="1065"/>
      <c r="BX867" s="1065"/>
      <c r="BY867" s="1065"/>
      <c r="BZ867" s="1065"/>
      <c r="CA867" s="1065"/>
      <c r="CB867" s="1065"/>
      <c r="CC867" s="1065"/>
      <c r="CD867" s="1065"/>
      <c r="CE867" s="1065"/>
      <c r="CF867" s="1065"/>
      <c r="CG867" s="1065"/>
      <c r="CH867" s="1065"/>
      <c r="CI867" s="1065"/>
      <c r="CJ867" s="1065"/>
      <c r="CK867" s="1065"/>
      <c r="CL867" s="1065"/>
      <c r="CM867" s="1065"/>
      <c r="CN867" s="1065"/>
      <c r="CO867" s="1065"/>
      <c r="CP867" s="1065"/>
      <c r="CQ867" s="1065"/>
      <c r="CR867" s="1065"/>
      <c r="CS867" s="1065"/>
      <c r="CT867" s="1065"/>
      <c r="CU867" s="1065"/>
      <c r="CV867" s="1065"/>
      <c r="CW867" s="1065"/>
      <c r="CX867" s="1065"/>
      <c r="CY867" s="1065"/>
      <c r="CZ867" s="1065"/>
      <c r="DA867" s="1065"/>
      <c r="DB867" s="1065"/>
    </row>
    <row r="868" spans="1:106" ht="15" customHeight="1">
      <c r="A868" s="1065"/>
      <c r="B868" s="1065"/>
      <c r="C868" s="1065"/>
      <c r="D868" s="1065"/>
      <c r="E868" s="1065"/>
      <c r="F868" s="1065"/>
      <c r="G868" s="1065"/>
      <c r="H868" s="1223"/>
      <c r="I868" s="1223"/>
      <c r="J868" s="1224"/>
      <c r="K868" s="1224"/>
      <c r="L868" s="1224"/>
      <c r="M868" s="1225"/>
      <c r="N868" s="1225"/>
      <c r="O868" s="1226"/>
      <c r="P868" s="1227"/>
      <c r="Q868" s="1227"/>
      <c r="R868" s="1228"/>
      <c r="S868" s="1224"/>
      <c r="T868" s="1229"/>
      <c r="U868" s="1065"/>
      <c r="V868" s="1065"/>
      <c r="W868" s="1065"/>
      <c r="X868" s="1065"/>
      <c r="Y868" s="1065"/>
      <c r="Z868" s="1065"/>
      <c r="AA868" s="1065"/>
      <c r="AB868" s="1065"/>
      <c r="AC868" s="1065"/>
      <c r="AD868" s="1065"/>
      <c r="AE868" s="1065"/>
      <c r="AF868" s="1065"/>
      <c r="AG868" s="1065"/>
      <c r="AH868" s="1065"/>
      <c r="AI868" s="1065"/>
      <c r="AJ868" s="1065"/>
      <c r="AK868" s="1065"/>
      <c r="AL868" s="1065"/>
      <c r="AM868" s="1065"/>
      <c r="AN868" s="1065"/>
      <c r="AO868" s="1065"/>
      <c r="AP868" s="1065"/>
      <c r="AQ868" s="1065"/>
      <c r="AR868" s="1065"/>
      <c r="AS868" s="1065"/>
      <c r="AT868" s="1065"/>
      <c r="AU868" s="1065"/>
      <c r="AV868" s="1065"/>
      <c r="AW868" s="1065"/>
      <c r="AX868" s="1065"/>
      <c r="AY868" s="1065"/>
      <c r="AZ868" s="1065"/>
      <c r="BA868" s="1065"/>
      <c r="BB868" s="1065"/>
      <c r="BC868" s="1065"/>
      <c r="BD868" s="1065"/>
      <c r="BE868" s="1065"/>
      <c r="BF868" s="1065"/>
      <c r="BG868" s="1065"/>
      <c r="BH868" s="1065"/>
      <c r="BI868" s="1065"/>
      <c r="BJ868" s="1065"/>
      <c r="BK868" s="1065"/>
      <c r="BL868" s="1065"/>
      <c r="BM868" s="1065"/>
      <c r="BN868" s="1065"/>
      <c r="BO868" s="1065"/>
      <c r="BP868" s="1065"/>
      <c r="BQ868" s="1065"/>
      <c r="BR868" s="1065"/>
      <c r="BS868" s="1065"/>
      <c r="BT868" s="1065"/>
      <c r="BU868" s="1065"/>
      <c r="BV868" s="1065"/>
      <c r="BW868" s="1065"/>
      <c r="BX868" s="1065"/>
      <c r="BY868" s="1065"/>
      <c r="BZ868" s="1065"/>
      <c r="CA868" s="1065"/>
      <c r="CB868" s="1065"/>
      <c r="CC868" s="1065"/>
      <c r="CD868" s="1065"/>
      <c r="CE868" s="1065"/>
      <c r="CF868" s="1065"/>
      <c r="CG868" s="1065"/>
      <c r="CH868" s="1065"/>
      <c r="CI868" s="1065"/>
      <c r="CJ868" s="1065"/>
      <c r="CK868" s="1065"/>
      <c r="CL868" s="1065"/>
      <c r="CM868" s="1065"/>
      <c r="CN868" s="1065"/>
      <c r="CO868" s="1065"/>
      <c r="CP868" s="1065"/>
      <c r="CQ868" s="1065"/>
      <c r="CR868" s="1065"/>
      <c r="CS868" s="1065"/>
      <c r="CT868" s="1065"/>
      <c r="CU868" s="1065"/>
      <c r="CV868" s="1065"/>
      <c r="CW868" s="1065"/>
      <c r="CX868" s="1065"/>
      <c r="CY868" s="1065"/>
      <c r="CZ868" s="1065"/>
      <c r="DA868" s="1065"/>
      <c r="DB868" s="1065"/>
    </row>
    <row r="869" spans="1:106" ht="15" customHeight="1">
      <c r="A869" s="1065"/>
      <c r="B869" s="1065"/>
      <c r="C869" s="1065"/>
      <c r="D869" s="1065"/>
      <c r="E869" s="1065"/>
      <c r="F869" s="1065"/>
      <c r="G869" s="1065"/>
      <c r="H869" s="1223"/>
      <c r="I869" s="1223"/>
      <c r="J869" s="1224"/>
      <c r="K869" s="1224"/>
      <c r="L869" s="1224"/>
      <c r="M869" s="1225"/>
      <c r="N869" s="1225"/>
      <c r="O869" s="1226"/>
      <c r="P869" s="1227"/>
      <c r="Q869" s="1227"/>
      <c r="R869" s="1228"/>
      <c r="S869" s="1224"/>
      <c r="T869" s="1229"/>
      <c r="U869" s="1065"/>
      <c r="V869" s="1065"/>
      <c r="W869" s="1065"/>
      <c r="X869" s="1065"/>
      <c r="Y869" s="1065"/>
      <c r="Z869" s="1065"/>
      <c r="AA869" s="1065"/>
      <c r="AB869" s="1065"/>
      <c r="AC869" s="1065"/>
      <c r="AD869" s="1065"/>
      <c r="AE869" s="1065"/>
      <c r="AF869" s="1065"/>
      <c r="AG869" s="1065"/>
      <c r="AH869" s="1065"/>
      <c r="AI869" s="1065"/>
      <c r="AJ869" s="1065"/>
      <c r="AK869" s="1065"/>
      <c r="AL869" s="1065"/>
      <c r="AM869" s="1065"/>
      <c r="AN869" s="1065"/>
      <c r="AO869" s="1065"/>
      <c r="AP869" s="1065"/>
      <c r="AQ869" s="1065"/>
      <c r="AR869" s="1065"/>
      <c r="AS869" s="1065"/>
      <c r="AT869" s="1065"/>
      <c r="AU869" s="1065"/>
      <c r="AV869" s="1065"/>
      <c r="AW869" s="1065"/>
      <c r="AX869" s="1065"/>
      <c r="AY869" s="1065"/>
      <c r="AZ869" s="1065"/>
      <c r="BA869" s="1065"/>
      <c r="BB869" s="1065"/>
      <c r="BC869" s="1065"/>
      <c r="BD869" s="1065"/>
      <c r="BE869" s="1065"/>
      <c r="BF869" s="1065"/>
      <c r="BG869" s="1065"/>
      <c r="BH869" s="1065"/>
      <c r="BI869" s="1065"/>
      <c r="BJ869" s="1065"/>
      <c r="BK869" s="1065"/>
      <c r="BL869" s="1065"/>
      <c r="BM869" s="1065"/>
      <c r="BN869" s="1065"/>
      <c r="BO869" s="1065"/>
      <c r="BP869" s="1065"/>
      <c r="BQ869" s="1065"/>
      <c r="BR869" s="1065"/>
      <c r="BS869" s="1065"/>
      <c r="BT869" s="1065"/>
      <c r="BU869" s="1065"/>
      <c r="BV869" s="1065"/>
      <c r="BW869" s="1065"/>
      <c r="BX869" s="1065"/>
      <c r="BY869" s="1065"/>
      <c r="BZ869" s="1065"/>
      <c r="CA869" s="1065"/>
      <c r="CB869" s="1065"/>
      <c r="CC869" s="1065"/>
      <c r="CD869" s="1065"/>
      <c r="CE869" s="1065"/>
      <c r="CF869" s="1065"/>
      <c r="CG869" s="1065"/>
      <c r="CH869" s="1065"/>
      <c r="CI869" s="1065"/>
      <c r="CJ869" s="1065"/>
      <c r="CK869" s="1065"/>
      <c r="CL869" s="1065"/>
      <c r="CM869" s="1065"/>
      <c r="CN869" s="1065"/>
      <c r="CO869" s="1065"/>
      <c r="CP869" s="1065"/>
      <c r="CQ869" s="1065"/>
      <c r="CR869" s="1065"/>
      <c r="CS869" s="1065"/>
      <c r="CT869" s="1065"/>
      <c r="CU869" s="1065"/>
      <c r="CV869" s="1065"/>
      <c r="CW869" s="1065"/>
      <c r="CX869" s="1065"/>
      <c r="CY869" s="1065"/>
      <c r="CZ869" s="1065"/>
      <c r="DA869" s="1065"/>
      <c r="DB869" s="1065"/>
    </row>
    <row r="870" spans="1:106" ht="15" customHeight="1">
      <c r="A870" s="1065"/>
      <c r="B870" s="1065"/>
      <c r="C870" s="1065"/>
      <c r="D870" s="1065"/>
      <c r="E870" s="1065"/>
      <c r="F870" s="1065"/>
      <c r="G870" s="1065"/>
      <c r="H870" s="1223"/>
      <c r="I870" s="1223"/>
      <c r="J870" s="1224"/>
      <c r="K870" s="1224"/>
      <c r="L870" s="1224"/>
      <c r="M870" s="1225"/>
      <c r="N870" s="1225"/>
      <c r="O870" s="1226"/>
      <c r="P870" s="1227"/>
      <c r="Q870" s="1227"/>
      <c r="R870" s="1228"/>
      <c r="S870" s="1224"/>
      <c r="T870" s="1229"/>
      <c r="U870" s="1065"/>
      <c r="V870" s="1065"/>
      <c r="W870" s="1065"/>
      <c r="X870" s="1065"/>
      <c r="Y870" s="1065"/>
      <c r="Z870" s="1065"/>
      <c r="AA870" s="1065"/>
      <c r="AB870" s="1065"/>
      <c r="AC870" s="1065"/>
      <c r="AD870" s="1065"/>
      <c r="AE870" s="1065"/>
      <c r="AF870" s="1065"/>
      <c r="AG870" s="1065"/>
      <c r="AH870" s="1065"/>
      <c r="AI870" s="1065"/>
      <c r="AJ870" s="1065"/>
      <c r="AK870" s="1065"/>
      <c r="AL870" s="1065"/>
      <c r="AM870" s="1065"/>
      <c r="AN870" s="1065"/>
      <c r="AO870" s="1065"/>
      <c r="AP870" s="1065"/>
      <c r="AQ870" s="1065"/>
      <c r="AR870" s="1065"/>
      <c r="AS870" s="1065"/>
      <c r="AT870" s="1065"/>
      <c r="AU870" s="1065"/>
      <c r="AV870" s="1065"/>
      <c r="AW870" s="1065"/>
      <c r="AX870" s="1065"/>
      <c r="AY870" s="1065"/>
      <c r="AZ870" s="1065"/>
      <c r="BA870" s="1065"/>
      <c r="BB870" s="1065"/>
      <c r="BC870" s="1065"/>
      <c r="BD870" s="1065"/>
      <c r="BE870" s="1065"/>
      <c r="BF870" s="1065"/>
      <c r="BG870" s="1065"/>
      <c r="BH870" s="1065"/>
      <c r="BI870" s="1065"/>
      <c r="BJ870" s="1065"/>
      <c r="BK870" s="1065"/>
      <c r="BL870" s="1065"/>
      <c r="BM870" s="1065"/>
      <c r="BN870" s="1065"/>
      <c r="BO870" s="1065"/>
      <c r="BP870" s="1065"/>
      <c r="BQ870" s="1065"/>
      <c r="BR870" s="1065"/>
      <c r="BS870" s="1065"/>
      <c r="BT870" s="1065"/>
      <c r="BU870" s="1065"/>
      <c r="BV870" s="1065"/>
      <c r="BW870" s="1065"/>
      <c r="BX870" s="1065"/>
      <c r="BY870" s="1065"/>
      <c r="BZ870" s="1065"/>
      <c r="CA870" s="1065"/>
      <c r="CB870" s="1065"/>
      <c r="CC870" s="1065"/>
      <c r="CD870" s="1065"/>
      <c r="CE870" s="1065"/>
      <c r="CF870" s="1065"/>
      <c r="CG870" s="1065"/>
      <c r="CH870" s="1065"/>
      <c r="CI870" s="1065"/>
      <c r="CJ870" s="1065"/>
      <c r="CK870" s="1065"/>
      <c r="CL870" s="1065"/>
      <c r="CM870" s="1065"/>
      <c r="CN870" s="1065"/>
      <c r="CO870" s="1065"/>
      <c r="CP870" s="1065"/>
      <c r="CQ870" s="1065"/>
      <c r="CR870" s="1065"/>
      <c r="CS870" s="1065"/>
      <c r="CT870" s="1065"/>
      <c r="CU870" s="1065"/>
      <c r="CV870" s="1065"/>
      <c r="CW870" s="1065"/>
      <c r="CX870" s="1065"/>
      <c r="CY870" s="1065"/>
      <c r="CZ870" s="1065"/>
      <c r="DA870" s="1065"/>
      <c r="DB870" s="1065"/>
    </row>
    <row r="871" spans="1:106" ht="15" customHeight="1">
      <c r="A871" s="1065"/>
      <c r="B871" s="1065"/>
      <c r="C871" s="1065"/>
      <c r="D871" s="1065"/>
      <c r="E871" s="1065"/>
      <c r="F871" s="1065"/>
      <c r="G871" s="1065"/>
      <c r="H871" s="1223"/>
      <c r="I871" s="1223"/>
      <c r="J871" s="1224"/>
      <c r="K871" s="1224"/>
      <c r="L871" s="1224"/>
      <c r="M871" s="1225"/>
      <c r="N871" s="1225"/>
      <c r="O871" s="1226"/>
      <c r="P871" s="1227"/>
      <c r="Q871" s="1227"/>
      <c r="R871" s="1228"/>
      <c r="S871" s="1224"/>
      <c r="T871" s="1229"/>
      <c r="U871" s="1065"/>
      <c r="V871" s="1065"/>
      <c r="W871" s="1065"/>
      <c r="X871" s="1065"/>
      <c r="Y871" s="1065"/>
      <c r="Z871" s="1065"/>
      <c r="AA871" s="1065"/>
      <c r="AB871" s="1065"/>
      <c r="AC871" s="1065"/>
      <c r="AD871" s="1065"/>
      <c r="AE871" s="1065"/>
      <c r="AF871" s="1065"/>
      <c r="AG871" s="1065"/>
      <c r="AH871" s="1065"/>
      <c r="AI871" s="1065"/>
      <c r="AJ871" s="1065"/>
      <c r="AK871" s="1065"/>
      <c r="AL871" s="1065"/>
      <c r="AM871" s="1065"/>
      <c r="AN871" s="1065"/>
      <c r="AO871" s="1065"/>
      <c r="AP871" s="1065"/>
      <c r="AQ871" s="1065"/>
      <c r="AR871" s="1065"/>
      <c r="AS871" s="1065"/>
      <c r="AT871" s="1065"/>
      <c r="AU871" s="1065"/>
      <c r="AV871" s="1065"/>
      <c r="AW871" s="1065"/>
      <c r="AX871" s="1065"/>
      <c r="AY871" s="1065"/>
      <c r="AZ871" s="1065"/>
      <c r="BA871" s="1065"/>
      <c r="BB871" s="1065"/>
      <c r="BC871" s="1065"/>
      <c r="BD871" s="1065"/>
      <c r="BE871" s="1065"/>
      <c r="BF871" s="1065"/>
      <c r="BG871" s="1065"/>
      <c r="BH871" s="1065"/>
      <c r="BI871" s="1065"/>
      <c r="BJ871" s="1065"/>
      <c r="BK871" s="1065"/>
      <c r="BL871" s="1065"/>
      <c r="BM871" s="1065"/>
      <c r="BN871" s="1065"/>
      <c r="BO871" s="1065"/>
      <c r="BP871" s="1065"/>
      <c r="BQ871" s="1065"/>
      <c r="BR871" s="1065"/>
      <c r="BS871" s="1065"/>
      <c r="BT871" s="1065"/>
      <c r="BU871" s="1065"/>
      <c r="BV871" s="1065"/>
      <c r="BW871" s="1065"/>
      <c r="BX871" s="1065"/>
      <c r="BY871" s="1065"/>
      <c r="BZ871" s="1065"/>
      <c r="CA871" s="1065"/>
      <c r="CB871" s="1065"/>
      <c r="CC871" s="1065"/>
      <c r="CD871" s="1065"/>
      <c r="CE871" s="1065"/>
      <c r="CF871" s="1065"/>
      <c r="CG871" s="1065"/>
      <c r="CH871" s="1065"/>
      <c r="CI871" s="1065"/>
      <c r="CJ871" s="1065"/>
      <c r="CK871" s="1065"/>
      <c r="CL871" s="1065"/>
      <c r="CM871" s="1065"/>
      <c r="CN871" s="1065"/>
      <c r="CO871" s="1065"/>
      <c r="CP871" s="1065"/>
      <c r="CQ871" s="1065"/>
      <c r="CR871" s="1065"/>
      <c r="CS871" s="1065"/>
      <c r="CT871" s="1065"/>
      <c r="CU871" s="1065"/>
      <c r="CV871" s="1065"/>
      <c r="CW871" s="1065"/>
      <c r="CX871" s="1065"/>
      <c r="CY871" s="1065"/>
      <c r="CZ871" s="1065"/>
      <c r="DA871" s="1065"/>
      <c r="DB871" s="1065"/>
    </row>
    <row r="872" spans="1:106" ht="15" customHeight="1">
      <c r="A872" s="1065"/>
      <c r="B872" s="1065"/>
      <c r="C872" s="1065"/>
      <c r="D872" s="1065"/>
      <c r="E872" s="1065"/>
      <c r="F872" s="1065"/>
      <c r="G872" s="1065"/>
      <c r="H872" s="1223"/>
      <c r="I872" s="1223"/>
      <c r="J872" s="1224"/>
      <c r="K872" s="1224"/>
      <c r="L872" s="1224"/>
      <c r="M872" s="1225"/>
      <c r="N872" s="1225"/>
      <c r="O872" s="1226"/>
      <c r="P872" s="1227"/>
      <c r="Q872" s="1227"/>
      <c r="R872" s="1228"/>
      <c r="S872" s="1224"/>
      <c r="T872" s="1229"/>
      <c r="U872" s="1065"/>
      <c r="V872" s="1065"/>
      <c r="W872" s="1065"/>
      <c r="X872" s="1065"/>
      <c r="Y872" s="1065"/>
      <c r="Z872" s="1065"/>
      <c r="AA872" s="1065"/>
      <c r="AB872" s="1065"/>
      <c r="AC872" s="1065"/>
      <c r="AD872" s="1065"/>
      <c r="AE872" s="1065"/>
      <c r="AF872" s="1065"/>
      <c r="AG872" s="1065"/>
      <c r="AH872" s="1065"/>
      <c r="AI872" s="1065"/>
      <c r="AJ872" s="1065"/>
      <c r="AK872" s="1065"/>
      <c r="AL872" s="1065"/>
      <c r="AM872" s="1065"/>
      <c r="AN872" s="1065"/>
      <c r="AO872" s="1065"/>
      <c r="AP872" s="1065"/>
      <c r="AQ872" s="1065"/>
      <c r="AR872" s="1065"/>
      <c r="AS872" s="1065"/>
      <c r="AT872" s="1065"/>
      <c r="AU872" s="1065"/>
      <c r="AV872" s="1065"/>
      <c r="AW872" s="1065"/>
      <c r="AX872" s="1065"/>
      <c r="AY872" s="1065"/>
      <c r="AZ872" s="1065"/>
      <c r="BA872" s="1065"/>
      <c r="BB872" s="1065"/>
      <c r="BC872" s="1065"/>
      <c r="BD872" s="1065"/>
      <c r="BE872" s="1065"/>
      <c r="BF872" s="1065"/>
      <c r="BG872" s="1065"/>
      <c r="BH872" s="1065"/>
      <c r="BI872" s="1065"/>
      <c r="BJ872" s="1065"/>
      <c r="BK872" s="1065"/>
      <c r="BL872" s="1065"/>
      <c r="BM872" s="1065"/>
      <c r="BN872" s="1065"/>
      <c r="BO872" s="1065"/>
      <c r="BP872" s="1065"/>
      <c r="BQ872" s="1065"/>
      <c r="BR872" s="1065"/>
      <c r="BS872" s="1065"/>
      <c r="BT872" s="1065"/>
      <c r="BU872" s="1065"/>
      <c r="BV872" s="1065"/>
      <c r="BW872" s="1065"/>
      <c r="BX872" s="1065"/>
      <c r="BY872" s="1065"/>
      <c r="BZ872" s="1065"/>
      <c r="CA872" s="1065"/>
      <c r="CB872" s="1065"/>
      <c r="CC872" s="1065"/>
      <c r="CD872" s="1065"/>
      <c r="CE872" s="1065"/>
      <c r="CF872" s="1065"/>
      <c r="CG872" s="1065"/>
      <c r="CH872" s="1065"/>
      <c r="CI872" s="1065"/>
      <c r="CJ872" s="1065"/>
      <c r="CK872" s="1065"/>
      <c r="CL872" s="1065"/>
      <c r="CM872" s="1065"/>
      <c r="CN872" s="1065"/>
      <c r="CO872" s="1065"/>
      <c r="CP872" s="1065"/>
      <c r="CQ872" s="1065"/>
      <c r="CR872" s="1065"/>
      <c r="CS872" s="1065"/>
      <c r="CT872" s="1065"/>
      <c r="CU872" s="1065"/>
      <c r="CV872" s="1065"/>
      <c r="CW872" s="1065"/>
      <c r="CX872" s="1065"/>
      <c r="CY872" s="1065"/>
      <c r="CZ872" s="1065"/>
      <c r="DA872" s="1065"/>
      <c r="DB872" s="1065"/>
    </row>
    <row r="873" spans="1:106" ht="15" customHeight="1">
      <c r="A873" s="1065"/>
      <c r="B873" s="1065"/>
      <c r="C873" s="1065"/>
      <c r="D873" s="1065"/>
      <c r="E873" s="1065"/>
      <c r="F873" s="1065"/>
      <c r="G873" s="1065"/>
      <c r="H873" s="1223"/>
      <c r="I873" s="1223"/>
      <c r="J873" s="1224"/>
      <c r="K873" s="1224"/>
      <c r="L873" s="1224"/>
      <c r="M873" s="1225"/>
      <c r="N873" s="1225"/>
      <c r="O873" s="1226"/>
      <c r="P873" s="1227"/>
      <c r="Q873" s="1227"/>
      <c r="R873" s="1228"/>
      <c r="S873" s="1224"/>
      <c r="T873" s="1229"/>
      <c r="U873" s="1065"/>
      <c r="V873" s="1065"/>
      <c r="W873" s="1065"/>
      <c r="X873" s="1065"/>
      <c r="Y873" s="1065"/>
      <c r="Z873" s="1065"/>
      <c r="AA873" s="1065"/>
      <c r="AB873" s="1065"/>
      <c r="AC873" s="1065"/>
      <c r="AD873" s="1065"/>
      <c r="AE873" s="1065"/>
      <c r="AF873" s="1065"/>
      <c r="AG873" s="1065"/>
      <c r="AH873" s="1065"/>
      <c r="AI873" s="1065"/>
      <c r="AJ873" s="1065"/>
      <c r="AK873" s="1065"/>
      <c r="AL873" s="1065"/>
      <c r="AM873" s="1065"/>
      <c r="AN873" s="1065"/>
      <c r="AO873" s="1065"/>
      <c r="AP873" s="1065"/>
      <c r="AQ873" s="1065"/>
      <c r="AR873" s="1065"/>
      <c r="AS873" s="1065"/>
      <c r="AT873" s="1065"/>
      <c r="AU873" s="1065"/>
      <c r="AV873" s="1065"/>
      <c r="AW873" s="1065"/>
      <c r="AX873" s="1065"/>
      <c r="AY873" s="1065"/>
      <c r="AZ873" s="1065"/>
      <c r="BA873" s="1065"/>
      <c r="BB873" s="1065"/>
      <c r="BC873" s="1065"/>
      <c r="BD873" s="1065"/>
      <c r="BE873" s="1065"/>
      <c r="BF873" s="1065"/>
      <c r="BG873" s="1065"/>
      <c r="BH873" s="1065"/>
      <c r="BI873" s="1065"/>
      <c r="BJ873" s="1065"/>
      <c r="BK873" s="1065"/>
      <c r="BL873" s="1065"/>
      <c r="BM873" s="1065"/>
      <c r="BN873" s="1065"/>
      <c r="BO873" s="1065"/>
      <c r="BP873" s="1065"/>
      <c r="BQ873" s="1065"/>
      <c r="BR873" s="1065"/>
      <c r="BS873" s="1065"/>
      <c r="BT873" s="1065"/>
      <c r="BU873" s="1065"/>
      <c r="BV873" s="1065"/>
      <c r="BW873" s="1065"/>
      <c r="BX873" s="1065"/>
      <c r="BY873" s="1065"/>
      <c r="BZ873" s="1065"/>
      <c r="CA873" s="1065"/>
      <c r="CB873" s="1065"/>
      <c r="CC873" s="1065"/>
      <c r="CD873" s="1065"/>
      <c r="CE873" s="1065"/>
      <c r="CF873" s="1065"/>
      <c r="CG873" s="1065"/>
      <c r="CH873" s="1065"/>
      <c r="CI873" s="1065"/>
      <c r="CJ873" s="1065"/>
      <c r="CK873" s="1065"/>
      <c r="CL873" s="1065"/>
      <c r="CM873" s="1065"/>
      <c r="CN873" s="1065"/>
      <c r="CO873" s="1065"/>
      <c r="CP873" s="1065"/>
      <c r="CQ873" s="1065"/>
      <c r="CR873" s="1065"/>
      <c r="CS873" s="1065"/>
      <c r="CT873" s="1065"/>
      <c r="CU873" s="1065"/>
      <c r="CV873" s="1065"/>
      <c r="CW873" s="1065"/>
      <c r="CX873" s="1065"/>
      <c r="CY873" s="1065"/>
      <c r="CZ873" s="1065"/>
      <c r="DA873" s="1065"/>
      <c r="DB873" s="1065"/>
    </row>
    <row r="874" spans="1:106" ht="15" customHeight="1">
      <c r="A874" s="1065"/>
      <c r="B874" s="1065"/>
      <c r="C874" s="1065"/>
      <c r="D874" s="1065"/>
      <c r="E874" s="1065"/>
      <c r="F874" s="1065"/>
      <c r="G874" s="1065"/>
      <c r="H874" s="1223"/>
      <c r="I874" s="1223"/>
      <c r="J874" s="1224"/>
      <c r="K874" s="1224"/>
      <c r="L874" s="1224"/>
      <c r="M874" s="1225"/>
      <c r="N874" s="1225"/>
      <c r="O874" s="1226"/>
      <c r="P874" s="1227"/>
      <c r="Q874" s="1227"/>
      <c r="R874" s="1228"/>
      <c r="S874" s="1224"/>
      <c r="T874" s="1229"/>
      <c r="U874" s="1065"/>
      <c r="V874" s="1065"/>
      <c r="W874" s="1065"/>
      <c r="X874" s="1065"/>
      <c r="Y874" s="1065"/>
      <c r="Z874" s="1065"/>
      <c r="AA874" s="1065"/>
      <c r="AB874" s="1065"/>
      <c r="AC874" s="1065"/>
      <c r="AD874" s="1065"/>
      <c r="AE874" s="1065"/>
      <c r="AF874" s="1065"/>
      <c r="AG874" s="1065"/>
      <c r="AH874" s="1065"/>
      <c r="AI874" s="1065"/>
      <c r="AJ874" s="1065"/>
      <c r="AK874" s="1065"/>
      <c r="AL874" s="1065"/>
      <c r="AM874" s="1065"/>
      <c r="AN874" s="1065"/>
      <c r="AO874" s="1065"/>
      <c r="AP874" s="1065"/>
      <c r="AQ874" s="1065"/>
      <c r="AR874" s="1065"/>
      <c r="AS874" s="1065"/>
      <c r="AT874" s="1065"/>
      <c r="AU874" s="1065"/>
      <c r="AV874" s="1065"/>
      <c r="AW874" s="1065"/>
      <c r="AX874" s="1065"/>
      <c r="AY874" s="1065"/>
      <c r="AZ874" s="1065"/>
      <c r="BA874" s="1065"/>
      <c r="BB874" s="1065"/>
      <c r="BC874" s="1065"/>
      <c r="BD874" s="1065"/>
      <c r="BE874" s="1065"/>
      <c r="BF874" s="1065"/>
      <c r="BG874" s="1065"/>
      <c r="BH874" s="1065"/>
      <c r="BI874" s="1065"/>
      <c r="BJ874" s="1065"/>
      <c r="BK874" s="1065"/>
      <c r="BL874" s="1065"/>
      <c r="BM874" s="1065"/>
      <c r="BN874" s="1065"/>
      <c r="BO874" s="1065"/>
      <c r="BP874" s="1065"/>
      <c r="BQ874" s="1065"/>
      <c r="BR874" s="1065"/>
      <c r="BS874" s="1065"/>
      <c r="BT874" s="1065"/>
      <c r="BU874" s="1065"/>
      <c r="BV874" s="1065"/>
      <c r="BW874" s="1065"/>
      <c r="BX874" s="1065"/>
      <c r="BY874" s="1065"/>
      <c r="BZ874" s="1065"/>
      <c r="CA874" s="1065"/>
      <c r="CB874" s="1065"/>
      <c r="CC874" s="1065"/>
      <c r="CD874" s="1065"/>
      <c r="CE874" s="1065"/>
      <c r="CF874" s="1065"/>
      <c r="CG874" s="1065"/>
      <c r="CH874" s="1065"/>
      <c r="CI874" s="1065"/>
      <c r="CJ874" s="1065"/>
      <c r="CK874" s="1065"/>
      <c r="CL874" s="1065"/>
      <c r="CM874" s="1065"/>
      <c r="CN874" s="1065"/>
      <c r="CO874" s="1065"/>
      <c r="CP874" s="1065"/>
      <c r="CQ874" s="1065"/>
      <c r="CR874" s="1065"/>
      <c r="CS874" s="1065"/>
      <c r="CT874" s="1065"/>
      <c r="CU874" s="1065"/>
      <c r="CV874" s="1065"/>
      <c r="CW874" s="1065"/>
      <c r="CX874" s="1065"/>
      <c r="CY874" s="1065"/>
      <c r="CZ874" s="1065"/>
      <c r="DA874" s="1065"/>
      <c r="DB874" s="1065"/>
    </row>
    <row r="875" spans="1:106" ht="15" customHeight="1">
      <c r="A875" s="1065"/>
      <c r="B875" s="1065"/>
      <c r="C875" s="1065"/>
      <c r="D875" s="1065"/>
      <c r="E875" s="1065"/>
      <c r="F875" s="1065"/>
      <c r="G875" s="1065"/>
      <c r="H875" s="1223"/>
      <c r="I875" s="1223"/>
      <c r="J875" s="1224"/>
      <c r="K875" s="1224"/>
      <c r="L875" s="1224"/>
      <c r="M875" s="1225"/>
      <c r="N875" s="1225"/>
      <c r="O875" s="1226"/>
      <c r="P875" s="1227"/>
      <c r="Q875" s="1227"/>
      <c r="R875" s="1228"/>
      <c r="S875" s="1224"/>
      <c r="T875" s="1229"/>
      <c r="U875" s="1065"/>
      <c r="V875" s="1065"/>
      <c r="W875" s="1065"/>
      <c r="X875" s="1065"/>
      <c r="Y875" s="1065"/>
      <c r="Z875" s="1065"/>
      <c r="AA875" s="1065"/>
      <c r="AB875" s="1065"/>
      <c r="AC875" s="1065"/>
      <c r="AD875" s="1065"/>
      <c r="AE875" s="1065"/>
      <c r="AF875" s="1065"/>
      <c r="AG875" s="1065"/>
      <c r="AH875" s="1065"/>
      <c r="AI875" s="1065"/>
      <c r="AJ875" s="1065"/>
      <c r="AK875" s="1065"/>
      <c r="AL875" s="1065"/>
      <c r="AM875" s="1065"/>
      <c r="AN875" s="1065"/>
      <c r="AO875" s="1065"/>
      <c r="AP875" s="1065"/>
      <c r="AQ875" s="1065"/>
      <c r="AR875" s="1065"/>
      <c r="AS875" s="1065"/>
      <c r="AT875" s="1065"/>
      <c r="AU875" s="1065"/>
      <c r="AV875" s="1065"/>
      <c r="AW875" s="1065"/>
      <c r="AX875" s="1065"/>
      <c r="AY875" s="1065"/>
      <c r="AZ875" s="1065"/>
      <c r="BA875" s="1065"/>
      <c r="BB875" s="1065"/>
      <c r="BC875" s="1065"/>
      <c r="BD875" s="1065"/>
      <c r="BE875" s="1065"/>
      <c r="BF875" s="1065"/>
      <c r="BG875" s="1065"/>
      <c r="BH875" s="1065"/>
      <c r="BI875" s="1065"/>
      <c r="BJ875" s="1065"/>
      <c r="BK875" s="1065"/>
      <c r="BL875" s="1065"/>
      <c r="BM875" s="1065"/>
      <c r="BN875" s="1065"/>
      <c r="BO875" s="1065"/>
      <c r="BP875" s="1065"/>
      <c r="BQ875" s="1065"/>
      <c r="BR875" s="1065"/>
      <c r="BS875" s="1065"/>
      <c r="BT875" s="1065"/>
      <c r="BU875" s="1065"/>
      <c r="BV875" s="1065"/>
      <c r="BW875" s="1065"/>
      <c r="BX875" s="1065"/>
      <c r="BY875" s="1065"/>
      <c r="BZ875" s="1065"/>
      <c r="CA875" s="1065"/>
      <c r="CB875" s="1065"/>
      <c r="CC875" s="1065"/>
      <c r="CD875" s="1065"/>
      <c r="CE875" s="1065"/>
      <c r="CF875" s="1065"/>
      <c r="CG875" s="1065"/>
      <c r="CH875" s="1065"/>
      <c r="CI875" s="1065"/>
      <c r="CJ875" s="1065"/>
      <c r="CK875" s="1065"/>
      <c r="CL875" s="1065"/>
      <c r="CM875" s="1065"/>
      <c r="CN875" s="1065"/>
      <c r="CO875" s="1065"/>
      <c r="CP875" s="1065"/>
      <c r="CQ875" s="1065"/>
      <c r="CR875" s="1065"/>
      <c r="CS875" s="1065"/>
      <c r="CT875" s="1065"/>
      <c r="CU875" s="1065"/>
      <c r="CV875" s="1065"/>
      <c r="CW875" s="1065"/>
      <c r="CX875" s="1065"/>
      <c r="CY875" s="1065"/>
      <c r="CZ875" s="1065"/>
      <c r="DA875" s="1065"/>
      <c r="DB875" s="1065"/>
    </row>
    <row r="876" spans="1:106" ht="15" customHeight="1">
      <c r="A876" s="1065"/>
      <c r="B876" s="1065"/>
      <c r="C876" s="1065"/>
      <c r="D876" s="1065"/>
      <c r="E876" s="1065"/>
      <c r="F876" s="1065"/>
      <c r="G876" s="1065"/>
      <c r="H876" s="1223"/>
      <c r="I876" s="1223"/>
      <c r="J876" s="1224"/>
      <c r="K876" s="1224"/>
      <c r="L876" s="1224"/>
      <c r="M876" s="1225"/>
      <c r="N876" s="1225"/>
      <c r="O876" s="1226"/>
      <c r="P876" s="1227"/>
      <c r="Q876" s="1227"/>
      <c r="R876" s="1228"/>
      <c r="S876" s="1224"/>
      <c r="T876" s="1229"/>
      <c r="U876" s="1065"/>
      <c r="V876" s="1065"/>
      <c r="W876" s="1065"/>
      <c r="X876" s="1065"/>
      <c r="Y876" s="1065"/>
      <c r="Z876" s="1065"/>
      <c r="AA876" s="1065"/>
      <c r="AB876" s="1065"/>
      <c r="AC876" s="1065"/>
      <c r="AD876" s="1065"/>
      <c r="AE876" s="1065"/>
      <c r="AF876" s="1065"/>
      <c r="AG876" s="1065"/>
      <c r="AH876" s="1065"/>
      <c r="AI876" s="1065"/>
      <c r="AJ876" s="1065"/>
      <c r="AK876" s="1065"/>
      <c r="AL876" s="1065"/>
      <c r="AM876" s="1065"/>
      <c r="AN876" s="1065"/>
      <c r="AO876" s="1065"/>
      <c r="AP876" s="1065"/>
      <c r="AQ876" s="1065"/>
      <c r="AR876" s="1065"/>
      <c r="AS876" s="1065"/>
      <c r="AT876" s="1065"/>
      <c r="AU876" s="1065"/>
      <c r="AV876" s="1065"/>
      <c r="AW876" s="1065"/>
      <c r="AX876" s="1065"/>
      <c r="AY876" s="1065"/>
      <c r="AZ876" s="1065"/>
      <c r="BA876" s="1065"/>
      <c r="BB876" s="1065"/>
      <c r="BC876" s="1065"/>
      <c r="BD876" s="1065"/>
      <c r="BE876" s="1065"/>
      <c r="BF876" s="1065"/>
      <c r="BG876" s="1065"/>
      <c r="BH876" s="1065"/>
      <c r="BI876" s="1065"/>
      <c r="BJ876" s="1065"/>
      <c r="BK876" s="1065"/>
      <c r="BL876" s="1065"/>
      <c r="BM876" s="1065"/>
      <c r="BN876" s="1065"/>
      <c r="BO876" s="1065"/>
      <c r="BP876" s="1065"/>
      <c r="BQ876" s="1065"/>
      <c r="BR876" s="1065"/>
      <c r="BS876" s="1065"/>
      <c r="BT876" s="1065"/>
      <c r="BU876" s="1065"/>
      <c r="BV876" s="1065"/>
      <c r="BW876" s="1065"/>
      <c r="BX876" s="1065"/>
      <c r="BY876" s="1065"/>
      <c r="BZ876" s="1065"/>
      <c r="CA876" s="1065"/>
      <c r="CB876" s="1065"/>
      <c r="CC876" s="1065"/>
      <c r="CD876" s="1065"/>
      <c r="CE876" s="1065"/>
      <c r="CF876" s="1065"/>
      <c r="CG876" s="1065"/>
      <c r="CH876" s="1065"/>
      <c r="CI876" s="1065"/>
      <c r="CJ876" s="1065"/>
      <c r="CK876" s="1065"/>
      <c r="CL876" s="1065"/>
      <c r="CM876" s="1065"/>
      <c r="CN876" s="1065"/>
      <c r="CO876" s="1065"/>
      <c r="CP876" s="1065"/>
      <c r="CQ876" s="1065"/>
      <c r="CR876" s="1065"/>
      <c r="CS876" s="1065"/>
      <c r="CT876" s="1065"/>
      <c r="CU876" s="1065"/>
      <c r="CV876" s="1065"/>
      <c r="CW876" s="1065"/>
      <c r="CX876" s="1065"/>
      <c r="CY876" s="1065"/>
      <c r="CZ876" s="1065"/>
      <c r="DA876" s="1065"/>
      <c r="DB876" s="1065"/>
    </row>
    <row r="877" spans="1:106" ht="15" customHeight="1">
      <c r="A877" s="1065"/>
      <c r="B877" s="1065"/>
      <c r="C877" s="1065"/>
      <c r="D877" s="1065"/>
      <c r="E877" s="1065"/>
      <c r="F877" s="1065"/>
      <c r="G877" s="1065"/>
      <c r="H877" s="1223"/>
      <c r="I877" s="1223"/>
      <c r="J877" s="1224"/>
      <c r="K877" s="1224"/>
      <c r="L877" s="1224"/>
      <c r="M877" s="1225"/>
      <c r="N877" s="1225"/>
      <c r="O877" s="1226"/>
      <c r="P877" s="1227"/>
      <c r="Q877" s="1227"/>
      <c r="R877" s="1228"/>
      <c r="S877" s="1224"/>
      <c r="T877" s="1229"/>
      <c r="U877" s="1065"/>
      <c r="V877" s="1065"/>
      <c r="W877" s="1065"/>
      <c r="X877" s="1065"/>
      <c r="Y877" s="1065"/>
      <c r="Z877" s="1065"/>
      <c r="AA877" s="1065"/>
      <c r="AB877" s="1065"/>
      <c r="AC877" s="1065"/>
      <c r="AD877" s="1065"/>
      <c r="AE877" s="1065"/>
      <c r="AF877" s="1065"/>
      <c r="AG877" s="1065"/>
      <c r="AH877" s="1065"/>
      <c r="AI877" s="1065"/>
      <c r="AJ877" s="1065"/>
      <c r="AK877" s="1065"/>
      <c r="AL877" s="1065"/>
      <c r="AM877" s="1065"/>
      <c r="AN877" s="1065"/>
      <c r="AO877" s="1065"/>
      <c r="AP877" s="1065"/>
      <c r="AQ877" s="1065"/>
      <c r="AR877" s="1065"/>
      <c r="AS877" s="1065"/>
      <c r="AT877" s="1065"/>
      <c r="AU877" s="1065"/>
      <c r="AV877" s="1065"/>
      <c r="AW877" s="1065"/>
      <c r="AX877" s="1065"/>
      <c r="AY877" s="1065"/>
      <c r="AZ877" s="1065"/>
      <c r="BA877" s="1065"/>
      <c r="BB877" s="1065"/>
      <c r="BC877" s="1065"/>
      <c r="BD877" s="1065"/>
      <c r="BE877" s="1065"/>
      <c r="BF877" s="1065"/>
      <c r="BG877" s="1065"/>
      <c r="BH877" s="1065"/>
      <c r="BI877" s="1065"/>
      <c r="BJ877" s="1065"/>
      <c r="BK877" s="1065"/>
      <c r="BL877" s="1065"/>
      <c r="BM877" s="1065"/>
      <c r="BN877" s="1065"/>
      <c r="BO877" s="1065"/>
      <c r="BP877" s="1065"/>
      <c r="BQ877" s="1065"/>
      <c r="BR877" s="1065"/>
      <c r="BS877" s="1065"/>
      <c r="BT877" s="1065"/>
      <c r="BU877" s="1065"/>
      <c r="BV877" s="1065"/>
      <c r="BW877" s="1065"/>
      <c r="BX877" s="1065"/>
      <c r="BY877" s="1065"/>
      <c r="BZ877" s="1065"/>
      <c r="CA877" s="1065"/>
      <c r="CB877" s="1065"/>
      <c r="CC877" s="1065"/>
      <c r="CD877" s="1065"/>
      <c r="CE877" s="1065"/>
      <c r="CF877" s="1065"/>
      <c r="CG877" s="1065"/>
      <c r="CH877" s="1065"/>
      <c r="CI877" s="1065"/>
      <c r="CJ877" s="1065"/>
      <c r="CK877" s="1065"/>
      <c r="CL877" s="1065"/>
      <c r="CM877" s="1065"/>
      <c r="CN877" s="1065"/>
      <c r="CO877" s="1065"/>
      <c r="CP877" s="1065"/>
      <c r="CQ877" s="1065"/>
      <c r="CR877" s="1065"/>
      <c r="CS877" s="1065"/>
      <c r="CT877" s="1065"/>
      <c r="CU877" s="1065"/>
      <c r="CV877" s="1065"/>
      <c r="CW877" s="1065"/>
      <c r="CX877" s="1065"/>
      <c r="CY877" s="1065"/>
      <c r="CZ877" s="1065"/>
      <c r="DA877" s="1065"/>
      <c r="DB877" s="1065"/>
    </row>
    <row r="878" spans="1:106" ht="15" customHeight="1">
      <c r="A878" s="1065"/>
      <c r="B878" s="1065"/>
      <c r="C878" s="1065"/>
      <c r="D878" s="1065"/>
      <c r="E878" s="1065"/>
      <c r="F878" s="1065"/>
      <c r="G878" s="1065"/>
      <c r="H878" s="1223"/>
      <c r="I878" s="1223"/>
      <c r="J878" s="1224"/>
      <c r="K878" s="1224"/>
      <c r="L878" s="1224"/>
      <c r="M878" s="1225"/>
      <c r="N878" s="1225"/>
      <c r="O878" s="1226"/>
      <c r="P878" s="1227"/>
      <c r="Q878" s="1227"/>
      <c r="R878" s="1228"/>
      <c r="S878" s="1224"/>
      <c r="T878" s="1229"/>
      <c r="U878" s="1065"/>
      <c r="V878" s="1065"/>
      <c r="W878" s="1065"/>
      <c r="X878" s="1065"/>
      <c r="Y878" s="1065"/>
      <c r="Z878" s="1065"/>
      <c r="AA878" s="1065"/>
      <c r="AB878" s="1065"/>
      <c r="AC878" s="1065"/>
      <c r="AD878" s="1065"/>
      <c r="AE878" s="1065"/>
      <c r="AF878" s="1065"/>
      <c r="AG878" s="1065"/>
      <c r="AH878" s="1065"/>
      <c r="AI878" s="1065"/>
      <c r="AJ878" s="1065"/>
      <c r="AK878" s="1065"/>
      <c r="AL878" s="1065"/>
      <c r="AM878" s="1065"/>
      <c r="AN878" s="1065"/>
      <c r="AO878" s="1065"/>
      <c r="AP878" s="1065"/>
      <c r="AQ878" s="1065"/>
      <c r="AR878" s="1065"/>
      <c r="AS878" s="1065"/>
      <c r="AT878" s="1065"/>
      <c r="AU878" s="1065"/>
      <c r="AV878" s="1065"/>
      <c r="AW878" s="1065"/>
      <c r="AX878" s="1065"/>
      <c r="AY878" s="1065"/>
      <c r="AZ878" s="1065"/>
      <c r="BA878" s="1065"/>
      <c r="BB878" s="1065"/>
      <c r="BC878" s="1065"/>
      <c r="BD878" s="1065"/>
      <c r="BE878" s="1065"/>
      <c r="BF878" s="1065"/>
      <c r="BG878" s="1065"/>
      <c r="BH878" s="1065"/>
      <c r="BI878" s="1065"/>
      <c r="BJ878" s="1065"/>
      <c r="BK878" s="1065"/>
      <c r="BL878" s="1065"/>
      <c r="BM878" s="1065"/>
      <c r="BN878" s="1065"/>
      <c r="BO878" s="1065"/>
      <c r="BP878" s="1065"/>
      <c r="BQ878" s="1065"/>
      <c r="BR878" s="1065"/>
      <c r="BS878" s="1065"/>
      <c r="BT878" s="1065"/>
      <c r="BU878" s="1065"/>
      <c r="BV878" s="1065"/>
      <c r="BW878" s="1065"/>
      <c r="BX878" s="1065"/>
      <c r="BY878" s="1065"/>
      <c r="BZ878" s="1065"/>
      <c r="CA878" s="1065"/>
      <c r="CB878" s="1065"/>
      <c r="CC878" s="1065"/>
      <c r="CD878" s="1065"/>
      <c r="CE878" s="1065"/>
      <c r="CF878" s="1065"/>
      <c r="CG878" s="1065"/>
      <c r="CH878" s="1065"/>
      <c r="CI878" s="1065"/>
      <c r="CJ878" s="1065"/>
      <c r="CK878" s="1065"/>
      <c r="CL878" s="1065"/>
      <c r="CM878" s="1065"/>
      <c r="CN878" s="1065"/>
      <c r="CO878" s="1065"/>
      <c r="CP878" s="1065"/>
      <c r="CQ878" s="1065"/>
      <c r="CR878" s="1065"/>
      <c r="CS878" s="1065"/>
      <c r="CT878" s="1065"/>
      <c r="CU878" s="1065"/>
      <c r="CV878" s="1065"/>
      <c r="CW878" s="1065"/>
      <c r="CX878" s="1065"/>
      <c r="CY878" s="1065"/>
      <c r="CZ878" s="1065"/>
      <c r="DA878" s="1065"/>
      <c r="DB878" s="1065"/>
    </row>
    <row r="879" spans="1:106" ht="15" customHeight="1">
      <c r="A879" s="1065"/>
      <c r="B879" s="1065"/>
      <c r="C879" s="1065"/>
      <c r="D879" s="1065"/>
      <c r="E879" s="1065"/>
      <c r="F879" s="1065"/>
      <c r="G879" s="1065"/>
      <c r="H879" s="1223"/>
      <c r="I879" s="1223"/>
      <c r="J879" s="1224"/>
      <c r="K879" s="1224"/>
      <c r="L879" s="1224"/>
      <c r="M879" s="1225"/>
      <c r="N879" s="1225"/>
      <c r="O879" s="1226"/>
      <c r="P879" s="1227"/>
      <c r="Q879" s="1227"/>
      <c r="R879" s="1228"/>
      <c r="S879" s="1224"/>
      <c r="T879" s="1229"/>
      <c r="U879" s="1065"/>
      <c r="V879" s="1065"/>
      <c r="W879" s="1065"/>
      <c r="X879" s="1065"/>
      <c r="Y879" s="1065"/>
      <c r="Z879" s="1065"/>
      <c r="AA879" s="1065"/>
      <c r="AB879" s="1065"/>
      <c r="AC879" s="1065"/>
      <c r="AD879" s="1065"/>
      <c r="AE879" s="1065"/>
      <c r="AF879" s="1065"/>
      <c r="AG879" s="1065"/>
      <c r="AH879" s="1065"/>
      <c r="AI879" s="1065"/>
      <c r="AJ879" s="1065"/>
      <c r="AK879" s="1065"/>
      <c r="AL879" s="1065"/>
      <c r="AM879" s="1065"/>
      <c r="AN879" s="1065"/>
      <c r="AO879" s="1065"/>
      <c r="AP879" s="1065"/>
      <c r="AQ879" s="1065"/>
      <c r="AR879" s="1065"/>
      <c r="AS879" s="1065"/>
      <c r="AT879" s="1065"/>
      <c r="AU879" s="1065"/>
      <c r="AV879" s="1065"/>
      <c r="AW879" s="1065"/>
      <c r="AX879" s="1065"/>
      <c r="AY879" s="1065"/>
      <c r="AZ879" s="1065"/>
      <c r="BA879" s="1065"/>
      <c r="BB879" s="1065"/>
      <c r="BC879" s="1065"/>
      <c r="BD879" s="1065"/>
      <c r="BE879" s="1065"/>
      <c r="BF879" s="1065"/>
      <c r="BG879" s="1065"/>
      <c r="BH879" s="1065"/>
      <c r="BI879" s="1065"/>
      <c r="BJ879" s="1065"/>
      <c r="BK879" s="1065"/>
      <c r="BL879" s="1065"/>
      <c r="BM879" s="1065"/>
      <c r="BN879" s="1065"/>
      <c r="BO879" s="1065"/>
      <c r="BP879" s="1065"/>
      <c r="BQ879" s="1065"/>
      <c r="BR879" s="1065"/>
      <c r="BS879" s="1065"/>
      <c r="BT879" s="1065"/>
      <c r="BU879" s="1065"/>
      <c r="BV879" s="1065"/>
      <c r="BW879" s="1065"/>
      <c r="BX879" s="1065"/>
      <c r="BY879" s="1065"/>
      <c r="BZ879" s="1065"/>
      <c r="CA879" s="1065"/>
      <c r="CB879" s="1065"/>
      <c r="CC879" s="1065"/>
      <c r="CD879" s="1065"/>
      <c r="CE879" s="1065"/>
      <c r="CF879" s="1065"/>
      <c r="CG879" s="1065"/>
      <c r="CH879" s="1065"/>
      <c r="CI879" s="1065"/>
      <c r="CJ879" s="1065"/>
      <c r="CK879" s="1065"/>
      <c r="CL879" s="1065"/>
      <c r="CM879" s="1065"/>
      <c r="CN879" s="1065"/>
      <c r="CO879" s="1065"/>
      <c r="CP879" s="1065"/>
      <c r="CQ879" s="1065"/>
      <c r="CR879" s="1065"/>
      <c r="CS879" s="1065"/>
      <c r="CT879" s="1065"/>
      <c r="CU879" s="1065"/>
      <c r="CV879" s="1065"/>
      <c r="CW879" s="1065"/>
      <c r="CX879" s="1065"/>
      <c r="CY879" s="1065"/>
      <c r="CZ879" s="1065"/>
      <c r="DA879" s="1065"/>
      <c r="DB879" s="1065"/>
    </row>
    <row r="880" spans="1:106" ht="15" customHeight="1">
      <c r="A880" s="1065"/>
      <c r="B880" s="1065"/>
      <c r="C880" s="1065"/>
      <c r="D880" s="1065"/>
      <c r="E880" s="1065"/>
      <c r="F880" s="1065"/>
      <c r="G880" s="1065"/>
      <c r="H880" s="1223"/>
      <c r="I880" s="1223"/>
      <c r="J880" s="1224"/>
      <c r="K880" s="1224"/>
      <c r="L880" s="1224"/>
      <c r="M880" s="1225"/>
      <c r="N880" s="1225"/>
      <c r="O880" s="1226"/>
      <c r="P880" s="1227"/>
      <c r="Q880" s="1227"/>
      <c r="R880" s="1228"/>
      <c r="S880" s="1224"/>
      <c r="T880" s="1229"/>
      <c r="U880" s="1065"/>
      <c r="V880" s="1065"/>
      <c r="W880" s="1065"/>
      <c r="X880" s="1065"/>
      <c r="Y880" s="1065"/>
      <c r="Z880" s="1065"/>
      <c r="AA880" s="1065"/>
      <c r="AB880" s="1065"/>
      <c r="AC880" s="1065"/>
      <c r="AD880" s="1065"/>
      <c r="AE880" s="1065"/>
      <c r="AF880" s="1065"/>
      <c r="AG880" s="1065"/>
      <c r="AH880" s="1065"/>
      <c r="AI880" s="1065"/>
      <c r="AJ880" s="1065"/>
      <c r="AK880" s="1065"/>
      <c r="AL880" s="1065"/>
      <c r="AM880" s="1065"/>
      <c r="AN880" s="1065"/>
      <c r="AO880" s="1065"/>
      <c r="AP880" s="1065"/>
      <c r="AQ880" s="1065"/>
      <c r="AR880" s="1065"/>
      <c r="AS880" s="1065"/>
      <c r="AT880" s="1065"/>
      <c r="AU880" s="1065"/>
      <c r="AV880" s="1065"/>
      <c r="AW880" s="1065"/>
      <c r="AX880" s="1065"/>
      <c r="AY880" s="1065"/>
      <c r="AZ880" s="1065"/>
      <c r="BA880" s="1065"/>
      <c r="BB880" s="1065"/>
      <c r="BC880" s="1065"/>
      <c r="BD880" s="1065"/>
      <c r="BE880" s="1065"/>
      <c r="BF880" s="1065"/>
      <c r="BG880" s="1065"/>
      <c r="BH880" s="1065"/>
      <c r="BI880" s="1065"/>
      <c r="BJ880" s="1065"/>
      <c r="BK880" s="1065"/>
      <c r="BL880" s="1065"/>
      <c r="BM880" s="1065"/>
      <c r="BN880" s="1065"/>
      <c r="BO880" s="1065"/>
      <c r="BP880" s="1065"/>
      <c r="BQ880" s="1065"/>
      <c r="BR880" s="1065"/>
      <c r="BS880" s="1065"/>
      <c r="BT880" s="1065"/>
      <c r="BU880" s="1065"/>
      <c r="BV880" s="1065"/>
      <c r="BW880" s="1065"/>
      <c r="BX880" s="1065"/>
      <c r="BY880" s="1065"/>
      <c r="BZ880" s="1065"/>
      <c r="CA880" s="1065"/>
      <c r="CB880" s="1065"/>
      <c r="CC880" s="1065"/>
      <c r="CD880" s="1065"/>
      <c r="CE880" s="1065"/>
      <c r="CF880" s="1065"/>
      <c r="CG880" s="1065"/>
      <c r="CH880" s="1065"/>
      <c r="CI880" s="1065"/>
      <c r="CJ880" s="1065"/>
      <c r="CK880" s="1065"/>
      <c r="CL880" s="1065"/>
      <c r="CM880" s="1065"/>
      <c r="CN880" s="1065"/>
      <c r="CO880" s="1065"/>
      <c r="CP880" s="1065"/>
      <c r="CQ880" s="1065"/>
      <c r="CR880" s="1065"/>
      <c r="CS880" s="1065"/>
      <c r="CT880" s="1065"/>
      <c r="CU880" s="1065"/>
      <c r="CV880" s="1065"/>
      <c r="CW880" s="1065"/>
      <c r="CX880" s="1065"/>
      <c r="CY880" s="1065"/>
      <c r="CZ880" s="1065"/>
      <c r="DA880" s="1065"/>
      <c r="DB880" s="1065"/>
    </row>
    <row r="881" spans="1:106" ht="15" customHeight="1">
      <c r="A881" s="1065"/>
      <c r="B881" s="1065"/>
      <c r="C881" s="1065"/>
      <c r="D881" s="1065"/>
      <c r="E881" s="1065"/>
      <c r="F881" s="1065"/>
      <c r="G881" s="1065"/>
      <c r="H881" s="1223"/>
      <c r="I881" s="1223"/>
      <c r="J881" s="1224"/>
      <c r="K881" s="1224"/>
      <c r="L881" s="1224"/>
      <c r="M881" s="1225"/>
      <c r="N881" s="1225"/>
      <c r="O881" s="1226"/>
      <c r="P881" s="1227"/>
      <c r="Q881" s="1227"/>
      <c r="R881" s="1228"/>
      <c r="S881" s="1224"/>
      <c r="T881" s="1229"/>
      <c r="U881" s="1065"/>
      <c r="V881" s="1065"/>
      <c r="W881" s="1065"/>
      <c r="X881" s="1065"/>
      <c r="Y881" s="1065"/>
      <c r="Z881" s="1065"/>
      <c r="AA881" s="1065"/>
      <c r="AB881" s="1065"/>
      <c r="AC881" s="1065"/>
      <c r="AD881" s="1065"/>
      <c r="AE881" s="1065"/>
      <c r="AF881" s="1065"/>
      <c r="AG881" s="1065"/>
      <c r="AH881" s="1065"/>
      <c r="AI881" s="1065"/>
      <c r="AJ881" s="1065"/>
      <c r="AK881" s="1065"/>
      <c r="AL881" s="1065"/>
      <c r="AM881" s="1065"/>
      <c r="AN881" s="1065"/>
      <c r="AO881" s="1065"/>
      <c r="AP881" s="1065"/>
      <c r="AQ881" s="1065"/>
      <c r="AR881" s="1065"/>
      <c r="AS881" s="1065"/>
      <c r="AT881" s="1065"/>
      <c r="AU881" s="1065"/>
      <c r="AV881" s="1065"/>
      <c r="AW881" s="1065"/>
      <c r="AX881" s="1065"/>
      <c r="AY881" s="1065"/>
      <c r="AZ881" s="1065"/>
      <c r="BA881" s="1065"/>
      <c r="BB881" s="1065"/>
      <c r="BC881" s="1065"/>
      <c r="BD881" s="1065"/>
      <c r="BE881" s="1065"/>
      <c r="BF881" s="1065"/>
      <c r="BG881" s="1065"/>
      <c r="BH881" s="1065"/>
      <c r="BI881" s="1065"/>
      <c r="BJ881" s="1065"/>
      <c r="BK881" s="1065"/>
      <c r="BL881" s="1065"/>
      <c r="BM881" s="1065"/>
      <c r="BN881" s="1065"/>
      <c r="BO881" s="1065"/>
      <c r="BP881" s="1065"/>
      <c r="BQ881" s="1065"/>
      <c r="BR881" s="1065"/>
      <c r="BS881" s="1065"/>
      <c r="BT881" s="1065"/>
      <c r="BU881" s="1065"/>
      <c r="BV881" s="1065"/>
      <c r="BW881" s="1065"/>
      <c r="BX881" s="1065"/>
      <c r="BY881" s="1065"/>
      <c r="BZ881" s="1065"/>
      <c r="CA881" s="1065"/>
      <c r="CB881" s="1065"/>
      <c r="CC881" s="1065"/>
      <c r="CD881" s="1065"/>
      <c r="CE881" s="1065"/>
      <c r="CF881" s="1065"/>
      <c r="CG881" s="1065"/>
      <c r="CH881" s="1065"/>
      <c r="CI881" s="1065"/>
      <c r="CJ881" s="1065"/>
      <c r="CK881" s="1065"/>
      <c r="CL881" s="1065"/>
      <c r="CM881" s="1065"/>
      <c r="CN881" s="1065"/>
      <c r="CO881" s="1065"/>
      <c r="CP881" s="1065"/>
      <c r="CQ881" s="1065"/>
      <c r="CR881" s="1065"/>
      <c r="CS881" s="1065"/>
      <c r="CT881" s="1065"/>
      <c r="CU881" s="1065"/>
      <c r="CV881" s="1065"/>
      <c r="CW881" s="1065"/>
      <c r="CX881" s="1065"/>
      <c r="CY881" s="1065"/>
      <c r="CZ881" s="1065"/>
      <c r="DA881" s="1065"/>
      <c r="DB881" s="1065"/>
    </row>
    <row r="882" spans="1:106" ht="15" customHeight="1">
      <c r="A882" s="1065"/>
      <c r="B882" s="1065"/>
      <c r="C882" s="1065"/>
      <c r="D882" s="1065"/>
      <c r="E882" s="1065"/>
      <c r="F882" s="1065"/>
      <c r="G882" s="1065"/>
      <c r="H882" s="1223"/>
      <c r="I882" s="1223"/>
      <c r="J882" s="1224"/>
      <c r="K882" s="1224"/>
      <c r="L882" s="1224"/>
      <c r="M882" s="1225"/>
      <c r="N882" s="1225"/>
      <c r="O882" s="1226"/>
      <c r="P882" s="1227"/>
      <c r="Q882" s="1227"/>
      <c r="R882" s="1228"/>
      <c r="S882" s="1224"/>
      <c r="T882" s="1229"/>
      <c r="U882" s="1065"/>
      <c r="V882" s="1065"/>
      <c r="W882" s="1065"/>
      <c r="X882" s="1065"/>
      <c r="Y882" s="1065"/>
      <c r="Z882" s="1065"/>
      <c r="AA882" s="1065"/>
      <c r="AB882" s="1065"/>
      <c r="AC882" s="1065"/>
      <c r="AD882" s="1065"/>
      <c r="AE882" s="1065"/>
      <c r="AF882" s="1065"/>
      <c r="AG882" s="1065"/>
      <c r="AH882" s="1065"/>
      <c r="AI882" s="1065"/>
      <c r="AJ882" s="1065"/>
      <c r="AK882" s="1065"/>
      <c r="AL882" s="1065"/>
      <c r="AM882" s="1065"/>
      <c r="AN882" s="1065"/>
      <c r="AO882" s="1065"/>
      <c r="AP882" s="1065"/>
      <c r="AQ882" s="1065"/>
      <c r="AR882" s="1065"/>
      <c r="AS882" s="1065"/>
      <c r="AT882" s="1065"/>
      <c r="AU882" s="1065"/>
      <c r="AV882" s="1065"/>
      <c r="AW882" s="1065"/>
      <c r="AX882" s="1065"/>
      <c r="AY882" s="1065"/>
      <c r="AZ882" s="1065"/>
      <c r="BA882" s="1065"/>
      <c r="BB882" s="1065"/>
      <c r="BC882" s="1065"/>
      <c r="BD882" s="1065"/>
      <c r="BE882" s="1065"/>
      <c r="BF882" s="1065"/>
      <c r="BG882" s="1065"/>
      <c r="BH882" s="1065"/>
      <c r="BI882" s="1065"/>
      <c r="BJ882" s="1065"/>
      <c r="BK882" s="1065"/>
      <c r="BL882" s="1065"/>
      <c r="BM882" s="1065"/>
      <c r="BN882" s="1065"/>
      <c r="BO882" s="1065"/>
      <c r="BP882" s="1065"/>
      <c r="BQ882" s="1065"/>
      <c r="BR882" s="1065"/>
      <c r="BS882" s="1065"/>
      <c r="BT882" s="1065"/>
      <c r="BU882" s="1065"/>
      <c r="BV882" s="1065"/>
      <c r="BW882" s="1065"/>
      <c r="BX882" s="1065"/>
      <c r="BY882" s="1065"/>
      <c r="BZ882" s="1065"/>
      <c r="CA882" s="1065"/>
      <c r="CB882" s="1065"/>
      <c r="CC882" s="1065"/>
      <c r="CD882" s="1065"/>
      <c r="CE882" s="1065"/>
      <c r="CF882" s="1065"/>
      <c r="CG882" s="1065"/>
      <c r="CH882" s="1065"/>
      <c r="CI882" s="1065"/>
      <c r="CJ882" s="1065"/>
      <c r="CK882" s="1065"/>
      <c r="CL882" s="1065"/>
      <c r="CM882" s="1065"/>
      <c r="CN882" s="1065"/>
      <c r="CO882" s="1065"/>
      <c r="CP882" s="1065"/>
      <c r="CQ882" s="1065"/>
      <c r="CR882" s="1065"/>
      <c r="CS882" s="1065"/>
      <c r="CT882" s="1065"/>
      <c r="CU882" s="1065"/>
      <c r="CV882" s="1065"/>
      <c r="CW882" s="1065"/>
      <c r="CX882" s="1065"/>
      <c r="CY882" s="1065"/>
      <c r="CZ882" s="1065"/>
      <c r="DA882" s="1065"/>
      <c r="DB882" s="1065"/>
    </row>
    <row r="883" spans="1:106" ht="15" customHeight="1">
      <c r="A883" s="1065"/>
      <c r="B883" s="1065"/>
      <c r="C883" s="1065"/>
      <c r="D883" s="1065"/>
      <c r="E883" s="1065"/>
      <c r="F883" s="1065"/>
      <c r="G883" s="1065"/>
      <c r="H883" s="1223"/>
      <c r="I883" s="1223"/>
      <c r="J883" s="1224"/>
      <c r="K883" s="1224"/>
      <c r="L883" s="1224"/>
      <c r="M883" s="1225"/>
      <c r="N883" s="1225"/>
      <c r="O883" s="1226"/>
      <c r="P883" s="1227"/>
      <c r="Q883" s="1227"/>
      <c r="R883" s="1228"/>
      <c r="S883" s="1224"/>
      <c r="T883" s="1229"/>
      <c r="U883" s="1065"/>
      <c r="V883" s="1065"/>
      <c r="W883" s="1065"/>
      <c r="X883" s="1065"/>
      <c r="Y883" s="1065"/>
      <c r="Z883" s="1065"/>
      <c r="AA883" s="1065"/>
      <c r="AB883" s="1065"/>
      <c r="AC883" s="1065"/>
      <c r="AD883" s="1065"/>
      <c r="AE883" s="1065"/>
      <c r="AF883" s="1065"/>
      <c r="AG883" s="1065"/>
      <c r="AH883" s="1065"/>
      <c r="AI883" s="1065"/>
      <c r="AJ883" s="1065"/>
      <c r="AK883" s="1065"/>
      <c r="AL883" s="1065"/>
      <c r="AM883" s="1065"/>
      <c r="AN883" s="1065"/>
      <c r="AO883" s="1065"/>
      <c r="AP883" s="1065"/>
      <c r="AQ883" s="1065"/>
      <c r="AR883" s="1065"/>
      <c r="AS883" s="1065"/>
      <c r="AT883" s="1065"/>
      <c r="AU883" s="1065"/>
      <c r="AV883" s="1065"/>
      <c r="AW883" s="1065"/>
      <c r="AX883" s="1065"/>
      <c r="AY883" s="1065"/>
      <c r="AZ883" s="1065"/>
      <c r="BA883" s="1065"/>
      <c r="BB883" s="1065"/>
      <c r="BC883" s="1065"/>
      <c r="BD883" s="1065"/>
      <c r="BE883" s="1065"/>
      <c r="BF883" s="1065"/>
      <c r="BG883" s="1065"/>
      <c r="BH883" s="1065"/>
      <c r="BI883" s="1065"/>
      <c r="BJ883" s="1065"/>
      <c r="BK883" s="1065"/>
      <c r="BL883" s="1065"/>
      <c r="BM883" s="1065"/>
      <c r="BN883" s="1065"/>
      <c r="BO883" s="1065"/>
      <c r="BP883" s="1065"/>
      <c r="BQ883" s="1065"/>
      <c r="BR883" s="1065"/>
      <c r="BS883" s="1065"/>
      <c r="BT883" s="1065"/>
      <c r="BU883" s="1065"/>
      <c r="BV883" s="1065"/>
      <c r="BW883" s="1065"/>
      <c r="BX883" s="1065"/>
      <c r="BY883" s="1065"/>
      <c r="BZ883" s="1065"/>
      <c r="CA883" s="1065"/>
      <c r="CB883" s="1065"/>
      <c r="CC883" s="1065"/>
      <c r="CD883" s="1065"/>
      <c r="CE883" s="1065"/>
      <c r="CF883" s="1065"/>
      <c r="CG883" s="1065"/>
      <c r="CH883" s="1065"/>
      <c r="CI883" s="1065"/>
      <c r="CJ883" s="1065"/>
      <c r="CK883" s="1065"/>
      <c r="CL883" s="1065"/>
      <c r="CM883" s="1065"/>
      <c r="CN883" s="1065"/>
      <c r="CO883" s="1065"/>
      <c r="CP883" s="1065"/>
      <c r="CQ883" s="1065"/>
      <c r="CR883" s="1065"/>
      <c r="CS883" s="1065"/>
      <c r="CT883" s="1065"/>
      <c r="CU883" s="1065"/>
      <c r="CV883" s="1065"/>
      <c r="CW883" s="1065"/>
      <c r="CX883" s="1065"/>
      <c r="CY883" s="1065"/>
      <c r="CZ883" s="1065"/>
      <c r="DA883" s="1065"/>
      <c r="DB883" s="1065"/>
    </row>
    <row r="884" spans="1:106" ht="15" customHeight="1">
      <c r="A884" s="1065"/>
      <c r="B884" s="1065"/>
      <c r="C884" s="1065"/>
      <c r="D884" s="1065"/>
      <c r="E884" s="1065"/>
      <c r="F884" s="1065"/>
      <c r="G884" s="1065"/>
      <c r="H884" s="1223"/>
      <c r="I884" s="1223"/>
      <c r="J884" s="1224"/>
      <c r="K884" s="1224"/>
      <c r="L884" s="1224"/>
      <c r="M884" s="1225"/>
      <c r="N884" s="1225"/>
      <c r="O884" s="1226"/>
      <c r="P884" s="1227"/>
      <c r="Q884" s="1227"/>
      <c r="R884" s="1228"/>
      <c r="S884" s="1224"/>
      <c r="T884" s="1229"/>
      <c r="U884" s="1065"/>
      <c r="V884" s="1065"/>
      <c r="W884" s="1065"/>
      <c r="X884" s="1065"/>
      <c r="Y884" s="1065"/>
      <c r="Z884" s="1065"/>
      <c r="AA884" s="1065"/>
      <c r="AB884" s="1065"/>
      <c r="AC884" s="1065"/>
      <c r="AD884" s="1065"/>
      <c r="AE884" s="1065"/>
      <c r="AF884" s="1065"/>
      <c r="AG884" s="1065"/>
      <c r="AH884" s="1065"/>
      <c r="AI884" s="1065"/>
      <c r="AJ884" s="1065"/>
      <c r="AK884" s="1065"/>
      <c r="AL884" s="1065"/>
      <c r="AM884" s="1065"/>
      <c r="AN884" s="1065"/>
      <c r="AO884" s="1065"/>
      <c r="AP884" s="1065"/>
      <c r="AQ884" s="1065"/>
      <c r="AR884" s="1065"/>
      <c r="AS884" s="1065"/>
      <c r="AT884" s="1065"/>
      <c r="AU884" s="1065"/>
      <c r="AV884" s="1065"/>
      <c r="AW884" s="1065"/>
      <c r="AX884" s="1065"/>
      <c r="AY884" s="1065"/>
      <c r="AZ884" s="1065"/>
      <c r="BA884" s="1065"/>
      <c r="BB884" s="1065"/>
      <c r="BC884" s="1065"/>
      <c r="BD884" s="1065"/>
      <c r="BE884" s="1065"/>
      <c r="BF884" s="1065"/>
      <c r="BG884" s="1065"/>
      <c r="BH884" s="1065"/>
      <c r="BI884" s="1065"/>
      <c r="BJ884" s="1065"/>
      <c r="BK884" s="1065"/>
      <c r="BL884" s="1065"/>
      <c r="BM884" s="1065"/>
      <c r="BN884" s="1065"/>
      <c r="BO884" s="1065"/>
      <c r="BP884" s="1065"/>
      <c r="BQ884" s="1065"/>
      <c r="BR884" s="1065"/>
      <c r="BS884" s="1065"/>
      <c r="BT884" s="1065"/>
      <c r="BU884" s="1065"/>
      <c r="BV884" s="1065"/>
      <c r="BW884" s="1065"/>
      <c r="BX884" s="1065"/>
      <c r="BY884" s="1065"/>
      <c r="BZ884" s="1065"/>
      <c r="CA884" s="1065"/>
      <c r="CB884" s="1065"/>
      <c r="CC884" s="1065"/>
      <c r="CD884" s="1065"/>
      <c r="CE884" s="1065"/>
      <c r="CF884" s="1065"/>
      <c r="CG884" s="1065"/>
      <c r="CH884" s="1065"/>
      <c r="CI884" s="1065"/>
      <c r="CJ884" s="1065"/>
      <c r="CK884" s="1065"/>
      <c r="CL884" s="1065"/>
      <c r="CM884" s="1065"/>
      <c r="CN884" s="1065"/>
      <c r="CO884" s="1065"/>
      <c r="CP884" s="1065"/>
      <c r="CQ884" s="1065"/>
      <c r="CR884" s="1065"/>
      <c r="CS884" s="1065"/>
      <c r="CT884" s="1065"/>
      <c r="CU884" s="1065"/>
      <c r="CV884" s="1065"/>
      <c r="CW884" s="1065"/>
      <c r="CX884" s="1065"/>
      <c r="CY884" s="1065"/>
      <c r="CZ884" s="1065"/>
      <c r="DA884" s="1065"/>
      <c r="DB884" s="1065"/>
    </row>
    <row r="885" spans="1:106" ht="15" customHeight="1">
      <c r="A885" s="1065"/>
      <c r="B885" s="1065"/>
      <c r="C885" s="1065"/>
      <c r="D885" s="1065"/>
      <c r="E885" s="1065"/>
      <c r="F885" s="1065"/>
      <c r="G885" s="1065"/>
      <c r="H885" s="1223"/>
      <c r="I885" s="1223"/>
      <c r="J885" s="1224"/>
      <c r="K885" s="1224"/>
      <c r="L885" s="1224"/>
      <c r="M885" s="1225"/>
      <c r="N885" s="1225"/>
      <c r="O885" s="1226"/>
      <c r="P885" s="1227"/>
      <c r="Q885" s="1227"/>
      <c r="R885" s="1228"/>
      <c r="S885" s="1224"/>
      <c r="T885" s="1229"/>
      <c r="U885" s="1065"/>
      <c r="V885" s="1065"/>
      <c r="W885" s="1065"/>
      <c r="X885" s="1065"/>
      <c r="Y885" s="1065"/>
      <c r="Z885" s="1065"/>
      <c r="AA885" s="1065"/>
      <c r="AB885" s="1065"/>
      <c r="AC885" s="1065"/>
      <c r="AD885" s="1065"/>
      <c r="AE885" s="1065"/>
      <c r="AF885" s="1065"/>
      <c r="AG885" s="1065"/>
      <c r="AH885" s="1065"/>
      <c r="AI885" s="1065"/>
      <c r="AJ885" s="1065"/>
      <c r="AK885" s="1065"/>
      <c r="AL885" s="1065"/>
      <c r="AM885" s="1065"/>
      <c r="AN885" s="1065"/>
      <c r="AO885" s="1065"/>
      <c r="AP885" s="1065"/>
      <c r="AQ885" s="1065"/>
      <c r="AR885" s="1065"/>
      <c r="AS885" s="1065"/>
      <c r="AT885" s="1065"/>
      <c r="AU885" s="1065"/>
      <c r="AV885" s="1065"/>
      <c r="AW885" s="1065"/>
      <c r="AX885" s="1065"/>
      <c r="AY885" s="1065"/>
      <c r="AZ885" s="1065"/>
      <c r="BA885" s="1065"/>
      <c r="BB885" s="1065"/>
      <c r="BC885" s="1065"/>
      <c r="BD885" s="1065"/>
      <c r="BE885" s="1065"/>
      <c r="BF885" s="1065"/>
      <c r="BG885" s="1065"/>
      <c r="BH885" s="1065"/>
      <c r="BI885" s="1065"/>
      <c r="BJ885" s="1065"/>
      <c r="BK885" s="1065"/>
      <c r="BL885" s="1065"/>
      <c r="BM885" s="1065"/>
      <c r="BN885" s="1065"/>
      <c r="BO885" s="1065"/>
      <c r="BP885" s="1065"/>
      <c r="BQ885" s="1065"/>
      <c r="BR885" s="1065"/>
      <c r="BS885" s="1065"/>
      <c r="BT885" s="1065"/>
      <c r="BU885" s="1065"/>
      <c r="BV885" s="1065"/>
      <c r="BW885" s="1065"/>
      <c r="BX885" s="1065"/>
      <c r="BY885" s="1065"/>
      <c r="BZ885" s="1065"/>
      <c r="CA885" s="1065"/>
      <c r="CB885" s="1065"/>
      <c r="CC885" s="1065"/>
      <c r="CD885" s="1065"/>
      <c r="CE885" s="1065"/>
      <c r="CF885" s="1065"/>
      <c r="CG885" s="1065"/>
      <c r="CH885" s="1065"/>
      <c r="CI885" s="1065"/>
      <c r="CJ885" s="1065"/>
      <c r="CK885" s="1065"/>
      <c r="CL885" s="1065"/>
      <c r="CM885" s="1065"/>
      <c r="CN885" s="1065"/>
      <c r="CO885" s="1065"/>
      <c r="CP885" s="1065"/>
      <c r="CQ885" s="1065"/>
      <c r="CR885" s="1065"/>
      <c r="CS885" s="1065"/>
      <c r="CT885" s="1065"/>
      <c r="CU885" s="1065"/>
      <c r="CV885" s="1065"/>
      <c r="CW885" s="1065"/>
      <c r="CX885" s="1065"/>
      <c r="CY885" s="1065"/>
      <c r="CZ885" s="1065"/>
      <c r="DA885" s="1065"/>
      <c r="DB885" s="1065"/>
    </row>
    <row r="886" spans="1:106" ht="15" customHeight="1">
      <c r="A886" s="1065"/>
      <c r="B886" s="1065"/>
      <c r="C886" s="1065"/>
      <c r="D886" s="1065"/>
      <c r="E886" s="1065"/>
      <c r="F886" s="1065"/>
      <c r="G886" s="1065"/>
      <c r="H886" s="1223"/>
      <c r="I886" s="1223"/>
      <c r="J886" s="1224"/>
      <c r="K886" s="1224"/>
      <c r="L886" s="1224"/>
      <c r="M886" s="1225"/>
      <c r="N886" s="1225"/>
      <c r="O886" s="1226"/>
      <c r="P886" s="1227"/>
      <c r="Q886" s="1227"/>
      <c r="R886" s="1228"/>
      <c r="S886" s="1224"/>
      <c r="T886" s="1229"/>
      <c r="U886" s="1065"/>
      <c r="V886" s="1065"/>
      <c r="W886" s="1065"/>
      <c r="X886" s="1065"/>
      <c r="Y886" s="1065"/>
      <c r="Z886" s="1065"/>
      <c r="AA886" s="1065"/>
      <c r="AB886" s="1065"/>
      <c r="AC886" s="1065"/>
      <c r="AD886" s="1065"/>
      <c r="AE886" s="1065"/>
      <c r="AF886" s="1065"/>
      <c r="AG886" s="1065"/>
      <c r="AH886" s="1065"/>
      <c r="AI886" s="1065"/>
      <c r="AJ886" s="1065"/>
      <c r="AK886" s="1065"/>
      <c r="AL886" s="1065"/>
      <c r="AM886" s="1065"/>
      <c r="AN886" s="1065"/>
      <c r="AO886" s="1065"/>
      <c r="AP886" s="1065"/>
      <c r="AQ886" s="1065"/>
      <c r="AR886" s="1065"/>
      <c r="AS886" s="1065"/>
      <c r="AT886" s="1065"/>
      <c r="AU886" s="1065"/>
      <c r="AV886" s="1065"/>
      <c r="AW886" s="1065"/>
      <c r="AX886" s="1065"/>
      <c r="AY886" s="1065"/>
      <c r="AZ886" s="1065"/>
      <c r="BA886" s="1065"/>
      <c r="BB886" s="1065"/>
      <c r="BC886" s="1065"/>
      <c r="BD886" s="1065"/>
      <c r="BE886" s="1065"/>
      <c r="BF886" s="1065"/>
      <c r="BG886" s="1065"/>
      <c r="BH886" s="1065"/>
      <c r="BI886" s="1065"/>
      <c r="BJ886" s="1065"/>
      <c r="BK886" s="1065"/>
      <c r="BL886" s="1065"/>
      <c r="BM886" s="1065"/>
      <c r="BN886" s="1065"/>
      <c r="BO886" s="1065"/>
      <c r="BP886" s="1065"/>
      <c r="BQ886" s="1065"/>
      <c r="BR886" s="1065"/>
      <c r="BS886" s="1065"/>
      <c r="BT886" s="1065"/>
      <c r="BU886" s="1065"/>
      <c r="BV886" s="1065"/>
      <c r="BW886" s="1065"/>
      <c r="BX886" s="1065"/>
      <c r="BY886" s="1065"/>
      <c r="BZ886" s="1065"/>
      <c r="CA886" s="1065"/>
      <c r="CB886" s="1065"/>
      <c r="CC886" s="1065"/>
      <c r="CD886" s="1065"/>
      <c r="CE886" s="1065"/>
      <c r="CF886" s="1065"/>
      <c r="CG886" s="1065"/>
      <c r="CH886" s="1065"/>
      <c r="CI886" s="1065"/>
      <c r="CJ886" s="1065"/>
      <c r="CK886" s="1065"/>
      <c r="CL886" s="1065"/>
      <c r="CM886" s="1065"/>
      <c r="CN886" s="1065"/>
      <c r="CO886" s="1065"/>
      <c r="CP886" s="1065"/>
      <c r="CQ886" s="1065"/>
      <c r="CR886" s="1065"/>
      <c r="CS886" s="1065"/>
      <c r="CT886" s="1065"/>
      <c r="CU886" s="1065"/>
      <c r="CV886" s="1065"/>
      <c r="CW886" s="1065"/>
      <c r="CX886" s="1065"/>
      <c r="CY886" s="1065"/>
      <c r="CZ886" s="1065"/>
      <c r="DA886" s="1065"/>
      <c r="DB886" s="1065"/>
    </row>
    <row r="887" spans="1:106" ht="15" customHeight="1">
      <c r="A887" s="1065"/>
      <c r="B887" s="1065"/>
      <c r="C887" s="1065"/>
      <c r="D887" s="1065"/>
      <c r="E887" s="1065"/>
      <c r="F887" s="1065"/>
      <c r="G887" s="1065"/>
      <c r="H887" s="1223"/>
      <c r="I887" s="1223"/>
      <c r="J887" s="1224"/>
      <c r="K887" s="1224"/>
      <c r="L887" s="1224"/>
      <c r="M887" s="1225"/>
      <c r="N887" s="1225"/>
      <c r="O887" s="1226"/>
      <c r="P887" s="1227"/>
      <c r="Q887" s="1227"/>
      <c r="R887" s="1228"/>
      <c r="S887" s="1224"/>
      <c r="T887" s="1229"/>
      <c r="U887" s="1065"/>
      <c r="V887" s="1065"/>
      <c r="W887" s="1065"/>
      <c r="X887" s="1065"/>
      <c r="Y887" s="1065"/>
      <c r="Z887" s="1065"/>
      <c r="AA887" s="1065"/>
      <c r="AB887" s="1065"/>
      <c r="AC887" s="1065"/>
      <c r="AD887" s="1065"/>
      <c r="AE887" s="1065"/>
      <c r="AF887" s="1065"/>
      <c r="AG887" s="1065"/>
      <c r="AH887" s="1065"/>
      <c r="AI887" s="1065"/>
      <c r="AJ887" s="1065"/>
      <c r="AK887" s="1065"/>
      <c r="AL887" s="1065"/>
      <c r="AM887" s="1065"/>
      <c r="AN887" s="1065"/>
      <c r="AO887" s="1065"/>
      <c r="AP887" s="1065"/>
      <c r="AQ887" s="1065"/>
      <c r="AR887" s="1065"/>
      <c r="AS887" s="1065"/>
      <c r="AT887" s="1065"/>
      <c r="AU887" s="1065"/>
      <c r="AV887" s="1065"/>
      <c r="AW887" s="1065"/>
      <c r="AX887" s="1065"/>
      <c r="AY887" s="1065"/>
      <c r="AZ887" s="1065"/>
      <c r="BA887" s="1065"/>
      <c r="BB887" s="1065"/>
      <c r="BC887" s="1065"/>
      <c r="BD887" s="1065"/>
      <c r="BE887" s="1065"/>
      <c r="BF887" s="1065"/>
      <c r="BG887" s="1065"/>
      <c r="BH887" s="1065"/>
      <c r="BI887" s="1065"/>
      <c r="BJ887" s="1065"/>
      <c r="BK887" s="1065"/>
      <c r="BL887" s="1065"/>
      <c r="BM887" s="1065"/>
      <c r="BN887" s="1065"/>
      <c r="BO887" s="1065"/>
      <c r="BP887" s="1065"/>
      <c r="BQ887" s="1065"/>
      <c r="BR887" s="1065"/>
      <c r="BS887" s="1065"/>
      <c r="BT887" s="1065"/>
      <c r="BU887" s="1065"/>
      <c r="BV887" s="1065"/>
      <c r="BW887" s="1065"/>
      <c r="BX887" s="1065"/>
      <c r="BY887" s="1065"/>
      <c r="BZ887" s="1065"/>
      <c r="CA887" s="1065"/>
      <c r="CB887" s="1065"/>
      <c r="CC887" s="1065"/>
      <c r="CD887" s="1065"/>
      <c r="CE887" s="1065"/>
      <c r="CF887" s="1065"/>
      <c r="CG887" s="1065"/>
      <c r="CH887" s="1065"/>
      <c r="CI887" s="1065"/>
      <c r="CJ887" s="1065"/>
      <c r="CK887" s="1065"/>
      <c r="CL887" s="1065"/>
      <c r="CM887" s="1065"/>
      <c r="CN887" s="1065"/>
      <c r="CO887" s="1065"/>
      <c r="CP887" s="1065"/>
      <c r="CQ887" s="1065"/>
      <c r="CR887" s="1065"/>
      <c r="CS887" s="1065"/>
      <c r="CT887" s="1065"/>
      <c r="CU887" s="1065"/>
      <c r="CV887" s="1065"/>
      <c r="CW887" s="1065"/>
      <c r="CX887" s="1065"/>
      <c r="CY887" s="1065"/>
      <c r="CZ887" s="1065"/>
      <c r="DA887" s="1065"/>
      <c r="DB887" s="1065"/>
    </row>
    <row r="888" spans="1:106" ht="15" customHeight="1">
      <c r="A888" s="1065"/>
      <c r="B888" s="1065"/>
      <c r="C888" s="1065"/>
      <c r="D888" s="1065"/>
      <c r="E888" s="1065"/>
      <c r="F888" s="1065"/>
      <c r="G888" s="1065"/>
      <c r="H888" s="1223"/>
      <c r="I888" s="1223"/>
      <c r="J888" s="1224"/>
      <c r="K888" s="1224"/>
      <c r="L888" s="1224"/>
      <c r="M888" s="1225"/>
      <c r="N888" s="1225"/>
      <c r="O888" s="1226"/>
      <c r="P888" s="1227"/>
      <c r="Q888" s="1227"/>
      <c r="R888" s="1228"/>
      <c r="S888" s="1224"/>
      <c r="T888" s="1229"/>
      <c r="U888" s="1065"/>
      <c r="V888" s="1065"/>
      <c r="W888" s="1065"/>
      <c r="X888" s="1065"/>
      <c r="Y888" s="1065"/>
      <c r="Z888" s="1065"/>
      <c r="AA888" s="1065"/>
      <c r="AB888" s="1065"/>
      <c r="AC888" s="1065"/>
      <c r="AD888" s="1065"/>
      <c r="AE888" s="1065"/>
      <c r="AF888" s="1065"/>
      <c r="AG888" s="1065"/>
      <c r="AH888" s="1065"/>
      <c r="AI888" s="1065"/>
      <c r="AJ888" s="1065"/>
      <c r="AK888" s="1065"/>
      <c r="AL888" s="1065"/>
      <c r="AM888" s="1065"/>
      <c r="AN888" s="1065"/>
      <c r="AO888" s="1065"/>
      <c r="AP888" s="1065"/>
      <c r="AQ888" s="1065"/>
      <c r="AR888" s="1065"/>
      <c r="AS888" s="1065"/>
      <c r="AT888" s="1065"/>
      <c r="AU888" s="1065"/>
      <c r="AV888" s="1065"/>
      <c r="AW888" s="1065"/>
      <c r="AX888" s="1065"/>
      <c r="AY888" s="1065"/>
      <c r="AZ888" s="1065"/>
      <c r="BA888" s="1065"/>
      <c r="BB888" s="1065"/>
      <c r="BC888" s="1065"/>
      <c r="BD888" s="1065"/>
      <c r="BE888" s="1065"/>
      <c r="BF888" s="1065"/>
      <c r="BG888" s="1065"/>
      <c r="BH888" s="1065"/>
      <c r="BI888" s="1065"/>
      <c r="BJ888" s="1065"/>
      <c r="BK888" s="1065"/>
      <c r="BL888" s="1065"/>
      <c r="BM888" s="1065"/>
      <c r="BN888" s="1065"/>
      <c r="BO888" s="1065"/>
      <c r="BP888" s="1065"/>
      <c r="BQ888" s="1065"/>
      <c r="BR888" s="1065"/>
      <c r="BS888" s="1065"/>
      <c r="BT888" s="1065"/>
      <c r="BU888" s="1065"/>
      <c r="BV888" s="1065"/>
      <c r="BW888" s="1065"/>
      <c r="BX888" s="1065"/>
      <c r="BY888" s="1065"/>
      <c r="BZ888" s="1065"/>
      <c r="CA888" s="1065"/>
      <c r="CB888" s="1065"/>
      <c r="CC888" s="1065"/>
      <c r="CD888" s="1065"/>
      <c r="CE888" s="1065"/>
      <c r="CF888" s="1065"/>
      <c r="CG888" s="1065"/>
      <c r="CH888" s="1065"/>
      <c r="CI888" s="1065"/>
      <c r="CJ888" s="1065"/>
      <c r="CK888" s="1065"/>
      <c r="CL888" s="1065"/>
      <c r="CM888" s="1065"/>
      <c r="CN888" s="1065"/>
      <c r="CO888" s="1065"/>
      <c r="CP888" s="1065"/>
      <c r="CQ888" s="1065"/>
      <c r="CR888" s="1065"/>
      <c r="CS888" s="1065"/>
      <c r="CT888" s="1065"/>
      <c r="CU888" s="1065"/>
      <c r="CV888" s="1065"/>
      <c r="CW888" s="1065"/>
      <c r="CX888" s="1065"/>
      <c r="CY888" s="1065"/>
      <c r="CZ888" s="1065"/>
      <c r="DA888" s="1065"/>
      <c r="DB888" s="1065"/>
    </row>
    <row r="889" spans="1:106" ht="15" customHeight="1">
      <c r="A889" s="1065"/>
      <c r="B889" s="1065"/>
      <c r="C889" s="1065"/>
      <c r="D889" s="1065"/>
      <c r="E889" s="1065"/>
      <c r="F889" s="1065"/>
      <c r="G889" s="1065"/>
      <c r="H889" s="1223"/>
      <c r="I889" s="1223"/>
      <c r="J889" s="1224"/>
      <c r="K889" s="1224"/>
      <c r="L889" s="1224"/>
      <c r="M889" s="1225"/>
      <c r="N889" s="1225"/>
      <c r="O889" s="1226"/>
      <c r="P889" s="1227"/>
      <c r="Q889" s="1227"/>
      <c r="R889" s="1228"/>
      <c r="S889" s="1224"/>
      <c r="T889" s="1229"/>
      <c r="U889" s="1065"/>
      <c r="V889" s="1065"/>
      <c r="W889" s="1065"/>
      <c r="X889" s="1065"/>
      <c r="Y889" s="1065"/>
      <c r="Z889" s="1065"/>
      <c r="AA889" s="1065"/>
      <c r="AB889" s="1065"/>
      <c r="AC889" s="1065"/>
      <c r="AD889" s="1065"/>
      <c r="AE889" s="1065"/>
      <c r="AF889" s="1065"/>
      <c r="AG889" s="1065"/>
      <c r="AH889" s="1065"/>
      <c r="AI889" s="1065"/>
      <c r="AJ889" s="1065"/>
      <c r="AK889" s="1065"/>
      <c r="AL889" s="1065"/>
      <c r="AM889" s="1065"/>
      <c r="AN889" s="1065"/>
      <c r="AO889" s="1065"/>
      <c r="AP889" s="1065"/>
      <c r="AQ889" s="1065"/>
      <c r="AR889" s="1065"/>
      <c r="AS889" s="1065"/>
      <c r="AT889" s="1065"/>
      <c r="AU889" s="1065"/>
      <c r="AV889" s="1065"/>
      <c r="AW889" s="1065"/>
      <c r="AX889" s="1065"/>
      <c r="AY889" s="1065"/>
      <c r="AZ889" s="1065"/>
      <c r="BA889" s="1065"/>
      <c r="BB889" s="1065"/>
      <c r="BC889" s="1065"/>
      <c r="BD889" s="1065"/>
      <c r="BE889" s="1065"/>
      <c r="BF889" s="1065"/>
      <c r="BG889" s="1065"/>
      <c r="BH889" s="1065"/>
      <c r="BI889" s="1065"/>
      <c r="BJ889" s="1065"/>
      <c r="BK889" s="1065"/>
      <c r="BL889" s="1065"/>
      <c r="BM889" s="1065"/>
      <c r="BN889" s="1065"/>
      <c r="BO889" s="1065"/>
      <c r="BP889" s="1065"/>
      <c r="BQ889" s="1065"/>
      <c r="BR889" s="1065"/>
      <c r="BS889" s="1065"/>
      <c r="BT889" s="1065"/>
      <c r="BU889" s="1065"/>
      <c r="BV889" s="1065"/>
      <c r="BW889" s="1065"/>
      <c r="BX889" s="1065"/>
      <c r="BY889" s="1065"/>
      <c r="BZ889" s="1065"/>
      <c r="CA889" s="1065"/>
      <c r="CB889" s="1065"/>
      <c r="CC889" s="1065"/>
      <c r="CD889" s="1065"/>
      <c r="CE889" s="1065"/>
      <c r="CF889" s="1065"/>
      <c r="CG889" s="1065"/>
      <c r="CH889" s="1065"/>
      <c r="CI889" s="1065"/>
      <c r="CJ889" s="1065"/>
      <c r="CK889" s="1065"/>
      <c r="CL889" s="1065"/>
      <c r="CM889" s="1065"/>
      <c r="CN889" s="1065"/>
      <c r="CO889" s="1065"/>
      <c r="CP889" s="1065"/>
      <c r="CQ889" s="1065"/>
      <c r="CR889" s="1065"/>
      <c r="CS889" s="1065"/>
      <c r="CT889" s="1065"/>
      <c r="CU889" s="1065"/>
      <c r="CV889" s="1065"/>
      <c r="CW889" s="1065"/>
      <c r="CX889" s="1065"/>
      <c r="CY889" s="1065"/>
      <c r="CZ889" s="1065"/>
      <c r="DA889" s="1065"/>
      <c r="DB889" s="1065"/>
    </row>
    <row r="890" spans="1:106" ht="15" customHeight="1">
      <c r="A890" s="1065"/>
      <c r="B890" s="1065"/>
      <c r="C890" s="1065"/>
      <c r="D890" s="1065"/>
      <c r="E890" s="1065"/>
      <c r="F890" s="1065"/>
      <c r="G890" s="1065"/>
      <c r="H890" s="1223"/>
      <c r="I890" s="1223"/>
      <c r="J890" s="1224"/>
      <c r="K890" s="1224"/>
      <c r="L890" s="1224"/>
      <c r="M890" s="1225"/>
      <c r="N890" s="1225"/>
      <c r="O890" s="1226"/>
      <c r="P890" s="1227"/>
      <c r="Q890" s="1227"/>
      <c r="R890" s="1228"/>
      <c r="S890" s="1224"/>
      <c r="T890" s="1229"/>
      <c r="U890" s="1065"/>
      <c r="V890" s="1065"/>
      <c r="W890" s="1065"/>
      <c r="X890" s="1065"/>
      <c r="Y890" s="1065"/>
      <c r="Z890" s="1065"/>
      <c r="AA890" s="1065"/>
      <c r="AB890" s="1065"/>
      <c r="AC890" s="1065"/>
      <c r="AD890" s="1065"/>
      <c r="AE890" s="1065"/>
      <c r="AF890" s="1065"/>
      <c r="AG890" s="1065"/>
      <c r="AH890" s="1065"/>
      <c r="AI890" s="1065"/>
      <c r="AJ890" s="1065"/>
      <c r="AK890" s="1065"/>
      <c r="AL890" s="1065"/>
      <c r="AM890" s="1065"/>
      <c r="AN890" s="1065"/>
      <c r="AO890" s="1065"/>
      <c r="AP890" s="1065"/>
      <c r="AQ890" s="1065"/>
      <c r="AR890" s="1065"/>
      <c r="AS890" s="1065"/>
      <c r="AT890" s="1065"/>
      <c r="AU890" s="1065"/>
      <c r="AV890" s="1065"/>
      <c r="AW890" s="1065"/>
      <c r="AX890" s="1065"/>
      <c r="AY890" s="1065"/>
      <c r="AZ890" s="1065"/>
      <c r="BA890" s="1065"/>
      <c r="BB890" s="1065"/>
      <c r="BC890" s="1065"/>
      <c r="BD890" s="1065"/>
      <c r="BE890" s="1065"/>
      <c r="BF890" s="1065"/>
      <c r="BG890" s="1065"/>
      <c r="BH890" s="1065"/>
      <c r="BI890" s="1065"/>
      <c r="BJ890" s="1065"/>
      <c r="BK890" s="1065"/>
      <c r="BL890" s="1065"/>
      <c r="BM890" s="1065"/>
      <c r="BN890" s="1065"/>
      <c r="BO890" s="1065"/>
      <c r="BP890" s="1065"/>
      <c r="BQ890" s="1065"/>
      <c r="BR890" s="1065"/>
      <c r="BS890" s="1065"/>
      <c r="BT890" s="1065"/>
      <c r="BU890" s="1065"/>
      <c r="BV890" s="1065"/>
      <c r="BW890" s="1065"/>
      <c r="BX890" s="1065"/>
      <c r="BY890" s="1065"/>
      <c r="BZ890" s="1065"/>
      <c r="CA890" s="1065"/>
      <c r="CB890" s="1065"/>
      <c r="CC890" s="1065"/>
      <c r="CD890" s="1065"/>
      <c r="CE890" s="1065"/>
      <c r="CF890" s="1065"/>
      <c r="CG890" s="1065"/>
      <c r="CH890" s="1065"/>
      <c r="CI890" s="1065"/>
      <c r="CJ890" s="1065"/>
      <c r="CK890" s="1065"/>
      <c r="CL890" s="1065"/>
      <c r="CM890" s="1065"/>
      <c r="CN890" s="1065"/>
      <c r="CO890" s="1065"/>
      <c r="CP890" s="1065"/>
      <c r="CQ890" s="1065"/>
      <c r="CR890" s="1065"/>
      <c r="CS890" s="1065"/>
      <c r="CT890" s="1065"/>
      <c r="CU890" s="1065"/>
      <c r="CV890" s="1065"/>
      <c r="CW890" s="1065"/>
      <c r="CX890" s="1065"/>
      <c r="CY890" s="1065"/>
      <c r="CZ890" s="1065"/>
      <c r="DA890" s="1065"/>
      <c r="DB890" s="1065"/>
    </row>
    <row r="891" spans="1:106" ht="15" customHeight="1">
      <c r="A891" s="1065"/>
      <c r="B891" s="1065"/>
      <c r="C891" s="1065"/>
      <c r="D891" s="1065"/>
      <c r="E891" s="1065"/>
      <c r="F891" s="1065"/>
      <c r="G891" s="1065"/>
      <c r="H891" s="1223"/>
      <c r="I891" s="1223"/>
      <c r="J891" s="1224"/>
      <c r="K891" s="1224"/>
      <c r="L891" s="1224"/>
      <c r="M891" s="1225"/>
      <c r="N891" s="1225"/>
      <c r="O891" s="1226"/>
      <c r="P891" s="1227"/>
      <c r="Q891" s="1227"/>
      <c r="R891" s="1228"/>
      <c r="S891" s="1224"/>
      <c r="T891" s="1229"/>
      <c r="U891" s="1065"/>
      <c r="V891" s="1065"/>
      <c r="W891" s="1065"/>
      <c r="X891" s="1065"/>
      <c r="Y891" s="1065"/>
      <c r="Z891" s="1065"/>
      <c r="AA891" s="1065"/>
      <c r="AB891" s="1065"/>
      <c r="AC891" s="1065"/>
      <c r="AD891" s="1065"/>
      <c r="AE891" s="1065"/>
      <c r="AF891" s="1065"/>
      <c r="AG891" s="1065"/>
      <c r="AH891" s="1065"/>
      <c r="AI891" s="1065"/>
      <c r="AJ891" s="1065"/>
      <c r="AK891" s="1065"/>
      <c r="AL891" s="1065"/>
      <c r="AM891" s="1065"/>
      <c r="AN891" s="1065"/>
      <c r="AO891" s="1065"/>
      <c r="AP891" s="1065"/>
      <c r="AQ891" s="1065"/>
      <c r="AR891" s="1065"/>
      <c r="AS891" s="1065"/>
      <c r="AT891" s="1065"/>
      <c r="AU891" s="1065"/>
      <c r="AV891" s="1065"/>
      <c r="AW891" s="1065"/>
      <c r="AX891" s="1065"/>
      <c r="AY891" s="1065"/>
      <c r="AZ891" s="1065"/>
      <c r="BA891" s="1065"/>
      <c r="BB891" s="1065"/>
      <c r="BC891" s="1065"/>
      <c r="BD891" s="1065"/>
      <c r="BE891" s="1065"/>
      <c r="BF891" s="1065"/>
      <c r="BG891" s="1065"/>
      <c r="BH891" s="1065"/>
      <c r="BI891" s="1065"/>
      <c r="BJ891" s="1065"/>
      <c r="BK891" s="1065"/>
      <c r="BL891" s="1065"/>
      <c r="BM891" s="1065"/>
      <c r="BN891" s="1065"/>
      <c r="BO891" s="1065"/>
      <c r="BP891" s="1065"/>
      <c r="BQ891" s="1065"/>
      <c r="BR891" s="1065"/>
      <c r="BS891" s="1065"/>
      <c r="BT891" s="1065"/>
      <c r="BU891" s="1065"/>
      <c r="BV891" s="1065"/>
      <c r="BW891" s="1065"/>
      <c r="BX891" s="1065"/>
      <c r="BY891" s="1065"/>
      <c r="BZ891" s="1065"/>
      <c r="CA891" s="1065"/>
      <c r="CB891" s="1065"/>
      <c r="CC891" s="1065"/>
      <c r="CD891" s="1065"/>
      <c r="CE891" s="1065"/>
      <c r="CF891" s="1065"/>
      <c r="CG891" s="1065"/>
      <c r="CH891" s="1065"/>
      <c r="CI891" s="1065"/>
      <c r="CJ891" s="1065"/>
      <c r="CK891" s="1065"/>
      <c r="CL891" s="1065"/>
      <c r="CM891" s="1065"/>
      <c r="CN891" s="1065"/>
      <c r="CO891" s="1065"/>
      <c r="CP891" s="1065"/>
      <c r="CQ891" s="1065"/>
      <c r="CR891" s="1065"/>
      <c r="CS891" s="1065"/>
      <c r="CT891" s="1065"/>
      <c r="CU891" s="1065"/>
      <c r="CV891" s="1065"/>
      <c r="CW891" s="1065"/>
      <c r="CX891" s="1065"/>
      <c r="CY891" s="1065"/>
      <c r="CZ891" s="1065"/>
      <c r="DA891" s="1065"/>
      <c r="DB891" s="1065"/>
    </row>
    <row r="892" spans="1:106" ht="15" customHeight="1">
      <c r="A892" s="1065"/>
      <c r="B892" s="1065"/>
      <c r="C892" s="1065"/>
      <c r="D892" s="1065"/>
      <c r="E892" s="1065"/>
      <c r="F892" s="1065"/>
      <c r="G892" s="1065"/>
      <c r="H892" s="1223"/>
      <c r="I892" s="1223"/>
      <c r="J892" s="1224"/>
      <c r="K892" s="1224"/>
      <c r="L892" s="1224"/>
      <c r="M892" s="1225"/>
      <c r="N892" s="1225"/>
      <c r="O892" s="1226"/>
      <c r="P892" s="1227"/>
      <c r="Q892" s="1227"/>
      <c r="R892" s="1228"/>
      <c r="S892" s="1224"/>
      <c r="T892" s="1229"/>
      <c r="U892" s="1065"/>
      <c r="V892" s="1065"/>
      <c r="W892" s="1065"/>
      <c r="X892" s="1065"/>
      <c r="Y892" s="1065"/>
      <c r="Z892" s="1065"/>
      <c r="AA892" s="1065"/>
      <c r="AB892" s="1065"/>
      <c r="AC892" s="1065"/>
      <c r="AD892" s="1065"/>
      <c r="AE892" s="1065"/>
      <c r="AF892" s="1065"/>
      <c r="AG892" s="1065"/>
      <c r="AH892" s="1065"/>
      <c r="AI892" s="1065"/>
      <c r="AJ892" s="1065"/>
      <c r="AK892" s="1065"/>
      <c r="AL892" s="1065"/>
      <c r="AM892" s="1065"/>
      <c r="AN892" s="1065"/>
      <c r="AO892" s="1065"/>
      <c r="AP892" s="1065"/>
      <c r="AQ892" s="1065"/>
      <c r="AR892" s="1065"/>
      <c r="AS892" s="1065"/>
      <c r="AT892" s="1065"/>
      <c r="AU892" s="1065"/>
      <c r="AV892" s="1065"/>
      <c r="AW892" s="1065"/>
      <c r="AX892" s="1065"/>
      <c r="AY892" s="1065"/>
      <c r="AZ892" s="1065"/>
      <c r="BA892" s="1065"/>
      <c r="BB892" s="1065"/>
      <c r="BC892" s="1065"/>
      <c r="BD892" s="1065"/>
      <c r="BE892" s="1065"/>
      <c r="BF892" s="1065"/>
      <c r="BG892" s="1065"/>
      <c r="BH892" s="1065"/>
      <c r="BI892" s="1065"/>
      <c r="BJ892" s="1065"/>
      <c r="BK892" s="1065"/>
      <c r="BL892" s="1065"/>
      <c r="BM892" s="1065"/>
      <c r="BN892" s="1065"/>
      <c r="BO892" s="1065"/>
      <c r="BP892" s="1065"/>
      <c r="BQ892" s="1065"/>
      <c r="BR892" s="1065"/>
      <c r="BS892" s="1065"/>
      <c r="BT892" s="1065"/>
      <c r="BU892" s="1065"/>
      <c r="BV892" s="1065"/>
      <c r="BW892" s="1065"/>
      <c r="BX892" s="1065"/>
      <c r="BY892" s="1065"/>
      <c r="BZ892" s="1065"/>
      <c r="CA892" s="1065"/>
      <c r="CB892" s="1065"/>
      <c r="CC892" s="1065"/>
      <c r="CD892" s="1065"/>
      <c r="CE892" s="1065"/>
      <c r="CF892" s="1065"/>
      <c r="CG892" s="1065"/>
      <c r="CH892" s="1065"/>
      <c r="CI892" s="1065"/>
      <c r="CJ892" s="1065"/>
      <c r="CK892" s="1065"/>
      <c r="CL892" s="1065"/>
      <c r="CM892" s="1065"/>
      <c r="CN892" s="1065"/>
      <c r="CO892" s="1065"/>
      <c r="CP892" s="1065"/>
      <c r="CQ892" s="1065"/>
      <c r="CR892" s="1065"/>
      <c r="CS892" s="1065"/>
      <c r="CT892" s="1065"/>
      <c r="CU892" s="1065"/>
      <c r="CV892" s="1065"/>
      <c r="CW892" s="1065"/>
      <c r="CX892" s="1065"/>
      <c r="CY892" s="1065"/>
      <c r="CZ892" s="1065"/>
      <c r="DA892" s="1065"/>
      <c r="DB892" s="1065"/>
    </row>
    <row r="893" spans="1:106" ht="15" customHeight="1">
      <c r="A893" s="1065"/>
      <c r="B893" s="1065"/>
      <c r="C893" s="1065"/>
      <c r="D893" s="1065"/>
      <c r="E893" s="1065"/>
      <c r="F893" s="1065"/>
      <c r="G893" s="1065"/>
      <c r="H893" s="1223"/>
      <c r="I893" s="1223"/>
      <c r="J893" s="1224"/>
      <c r="K893" s="1224"/>
      <c r="L893" s="1224"/>
      <c r="M893" s="1225"/>
      <c r="N893" s="1225"/>
      <c r="O893" s="1226"/>
      <c r="P893" s="1227"/>
      <c r="Q893" s="1227"/>
      <c r="R893" s="1228"/>
      <c r="S893" s="1224"/>
      <c r="T893" s="1229"/>
      <c r="U893" s="1065"/>
      <c r="V893" s="1065"/>
      <c r="W893" s="1065"/>
      <c r="X893" s="1065"/>
      <c r="Y893" s="1065"/>
      <c r="Z893" s="1065"/>
      <c r="AA893" s="1065"/>
      <c r="AB893" s="1065"/>
      <c r="AC893" s="1065"/>
      <c r="AD893" s="1065"/>
      <c r="AE893" s="1065"/>
      <c r="AF893" s="1065"/>
      <c r="AG893" s="1065"/>
      <c r="AH893" s="1065"/>
      <c r="AI893" s="1065"/>
      <c r="AJ893" s="1065"/>
      <c r="AK893" s="1065"/>
      <c r="AL893" s="1065"/>
      <c r="AM893" s="1065"/>
      <c r="AN893" s="1065"/>
      <c r="AO893" s="1065"/>
      <c r="AP893" s="1065"/>
      <c r="AQ893" s="1065"/>
      <c r="AR893" s="1065"/>
      <c r="AS893" s="1065"/>
      <c r="AT893" s="1065"/>
      <c r="AU893" s="1065"/>
      <c r="AV893" s="1065"/>
      <c r="AW893" s="1065"/>
      <c r="AX893" s="1065"/>
      <c r="AY893" s="1065"/>
      <c r="AZ893" s="1065"/>
      <c r="BA893" s="1065"/>
      <c r="BB893" s="1065"/>
      <c r="BC893" s="1065"/>
      <c r="BD893" s="1065"/>
      <c r="BE893" s="1065"/>
      <c r="BF893" s="1065"/>
      <c r="BG893" s="1065"/>
      <c r="BH893" s="1065"/>
      <c r="BI893" s="1065"/>
      <c r="BJ893" s="1065"/>
      <c r="BK893" s="1065"/>
      <c r="BL893" s="1065"/>
      <c r="BM893" s="1065"/>
      <c r="BN893" s="1065"/>
      <c r="BO893" s="1065"/>
      <c r="BP893" s="1065"/>
      <c r="BQ893" s="1065"/>
      <c r="BR893" s="1065"/>
      <c r="BS893" s="1065"/>
      <c r="BT893" s="1065"/>
      <c r="BU893" s="1065"/>
      <c r="BV893" s="1065"/>
      <c r="BW893" s="1065"/>
      <c r="BX893" s="1065"/>
      <c r="BY893" s="1065"/>
      <c r="BZ893" s="1065"/>
      <c r="CA893" s="1065"/>
      <c r="CB893" s="1065"/>
      <c r="CC893" s="1065"/>
      <c r="CD893" s="1065"/>
      <c r="CE893" s="1065"/>
      <c r="CF893" s="1065"/>
      <c r="CG893" s="1065"/>
      <c r="CH893" s="1065"/>
      <c r="CI893" s="1065"/>
      <c r="CJ893" s="1065"/>
      <c r="CK893" s="1065"/>
      <c r="CL893" s="1065"/>
      <c r="CM893" s="1065"/>
      <c r="CN893" s="1065"/>
      <c r="CO893" s="1065"/>
      <c r="CP893" s="1065"/>
      <c r="CQ893" s="1065"/>
      <c r="CR893" s="1065"/>
      <c r="CS893" s="1065"/>
      <c r="CT893" s="1065"/>
      <c r="CU893" s="1065"/>
      <c r="CV893" s="1065"/>
      <c r="CW893" s="1065"/>
      <c r="CX893" s="1065"/>
      <c r="CY893" s="1065"/>
      <c r="CZ893" s="1065"/>
      <c r="DA893" s="1065"/>
      <c r="DB893" s="1065"/>
    </row>
    <row r="894" spans="1:106" ht="15" customHeight="1">
      <c r="A894" s="1065"/>
      <c r="B894" s="1065"/>
      <c r="C894" s="1065"/>
      <c r="D894" s="1065"/>
      <c r="E894" s="1065"/>
      <c r="F894" s="1065"/>
      <c r="G894" s="1065"/>
      <c r="H894" s="1223"/>
      <c r="I894" s="1223"/>
      <c r="J894" s="1224"/>
      <c r="K894" s="1224"/>
      <c r="L894" s="1224"/>
      <c r="M894" s="1225"/>
      <c r="N894" s="1225"/>
      <c r="O894" s="1226"/>
      <c r="P894" s="1227"/>
      <c r="Q894" s="1227"/>
      <c r="R894" s="1228"/>
      <c r="S894" s="1224"/>
      <c r="T894" s="1229"/>
      <c r="U894" s="1065"/>
      <c r="V894" s="1065"/>
      <c r="W894" s="1065"/>
      <c r="X894" s="1065"/>
      <c r="Y894" s="1065"/>
      <c r="Z894" s="1065"/>
      <c r="AA894" s="1065"/>
      <c r="AB894" s="1065"/>
      <c r="AC894" s="1065"/>
      <c r="AD894" s="1065"/>
      <c r="AE894" s="1065"/>
      <c r="AF894" s="1065"/>
      <c r="AG894" s="1065"/>
      <c r="AH894" s="1065"/>
      <c r="AI894" s="1065"/>
      <c r="AJ894" s="1065"/>
      <c r="AK894" s="1065"/>
      <c r="AL894" s="1065"/>
      <c r="AM894" s="1065"/>
      <c r="AN894" s="1065"/>
      <c r="AO894" s="1065"/>
      <c r="AP894" s="1065"/>
      <c r="AQ894" s="1065"/>
      <c r="AR894" s="1065"/>
      <c r="AS894" s="1065"/>
      <c r="AT894" s="1065"/>
      <c r="AU894" s="1065"/>
      <c r="AV894" s="1065"/>
      <c r="AW894" s="1065"/>
      <c r="AX894" s="1065"/>
      <c r="AY894" s="1065"/>
      <c r="AZ894" s="1065"/>
      <c r="BA894" s="1065"/>
      <c r="BB894" s="1065"/>
      <c r="BC894" s="1065"/>
      <c r="BD894" s="1065"/>
      <c r="BE894" s="1065"/>
      <c r="BF894" s="1065"/>
      <c r="BG894" s="1065"/>
      <c r="BH894" s="1065"/>
      <c r="BI894" s="1065"/>
      <c r="BJ894" s="1065"/>
      <c r="BK894" s="1065"/>
      <c r="BL894" s="1065"/>
      <c r="BM894" s="1065"/>
      <c r="BN894" s="1065"/>
      <c r="BO894" s="1065"/>
      <c r="BP894" s="1065"/>
      <c r="BQ894" s="1065"/>
      <c r="BR894" s="1065"/>
      <c r="BS894" s="1065"/>
      <c r="BT894" s="1065"/>
      <c r="BU894" s="1065"/>
      <c r="BV894" s="1065"/>
      <c r="BW894" s="1065"/>
      <c r="BX894" s="1065"/>
      <c r="BY894" s="1065"/>
      <c r="BZ894" s="1065"/>
      <c r="CA894" s="1065"/>
      <c r="CB894" s="1065"/>
      <c r="CC894" s="1065"/>
      <c r="CD894" s="1065"/>
      <c r="CE894" s="1065"/>
      <c r="CF894" s="1065"/>
      <c r="CG894" s="1065"/>
      <c r="CH894" s="1065"/>
      <c r="CI894" s="1065"/>
      <c r="CJ894" s="1065"/>
      <c r="CK894" s="1065"/>
      <c r="CL894" s="1065"/>
      <c r="CM894" s="1065"/>
      <c r="CN894" s="1065"/>
      <c r="CO894" s="1065"/>
      <c r="CP894" s="1065"/>
      <c r="CQ894" s="1065"/>
      <c r="CR894" s="1065"/>
      <c r="CS894" s="1065"/>
      <c r="CT894" s="1065"/>
      <c r="CU894" s="1065"/>
      <c r="CV894" s="1065"/>
      <c r="CW894" s="1065"/>
      <c r="CX894" s="1065"/>
      <c r="CY894" s="1065"/>
      <c r="CZ894" s="1065"/>
      <c r="DA894" s="1065"/>
      <c r="DB894" s="1065"/>
    </row>
    <row r="895" spans="1:106" ht="15" customHeight="1">
      <c r="A895" s="1065"/>
      <c r="B895" s="1065"/>
      <c r="C895" s="1065"/>
      <c r="D895" s="1065"/>
      <c r="E895" s="1065"/>
      <c r="F895" s="1065"/>
      <c r="G895" s="1065"/>
      <c r="H895" s="1223"/>
      <c r="I895" s="1223"/>
      <c r="J895" s="1224"/>
      <c r="K895" s="1224"/>
      <c r="L895" s="1224"/>
      <c r="M895" s="1225"/>
      <c r="N895" s="1225"/>
      <c r="O895" s="1226"/>
      <c r="P895" s="1227"/>
      <c r="Q895" s="1227"/>
      <c r="R895" s="1228"/>
      <c r="S895" s="1224"/>
      <c r="T895" s="1229"/>
      <c r="U895" s="1065"/>
      <c r="V895" s="1065"/>
      <c r="W895" s="1065"/>
      <c r="X895" s="1065"/>
      <c r="Y895" s="1065"/>
      <c r="Z895" s="1065"/>
      <c r="AA895" s="1065"/>
      <c r="AB895" s="1065"/>
      <c r="AC895" s="1065"/>
      <c r="AD895" s="1065"/>
      <c r="AE895" s="1065"/>
      <c r="AF895" s="1065"/>
      <c r="AG895" s="1065"/>
      <c r="AH895" s="1065"/>
      <c r="AI895" s="1065"/>
      <c r="AJ895" s="1065"/>
      <c r="AK895" s="1065"/>
      <c r="AL895" s="1065"/>
      <c r="AM895" s="1065"/>
      <c r="AN895" s="1065"/>
      <c r="AO895" s="1065"/>
      <c r="AP895" s="1065"/>
      <c r="AQ895" s="1065"/>
      <c r="AR895" s="1065"/>
      <c r="AS895" s="1065"/>
      <c r="AT895" s="1065"/>
      <c r="AU895" s="1065"/>
      <c r="AV895" s="1065"/>
      <c r="AW895" s="1065"/>
      <c r="AX895" s="1065"/>
      <c r="AY895" s="1065"/>
      <c r="AZ895" s="1065"/>
      <c r="BA895" s="1065"/>
      <c r="BB895" s="1065"/>
      <c r="BC895" s="1065"/>
      <c r="BD895" s="1065"/>
      <c r="BE895" s="1065"/>
      <c r="BF895" s="1065"/>
      <c r="BG895" s="1065"/>
      <c r="BH895" s="1065"/>
      <c r="BI895" s="1065"/>
      <c r="BJ895" s="1065"/>
      <c r="BK895" s="1065"/>
      <c r="BL895" s="1065"/>
      <c r="BM895" s="1065"/>
      <c r="BN895" s="1065"/>
      <c r="BO895" s="1065"/>
      <c r="BP895" s="1065"/>
      <c r="BQ895" s="1065"/>
      <c r="BR895" s="1065"/>
      <c r="BS895" s="1065"/>
      <c r="BT895" s="1065"/>
      <c r="BU895" s="1065"/>
      <c r="BV895" s="1065"/>
      <c r="BW895" s="1065"/>
      <c r="BX895" s="1065"/>
      <c r="BY895" s="1065"/>
      <c r="BZ895" s="1065"/>
      <c r="CA895" s="1065"/>
      <c r="CB895" s="1065"/>
      <c r="CC895" s="1065"/>
      <c r="CD895" s="1065"/>
      <c r="CE895" s="1065"/>
      <c r="CF895" s="1065"/>
      <c r="CG895" s="1065"/>
      <c r="CH895" s="1065"/>
      <c r="CI895" s="1065"/>
      <c r="CJ895" s="1065"/>
      <c r="CK895" s="1065"/>
      <c r="CL895" s="1065"/>
      <c r="CM895" s="1065"/>
      <c r="CN895" s="1065"/>
      <c r="CO895" s="1065"/>
      <c r="CP895" s="1065"/>
      <c r="CQ895" s="1065"/>
      <c r="CR895" s="1065"/>
      <c r="CS895" s="1065"/>
      <c r="CT895" s="1065"/>
      <c r="CU895" s="1065"/>
      <c r="CV895" s="1065"/>
      <c r="CW895" s="1065"/>
      <c r="CX895" s="1065"/>
      <c r="CY895" s="1065"/>
      <c r="CZ895" s="1065"/>
      <c r="DA895" s="1065"/>
      <c r="DB895" s="1065"/>
    </row>
    <row r="896" spans="1:106" ht="15" customHeight="1">
      <c r="A896" s="1065"/>
      <c r="B896" s="1065"/>
      <c r="C896" s="1065"/>
      <c r="D896" s="1065"/>
      <c r="E896" s="1065"/>
      <c r="F896" s="1065"/>
      <c r="G896" s="1065"/>
      <c r="H896" s="1223"/>
      <c r="I896" s="1223"/>
      <c r="J896" s="1224"/>
      <c r="K896" s="1224"/>
      <c r="L896" s="1224"/>
      <c r="M896" s="1225"/>
      <c r="N896" s="1225"/>
      <c r="O896" s="1226"/>
      <c r="P896" s="1227"/>
      <c r="Q896" s="1227"/>
      <c r="R896" s="1228"/>
      <c r="S896" s="1224"/>
      <c r="T896" s="1229"/>
      <c r="U896" s="1065"/>
      <c r="V896" s="1065"/>
      <c r="W896" s="1065"/>
      <c r="X896" s="1065"/>
      <c r="Y896" s="1065"/>
      <c r="Z896" s="1065"/>
      <c r="AA896" s="1065"/>
      <c r="AB896" s="1065"/>
      <c r="AC896" s="1065"/>
      <c r="AD896" s="1065"/>
      <c r="AE896" s="1065"/>
      <c r="AF896" s="1065"/>
      <c r="AG896" s="1065"/>
      <c r="AH896" s="1065"/>
      <c r="AI896" s="1065"/>
      <c r="AJ896" s="1065"/>
      <c r="AK896" s="1065"/>
      <c r="AL896" s="1065"/>
      <c r="AM896" s="1065"/>
      <c r="AN896" s="1065"/>
      <c r="AO896" s="1065"/>
      <c r="AP896" s="1065"/>
      <c r="AQ896" s="1065"/>
      <c r="AR896" s="1065"/>
      <c r="AS896" s="1065"/>
      <c r="AT896" s="1065"/>
      <c r="AU896" s="1065"/>
      <c r="AV896" s="1065"/>
      <c r="AW896" s="1065"/>
      <c r="AX896" s="1065"/>
      <c r="AY896" s="1065"/>
      <c r="AZ896" s="1065"/>
      <c r="BA896" s="1065"/>
      <c r="BB896" s="1065"/>
      <c r="BC896" s="1065"/>
      <c r="BD896" s="1065"/>
      <c r="BE896" s="1065"/>
      <c r="BF896" s="1065"/>
      <c r="BG896" s="1065"/>
      <c r="BH896" s="1065"/>
      <c r="BI896" s="1065"/>
      <c r="BJ896" s="1065"/>
      <c r="BK896" s="1065"/>
      <c r="BL896" s="1065"/>
      <c r="BM896" s="1065"/>
      <c r="BN896" s="1065"/>
      <c r="BO896" s="1065"/>
      <c r="BP896" s="1065"/>
      <c r="BQ896" s="1065"/>
      <c r="BR896" s="1065"/>
      <c r="BS896" s="1065"/>
      <c r="BT896" s="1065"/>
      <c r="BU896" s="1065"/>
      <c r="BV896" s="1065"/>
      <c r="BW896" s="1065"/>
      <c r="BX896" s="1065"/>
      <c r="BY896" s="1065"/>
      <c r="BZ896" s="1065"/>
      <c r="CA896" s="1065"/>
      <c r="CB896" s="1065"/>
      <c r="CC896" s="1065"/>
      <c r="CD896" s="1065"/>
      <c r="CE896" s="1065"/>
      <c r="CF896" s="1065"/>
      <c r="CG896" s="1065"/>
      <c r="CH896" s="1065"/>
      <c r="CI896" s="1065"/>
      <c r="CJ896" s="1065"/>
      <c r="CK896" s="1065"/>
      <c r="CL896" s="1065"/>
      <c r="CM896" s="1065"/>
      <c r="CN896" s="1065"/>
      <c r="CO896" s="1065"/>
      <c r="CP896" s="1065"/>
      <c r="CQ896" s="1065"/>
      <c r="CR896" s="1065"/>
      <c r="CS896" s="1065"/>
      <c r="CT896" s="1065"/>
      <c r="CU896" s="1065"/>
      <c r="CV896" s="1065"/>
      <c r="CW896" s="1065"/>
      <c r="CX896" s="1065"/>
      <c r="CY896" s="1065"/>
      <c r="CZ896" s="1065"/>
      <c r="DA896" s="1065"/>
      <c r="DB896" s="1065"/>
    </row>
    <row r="897" spans="1:106" ht="15" customHeight="1">
      <c r="A897" s="1065"/>
      <c r="B897" s="1065"/>
      <c r="C897" s="1065"/>
      <c r="D897" s="1065"/>
      <c r="E897" s="1065"/>
      <c r="F897" s="1065"/>
      <c r="G897" s="1065"/>
      <c r="H897" s="1223"/>
      <c r="I897" s="1223"/>
      <c r="J897" s="1224"/>
      <c r="K897" s="1224"/>
      <c r="L897" s="1224"/>
      <c r="M897" s="1225"/>
      <c r="N897" s="1225"/>
      <c r="O897" s="1226"/>
      <c r="P897" s="1227"/>
      <c r="Q897" s="1227"/>
      <c r="R897" s="1228"/>
      <c r="S897" s="1224"/>
      <c r="T897" s="1229"/>
      <c r="U897" s="1065"/>
      <c r="V897" s="1065"/>
      <c r="W897" s="1065"/>
      <c r="X897" s="1065"/>
      <c r="Y897" s="1065"/>
      <c r="Z897" s="1065"/>
      <c r="AA897" s="1065"/>
      <c r="AB897" s="1065"/>
      <c r="AC897" s="1065"/>
      <c r="AD897" s="1065"/>
      <c r="AE897" s="1065"/>
      <c r="AF897" s="1065"/>
      <c r="AG897" s="1065"/>
      <c r="AH897" s="1065"/>
      <c r="AI897" s="1065"/>
      <c r="AJ897" s="1065"/>
      <c r="AK897" s="1065"/>
      <c r="AL897" s="1065"/>
      <c r="AM897" s="1065"/>
      <c r="AN897" s="1065"/>
      <c r="AO897" s="1065"/>
      <c r="AP897" s="1065"/>
      <c r="AQ897" s="1065"/>
      <c r="AR897" s="1065"/>
      <c r="AS897" s="1065"/>
      <c r="AT897" s="1065"/>
      <c r="AU897" s="1065"/>
      <c r="AV897" s="1065"/>
      <c r="AW897" s="1065"/>
      <c r="AX897" s="1065"/>
      <c r="AY897" s="1065"/>
      <c r="AZ897" s="1065"/>
      <c r="BA897" s="1065"/>
      <c r="BB897" s="1065"/>
      <c r="BC897" s="1065"/>
      <c r="BD897" s="1065"/>
      <c r="BE897" s="1065"/>
      <c r="BF897" s="1065"/>
      <c r="BG897" s="1065"/>
      <c r="BH897" s="1065"/>
      <c r="BI897" s="1065"/>
      <c r="BJ897" s="1065"/>
      <c r="BK897" s="1065"/>
      <c r="BL897" s="1065"/>
      <c r="BM897" s="1065"/>
      <c r="BN897" s="1065"/>
      <c r="BO897" s="1065"/>
      <c r="BP897" s="1065"/>
      <c r="BQ897" s="1065"/>
      <c r="BR897" s="1065"/>
      <c r="BS897" s="1065"/>
      <c r="BT897" s="1065"/>
      <c r="BU897" s="1065"/>
      <c r="BV897" s="1065"/>
      <c r="BW897" s="1065"/>
      <c r="BX897" s="1065"/>
      <c r="BY897" s="1065"/>
      <c r="BZ897" s="1065"/>
      <c r="CA897" s="1065"/>
      <c r="CB897" s="1065"/>
      <c r="CC897" s="1065"/>
      <c r="CD897" s="1065"/>
      <c r="CE897" s="1065"/>
      <c r="CF897" s="1065"/>
      <c r="CG897" s="1065"/>
      <c r="CH897" s="1065"/>
      <c r="CI897" s="1065"/>
      <c r="CJ897" s="1065"/>
      <c r="CK897" s="1065"/>
      <c r="CL897" s="1065"/>
      <c r="CM897" s="1065"/>
      <c r="CN897" s="1065"/>
      <c r="CO897" s="1065"/>
      <c r="CP897" s="1065"/>
      <c r="CQ897" s="1065"/>
      <c r="CR897" s="1065"/>
      <c r="CS897" s="1065"/>
      <c r="CT897" s="1065"/>
      <c r="CU897" s="1065"/>
      <c r="CV897" s="1065"/>
      <c r="CW897" s="1065"/>
      <c r="CX897" s="1065"/>
      <c r="CY897" s="1065"/>
      <c r="CZ897" s="1065"/>
      <c r="DA897" s="1065"/>
      <c r="DB897" s="1065"/>
    </row>
    <row r="898" spans="1:106" ht="15" customHeight="1">
      <c r="A898" s="1065"/>
      <c r="B898" s="1065"/>
      <c r="C898" s="1065"/>
      <c r="D898" s="1065"/>
      <c r="E898" s="1065"/>
      <c r="F898" s="1065"/>
      <c r="G898" s="1065"/>
      <c r="H898" s="1223"/>
      <c r="I898" s="1223"/>
      <c r="J898" s="1224"/>
      <c r="K898" s="1224"/>
      <c r="L898" s="1224"/>
      <c r="M898" s="1225"/>
      <c r="N898" s="1225"/>
      <c r="O898" s="1226"/>
      <c r="P898" s="1227"/>
      <c r="Q898" s="1227"/>
      <c r="R898" s="1228"/>
      <c r="S898" s="1224"/>
      <c r="T898" s="1229"/>
      <c r="U898" s="1065"/>
      <c r="V898" s="1065"/>
      <c r="W898" s="1065"/>
      <c r="X898" s="1065"/>
      <c r="Y898" s="1065"/>
      <c r="Z898" s="1065"/>
      <c r="AA898" s="1065"/>
      <c r="AB898" s="1065"/>
      <c r="AC898" s="1065"/>
      <c r="AD898" s="1065"/>
      <c r="AE898" s="1065"/>
      <c r="AF898" s="1065"/>
      <c r="AG898" s="1065"/>
      <c r="AH898" s="1065"/>
      <c r="AI898" s="1065"/>
      <c r="AJ898" s="1065"/>
      <c r="AK898" s="1065"/>
      <c r="AL898" s="1065"/>
      <c r="AM898" s="1065"/>
      <c r="AN898" s="1065"/>
      <c r="AO898" s="1065"/>
      <c r="AP898" s="1065"/>
      <c r="AQ898" s="1065"/>
      <c r="AR898" s="1065"/>
      <c r="AS898" s="1065"/>
      <c r="AT898" s="1065"/>
      <c r="AU898" s="1065"/>
      <c r="AV898" s="1065"/>
      <c r="AW898" s="1065"/>
      <c r="AX898" s="1065"/>
      <c r="AY898" s="1065"/>
      <c r="AZ898" s="1065"/>
      <c r="BA898" s="1065"/>
      <c r="BB898" s="1065"/>
      <c r="BC898" s="1065"/>
      <c r="BD898" s="1065"/>
      <c r="BE898" s="1065"/>
      <c r="BF898" s="1065"/>
      <c r="BG898" s="1065"/>
      <c r="BH898" s="1065"/>
      <c r="BI898" s="1065"/>
      <c r="BJ898" s="1065"/>
      <c r="BK898" s="1065"/>
      <c r="BL898" s="1065"/>
      <c r="BM898" s="1065"/>
      <c r="BN898" s="1065"/>
      <c r="BO898" s="1065"/>
      <c r="BP898" s="1065"/>
      <c r="BQ898" s="1065"/>
      <c r="BR898" s="1065"/>
      <c r="BS898" s="1065"/>
      <c r="BT898" s="1065"/>
      <c r="BU898" s="1065"/>
      <c r="BV898" s="1065"/>
      <c r="BW898" s="1065"/>
      <c r="BX898" s="1065"/>
      <c r="BY898" s="1065"/>
      <c r="BZ898" s="1065"/>
      <c r="CA898" s="1065"/>
      <c r="CB898" s="1065"/>
      <c r="CC898" s="1065"/>
      <c r="CD898" s="1065"/>
      <c r="CE898" s="1065"/>
      <c r="CF898" s="1065"/>
      <c r="CG898" s="1065"/>
      <c r="CH898" s="1065"/>
      <c r="CI898" s="1065"/>
      <c r="CJ898" s="1065"/>
      <c r="CK898" s="1065"/>
      <c r="CL898" s="1065"/>
      <c r="CM898" s="1065"/>
      <c r="CN898" s="1065"/>
      <c r="CO898" s="1065"/>
      <c r="CP898" s="1065"/>
      <c r="CQ898" s="1065"/>
      <c r="CR898" s="1065"/>
      <c r="CS898" s="1065"/>
      <c r="CT898" s="1065"/>
      <c r="CU898" s="1065"/>
      <c r="CV898" s="1065"/>
      <c r="CW898" s="1065"/>
      <c r="CX898" s="1065"/>
      <c r="CY898" s="1065"/>
      <c r="CZ898" s="1065"/>
      <c r="DA898" s="1065"/>
      <c r="DB898" s="1065"/>
    </row>
    <row r="899" spans="1:106" ht="15" customHeight="1">
      <c r="A899" s="1065"/>
      <c r="B899" s="1065"/>
      <c r="C899" s="1065"/>
      <c r="D899" s="1065"/>
      <c r="E899" s="1065"/>
      <c r="F899" s="1065"/>
      <c r="G899" s="1065"/>
      <c r="H899" s="1223"/>
      <c r="I899" s="1223"/>
      <c r="J899" s="1224"/>
      <c r="K899" s="1224"/>
      <c r="L899" s="1224"/>
      <c r="M899" s="1225"/>
      <c r="N899" s="1225"/>
      <c r="O899" s="1226"/>
      <c r="P899" s="1227"/>
      <c r="Q899" s="1227"/>
      <c r="R899" s="1228"/>
      <c r="S899" s="1224"/>
      <c r="T899" s="1229"/>
      <c r="U899" s="1065"/>
      <c r="V899" s="1065"/>
      <c r="W899" s="1065"/>
      <c r="X899" s="1065"/>
      <c r="Y899" s="1065"/>
      <c r="Z899" s="1065"/>
      <c r="AA899" s="1065"/>
      <c r="AB899" s="1065"/>
      <c r="AC899" s="1065"/>
      <c r="AD899" s="1065"/>
      <c r="AE899" s="1065"/>
      <c r="AF899" s="1065"/>
      <c r="AG899" s="1065"/>
      <c r="AH899" s="1065"/>
      <c r="AI899" s="1065"/>
      <c r="AJ899" s="1065"/>
      <c r="AK899" s="1065"/>
      <c r="AL899" s="1065"/>
      <c r="AM899" s="1065"/>
      <c r="AN899" s="1065"/>
      <c r="AO899" s="1065"/>
      <c r="AP899" s="1065"/>
      <c r="AQ899" s="1065"/>
      <c r="AR899" s="1065"/>
      <c r="AS899" s="1065"/>
      <c r="AT899" s="1065"/>
      <c r="AU899" s="1065"/>
      <c r="AV899" s="1065"/>
      <c r="AW899" s="1065"/>
      <c r="AX899" s="1065"/>
      <c r="AY899" s="1065"/>
      <c r="AZ899" s="1065"/>
      <c r="BA899" s="1065"/>
      <c r="BB899" s="1065"/>
      <c r="BC899" s="1065"/>
      <c r="BD899" s="1065"/>
      <c r="BE899" s="1065"/>
      <c r="BF899" s="1065"/>
      <c r="BG899" s="1065"/>
      <c r="BH899" s="1065"/>
      <c r="BI899" s="1065"/>
      <c r="BJ899" s="1065"/>
      <c r="BK899" s="1065"/>
      <c r="BL899" s="1065"/>
      <c r="BM899" s="1065"/>
      <c r="BN899" s="1065"/>
      <c r="BO899" s="1065"/>
      <c r="BP899" s="1065"/>
      <c r="BQ899" s="1065"/>
      <c r="BR899" s="1065"/>
      <c r="BS899" s="1065"/>
      <c r="BT899" s="1065"/>
      <c r="BU899" s="1065"/>
      <c r="BV899" s="1065"/>
      <c r="BW899" s="1065"/>
      <c r="BX899" s="1065"/>
      <c r="BY899" s="1065"/>
      <c r="BZ899" s="1065"/>
      <c r="CA899" s="1065"/>
      <c r="CB899" s="1065"/>
      <c r="CC899" s="1065"/>
      <c r="CD899" s="1065"/>
      <c r="CE899" s="1065"/>
      <c r="CF899" s="1065"/>
      <c r="CG899" s="1065"/>
      <c r="CH899" s="1065"/>
      <c r="CI899" s="1065"/>
      <c r="CJ899" s="1065"/>
      <c r="CK899" s="1065"/>
      <c r="CL899" s="1065"/>
      <c r="CM899" s="1065"/>
      <c r="CN899" s="1065"/>
      <c r="CO899" s="1065"/>
      <c r="CP899" s="1065"/>
      <c r="CQ899" s="1065"/>
      <c r="CR899" s="1065"/>
      <c r="CS899" s="1065"/>
      <c r="CT899" s="1065"/>
      <c r="CU899" s="1065"/>
      <c r="CV899" s="1065"/>
      <c r="CW899" s="1065"/>
      <c r="CX899" s="1065"/>
      <c r="CY899" s="1065"/>
      <c r="CZ899" s="1065"/>
      <c r="DA899" s="1065"/>
      <c r="DB899" s="1065"/>
    </row>
    <row r="900" spans="1:106" ht="15" customHeight="1">
      <c r="A900" s="1065"/>
      <c r="B900" s="1065"/>
      <c r="C900" s="1065"/>
      <c r="D900" s="1065"/>
      <c r="E900" s="1065"/>
      <c r="F900" s="1065"/>
      <c r="G900" s="1065"/>
      <c r="H900" s="1223"/>
      <c r="I900" s="1223"/>
      <c r="J900" s="1224"/>
      <c r="K900" s="1224"/>
      <c r="L900" s="1224"/>
      <c r="M900" s="1225"/>
      <c r="N900" s="1225"/>
      <c r="O900" s="1226"/>
      <c r="P900" s="1227"/>
      <c r="Q900" s="1227"/>
      <c r="R900" s="1228"/>
      <c r="S900" s="1224"/>
      <c r="T900" s="1229"/>
      <c r="U900" s="1065"/>
      <c r="V900" s="1065"/>
      <c r="W900" s="1065"/>
      <c r="X900" s="1065"/>
      <c r="Y900" s="1065"/>
      <c r="Z900" s="1065"/>
      <c r="AA900" s="1065"/>
      <c r="AB900" s="1065"/>
      <c r="AC900" s="1065"/>
      <c r="AD900" s="1065"/>
      <c r="AE900" s="1065"/>
      <c r="AF900" s="1065"/>
      <c r="AG900" s="1065"/>
      <c r="AH900" s="1065"/>
      <c r="AI900" s="1065"/>
      <c r="AJ900" s="1065"/>
      <c r="AK900" s="1065"/>
      <c r="AL900" s="1065"/>
      <c r="AM900" s="1065"/>
      <c r="AN900" s="1065"/>
      <c r="AO900" s="1065"/>
      <c r="AP900" s="1065"/>
      <c r="AQ900" s="1065"/>
      <c r="AR900" s="1065"/>
      <c r="AS900" s="1065"/>
      <c r="AT900" s="1065"/>
      <c r="AU900" s="1065"/>
      <c r="AV900" s="1065"/>
      <c r="AW900" s="1065"/>
      <c r="AX900" s="1065"/>
      <c r="AY900" s="1065"/>
      <c r="AZ900" s="1065"/>
      <c r="BA900" s="1065"/>
      <c r="BB900" s="1065"/>
      <c r="BC900" s="1065"/>
      <c r="BD900" s="1065"/>
      <c r="BE900" s="1065"/>
      <c r="BF900" s="1065"/>
      <c r="BG900" s="1065"/>
      <c r="BH900" s="1065"/>
      <c r="BI900" s="1065"/>
      <c r="BJ900" s="1065"/>
      <c r="BK900" s="1065"/>
      <c r="BL900" s="1065"/>
      <c r="BM900" s="1065"/>
      <c r="BN900" s="1065"/>
      <c r="BO900" s="1065"/>
      <c r="BP900" s="1065"/>
      <c r="BQ900" s="1065"/>
      <c r="BR900" s="1065"/>
      <c r="BS900" s="1065"/>
      <c r="BT900" s="1065"/>
      <c r="BU900" s="1065"/>
      <c r="BV900" s="1065"/>
      <c r="BW900" s="1065"/>
      <c r="BX900" s="1065"/>
      <c r="BY900" s="1065"/>
      <c r="BZ900" s="1065"/>
      <c r="CA900" s="1065"/>
      <c r="CB900" s="1065"/>
      <c r="CC900" s="1065"/>
      <c r="CD900" s="1065"/>
      <c r="CE900" s="1065"/>
      <c r="CF900" s="1065"/>
      <c r="CG900" s="1065"/>
      <c r="CH900" s="1065"/>
      <c r="CI900" s="1065"/>
      <c r="CJ900" s="1065"/>
      <c r="CK900" s="1065"/>
      <c r="CL900" s="1065"/>
      <c r="CM900" s="1065"/>
      <c r="CN900" s="1065"/>
      <c r="CO900" s="1065"/>
      <c r="CP900" s="1065"/>
      <c r="CQ900" s="1065"/>
      <c r="CR900" s="1065"/>
      <c r="CS900" s="1065"/>
      <c r="CT900" s="1065"/>
      <c r="CU900" s="1065"/>
      <c r="CV900" s="1065"/>
      <c r="CW900" s="1065"/>
      <c r="CX900" s="1065"/>
      <c r="CY900" s="1065"/>
      <c r="CZ900" s="1065"/>
      <c r="DA900" s="1065"/>
      <c r="DB900" s="1065"/>
    </row>
    <row r="901" spans="1:106" ht="15" customHeight="1">
      <c r="A901" s="1065"/>
      <c r="B901" s="1065"/>
      <c r="C901" s="1065"/>
      <c r="D901" s="1065"/>
      <c r="E901" s="1065"/>
      <c r="F901" s="1065"/>
      <c r="G901" s="1065"/>
      <c r="H901" s="1223"/>
      <c r="I901" s="1223"/>
      <c r="J901" s="1224"/>
      <c r="K901" s="1224"/>
      <c r="L901" s="1224"/>
      <c r="M901" s="1225"/>
      <c r="N901" s="1225"/>
      <c r="O901" s="1226"/>
      <c r="P901" s="1227"/>
      <c r="Q901" s="1227"/>
      <c r="R901" s="1228"/>
      <c r="S901" s="1224"/>
      <c r="T901" s="1229"/>
      <c r="U901" s="1065"/>
      <c r="V901" s="1065"/>
      <c r="W901" s="1065"/>
      <c r="X901" s="1065"/>
      <c r="Y901" s="1065"/>
      <c r="Z901" s="1065"/>
      <c r="AA901" s="1065"/>
      <c r="AB901" s="1065"/>
      <c r="AC901" s="1065"/>
      <c r="AD901" s="1065"/>
      <c r="AE901" s="1065"/>
      <c r="AF901" s="1065"/>
      <c r="AG901" s="1065"/>
      <c r="AH901" s="1065"/>
      <c r="AI901" s="1065"/>
      <c r="AJ901" s="1065"/>
      <c r="AK901" s="1065"/>
      <c r="AL901" s="1065"/>
      <c r="AM901" s="1065"/>
      <c r="AN901" s="1065"/>
      <c r="AO901" s="1065"/>
      <c r="AP901" s="1065"/>
      <c r="AQ901" s="1065"/>
      <c r="AR901" s="1065"/>
      <c r="AS901" s="1065"/>
      <c r="AT901" s="1065"/>
      <c r="AU901" s="1065"/>
      <c r="AV901" s="1065"/>
      <c r="AW901" s="1065"/>
      <c r="AX901" s="1065"/>
      <c r="AY901" s="1065"/>
      <c r="AZ901" s="1065"/>
      <c r="BA901" s="1065"/>
      <c r="BB901" s="1065"/>
      <c r="BC901" s="1065"/>
      <c r="BD901" s="1065"/>
      <c r="BE901" s="1065"/>
      <c r="BF901" s="1065"/>
      <c r="BG901" s="1065"/>
      <c r="BH901" s="1065"/>
      <c r="BI901" s="1065"/>
      <c r="BJ901" s="1065"/>
      <c r="BK901" s="1065"/>
      <c r="BL901" s="1065"/>
      <c r="BM901" s="1065"/>
      <c r="BN901" s="1065"/>
      <c r="BO901" s="1065"/>
      <c r="BP901" s="1065"/>
      <c r="BQ901" s="1065"/>
      <c r="BR901" s="1065"/>
      <c r="BS901" s="1065"/>
      <c r="BT901" s="1065"/>
      <c r="BU901" s="1065"/>
      <c r="BV901" s="1065"/>
      <c r="BW901" s="1065"/>
      <c r="BX901" s="1065"/>
      <c r="BY901" s="1065"/>
      <c r="BZ901" s="1065"/>
      <c r="CA901" s="1065"/>
      <c r="CB901" s="1065"/>
      <c r="CC901" s="1065"/>
      <c r="CD901" s="1065"/>
      <c r="CE901" s="1065"/>
      <c r="CF901" s="1065"/>
      <c r="CG901" s="1065"/>
      <c r="CH901" s="1065"/>
      <c r="CI901" s="1065"/>
      <c r="CJ901" s="1065"/>
      <c r="CK901" s="1065"/>
      <c r="CL901" s="1065"/>
      <c r="CM901" s="1065"/>
      <c r="CN901" s="1065"/>
      <c r="CO901" s="1065"/>
      <c r="CP901" s="1065"/>
      <c r="CQ901" s="1065"/>
      <c r="CR901" s="1065"/>
      <c r="CS901" s="1065"/>
      <c r="CT901" s="1065"/>
      <c r="CU901" s="1065"/>
      <c r="CV901" s="1065"/>
      <c r="CW901" s="1065"/>
      <c r="CX901" s="1065"/>
      <c r="CY901" s="1065"/>
      <c r="CZ901" s="1065"/>
      <c r="DA901" s="1065"/>
      <c r="DB901" s="1065"/>
    </row>
    <row r="902" spans="1:106" ht="15" customHeight="1">
      <c r="A902" s="1065"/>
      <c r="B902" s="1065"/>
      <c r="C902" s="1065"/>
      <c r="D902" s="1065"/>
      <c r="E902" s="1065"/>
      <c r="F902" s="1065"/>
      <c r="G902" s="1065"/>
      <c r="H902" s="1223"/>
      <c r="I902" s="1223"/>
      <c r="J902" s="1224"/>
      <c r="K902" s="1224"/>
      <c r="L902" s="1224"/>
      <c r="M902" s="1225"/>
      <c r="N902" s="1225"/>
      <c r="O902" s="1226"/>
      <c r="P902" s="1227"/>
      <c r="Q902" s="1227"/>
      <c r="R902" s="1228"/>
      <c r="S902" s="1224"/>
      <c r="T902" s="1229"/>
      <c r="U902" s="1065"/>
      <c r="V902" s="1065"/>
      <c r="W902" s="1065"/>
      <c r="X902" s="1065"/>
      <c r="Y902" s="1065"/>
      <c r="Z902" s="1065"/>
      <c r="AA902" s="1065"/>
      <c r="AB902" s="1065"/>
      <c r="AC902" s="1065"/>
      <c r="AD902" s="1065"/>
      <c r="AE902" s="1065"/>
      <c r="AF902" s="1065"/>
      <c r="AG902" s="1065"/>
      <c r="AH902" s="1065"/>
      <c r="AI902" s="1065"/>
      <c r="AJ902" s="1065"/>
      <c r="AK902" s="1065"/>
      <c r="AL902" s="1065"/>
      <c r="AM902" s="1065"/>
      <c r="AN902" s="1065"/>
      <c r="AO902" s="1065"/>
      <c r="AP902" s="1065"/>
      <c r="AQ902" s="1065"/>
      <c r="AR902" s="1065"/>
      <c r="AS902" s="1065"/>
      <c r="AT902" s="1065"/>
      <c r="AU902" s="1065"/>
      <c r="AV902" s="1065"/>
      <c r="AW902" s="1065"/>
      <c r="AX902" s="1065"/>
      <c r="AY902" s="1065"/>
      <c r="AZ902" s="1065"/>
      <c r="BA902" s="1065"/>
      <c r="BB902" s="1065"/>
      <c r="BC902" s="1065"/>
      <c r="BD902" s="1065"/>
      <c r="BE902" s="1065"/>
      <c r="BF902" s="1065"/>
      <c r="BG902" s="1065"/>
      <c r="BH902" s="1065"/>
      <c r="BI902" s="1065"/>
      <c r="BJ902" s="1065"/>
      <c r="BK902" s="1065"/>
      <c r="BL902" s="1065"/>
      <c r="BM902" s="1065"/>
      <c r="BN902" s="1065"/>
      <c r="BO902" s="1065"/>
      <c r="BP902" s="1065"/>
      <c r="BQ902" s="1065"/>
      <c r="BR902" s="1065"/>
      <c r="BS902" s="1065"/>
      <c r="BT902" s="1065"/>
      <c r="BU902" s="1065"/>
      <c r="BV902" s="1065"/>
      <c r="BW902" s="1065"/>
      <c r="BX902" s="1065"/>
      <c r="BY902" s="1065"/>
      <c r="BZ902" s="1065"/>
      <c r="CA902" s="1065"/>
      <c r="CB902" s="1065"/>
      <c r="CC902" s="1065"/>
      <c r="CD902" s="1065"/>
      <c r="CE902" s="1065"/>
      <c r="CF902" s="1065"/>
      <c r="CG902" s="1065"/>
      <c r="CH902" s="1065"/>
      <c r="CI902" s="1065"/>
      <c r="CJ902" s="1065"/>
      <c r="CK902" s="1065"/>
      <c r="CL902" s="1065"/>
      <c r="CM902" s="1065"/>
      <c r="CN902" s="1065"/>
      <c r="CO902" s="1065"/>
      <c r="CP902" s="1065"/>
      <c r="CQ902" s="1065"/>
      <c r="CR902" s="1065"/>
      <c r="CS902" s="1065"/>
      <c r="CT902" s="1065"/>
      <c r="CU902" s="1065"/>
      <c r="CV902" s="1065"/>
      <c r="CW902" s="1065"/>
      <c r="CX902" s="1065"/>
      <c r="CY902" s="1065"/>
      <c r="CZ902" s="1065"/>
      <c r="DA902" s="1065"/>
      <c r="DB902" s="1065"/>
    </row>
    <row r="903" spans="1:106" ht="15" customHeight="1">
      <c r="A903" s="1065"/>
      <c r="B903" s="1065"/>
      <c r="C903" s="1065"/>
      <c r="D903" s="1065"/>
      <c r="E903" s="1065"/>
      <c r="F903" s="1065"/>
      <c r="G903" s="1065"/>
      <c r="H903" s="1223"/>
      <c r="I903" s="1223"/>
      <c r="J903" s="1224"/>
      <c r="K903" s="1224"/>
      <c r="L903" s="1224"/>
      <c r="M903" s="1225"/>
      <c r="N903" s="1225"/>
      <c r="O903" s="1226"/>
      <c r="P903" s="1227"/>
      <c r="Q903" s="1227"/>
      <c r="R903" s="1228"/>
      <c r="S903" s="1224"/>
      <c r="T903" s="1229"/>
      <c r="U903" s="1065"/>
      <c r="V903" s="1065"/>
      <c r="W903" s="1065"/>
      <c r="X903" s="1065"/>
      <c r="Y903" s="1065"/>
      <c r="Z903" s="1065"/>
      <c r="AA903" s="1065"/>
      <c r="AB903" s="1065"/>
      <c r="AC903" s="1065"/>
      <c r="AD903" s="1065"/>
      <c r="AE903" s="1065"/>
      <c r="AF903" s="1065"/>
      <c r="AG903" s="1065"/>
      <c r="AH903" s="1065"/>
      <c r="AI903" s="1065"/>
      <c r="AJ903" s="1065"/>
      <c r="AK903" s="1065"/>
      <c r="AL903" s="1065"/>
      <c r="AM903" s="1065"/>
      <c r="AN903" s="1065"/>
      <c r="AO903" s="1065"/>
      <c r="AP903" s="1065"/>
      <c r="AQ903" s="1065"/>
      <c r="AR903" s="1065"/>
      <c r="AS903" s="1065"/>
      <c r="AT903" s="1065"/>
      <c r="AU903" s="1065"/>
      <c r="AV903" s="1065"/>
      <c r="AW903" s="1065"/>
      <c r="AX903" s="1065"/>
      <c r="AY903" s="1065"/>
      <c r="AZ903" s="1065"/>
      <c r="BA903" s="1065"/>
      <c r="BB903" s="1065"/>
      <c r="BC903" s="1065"/>
      <c r="BD903" s="1065"/>
      <c r="BE903" s="1065"/>
      <c r="BF903" s="1065"/>
      <c r="BG903" s="1065"/>
      <c r="BH903" s="1065"/>
      <c r="BI903" s="1065"/>
      <c r="BJ903" s="1065"/>
      <c r="BK903" s="1065"/>
      <c r="BL903" s="1065"/>
      <c r="BM903" s="1065"/>
      <c r="BN903" s="1065"/>
      <c r="BO903" s="1065"/>
      <c r="BP903" s="1065"/>
      <c r="BQ903" s="1065"/>
      <c r="BR903" s="1065"/>
      <c r="BS903" s="1065"/>
      <c r="BT903" s="1065"/>
      <c r="BU903" s="1065"/>
      <c r="BV903" s="1065"/>
      <c r="BW903" s="1065"/>
      <c r="BX903" s="1065"/>
      <c r="BY903" s="1065"/>
      <c r="BZ903" s="1065"/>
      <c r="CA903" s="1065"/>
      <c r="CB903" s="1065"/>
      <c r="CC903" s="1065"/>
      <c r="CD903" s="1065"/>
      <c r="CE903" s="1065"/>
      <c r="CF903" s="1065"/>
      <c r="CG903" s="1065"/>
      <c r="CH903" s="1065"/>
      <c r="CI903" s="1065"/>
      <c r="CJ903" s="1065"/>
      <c r="CK903" s="1065"/>
      <c r="CL903" s="1065"/>
      <c r="CM903" s="1065"/>
      <c r="CN903" s="1065"/>
      <c r="CO903" s="1065"/>
      <c r="CP903" s="1065"/>
      <c r="CQ903" s="1065"/>
      <c r="CR903" s="1065"/>
      <c r="CS903" s="1065"/>
      <c r="CT903" s="1065"/>
      <c r="CU903" s="1065"/>
      <c r="CV903" s="1065"/>
      <c r="CW903" s="1065"/>
      <c r="CX903" s="1065"/>
      <c r="CY903" s="1065"/>
      <c r="CZ903" s="1065"/>
      <c r="DA903" s="1065"/>
      <c r="DB903" s="1065"/>
    </row>
    <row r="904" spans="1:106" ht="15" customHeight="1">
      <c r="A904" s="1065"/>
      <c r="B904" s="1065"/>
      <c r="C904" s="1065"/>
      <c r="D904" s="1065"/>
      <c r="E904" s="1065"/>
      <c r="F904" s="1065"/>
      <c r="G904" s="1065"/>
      <c r="H904" s="1223"/>
      <c r="I904" s="1223"/>
      <c r="J904" s="1224"/>
      <c r="K904" s="1224"/>
      <c r="L904" s="1224"/>
      <c r="M904" s="1225"/>
      <c r="N904" s="1225"/>
      <c r="O904" s="1226"/>
      <c r="P904" s="1227"/>
      <c r="Q904" s="1227"/>
      <c r="R904" s="1228"/>
      <c r="S904" s="1224"/>
      <c r="T904" s="1229"/>
      <c r="U904" s="1065"/>
      <c r="V904" s="1065"/>
      <c r="W904" s="1065"/>
      <c r="X904" s="1065"/>
      <c r="Y904" s="1065"/>
      <c r="Z904" s="1065"/>
      <c r="AA904" s="1065"/>
      <c r="AB904" s="1065"/>
      <c r="AC904" s="1065"/>
      <c r="AD904" s="1065"/>
      <c r="AE904" s="1065"/>
      <c r="AF904" s="1065"/>
      <c r="AG904" s="1065"/>
      <c r="AH904" s="1065"/>
      <c r="AI904" s="1065"/>
      <c r="AJ904" s="1065"/>
      <c r="AK904" s="1065"/>
      <c r="AL904" s="1065"/>
      <c r="AM904" s="1065"/>
      <c r="AN904" s="1065"/>
      <c r="AO904" s="1065"/>
      <c r="AP904" s="1065"/>
      <c r="AQ904" s="1065"/>
      <c r="AR904" s="1065"/>
      <c r="AS904" s="1065"/>
      <c r="AT904" s="1065"/>
      <c r="AU904" s="1065"/>
      <c r="AV904" s="1065"/>
      <c r="AW904" s="1065"/>
      <c r="AX904" s="1065"/>
      <c r="AY904" s="1065"/>
      <c r="AZ904" s="1065"/>
      <c r="BA904" s="1065"/>
      <c r="BB904" s="1065"/>
      <c r="BC904" s="1065"/>
      <c r="BD904" s="1065"/>
      <c r="BE904" s="1065"/>
      <c r="BF904" s="1065"/>
      <c r="BG904" s="1065"/>
      <c r="BH904" s="1065"/>
      <c r="BI904" s="1065"/>
      <c r="BJ904" s="1065"/>
      <c r="BK904" s="1065"/>
      <c r="BL904" s="1065"/>
      <c r="BM904" s="1065"/>
      <c r="BN904" s="1065"/>
      <c r="BO904" s="1065"/>
      <c r="BP904" s="1065"/>
      <c r="BQ904" s="1065"/>
      <c r="BR904" s="1065"/>
      <c r="BS904" s="1065"/>
      <c r="BT904" s="1065"/>
      <c r="BU904" s="1065"/>
      <c r="BV904" s="1065"/>
      <c r="BW904" s="1065"/>
      <c r="BX904" s="1065"/>
      <c r="BY904" s="1065"/>
      <c r="BZ904" s="1065"/>
      <c r="CA904" s="1065"/>
      <c r="CB904" s="1065"/>
      <c r="CC904" s="1065"/>
      <c r="CD904" s="1065"/>
      <c r="CE904" s="1065"/>
      <c r="CF904" s="1065"/>
      <c r="CG904" s="1065"/>
      <c r="CH904" s="1065"/>
      <c r="CI904" s="1065"/>
      <c r="CJ904" s="1065"/>
      <c r="CK904" s="1065"/>
      <c r="CL904" s="1065"/>
      <c r="CM904" s="1065"/>
      <c r="CN904" s="1065"/>
      <c r="CO904" s="1065"/>
      <c r="CP904" s="1065"/>
      <c r="CQ904" s="1065"/>
      <c r="CR904" s="1065"/>
      <c r="CS904" s="1065"/>
      <c r="CT904" s="1065"/>
      <c r="CU904" s="1065"/>
      <c r="CV904" s="1065"/>
      <c r="CW904" s="1065"/>
      <c r="CX904" s="1065"/>
      <c r="CY904" s="1065"/>
      <c r="CZ904" s="1065"/>
      <c r="DA904" s="1065"/>
      <c r="DB904" s="1065"/>
    </row>
    <row r="905" spans="1:106" ht="15" customHeight="1">
      <c r="A905" s="1065"/>
      <c r="B905" s="1065"/>
      <c r="C905" s="1065"/>
      <c r="D905" s="1065"/>
      <c r="E905" s="1065"/>
      <c r="F905" s="1065"/>
      <c r="G905" s="1065"/>
      <c r="H905" s="1223"/>
      <c r="I905" s="1223"/>
      <c r="J905" s="1224"/>
      <c r="K905" s="1224"/>
      <c r="L905" s="1224"/>
      <c r="M905" s="1225"/>
      <c r="N905" s="1225"/>
      <c r="O905" s="1226"/>
      <c r="P905" s="1227"/>
      <c r="Q905" s="1227"/>
      <c r="R905" s="1228"/>
      <c r="S905" s="1224"/>
      <c r="T905" s="1229"/>
      <c r="U905" s="1065"/>
      <c r="V905" s="1065"/>
      <c r="W905" s="1065"/>
      <c r="X905" s="1065"/>
      <c r="Y905" s="1065"/>
      <c r="Z905" s="1065"/>
      <c r="AA905" s="1065"/>
      <c r="AB905" s="1065"/>
      <c r="AC905" s="1065"/>
      <c r="AD905" s="1065"/>
      <c r="AE905" s="1065"/>
      <c r="AF905" s="1065"/>
      <c r="AG905" s="1065"/>
      <c r="AH905" s="1065"/>
      <c r="AI905" s="1065"/>
      <c r="AJ905" s="1065"/>
      <c r="AK905" s="1065"/>
      <c r="AL905" s="1065"/>
      <c r="AM905" s="1065"/>
      <c r="AN905" s="1065"/>
      <c r="AO905" s="1065"/>
      <c r="AP905" s="1065"/>
      <c r="AQ905" s="1065"/>
      <c r="AR905" s="1065"/>
      <c r="AS905" s="1065"/>
      <c r="AT905" s="1065"/>
      <c r="AU905" s="1065"/>
      <c r="AV905" s="1065"/>
      <c r="AW905" s="1065"/>
      <c r="AX905" s="1065"/>
      <c r="AY905" s="1065"/>
      <c r="AZ905" s="1065"/>
      <c r="BA905" s="1065"/>
      <c r="BB905" s="1065"/>
      <c r="BC905" s="1065"/>
      <c r="BD905" s="1065"/>
      <c r="BE905" s="1065"/>
      <c r="BF905" s="1065"/>
      <c r="BG905" s="1065"/>
      <c r="BH905" s="1065"/>
      <c r="BI905" s="1065"/>
      <c r="BJ905" s="1065"/>
      <c r="BK905" s="1065"/>
      <c r="BL905" s="1065"/>
      <c r="BM905" s="1065"/>
      <c r="BN905" s="1065"/>
      <c r="BO905" s="1065"/>
      <c r="BP905" s="1065"/>
      <c r="BQ905" s="1065"/>
      <c r="BR905" s="1065"/>
      <c r="BS905" s="1065"/>
      <c r="BT905" s="1065"/>
      <c r="BU905" s="1065"/>
      <c r="BV905" s="1065"/>
      <c r="BW905" s="1065"/>
      <c r="BX905" s="1065"/>
      <c r="BY905" s="1065"/>
      <c r="BZ905" s="1065"/>
      <c r="CA905" s="1065"/>
      <c r="CB905" s="1065"/>
      <c r="CC905" s="1065"/>
      <c r="CD905" s="1065"/>
      <c r="CE905" s="1065"/>
      <c r="CF905" s="1065"/>
      <c r="CG905" s="1065"/>
      <c r="CH905" s="1065"/>
      <c r="CI905" s="1065"/>
      <c r="CJ905" s="1065"/>
      <c r="CK905" s="1065"/>
      <c r="CL905" s="1065"/>
      <c r="CM905" s="1065"/>
      <c r="CN905" s="1065"/>
      <c r="CO905" s="1065"/>
      <c r="CP905" s="1065"/>
      <c r="CQ905" s="1065"/>
      <c r="CR905" s="1065"/>
      <c r="CS905" s="1065"/>
      <c r="CT905" s="1065"/>
      <c r="CU905" s="1065"/>
      <c r="CV905" s="1065"/>
      <c r="CW905" s="1065"/>
      <c r="CX905" s="1065"/>
      <c r="CY905" s="1065"/>
      <c r="CZ905" s="1065"/>
      <c r="DA905" s="1065"/>
      <c r="DB905" s="1065"/>
    </row>
    <row r="906" spans="1:106" ht="15" customHeight="1">
      <c r="A906" s="1065"/>
      <c r="B906" s="1065"/>
      <c r="C906" s="1065"/>
      <c r="D906" s="1065"/>
      <c r="E906" s="1065"/>
      <c r="F906" s="1065"/>
      <c r="G906" s="1065"/>
      <c r="H906" s="1223"/>
      <c r="I906" s="1223"/>
      <c r="J906" s="1224"/>
      <c r="K906" s="1224"/>
      <c r="L906" s="1224"/>
      <c r="M906" s="1225"/>
      <c r="N906" s="1225"/>
      <c r="O906" s="1226"/>
      <c r="P906" s="1227"/>
      <c r="Q906" s="1227"/>
      <c r="R906" s="1228"/>
      <c r="S906" s="1224"/>
      <c r="T906" s="1229"/>
      <c r="U906" s="1065"/>
      <c r="V906" s="1065"/>
      <c r="W906" s="1065"/>
      <c r="X906" s="1065"/>
      <c r="Y906" s="1065"/>
      <c r="Z906" s="1065"/>
      <c r="AA906" s="1065"/>
      <c r="AB906" s="1065"/>
      <c r="AC906" s="1065"/>
      <c r="AD906" s="1065"/>
      <c r="AE906" s="1065"/>
      <c r="AF906" s="1065"/>
      <c r="AG906" s="1065"/>
      <c r="AH906" s="1065"/>
      <c r="AI906" s="1065"/>
      <c r="AJ906" s="1065"/>
      <c r="AK906" s="1065"/>
      <c r="AL906" s="1065"/>
      <c r="AM906" s="1065"/>
      <c r="AN906" s="1065"/>
      <c r="AO906" s="1065"/>
      <c r="AP906" s="1065"/>
      <c r="AQ906" s="1065"/>
      <c r="AR906" s="1065"/>
      <c r="AS906" s="1065"/>
      <c r="AT906" s="1065"/>
      <c r="AU906" s="1065"/>
      <c r="AV906" s="1065"/>
      <c r="AW906" s="1065"/>
      <c r="AX906" s="1065"/>
      <c r="AY906" s="1065"/>
      <c r="AZ906" s="1065"/>
      <c r="BA906" s="1065"/>
      <c r="BB906" s="1065"/>
      <c r="BC906" s="1065"/>
      <c r="BD906" s="1065"/>
      <c r="BE906" s="1065"/>
      <c r="BF906" s="1065"/>
      <c r="BG906" s="1065"/>
      <c r="BH906" s="1065"/>
      <c r="BI906" s="1065"/>
      <c r="BJ906" s="1065"/>
      <c r="BK906" s="1065"/>
      <c r="BL906" s="1065"/>
      <c r="BM906" s="1065"/>
      <c r="BN906" s="1065"/>
      <c r="BO906" s="1065"/>
      <c r="BP906" s="1065"/>
      <c r="BQ906" s="1065"/>
      <c r="BR906" s="1065"/>
      <c r="BS906" s="1065"/>
      <c r="BT906" s="1065"/>
      <c r="BU906" s="1065"/>
      <c r="BV906" s="1065"/>
      <c r="BW906" s="1065"/>
      <c r="BX906" s="1065"/>
      <c r="BY906" s="1065"/>
      <c r="BZ906" s="1065"/>
      <c r="CA906" s="1065"/>
      <c r="CB906" s="1065"/>
      <c r="CC906" s="1065"/>
      <c r="CD906" s="1065"/>
      <c r="CE906" s="1065"/>
      <c r="CF906" s="1065"/>
      <c r="CG906" s="1065"/>
      <c r="CH906" s="1065"/>
      <c r="CI906" s="1065"/>
      <c r="CJ906" s="1065"/>
      <c r="CK906" s="1065"/>
      <c r="CL906" s="1065"/>
      <c r="CM906" s="1065"/>
      <c r="CN906" s="1065"/>
      <c r="CO906" s="1065"/>
      <c r="CP906" s="1065"/>
      <c r="CQ906" s="1065"/>
      <c r="CR906" s="1065"/>
      <c r="CS906" s="1065"/>
      <c r="CT906" s="1065"/>
      <c r="CU906" s="1065"/>
      <c r="CV906" s="1065"/>
      <c r="CW906" s="1065"/>
      <c r="CX906" s="1065"/>
      <c r="CY906" s="1065"/>
      <c r="CZ906" s="1065"/>
      <c r="DA906" s="1065"/>
      <c r="DB906" s="1065"/>
    </row>
    <row r="907" spans="1:106" ht="15" customHeight="1">
      <c r="A907" s="1065"/>
      <c r="B907" s="1065"/>
      <c r="C907" s="1065"/>
      <c r="D907" s="1065"/>
      <c r="E907" s="1065"/>
      <c r="F907" s="1065"/>
      <c r="G907" s="1065"/>
      <c r="H907" s="1223"/>
      <c r="I907" s="1223"/>
      <c r="J907" s="1224"/>
      <c r="K907" s="1224"/>
      <c r="L907" s="1224"/>
      <c r="M907" s="1225"/>
      <c r="N907" s="1225"/>
      <c r="O907" s="1226"/>
      <c r="P907" s="1227"/>
      <c r="Q907" s="1227"/>
      <c r="R907" s="1228"/>
      <c r="S907" s="1224"/>
      <c r="T907" s="1229"/>
      <c r="U907" s="1065"/>
      <c r="V907" s="1065"/>
      <c r="W907" s="1065"/>
      <c r="X907" s="1065"/>
      <c r="Y907" s="1065"/>
      <c r="Z907" s="1065"/>
      <c r="AA907" s="1065"/>
      <c r="AB907" s="1065"/>
      <c r="AC907" s="1065"/>
      <c r="AD907" s="1065"/>
      <c r="AE907" s="1065"/>
      <c r="AF907" s="1065"/>
      <c r="AG907" s="1065"/>
      <c r="AH907" s="1065"/>
      <c r="AI907" s="1065"/>
      <c r="AJ907" s="1065"/>
      <c r="AK907" s="1065"/>
      <c r="AL907" s="1065"/>
      <c r="AM907" s="1065"/>
      <c r="AN907" s="1065"/>
      <c r="AO907" s="1065"/>
      <c r="AP907" s="1065"/>
      <c r="AQ907" s="1065"/>
      <c r="AR907" s="1065"/>
      <c r="AS907" s="1065"/>
      <c r="AT907" s="1065"/>
      <c r="AU907" s="1065"/>
      <c r="AV907" s="1065"/>
      <c r="AW907" s="1065"/>
      <c r="AX907" s="1065"/>
      <c r="AY907" s="1065"/>
      <c r="AZ907" s="1065"/>
      <c r="BA907" s="1065"/>
      <c r="BB907" s="1065"/>
      <c r="BC907" s="1065"/>
      <c r="BD907" s="1065"/>
      <c r="BE907" s="1065"/>
      <c r="BF907" s="1065"/>
      <c r="BG907" s="1065"/>
      <c r="BH907" s="1065"/>
      <c r="BI907" s="1065"/>
      <c r="BJ907" s="1065"/>
      <c r="BK907" s="1065"/>
      <c r="BL907" s="1065"/>
      <c r="BM907" s="1065"/>
      <c r="BN907" s="1065"/>
      <c r="BO907" s="1065"/>
      <c r="BP907" s="1065"/>
      <c r="BQ907" s="1065"/>
      <c r="BR907" s="1065"/>
      <c r="BS907" s="1065"/>
      <c r="BT907" s="1065"/>
      <c r="BU907" s="1065"/>
      <c r="BV907" s="1065"/>
      <c r="BW907" s="1065"/>
      <c r="BX907" s="1065"/>
      <c r="BY907" s="1065"/>
      <c r="BZ907" s="1065"/>
      <c r="CA907" s="1065"/>
      <c r="CB907" s="1065"/>
      <c r="CC907" s="1065"/>
      <c r="CD907" s="1065"/>
      <c r="CE907" s="1065"/>
      <c r="CF907" s="1065"/>
      <c r="CG907" s="1065"/>
      <c r="CH907" s="1065"/>
      <c r="CI907" s="1065"/>
      <c r="CJ907" s="1065"/>
      <c r="CK907" s="1065"/>
      <c r="CL907" s="1065"/>
      <c r="CM907" s="1065"/>
      <c r="CN907" s="1065"/>
      <c r="CO907" s="1065"/>
      <c r="CP907" s="1065"/>
      <c r="CQ907" s="1065"/>
      <c r="CR907" s="1065"/>
      <c r="CS907" s="1065"/>
      <c r="CT907" s="1065"/>
      <c r="CU907" s="1065"/>
      <c r="CV907" s="1065"/>
      <c r="CW907" s="1065"/>
      <c r="CX907" s="1065"/>
      <c r="CY907" s="1065"/>
      <c r="CZ907" s="1065"/>
      <c r="DA907" s="1065"/>
      <c r="DB907" s="1065"/>
    </row>
    <row r="908" spans="1:106" ht="15" customHeight="1">
      <c r="A908" s="1065"/>
      <c r="B908" s="1065"/>
      <c r="C908" s="1065"/>
      <c r="D908" s="1065"/>
      <c r="E908" s="1065"/>
      <c r="F908" s="1065"/>
      <c r="G908" s="1065"/>
      <c r="H908" s="1223"/>
      <c r="I908" s="1223"/>
      <c r="J908" s="1224"/>
      <c r="K908" s="1224"/>
      <c r="L908" s="1224"/>
      <c r="M908" s="1225"/>
      <c r="N908" s="1225"/>
      <c r="O908" s="1226"/>
      <c r="P908" s="1227"/>
      <c r="Q908" s="1227"/>
      <c r="R908" s="1228"/>
      <c r="S908" s="1224"/>
      <c r="T908" s="1229"/>
      <c r="U908" s="1065"/>
      <c r="V908" s="1065"/>
      <c r="W908" s="1065"/>
      <c r="X908" s="1065"/>
      <c r="Y908" s="1065"/>
      <c r="Z908" s="1065"/>
      <c r="AA908" s="1065"/>
      <c r="AB908" s="1065"/>
      <c r="AC908" s="1065"/>
      <c r="AD908" s="1065"/>
      <c r="AE908" s="1065"/>
      <c r="AF908" s="1065"/>
      <c r="AG908" s="1065"/>
      <c r="AH908" s="1065"/>
      <c r="AI908" s="1065"/>
      <c r="AJ908" s="1065"/>
      <c r="AK908" s="1065"/>
      <c r="AL908" s="1065"/>
      <c r="AM908" s="1065"/>
      <c r="AN908" s="1065"/>
      <c r="AO908" s="1065"/>
      <c r="AP908" s="1065"/>
      <c r="AQ908" s="1065"/>
      <c r="AR908" s="1065"/>
      <c r="AS908" s="1065"/>
      <c r="AT908" s="1065"/>
      <c r="AU908" s="1065"/>
      <c r="AV908" s="1065"/>
      <c r="AW908" s="1065"/>
      <c r="AX908" s="1065"/>
      <c r="AY908" s="1065"/>
      <c r="AZ908" s="1065"/>
      <c r="BA908" s="1065"/>
      <c r="BB908" s="1065"/>
      <c r="BC908" s="1065"/>
      <c r="BD908" s="1065"/>
      <c r="BE908" s="1065"/>
      <c r="BF908" s="1065"/>
      <c r="BG908" s="1065"/>
      <c r="BH908" s="1065"/>
      <c r="BI908" s="1065"/>
      <c r="BJ908" s="1065"/>
      <c r="BK908" s="1065"/>
      <c r="BL908" s="1065"/>
      <c r="BM908" s="1065"/>
      <c r="BN908" s="1065"/>
      <c r="BO908" s="1065"/>
      <c r="BP908" s="1065"/>
      <c r="BQ908" s="1065"/>
      <c r="BR908" s="1065"/>
      <c r="BS908" s="1065"/>
      <c r="BT908" s="1065"/>
      <c r="BU908" s="1065"/>
      <c r="BV908" s="1065"/>
      <c r="BW908" s="1065"/>
      <c r="BX908" s="1065"/>
      <c r="BY908" s="1065"/>
      <c r="BZ908" s="1065"/>
      <c r="CA908" s="1065"/>
      <c r="CB908" s="1065"/>
      <c r="CC908" s="1065"/>
      <c r="CD908" s="1065"/>
      <c r="CE908" s="1065"/>
      <c r="CF908" s="1065"/>
      <c r="CG908" s="1065"/>
      <c r="CH908" s="1065"/>
      <c r="CI908" s="1065"/>
      <c r="CJ908" s="1065"/>
      <c r="CK908" s="1065"/>
      <c r="CL908" s="1065"/>
      <c r="CM908" s="1065"/>
      <c r="CN908" s="1065"/>
      <c r="CO908" s="1065"/>
      <c r="CP908" s="1065"/>
      <c r="CQ908" s="1065"/>
      <c r="CR908" s="1065"/>
      <c r="CS908" s="1065"/>
      <c r="CT908" s="1065"/>
      <c r="CU908" s="1065"/>
      <c r="CV908" s="1065"/>
      <c r="CW908" s="1065"/>
      <c r="CX908" s="1065"/>
      <c r="CY908" s="1065"/>
      <c r="CZ908" s="1065"/>
      <c r="DA908" s="1065"/>
      <c r="DB908" s="1065"/>
    </row>
    <row r="909" spans="1:106" ht="15" customHeight="1">
      <c r="A909" s="1065"/>
      <c r="B909" s="1065"/>
      <c r="C909" s="1065"/>
      <c r="D909" s="1065"/>
      <c r="E909" s="1065"/>
      <c r="F909" s="1065"/>
      <c r="G909" s="1065"/>
      <c r="H909" s="1223"/>
      <c r="I909" s="1223"/>
      <c r="J909" s="1224"/>
      <c r="K909" s="1224"/>
      <c r="L909" s="1224"/>
      <c r="M909" s="1225"/>
      <c r="N909" s="1225"/>
      <c r="O909" s="1226"/>
      <c r="P909" s="1227"/>
      <c r="Q909" s="1227"/>
      <c r="R909" s="1228"/>
      <c r="S909" s="1224"/>
      <c r="T909" s="1229"/>
      <c r="U909" s="1065"/>
      <c r="V909" s="1065"/>
      <c r="W909" s="1065"/>
      <c r="X909" s="1065"/>
      <c r="Y909" s="1065"/>
      <c r="Z909" s="1065"/>
      <c r="AA909" s="1065"/>
      <c r="AB909" s="1065"/>
      <c r="AC909" s="1065"/>
      <c r="AD909" s="1065"/>
      <c r="AE909" s="1065"/>
      <c r="AF909" s="1065"/>
      <c r="AG909" s="1065"/>
      <c r="AH909" s="1065"/>
      <c r="AI909" s="1065"/>
      <c r="AJ909" s="1065"/>
      <c r="AK909" s="1065"/>
      <c r="AL909" s="1065"/>
      <c r="AM909" s="1065"/>
      <c r="AN909" s="1065"/>
      <c r="AO909" s="1065"/>
      <c r="AP909" s="1065"/>
      <c r="AQ909" s="1065"/>
      <c r="AR909" s="1065"/>
      <c r="AS909" s="1065"/>
      <c r="AT909" s="1065"/>
      <c r="AU909" s="1065"/>
      <c r="AV909" s="1065"/>
      <c r="AW909" s="1065"/>
      <c r="AX909" s="1065"/>
      <c r="AY909" s="1065"/>
      <c r="AZ909" s="1065"/>
      <c r="BA909" s="1065"/>
      <c r="BB909" s="1065"/>
      <c r="BC909" s="1065"/>
      <c r="BD909" s="1065"/>
      <c r="BE909" s="1065"/>
      <c r="BF909" s="1065"/>
      <c r="BG909" s="1065"/>
      <c r="BH909" s="1065"/>
      <c r="BI909" s="1065"/>
      <c r="BJ909" s="1065"/>
      <c r="BK909" s="1065"/>
      <c r="BL909" s="1065"/>
      <c r="BM909" s="1065"/>
      <c r="BN909" s="1065"/>
      <c r="BO909" s="1065"/>
      <c r="BP909" s="1065"/>
      <c r="BQ909" s="1065"/>
      <c r="BR909" s="1065"/>
      <c r="BS909" s="1065"/>
      <c r="BT909" s="1065"/>
      <c r="BU909" s="1065"/>
      <c r="BV909" s="1065"/>
      <c r="BW909" s="1065"/>
      <c r="BX909" s="1065"/>
      <c r="BY909" s="1065"/>
      <c r="BZ909" s="1065"/>
      <c r="CA909" s="1065"/>
      <c r="CB909" s="1065"/>
      <c r="CC909" s="1065"/>
      <c r="CD909" s="1065"/>
      <c r="CE909" s="1065"/>
      <c r="CF909" s="1065"/>
      <c r="CG909" s="1065"/>
      <c r="CH909" s="1065"/>
      <c r="CI909" s="1065"/>
      <c r="CJ909" s="1065"/>
      <c r="CK909" s="1065"/>
      <c r="CL909" s="1065"/>
      <c r="CM909" s="1065"/>
      <c r="CN909" s="1065"/>
      <c r="CO909" s="1065"/>
      <c r="CP909" s="1065"/>
      <c r="CQ909" s="1065"/>
      <c r="CR909" s="1065"/>
      <c r="CS909" s="1065"/>
      <c r="CT909" s="1065"/>
      <c r="CU909" s="1065"/>
      <c r="CV909" s="1065"/>
      <c r="CW909" s="1065"/>
      <c r="CX909" s="1065"/>
      <c r="CY909" s="1065"/>
      <c r="CZ909" s="1065"/>
      <c r="DA909" s="1065"/>
      <c r="DB909" s="1065"/>
    </row>
    <row r="910" spans="1:106" ht="15" customHeight="1">
      <c r="A910" s="1065"/>
      <c r="B910" s="1065"/>
      <c r="C910" s="1065"/>
      <c r="D910" s="1065"/>
      <c r="E910" s="1065"/>
      <c r="F910" s="1065"/>
      <c r="G910" s="1065"/>
      <c r="H910" s="1223"/>
      <c r="I910" s="1223"/>
      <c r="J910" s="1224"/>
      <c r="K910" s="1224"/>
      <c r="L910" s="1224"/>
      <c r="M910" s="1225"/>
      <c r="N910" s="1225"/>
      <c r="O910" s="1226"/>
      <c r="P910" s="1227"/>
      <c r="Q910" s="1227"/>
      <c r="R910" s="1228"/>
      <c r="S910" s="1224"/>
      <c r="T910" s="1229"/>
      <c r="U910" s="1065"/>
      <c r="V910" s="1065"/>
      <c r="W910" s="1065"/>
      <c r="X910" s="1065"/>
      <c r="Y910" s="1065"/>
      <c r="Z910" s="1065"/>
      <c r="AA910" s="1065"/>
      <c r="AB910" s="1065"/>
      <c r="AC910" s="1065"/>
      <c r="AD910" s="1065"/>
      <c r="AE910" s="1065"/>
      <c r="AF910" s="1065"/>
      <c r="AG910" s="1065"/>
      <c r="AH910" s="1065"/>
      <c r="AI910" s="1065"/>
      <c r="AJ910" s="1065"/>
      <c r="AK910" s="1065"/>
      <c r="AL910" s="1065"/>
      <c r="AM910" s="1065"/>
      <c r="AN910" s="1065"/>
      <c r="AO910" s="1065"/>
      <c r="AP910" s="1065"/>
      <c r="AQ910" s="1065"/>
      <c r="AR910" s="1065"/>
      <c r="AS910" s="1065"/>
      <c r="AT910" s="1065"/>
      <c r="AU910" s="1065"/>
      <c r="AV910" s="1065"/>
      <c r="AW910" s="1065"/>
      <c r="AX910" s="1065"/>
      <c r="AY910" s="1065"/>
      <c r="AZ910" s="1065"/>
      <c r="BA910" s="1065"/>
      <c r="BB910" s="1065"/>
      <c r="BC910" s="1065"/>
      <c r="BD910" s="1065"/>
      <c r="BE910" s="1065"/>
      <c r="BF910" s="1065"/>
      <c r="BG910" s="1065"/>
      <c r="BH910" s="1065"/>
      <c r="BI910" s="1065"/>
      <c r="BJ910" s="1065"/>
      <c r="BK910" s="1065"/>
      <c r="BL910" s="1065"/>
      <c r="BM910" s="1065"/>
      <c r="BN910" s="1065"/>
      <c r="BO910" s="1065"/>
      <c r="BP910" s="1065"/>
      <c r="BQ910" s="1065"/>
      <c r="BR910" s="1065"/>
      <c r="BS910" s="1065"/>
      <c r="BT910" s="1065"/>
      <c r="BU910" s="1065"/>
      <c r="BV910" s="1065"/>
      <c r="BW910" s="1065"/>
      <c r="BX910" s="1065"/>
      <c r="BY910" s="1065"/>
      <c r="BZ910" s="1065"/>
      <c r="CA910" s="1065"/>
      <c r="CB910" s="1065"/>
      <c r="CC910" s="1065"/>
      <c r="CD910" s="1065"/>
      <c r="CE910" s="1065"/>
      <c r="CF910" s="1065"/>
      <c r="CG910" s="1065"/>
      <c r="CH910" s="1065"/>
      <c r="CI910" s="1065"/>
      <c r="CJ910" s="1065"/>
      <c r="CK910" s="1065"/>
      <c r="CL910" s="1065"/>
      <c r="CM910" s="1065"/>
      <c r="CN910" s="1065"/>
      <c r="CO910" s="1065"/>
      <c r="CP910" s="1065"/>
      <c r="CQ910" s="1065"/>
      <c r="CR910" s="1065"/>
      <c r="CS910" s="1065"/>
      <c r="CT910" s="1065"/>
      <c r="CU910" s="1065"/>
      <c r="CV910" s="1065"/>
      <c r="CW910" s="1065"/>
      <c r="CX910" s="1065"/>
      <c r="CY910" s="1065"/>
      <c r="CZ910" s="1065"/>
      <c r="DA910" s="1065"/>
      <c r="DB910" s="1065"/>
    </row>
    <row r="911" spans="1:106" ht="15" customHeight="1">
      <c r="A911" s="1065"/>
      <c r="B911" s="1065"/>
      <c r="C911" s="1065"/>
      <c r="D911" s="1065"/>
      <c r="E911" s="1065"/>
      <c r="F911" s="1065"/>
      <c r="G911" s="1065"/>
      <c r="H911" s="1223"/>
      <c r="I911" s="1223"/>
      <c r="J911" s="1224"/>
      <c r="K911" s="1224"/>
      <c r="L911" s="1224"/>
      <c r="M911" s="1225"/>
      <c r="N911" s="1225"/>
      <c r="O911" s="1226"/>
      <c r="P911" s="1227"/>
      <c r="Q911" s="1227"/>
      <c r="R911" s="1228"/>
      <c r="S911" s="1224"/>
      <c r="T911" s="1229"/>
      <c r="U911" s="1065"/>
      <c r="V911" s="1065"/>
      <c r="W911" s="1065"/>
      <c r="X911" s="1065"/>
      <c r="Y911" s="1065"/>
      <c r="Z911" s="1065"/>
      <c r="AA911" s="1065"/>
      <c r="AB911" s="1065"/>
      <c r="AC911" s="1065"/>
      <c r="AD911" s="1065"/>
      <c r="AE911" s="1065"/>
      <c r="AF911" s="1065"/>
      <c r="AG911" s="1065"/>
      <c r="AH911" s="1065"/>
      <c r="AI911" s="1065"/>
      <c r="AJ911" s="1065"/>
      <c r="AK911" s="1065"/>
      <c r="AL911" s="1065"/>
      <c r="AM911" s="1065"/>
      <c r="AN911" s="1065"/>
      <c r="AO911" s="1065"/>
      <c r="AP911" s="1065"/>
      <c r="AQ911" s="1065"/>
      <c r="AR911" s="1065"/>
      <c r="AS911" s="1065"/>
      <c r="AT911" s="1065"/>
      <c r="AU911" s="1065"/>
      <c r="AV911" s="1065"/>
      <c r="AW911" s="1065"/>
      <c r="AX911" s="1065"/>
      <c r="AY911" s="1065"/>
      <c r="AZ911" s="1065"/>
      <c r="BA911" s="1065"/>
      <c r="BB911" s="1065"/>
      <c r="BC911" s="1065"/>
      <c r="BD911" s="1065"/>
      <c r="BE911" s="1065"/>
      <c r="BF911" s="1065"/>
      <c r="BG911" s="1065"/>
      <c r="BH911" s="1065"/>
      <c r="BI911" s="1065"/>
      <c r="BJ911" s="1065"/>
      <c r="BK911" s="1065"/>
      <c r="BL911" s="1065"/>
      <c r="BM911" s="1065"/>
      <c r="BN911" s="1065"/>
      <c r="BO911" s="1065"/>
      <c r="BP911" s="1065"/>
      <c r="BQ911" s="1065"/>
      <c r="BR911" s="1065"/>
      <c r="BS911" s="1065"/>
      <c r="BT911" s="1065"/>
      <c r="BU911" s="1065"/>
      <c r="BV911" s="1065"/>
      <c r="BW911" s="1065"/>
      <c r="BX911" s="1065"/>
      <c r="BY911" s="1065"/>
      <c r="BZ911" s="1065"/>
      <c r="CA911" s="1065"/>
      <c r="CB911" s="1065"/>
      <c r="CC911" s="1065"/>
      <c r="CD911" s="1065"/>
      <c r="CE911" s="1065"/>
      <c r="CF911" s="1065"/>
      <c r="CG911" s="1065"/>
      <c r="CH911" s="1065"/>
      <c r="CI911" s="1065"/>
      <c r="CJ911" s="1065"/>
      <c r="CK911" s="1065"/>
      <c r="CL911" s="1065"/>
      <c r="CM911" s="1065"/>
      <c r="CN911" s="1065"/>
      <c r="CO911" s="1065"/>
      <c r="CP911" s="1065"/>
      <c r="CQ911" s="1065"/>
      <c r="CR911" s="1065"/>
      <c r="CS911" s="1065"/>
      <c r="CT911" s="1065"/>
      <c r="CU911" s="1065"/>
      <c r="CV911" s="1065"/>
      <c r="CW911" s="1065"/>
      <c r="CX911" s="1065"/>
      <c r="CY911" s="1065"/>
      <c r="CZ911" s="1065"/>
      <c r="DA911" s="1065"/>
      <c r="DB911" s="1065"/>
    </row>
    <row r="912" spans="1:106" ht="15" customHeight="1">
      <c r="A912" s="1065"/>
      <c r="B912" s="1065"/>
      <c r="C912" s="1065"/>
      <c r="D912" s="1065"/>
      <c r="E912" s="1065"/>
      <c r="F912" s="1065"/>
      <c r="G912" s="1065"/>
      <c r="H912" s="1223"/>
      <c r="I912" s="1223"/>
      <c r="J912" s="1224"/>
      <c r="K912" s="1224"/>
      <c r="L912" s="1224"/>
      <c r="M912" s="1225"/>
      <c r="N912" s="1225"/>
      <c r="O912" s="1226"/>
      <c r="P912" s="1227"/>
      <c r="Q912" s="1227"/>
      <c r="R912" s="1228"/>
      <c r="S912" s="1224"/>
      <c r="T912" s="1229"/>
      <c r="U912" s="1065"/>
      <c r="V912" s="1065"/>
      <c r="W912" s="1065"/>
      <c r="X912" s="1065"/>
      <c r="Y912" s="1065"/>
      <c r="Z912" s="1065"/>
      <c r="AA912" s="1065"/>
      <c r="AB912" s="1065"/>
      <c r="AC912" s="1065"/>
      <c r="AD912" s="1065"/>
      <c r="AE912" s="1065"/>
      <c r="AF912" s="1065"/>
      <c r="AG912" s="1065"/>
      <c r="AH912" s="1065"/>
      <c r="AI912" s="1065"/>
      <c r="AJ912" s="1065"/>
      <c r="AK912" s="1065"/>
      <c r="AL912" s="1065"/>
      <c r="AM912" s="1065"/>
      <c r="AN912" s="1065"/>
      <c r="AO912" s="1065"/>
      <c r="AP912" s="1065"/>
      <c r="AQ912" s="1065"/>
      <c r="AR912" s="1065"/>
      <c r="AS912" s="1065"/>
      <c r="AT912" s="1065"/>
      <c r="AU912" s="1065"/>
      <c r="AV912" s="1065"/>
      <c r="AW912" s="1065"/>
      <c r="AX912" s="1065"/>
      <c r="AY912" s="1065"/>
      <c r="AZ912" s="1065"/>
      <c r="BA912" s="1065"/>
      <c r="BB912" s="1065"/>
      <c r="BC912" s="1065"/>
      <c r="BD912" s="1065"/>
      <c r="BE912" s="1065"/>
      <c r="BF912" s="1065"/>
      <c r="BG912" s="1065"/>
      <c r="BH912" s="1065"/>
      <c r="BI912" s="1065"/>
      <c r="BJ912" s="1065"/>
      <c r="BK912" s="1065"/>
      <c r="BL912" s="1065"/>
      <c r="BM912" s="1065"/>
      <c r="BN912" s="1065"/>
      <c r="BO912" s="1065"/>
      <c r="BP912" s="1065"/>
      <c r="BQ912" s="1065"/>
      <c r="BR912" s="1065"/>
      <c r="BS912" s="1065"/>
      <c r="BT912" s="1065"/>
      <c r="BU912" s="1065"/>
      <c r="BV912" s="1065"/>
      <c r="BW912" s="1065"/>
      <c r="BX912" s="1065"/>
      <c r="BY912" s="1065"/>
      <c r="BZ912" s="1065"/>
      <c r="CA912" s="1065"/>
      <c r="CB912" s="1065"/>
      <c r="CC912" s="1065"/>
      <c r="CD912" s="1065"/>
      <c r="CE912" s="1065"/>
      <c r="CF912" s="1065"/>
      <c r="CG912" s="1065"/>
      <c r="CH912" s="1065"/>
      <c r="CI912" s="1065"/>
      <c r="CJ912" s="1065"/>
      <c r="CK912" s="1065"/>
      <c r="CL912" s="1065"/>
      <c r="CM912" s="1065"/>
      <c r="CN912" s="1065"/>
      <c r="CO912" s="1065"/>
      <c r="CP912" s="1065"/>
      <c r="CQ912" s="1065"/>
      <c r="CR912" s="1065"/>
      <c r="CS912" s="1065"/>
      <c r="CT912" s="1065"/>
      <c r="CU912" s="1065"/>
      <c r="CV912" s="1065"/>
      <c r="CW912" s="1065"/>
      <c r="CX912" s="1065"/>
      <c r="CY912" s="1065"/>
      <c r="CZ912" s="1065"/>
      <c r="DA912" s="1065"/>
      <c r="DB912" s="1065"/>
    </row>
    <row r="913" spans="1:106" ht="15" customHeight="1">
      <c r="A913" s="1065"/>
      <c r="B913" s="1065"/>
      <c r="C913" s="1065"/>
      <c r="D913" s="1065"/>
      <c r="E913" s="1065"/>
      <c r="F913" s="1065"/>
      <c r="G913" s="1065"/>
      <c r="H913" s="1223"/>
      <c r="I913" s="1223"/>
      <c r="J913" s="1224"/>
      <c r="K913" s="1224"/>
      <c r="L913" s="1224"/>
      <c r="M913" s="1225"/>
      <c r="N913" s="1225"/>
      <c r="O913" s="1226"/>
      <c r="P913" s="1227"/>
      <c r="Q913" s="1227"/>
      <c r="R913" s="1228"/>
      <c r="S913" s="1224"/>
      <c r="T913" s="1229"/>
      <c r="U913" s="1065"/>
      <c r="V913" s="1065"/>
      <c r="W913" s="1065"/>
      <c r="X913" s="1065"/>
      <c r="Y913" s="1065"/>
      <c r="Z913" s="1065"/>
      <c r="AA913" s="1065"/>
      <c r="AB913" s="1065"/>
      <c r="AC913" s="1065"/>
      <c r="AD913" s="1065"/>
      <c r="AE913" s="1065"/>
      <c r="AF913" s="1065"/>
      <c r="AG913" s="1065"/>
      <c r="AH913" s="1065"/>
      <c r="AI913" s="1065"/>
      <c r="AJ913" s="1065"/>
      <c r="AK913" s="1065"/>
      <c r="AL913" s="1065"/>
      <c r="AM913" s="1065"/>
      <c r="AN913" s="1065"/>
      <c r="AO913" s="1065"/>
      <c r="AP913" s="1065"/>
      <c r="AQ913" s="1065"/>
      <c r="AR913" s="1065"/>
      <c r="AS913" s="1065"/>
      <c r="AT913" s="1065"/>
      <c r="AU913" s="1065"/>
      <c r="AV913" s="1065"/>
      <c r="AW913" s="1065"/>
      <c r="AX913" s="1065"/>
      <c r="AY913" s="1065"/>
      <c r="AZ913" s="1065"/>
      <c r="BA913" s="1065"/>
      <c r="BB913" s="1065"/>
      <c r="BC913" s="1065"/>
      <c r="BD913" s="1065"/>
      <c r="BE913" s="1065"/>
      <c r="BF913" s="1065"/>
      <c r="BG913" s="1065"/>
      <c r="BH913" s="1065"/>
      <c r="BI913" s="1065"/>
      <c r="BJ913" s="1065"/>
      <c r="BK913" s="1065"/>
      <c r="BL913" s="1065"/>
      <c r="BM913" s="1065"/>
      <c r="BN913" s="1065"/>
      <c r="BO913" s="1065"/>
      <c r="BP913" s="1065"/>
      <c r="BQ913" s="1065"/>
      <c r="BR913" s="1065"/>
      <c r="BS913" s="1065"/>
      <c r="BT913" s="1065"/>
      <c r="BU913" s="1065"/>
      <c r="BV913" s="1065"/>
      <c r="BW913" s="1065"/>
      <c r="BX913" s="1065"/>
      <c r="BY913" s="1065"/>
      <c r="BZ913" s="1065"/>
      <c r="CA913" s="1065"/>
      <c r="CB913" s="1065"/>
      <c r="CC913" s="1065"/>
      <c r="CD913" s="1065"/>
      <c r="CE913" s="1065"/>
      <c r="CF913" s="1065"/>
      <c r="CG913" s="1065"/>
      <c r="CH913" s="1065"/>
      <c r="CI913" s="1065"/>
      <c r="CJ913" s="1065"/>
      <c r="CK913" s="1065"/>
      <c r="CL913" s="1065"/>
      <c r="CM913" s="1065"/>
      <c r="CN913" s="1065"/>
      <c r="CO913" s="1065"/>
      <c r="CP913" s="1065"/>
      <c r="CQ913" s="1065"/>
      <c r="CR913" s="1065"/>
      <c r="CS913" s="1065"/>
      <c r="CT913" s="1065"/>
      <c r="CU913" s="1065"/>
      <c r="CV913" s="1065"/>
      <c r="CW913" s="1065"/>
      <c r="CX913" s="1065"/>
      <c r="CY913" s="1065"/>
      <c r="CZ913" s="1065"/>
      <c r="DA913" s="1065"/>
      <c r="DB913" s="1065"/>
    </row>
    <row r="914" spans="1:106" ht="15" customHeight="1">
      <c r="A914" s="1065"/>
      <c r="B914" s="1065"/>
      <c r="C914" s="1065"/>
      <c r="D914" s="1065"/>
      <c r="E914" s="1065"/>
      <c r="F914" s="1065"/>
      <c r="G914" s="1065"/>
      <c r="H914" s="1223"/>
      <c r="I914" s="1223"/>
      <c r="J914" s="1224"/>
      <c r="K914" s="1224"/>
      <c r="L914" s="1224"/>
      <c r="M914" s="1225"/>
      <c r="N914" s="1225"/>
      <c r="O914" s="1226"/>
      <c r="P914" s="1227"/>
      <c r="Q914" s="1227"/>
      <c r="R914" s="1228"/>
      <c r="S914" s="1224"/>
      <c r="T914" s="1229"/>
      <c r="U914" s="1065"/>
      <c r="V914" s="1065"/>
      <c r="W914" s="1065"/>
      <c r="X914" s="1065"/>
      <c r="Y914" s="1065"/>
      <c r="Z914" s="1065"/>
      <c r="AA914" s="1065"/>
      <c r="AB914" s="1065"/>
      <c r="AC914" s="1065"/>
      <c r="AD914" s="1065"/>
      <c r="AE914" s="1065"/>
      <c r="AF914" s="1065"/>
      <c r="AG914" s="1065"/>
      <c r="AH914" s="1065"/>
      <c r="AI914" s="1065"/>
      <c r="AJ914" s="1065"/>
      <c r="AK914" s="1065"/>
      <c r="AL914" s="1065"/>
      <c r="AM914" s="1065"/>
      <c r="AN914" s="1065"/>
      <c r="AO914" s="1065"/>
      <c r="AP914" s="1065"/>
      <c r="AQ914" s="1065"/>
      <c r="AR914" s="1065"/>
      <c r="AS914" s="1065"/>
      <c r="AT914" s="1065"/>
      <c r="AU914" s="1065"/>
      <c r="AV914" s="1065"/>
      <c r="AW914" s="1065"/>
      <c r="AX914" s="1065"/>
      <c r="AY914" s="1065"/>
      <c r="AZ914" s="1065"/>
      <c r="BA914" s="1065"/>
      <c r="BB914" s="1065"/>
      <c r="BC914" s="1065"/>
      <c r="BD914" s="1065"/>
      <c r="BE914" s="1065"/>
      <c r="BF914" s="1065"/>
      <c r="BG914" s="1065"/>
      <c r="BH914" s="1065"/>
      <c r="BI914" s="1065"/>
      <c r="BJ914" s="1065"/>
      <c r="BK914" s="1065"/>
      <c r="BL914" s="1065"/>
      <c r="BM914" s="1065"/>
      <c r="BN914" s="1065"/>
      <c r="BO914" s="1065"/>
      <c r="BP914" s="1065"/>
      <c r="BQ914" s="1065"/>
      <c r="BR914" s="1065"/>
      <c r="BS914" s="1065"/>
      <c r="BT914" s="1065"/>
      <c r="BU914" s="1065"/>
      <c r="BV914" s="1065"/>
      <c r="BW914" s="1065"/>
      <c r="BX914" s="1065"/>
      <c r="BY914" s="1065"/>
      <c r="BZ914" s="1065"/>
      <c r="CA914" s="1065"/>
      <c r="CB914" s="1065"/>
      <c r="CC914" s="1065"/>
      <c r="CD914" s="1065"/>
      <c r="CE914" s="1065"/>
      <c r="CF914" s="1065"/>
      <c r="CG914" s="1065"/>
      <c r="CH914" s="1065"/>
      <c r="CI914" s="1065"/>
      <c r="CJ914" s="1065"/>
      <c r="CK914" s="1065"/>
      <c r="CL914" s="1065"/>
      <c r="CM914" s="1065"/>
      <c r="CN914" s="1065"/>
      <c r="CO914" s="1065"/>
      <c r="CP914" s="1065"/>
      <c r="CQ914" s="1065"/>
      <c r="CR914" s="1065"/>
      <c r="CS914" s="1065"/>
      <c r="CT914" s="1065"/>
      <c r="CU914" s="1065"/>
      <c r="CV914" s="1065"/>
      <c r="CW914" s="1065"/>
      <c r="CX914" s="1065"/>
      <c r="CY914" s="1065"/>
      <c r="CZ914" s="1065"/>
      <c r="DA914" s="1065"/>
      <c r="DB914" s="1065"/>
    </row>
    <row r="915" spans="1:106" ht="15" customHeight="1">
      <c r="A915" s="1065"/>
      <c r="B915" s="1065"/>
      <c r="C915" s="1065"/>
      <c r="D915" s="1065"/>
      <c r="E915" s="1065"/>
      <c r="F915" s="1065"/>
      <c r="G915" s="1065"/>
      <c r="H915" s="1223"/>
      <c r="I915" s="1223"/>
      <c r="J915" s="1224"/>
      <c r="K915" s="1224"/>
      <c r="L915" s="1224"/>
      <c r="M915" s="1225"/>
      <c r="N915" s="1225"/>
      <c r="O915" s="1226"/>
      <c r="P915" s="1227"/>
      <c r="Q915" s="1227"/>
      <c r="R915" s="1228"/>
      <c r="S915" s="1224"/>
      <c r="T915" s="1229"/>
      <c r="U915" s="1065"/>
      <c r="V915" s="1065"/>
      <c r="W915" s="1065"/>
      <c r="X915" s="1065"/>
      <c r="Y915" s="1065"/>
      <c r="Z915" s="1065"/>
      <c r="AA915" s="1065"/>
      <c r="AB915" s="1065"/>
      <c r="AC915" s="1065"/>
      <c r="AD915" s="1065"/>
      <c r="AE915" s="1065"/>
      <c r="AF915" s="1065"/>
      <c r="AG915" s="1065"/>
      <c r="AH915" s="1065"/>
      <c r="AI915" s="1065"/>
      <c r="AJ915" s="1065"/>
      <c r="AK915" s="1065"/>
      <c r="AL915" s="1065"/>
      <c r="AM915" s="1065"/>
      <c r="AN915" s="1065"/>
      <c r="AO915" s="1065"/>
      <c r="AP915" s="1065"/>
      <c r="AQ915" s="1065"/>
      <c r="AR915" s="1065"/>
      <c r="AS915" s="1065"/>
      <c r="AT915" s="1065"/>
      <c r="AU915" s="1065"/>
      <c r="AV915" s="1065"/>
      <c r="AW915" s="1065"/>
      <c r="AX915" s="1065"/>
      <c r="AY915" s="1065"/>
      <c r="AZ915" s="1065"/>
      <c r="BA915" s="1065"/>
      <c r="BB915" s="1065"/>
      <c r="BC915" s="1065"/>
      <c r="BD915" s="1065"/>
      <c r="BE915" s="1065"/>
      <c r="BF915" s="1065"/>
      <c r="BG915" s="1065"/>
      <c r="BH915" s="1065"/>
      <c r="BI915" s="1065"/>
      <c r="BJ915" s="1065"/>
      <c r="BK915" s="1065"/>
      <c r="BL915" s="1065"/>
      <c r="BM915" s="1065"/>
      <c r="BN915" s="1065"/>
      <c r="BO915" s="1065"/>
      <c r="BP915" s="1065"/>
      <c r="BQ915" s="1065"/>
      <c r="BR915" s="1065"/>
      <c r="BS915" s="1065"/>
      <c r="BT915" s="1065"/>
      <c r="BU915" s="1065"/>
      <c r="BV915" s="1065"/>
      <c r="BW915" s="1065"/>
      <c r="BX915" s="1065"/>
      <c r="BY915" s="1065"/>
      <c r="BZ915" s="1065"/>
      <c r="CA915" s="1065"/>
      <c r="CB915" s="1065"/>
      <c r="CC915" s="1065"/>
      <c r="CD915" s="1065"/>
      <c r="CE915" s="1065"/>
      <c r="CF915" s="1065"/>
      <c r="CG915" s="1065"/>
      <c r="CH915" s="1065"/>
      <c r="CI915" s="1065"/>
      <c r="CJ915" s="1065"/>
      <c r="CK915" s="1065"/>
      <c r="CL915" s="1065"/>
      <c r="CM915" s="1065"/>
      <c r="CN915" s="1065"/>
      <c r="CO915" s="1065"/>
      <c r="CP915" s="1065"/>
      <c r="CQ915" s="1065"/>
      <c r="CR915" s="1065"/>
      <c r="CS915" s="1065"/>
      <c r="CT915" s="1065"/>
      <c r="CU915" s="1065"/>
      <c r="CV915" s="1065"/>
      <c r="CW915" s="1065"/>
      <c r="CX915" s="1065"/>
      <c r="CY915" s="1065"/>
      <c r="CZ915" s="1065"/>
      <c r="DA915" s="1065"/>
      <c r="DB915" s="1065"/>
    </row>
    <row r="916" spans="1:106" ht="15" customHeight="1">
      <c r="A916" s="1065"/>
      <c r="B916" s="1065"/>
      <c r="C916" s="1065"/>
      <c r="D916" s="1065"/>
      <c r="E916" s="1065"/>
      <c r="F916" s="1065"/>
      <c r="G916" s="1065"/>
      <c r="H916" s="1223"/>
      <c r="I916" s="1223"/>
      <c r="J916" s="1224"/>
      <c r="K916" s="1224"/>
      <c r="L916" s="1224"/>
      <c r="M916" s="1225"/>
      <c r="N916" s="1225"/>
      <c r="O916" s="1226"/>
      <c r="P916" s="1227"/>
      <c r="Q916" s="1227"/>
      <c r="R916" s="1228"/>
      <c r="S916" s="1224"/>
      <c r="T916" s="1229"/>
      <c r="U916" s="1065"/>
      <c r="V916" s="1065"/>
      <c r="W916" s="1065"/>
      <c r="X916" s="1065"/>
      <c r="Y916" s="1065"/>
      <c r="Z916" s="1065"/>
      <c r="AA916" s="1065"/>
      <c r="AB916" s="1065"/>
      <c r="AC916" s="1065"/>
      <c r="AD916" s="1065"/>
      <c r="AE916" s="1065"/>
      <c r="AF916" s="1065"/>
      <c r="AG916" s="1065"/>
      <c r="AH916" s="1065"/>
      <c r="AI916" s="1065"/>
      <c r="AJ916" s="1065"/>
      <c r="AK916" s="1065"/>
      <c r="AL916" s="1065"/>
      <c r="AM916" s="1065"/>
      <c r="AN916" s="1065"/>
      <c r="AO916" s="1065"/>
      <c r="AP916" s="1065"/>
      <c r="AQ916" s="1065"/>
      <c r="AR916" s="1065"/>
      <c r="AS916" s="1065"/>
      <c r="AT916" s="1065"/>
      <c r="AU916" s="1065"/>
      <c r="AV916" s="1065"/>
      <c r="AW916" s="1065"/>
      <c r="AX916" s="1065"/>
      <c r="AY916" s="1065"/>
      <c r="AZ916" s="1065"/>
      <c r="BA916" s="1065"/>
      <c r="BB916" s="1065"/>
      <c r="BC916" s="1065"/>
      <c r="BD916" s="1065"/>
      <c r="BE916" s="1065"/>
      <c r="BF916" s="1065"/>
      <c r="BG916" s="1065"/>
      <c r="BH916" s="1065"/>
      <c r="BI916" s="1065"/>
      <c r="BJ916" s="1065"/>
      <c r="BK916" s="1065"/>
      <c r="BL916" s="1065"/>
      <c r="BM916" s="1065"/>
      <c r="BN916" s="1065"/>
      <c r="BO916" s="1065"/>
      <c r="BP916" s="1065"/>
      <c r="BQ916" s="1065"/>
      <c r="BR916" s="1065"/>
      <c r="BS916" s="1065"/>
      <c r="BT916" s="1065"/>
      <c r="BU916" s="1065"/>
      <c r="BV916" s="1065"/>
      <c r="BW916" s="1065"/>
      <c r="BX916" s="1065"/>
      <c r="BY916" s="1065"/>
      <c r="BZ916" s="1065"/>
      <c r="CA916" s="1065"/>
      <c r="CB916" s="1065"/>
      <c r="CC916" s="1065"/>
      <c r="CD916" s="1065"/>
      <c r="CE916" s="1065"/>
      <c r="CF916" s="1065"/>
      <c r="CG916" s="1065"/>
      <c r="CH916" s="1065"/>
      <c r="CI916" s="1065"/>
      <c r="CJ916" s="1065"/>
      <c r="CK916" s="1065"/>
      <c r="CL916" s="1065"/>
      <c r="CM916" s="1065"/>
      <c r="CN916" s="1065"/>
      <c r="CO916" s="1065"/>
      <c r="CP916" s="1065"/>
      <c r="CQ916" s="1065"/>
      <c r="CR916" s="1065"/>
      <c r="CS916" s="1065"/>
      <c r="CT916" s="1065"/>
      <c r="CU916" s="1065"/>
      <c r="CV916" s="1065"/>
      <c r="CW916" s="1065"/>
      <c r="CX916" s="1065"/>
      <c r="CY916" s="1065"/>
      <c r="CZ916" s="1065"/>
      <c r="DA916" s="1065"/>
      <c r="DB916" s="1065"/>
    </row>
    <row r="917" spans="1:106" ht="15" customHeight="1">
      <c r="A917" s="1065"/>
      <c r="B917" s="1065"/>
      <c r="C917" s="1065"/>
      <c r="D917" s="1065"/>
      <c r="E917" s="1065"/>
      <c r="F917" s="1065"/>
      <c r="G917" s="1065"/>
      <c r="H917" s="1223"/>
      <c r="I917" s="1223"/>
      <c r="J917" s="1224"/>
      <c r="K917" s="1224"/>
      <c r="L917" s="1224"/>
      <c r="M917" s="1225"/>
      <c r="N917" s="1225"/>
      <c r="O917" s="1226"/>
      <c r="P917" s="1227"/>
      <c r="Q917" s="1227"/>
      <c r="R917" s="1228"/>
      <c r="S917" s="1224"/>
      <c r="T917" s="1229"/>
      <c r="U917" s="1065"/>
      <c r="V917" s="1065"/>
      <c r="W917" s="1065"/>
      <c r="X917" s="1065"/>
      <c r="Y917" s="1065"/>
      <c r="Z917" s="1065"/>
      <c r="AA917" s="1065"/>
      <c r="AB917" s="1065"/>
      <c r="AC917" s="1065"/>
      <c r="AD917" s="1065"/>
      <c r="AE917" s="1065"/>
      <c r="AF917" s="1065"/>
      <c r="AG917" s="1065"/>
      <c r="AH917" s="1065"/>
      <c r="AI917" s="1065"/>
      <c r="AJ917" s="1065"/>
      <c r="AK917" s="1065"/>
      <c r="AL917" s="1065"/>
      <c r="AM917" s="1065"/>
      <c r="AN917" s="1065"/>
      <c r="AO917" s="1065"/>
      <c r="AP917" s="1065"/>
      <c r="AQ917" s="1065"/>
      <c r="AR917" s="1065"/>
      <c r="AS917" s="1065"/>
      <c r="AT917" s="1065"/>
      <c r="AU917" s="1065"/>
      <c r="AV917" s="1065"/>
      <c r="AW917" s="1065"/>
      <c r="AX917" s="1065"/>
      <c r="AY917" s="1065"/>
      <c r="AZ917" s="1065"/>
      <c r="BA917" s="1065"/>
      <c r="BB917" s="1065"/>
      <c r="BC917" s="1065"/>
      <c r="BD917" s="1065"/>
      <c r="BE917" s="1065"/>
      <c r="BF917" s="1065"/>
      <c r="BG917" s="1065"/>
      <c r="BH917" s="1065"/>
      <c r="BI917" s="1065"/>
      <c r="BJ917" s="1065"/>
      <c r="BK917" s="1065"/>
      <c r="BL917" s="1065"/>
      <c r="BM917" s="1065"/>
      <c r="BN917" s="1065"/>
      <c r="BO917" s="1065"/>
      <c r="BP917" s="1065"/>
      <c r="BQ917" s="1065"/>
      <c r="BR917" s="1065"/>
      <c r="BS917" s="1065"/>
      <c r="BT917" s="1065"/>
      <c r="BU917" s="1065"/>
      <c r="BV917" s="1065"/>
      <c r="BW917" s="1065"/>
      <c r="BX917" s="1065"/>
      <c r="BY917" s="1065"/>
      <c r="BZ917" s="1065"/>
      <c r="CA917" s="1065"/>
      <c r="CB917" s="1065"/>
      <c r="CC917" s="1065"/>
      <c r="CD917" s="1065"/>
      <c r="CE917" s="1065"/>
      <c r="CF917" s="1065"/>
      <c r="CG917" s="1065"/>
      <c r="CH917" s="1065"/>
      <c r="CI917" s="1065"/>
      <c r="CJ917" s="1065"/>
      <c r="CK917" s="1065"/>
      <c r="CL917" s="1065"/>
      <c r="CM917" s="1065"/>
      <c r="CN917" s="1065"/>
      <c r="CO917" s="1065"/>
      <c r="CP917" s="1065"/>
      <c r="CQ917" s="1065"/>
      <c r="CR917" s="1065"/>
      <c r="CS917" s="1065"/>
      <c r="CT917" s="1065"/>
      <c r="CU917" s="1065"/>
      <c r="CV917" s="1065"/>
      <c r="CW917" s="1065"/>
      <c r="CX917" s="1065"/>
      <c r="CY917" s="1065"/>
      <c r="CZ917" s="1065"/>
      <c r="DA917" s="1065"/>
      <c r="DB917" s="1065"/>
    </row>
    <row r="918" spans="1:106" ht="15" customHeight="1">
      <c r="A918" s="1065"/>
      <c r="B918" s="1065"/>
      <c r="C918" s="1065"/>
      <c r="D918" s="1065"/>
      <c r="E918" s="1065"/>
      <c r="F918" s="1065"/>
      <c r="G918" s="1065"/>
      <c r="H918" s="1223"/>
      <c r="I918" s="1223"/>
      <c r="J918" s="1224"/>
      <c r="K918" s="1224"/>
      <c r="L918" s="1224"/>
      <c r="M918" s="1225"/>
      <c r="N918" s="1225"/>
      <c r="O918" s="1226"/>
      <c r="P918" s="1227"/>
      <c r="Q918" s="1227"/>
      <c r="R918" s="1228"/>
      <c r="S918" s="1224"/>
      <c r="T918" s="1229"/>
      <c r="U918" s="1065"/>
      <c r="V918" s="1065"/>
      <c r="W918" s="1065"/>
      <c r="X918" s="1065"/>
      <c r="Y918" s="1065"/>
      <c r="Z918" s="1065"/>
      <c r="AA918" s="1065"/>
      <c r="AB918" s="1065"/>
      <c r="AC918" s="1065"/>
      <c r="AD918" s="1065"/>
      <c r="AE918" s="1065"/>
      <c r="AF918" s="1065"/>
      <c r="AG918" s="1065"/>
      <c r="AH918" s="1065"/>
      <c r="AI918" s="1065"/>
      <c r="AJ918" s="1065"/>
      <c r="AK918" s="1065"/>
      <c r="AL918" s="1065"/>
      <c r="AM918" s="1065"/>
      <c r="AN918" s="1065"/>
      <c r="AO918" s="1065"/>
      <c r="AP918" s="1065"/>
      <c r="AQ918" s="1065"/>
      <c r="AR918" s="1065"/>
      <c r="AS918" s="1065"/>
      <c r="AT918" s="1065"/>
      <c r="AU918" s="1065"/>
      <c r="AV918" s="1065"/>
      <c r="AW918" s="1065"/>
      <c r="AX918" s="1065"/>
      <c r="AY918" s="1065"/>
      <c r="AZ918" s="1065"/>
      <c r="BA918" s="1065"/>
      <c r="BB918" s="1065"/>
      <c r="BC918" s="1065"/>
      <c r="BD918" s="1065"/>
      <c r="BE918" s="1065"/>
      <c r="BF918" s="1065"/>
      <c r="BG918" s="1065"/>
      <c r="BH918" s="1065"/>
      <c r="BI918" s="1065"/>
      <c r="BJ918" s="1065"/>
      <c r="BK918" s="1065"/>
      <c r="BL918" s="1065"/>
      <c r="BM918" s="1065"/>
      <c r="BN918" s="1065"/>
      <c r="BO918" s="1065"/>
      <c r="BP918" s="1065"/>
      <c r="BQ918" s="1065"/>
      <c r="BR918" s="1065"/>
      <c r="BS918" s="1065"/>
      <c r="BT918" s="1065"/>
      <c r="BU918" s="1065"/>
      <c r="BV918" s="1065"/>
      <c r="BW918" s="1065"/>
      <c r="BX918" s="1065"/>
      <c r="BY918" s="1065"/>
      <c r="BZ918" s="1065"/>
      <c r="CA918" s="1065"/>
      <c r="CB918" s="1065"/>
      <c r="CC918" s="1065"/>
      <c r="CD918" s="1065"/>
      <c r="CE918" s="1065"/>
      <c r="CF918" s="1065"/>
      <c r="CG918" s="1065"/>
      <c r="CH918" s="1065"/>
      <c r="CI918" s="1065"/>
      <c r="CJ918" s="1065"/>
      <c r="CK918" s="1065"/>
      <c r="CL918" s="1065"/>
      <c r="CM918" s="1065"/>
      <c r="CN918" s="1065"/>
      <c r="CO918" s="1065"/>
      <c r="CP918" s="1065"/>
      <c r="CQ918" s="1065"/>
      <c r="CR918" s="1065"/>
      <c r="CS918" s="1065"/>
      <c r="CT918" s="1065"/>
      <c r="CU918" s="1065"/>
      <c r="CV918" s="1065"/>
      <c r="CW918" s="1065"/>
      <c r="CX918" s="1065"/>
      <c r="CY918" s="1065"/>
      <c r="CZ918" s="1065"/>
      <c r="DA918" s="1065"/>
      <c r="DB918" s="1065"/>
    </row>
    <row r="919" spans="1:106" ht="15" customHeight="1">
      <c r="A919" s="1065"/>
      <c r="B919" s="1065"/>
      <c r="C919" s="1065"/>
      <c r="D919" s="1065"/>
      <c r="E919" s="1065"/>
      <c r="F919" s="1065"/>
      <c r="G919" s="1065"/>
      <c r="H919" s="1223"/>
      <c r="I919" s="1223"/>
      <c r="J919" s="1224"/>
      <c r="K919" s="1224"/>
      <c r="L919" s="1224"/>
      <c r="M919" s="1225"/>
      <c r="N919" s="1225"/>
      <c r="O919" s="1226"/>
      <c r="P919" s="1227"/>
      <c r="Q919" s="1227"/>
      <c r="R919" s="1228"/>
      <c r="S919" s="1224"/>
      <c r="T919" s="1229"/>
      <c r="U919" s="1065"/>
      <c r="V919" s="1065"/>
      <c r="W919" s="1065"/>
      <c r="X919" s="1065"/>
      <c r="Y919" s="1065"/>
      <c r="Z919" s="1065"/>
      <c r="AA919" s="1065"/>
      <c r="AB919" s="1065"/>
      <c r="AC919" s="1065"/>
      <c r="AD919" s="1065"/>
      <c r="AE919" s="1065"/>
      <c r="AF919" s="1065"/>
      <c r="AG919" s="1065"/>
      <c r="AH919" s="1065"/>
      <c r="AI919" s="1065"/>
      <c r="AJ919" s="1065"/>
      <c r="AK919" s="1065"/>
      <c r="AL919" s="1065"/>
      <c r="AM919" s="1065"/>
      <c r="AN919" s="1065"/>
      <c r="AO919" s="1065"/>
      <c r="AP919" s="1065"/>
      <c r="AQ919" s="1065"/>
      <c r="AR919" s="1065"/>
      <c r="AS919" s="1065"/>
      <c r="AT919" s="1065"/>
      <c r="AU919" s="1065"/>
      <c r="AV919" s="1065"/>
      <c r="AW919" s="1065"/>
      <c r="AX919" s="1065"/>
      <c r="AY919" s="1065"/>
      <c r="AZ919" s="1065"/>
      <c r="BA919" s="1065"/>
      <c r="BB919" s="1065"/>
      <c r="BC919" s="1065"/>
      <c r="BD919" s="1065"/>
      <c r="BE919" s="1065"/>
      <c r="BF919" s="1065"/>
      <c r="BG919" s="1065"/>
      <c r="BH919" s="1065"/>
      <c r="BI919" s="1065"/>
      <c r="BJ919" s="1065"/>
      <c r="BK919" s="1065"/>
      <c r="BL919" s="1065"/>
      <c r="BM919" s="1065"/>
      <c r="BN919" s="1065"/>
      <c r="BO919" s="1065"/>
      <c r="BP919" s="1065"/>
      <c r="BQ919" s="1065"/>
      <c r="BR919" s="1065"/>
      <c r="BS919" s="1065"/>
      <c r="BT919" s="1065"/>
      <c r="BU919" s="1065"/>
      <c r="BV919" s="1065"/>
      <c r="BW919" s="1065"/>
      <c r="BX919" s="1065"/>
      <c r="BY919" s="1065"/>
      <c r="BZ919" s="1065"/>
      <c r="CA919" s="1065"/>
      <c r="CB919" s="1065"/>
      <c r="CC919" s="1065"/>
      <c r="CD919" s="1065"/>
      <c r="CE919" s="1065"/>
      <c r="CF919" s="1065"/>
      <c r="CG919" s="1065"/>
      <c r="CH919" s="1065"/>
      <c r="CI919" s="1065"/>
      <c r="CJ919" s="1065"/>
      <c r="CK919" s="1065"/>
      <c r="CL919" s="1065"/>
      <c r="CM919" s="1065"/>
      <c r="CN919" s="1065"/>
      <c r="CO919" s="1065"/>
      <c r="CP919" s="1065"/>
      <c r="CQ919" s="1065"/>
      <c r="CR919" s="1065"/>
      <c r="CS919" s="1065"/>
      <c r="CT919" s="1065"/>
      <c r="CU919" s="1065"/>
      <c r="CV919" s="1065"/>
      <c r="CW919" s="1065"/>
      <c r="CX919" s="1065"/>
      <c r="CY919" s="1065"/>
      <c r="CZ919" s="1065"/>
      <c r="DA919" s="1065"/>
      <c r="DB919" s="1065"/>
    </row>
    <row r="920" spans="1:106" ht="15" customHeight="1">
      <c r="A920" s="1065"/>
      <c r="B920" s="1065"/>
      <c r="C920" s="1065"/>
      <c r="D920" s="1065"/>
      <c r="E920" s="1065"/>
      <c r="F920" s="1065"/>
      <c r="G920" s="1065"/>
      <c r="H920" s="1223"/>
      <c r="I920" s="1223"/>
      <c r="J920" s="1224"/>
      <c r="K920" s="1224"/>
      <c r="L920" s="1224"/>
      <c r="M920" s="1225"/>
      <c r="N920" s="1225"/>
      <c r="O920" s="1226"/>
      <c r="P920" s="1227"/>
      <c r="Q920" s="1227"/>
      <c r="R920" s="1228"/>
      <c r="S920" s="1224"/>
      <c r="T920" s="1229"/>
      <c r="U920" s="1065"/>
      <c r="V920" s="1065"/>
      <c r="W920" s="1065"/>
      <c r="X920" s="1065"/>
      <c r="Y920" s="1065"/>
      <c r="Z920" s="1065"/>
      <c r="AA920" s="1065"/>
      <c r="AB920" s="1065"/>
      <c r="AC920" s="1065"/>
      <c r="AD920" s="1065"/>
      <c r="AE920" s="1065"/>
      <c r="AF920" s="1065"/>
      <c r="AG920" s="1065"/>
      <c r="AH920" s="1065"/>
      <c r="AI920" s="1065"/>
      <c r="AJ920" s="1065"/>
      <c r="AK920" s="1065"/>
      <c r="AL920" s="1065"/>
      <c r="AM920" s="1065"/>
      <c r="AN920" s="1065"/>
      <c r="AO920" s="1065"/>
      <c r="AP920" s="1065"/>
      <c r="AQ920" s="1065"/>
      <c r="AR920" s="1065"/>
      <c r="AS920" s="1065"/>
      <c r="AT920" s="1065"/>
      <c r="AU920" s="1065"/>
      <c r="AV920" s="1065"/>
      <c r="AW920" s="1065"/>
      <c r="AX920" s="1065"/>
      <c r="AY920" s="1065"/>
      <c r="AZ920" s="1065"/>
      <c r="BA920" s="1065"/>
      <c r="BB920" s="1065"/>
      <c r="BC920" s="1065"/>
      <c r="BD920" s="1065"/>
      <c r="BE920" s="1065"/>
      <c r="BF920" s="1065"/>
      <c r="BG920" s="1065"/>
      <c r="BH920" s="1065"/>
      <c r="BI920" s="1065"/>
      <c r="BJ920" s="1065"/>
      <c r="BK920" s="1065"/>
      <c r="BL920" s="1065"/>
      <c r="BM920" s="1065"/>
      <c r="BN920" s="1065"/>
      <c r="BO920" s="1065"/>
      <c r="BP920" s="1065"/>
      <c r="BQ920" s="1065"/>
      <c r="BR920" s="1065"/>
      <c r="BS920" s="1065"/>
      <c r="BT920" s="1065"/>
      <c r="BU920" s="1065"/>
      <c r="BV920" s="1065"/>
      <c r="BW920" s="1065"/>
      <c r="BX920" s="1065"/>
      <c r="BY920" s="1065"/>
      <c r="BZ920" s="1065"/>
      <c r="CA920" s="1065"/>
      <c r="CB920" s="1065"/>
      <c r="CC920" s="1065"/>
      <c r="CD920" s="1065"/>
      <c r="CE920" s="1065"/>
      <c r="CF920" s="1065"/>
      <c r="CG920" s="1065"/>
      <c r="CH920" s="1065"/>
      <c r="CI920" s="1065"/>
      <c r="CJ920" s="1065"/>
      <c r="CK920" s="1065"/>
      <c r="CL920" s="1065"/>
      <c r="CM920" s="1065"/>
      <c r="CN920" s="1065"/>
      <c r="CO920" s="1065"/>
      <c r="CP920" s="1065"/>
      <c r="CQ920" s="1065"/>
      <c r="CR920" s="1065"/>
      <c r="CS920" s="1065"/>
      <c r="CT920" s="1065"/>
      <c r="CU920" s="1065"/>
      <c r="CV920" s="1065"/>
      <c r="CW920" s="1065"/>
      <c r="CX920" s="1065"/>
      <c r="CY920" s="1065"/>
      <c r="CZ920" s="1065"/>
      <c r="DA920" s="1065"/>
      <c r="DB920" s="1065"/>
    </row>
    <row r="921" spans="1:106" ht="15" customHeight="1">
      <c r="A921" s="1065"/>
      <c r="B921" s="1065"/>
      <c r="C921" s="1065"/>
      <c r="D921" s="1065"/>
      <c r="E921" s="1065"/>
      <c r="F921" s="1065"/>
      <c r="G921" s="1065"/>
      <c r="H921" s="1223"/>
      <c r="I921" s="1223"/>
      <c r="J921" s="1224"/>
      <c r="K921" s="1224"/>
      <c r="L921" s="1224"/>
      <c r="M921" s="1225"/>
      <c r="N921" s="1225"/>
      <c r="O921" s="1226"/>
      <c r="P921" s="1227"/>
      <c r="Q921" s="1227"/>
      <c r="R921" s="1228"/>
      <c r="S921" s="1224"/>
      <c r="T921" s="1229"/>
      <c r="U921" s="1065"/>
      <c r="V921" s="1065"/>
      <c r="W921" s="1065"/>
      <c r="X921" s="1065"/>
      <c r="Y921" s="1065"/>
      <c r="Z921" s="1065"/>
      <c r="AA921" s="1065"/>
      <c r="AB921" s="1065"/>
      <c r="AC921" s="1065"/>
      <c r="AD921" s="1065"/>
      <c r="AE921" s="1065"/>
      <c r="AF921" s="1065"/>
      <c r="AG921" s="1065"/>
      <c r="AH921" s="1065"/>
      <c r="AI921" s="1065"/>
      <c r="AJ921" s="1065"/>
      <c r="AK921" s="1065"/>
      <c r="AL921" s="1065"/>
      <c r="AM921" s="1065"/>
      <c r="AN921" s="1065"/>
      <c r="AO921" s="1065"/>
      <c r="AP921" s="1065"/>
      <c r="AQ921" s="1065"/>
      <c r="AR921" s="1065"/>
      <c r="AS921" s="1065"/>
      <c r="AT921" s="1065"/>
      <c r="AU921" s="1065"/>
      <c r="AV921" s="1065"/>
      <c r="AW921" s="1065"/>
      <c r="AX921" s="1065"/>
      <c r="AY921" s="1065"/>
      <c r="AZ921" s="1065"/>
      <c r="BA921" s="1065"/>
      <c r="BB921" s="1065"/>
      <c r="BC921" s="1065"/>
      <c r="BD921" s="1065"/>
      <c r="BE921" s="1065"/>
      <c r="BF921" s="1065"/>
      <c r="BG921" s="1065"/>
      <c r="BH921" s="1065"/>
      <c r="BI921" s="1065"/>
      <c r="BJ921" s="1065"/>
      <c r="BK921" s="1065"/>
      <c r="BL921" s="1065"/>
      <c r="BM921" s="1065"/>
      <c r="BN921" s="1065"/>
      <c r="BO921" s="1065"/>
      <c r="BP921" s="1065"/>
      <c r="BQ921" s="1065"/>
      <c r="BR921" s="1065"/>
      <c r="BS921" s="1065"/>
      <c r="BT921" s="1065"/>
      <c r="BU921" s="1065"/>
      <c r="BV921" s="1065"/>
      <c r="BW921" s="1065"/>
      <c r="BX921" s="1065"/>
      <c r="BY921" s="1065"/>
      <c r="BZ921" s="1065"/>
      <c r="CA921" s="1065"/>
      <c r="CB921" s="1065"/>
      <c r="CC921" s="1065"/>
      <c r="CD921" s="1065"/>
      <c r="CE921" s="1065"/>
      <c r="CF921" s="1065"/>
      <c r="CG921" s="1065"/>
      <c r="CH921" s="1065"/>
      <c r="CI921" s="1065"/>
      <c r="CJ921" s="1065"/>
      <c r="CK921" s="1065"/>
      <c r="CL921" s="1065"/>
      <c r="CM921" s="1065"/>
      <c r="CN921" s="1065"/>
      <c r="CO921" s="1065"/>
      <c r="CP921" s="1065"/>
      <c r="CQ921" s="1065"/>
      <c r="CR921" s="1065"/>
      <c r="CS921" s="1065"/>
      <c r="CT921" s="1065"/>
      <c r="CU921" s="1065"/>
      <c r="CV921" s="1065"/>
      <c r="CW921" s="1065"/>
      <c r="CX921" s="1065"/>
      <c r="CY921" s="1065"/>
      <c r="CZ921" s="1065"/>
      <c r="DA921" s="1065"/>
      <c r="DB921" s="1065"/>
    </row>
    <row r="922" spans="1:106" ht="15" customHeight="1">
      <c r="A922" s="1065"/>
      <c r="B922" s="1065"/>
      <c r="C922" s="1065"/>
      <c r="D922" s="1065"/>
      <c r="E922" s="1065"/>
      <c r="F922" s="1065"/>
      <c r="G922" s="1065"/>
      <c r="H922" s="1223"/>
      <c r="I922" s="1223"/>
      <c r="J922" s="1224"/>
      <c r="K922" s="1224"/>
      <c r="L922" s="1224"/>
      <c r="M922" s="1225"/>
      <c r="N922" s="1225"/>
      <c r="O922" s="1226"/>
      <c r="P922" s="1227"/>
      <c r="Q922" s="1227"/>
      <c r="R922" s="1228"/>
      <c r="S922" s="1224"/>
      <c r="T922" s="1229"/>
      <c r="U922" s="1065"/>
      <c r="V922" s="1065"/>
      <c r="W922" s="1065"/>
      <c r="X922" s="1065"/>
      <c r="Y922" s="1065"/>
      <c r="Z922" s="1065"/>
      <c r="AA922" s="1065"/>
      <c r="AB922" s="1065"/>
      <c r="AC922" s="1065"/>
      <c r="AD922" s="1065"/>
      <c r="AE922" s="1065"/>
      <c r="AF922" s="1065"/>
      <c r="AG922" s="1065"/>
      <c r="AH922" s="1065"/>
      <c r="AI922" s="1065"/>
      <c r="AJ922" s="1065"/>
      <c r="AK922" s="1065"/>
      <c r="AL922" s="1065"/>
      <c r="AM922" s="1065"/>
      <c r="AN922" s="1065"/>
      <c r="AO922" s="1065"/>
      <c r="AP922" s="1065"/>
      <c r="AQ922" s="1065"/>
      <c r="AR922" s="1065"/>
      <c r="AS922" s="1065"/>
      <c r="AT922" s="1065"/>
      <c r="AU922" s="1065"/>
      <c r="AV922" s="1065"/>
      <c r="AW922" s="1065"/>
      <c r="AX922" s="1065"/>
      <c r="AY922" s="1065"/>
      <c r="AZ922" s="1065"/>
      <c r="BA922" s="1065"/>
      <c r="BB922" s="1065"/>
      <c r="BC922" s="1065"/>
      <c r="BD922" s="1065"/>
      <c r="BE922" s="1065"/>
      <c r="BF922" s="1065"/>
      <c r="BG922" s="1065"/>
      <c r="BH922" s="1065"/>
      <c r="BI922" s="1065"/>
      <c r="BJ922" s="1065"/>
      <c r="BK922" s="1065"/>
      <c r="BL922" s="1065"/>
      <c r="BM922" s="1065"/>
      <c r="BN922" s="1065"/>
      <c r="BO922" s="1065"/>
      <c r="BP922" s="1065"/>
      <c r="BQ922" s="1065"/>
      <c r="BR922" s="1065"/>
      <c r="BS922" s="1065"/>
      <c r="BT922" s="1065"/>
      <c r="BU922" s="1065"/>
      <c r="BV922" s="1065"/>
      <c r="BW922" s="1065"/>
      <c r="BX922" s="1065"/>
      <c r="BY922" s="1065"/>
      <c r="BZ922" s="1065"/>
      <c r="CA922" s="1065"/>
      <c r="CB922" s="1065"/>
      <c r="CC922" s="1065"/>
      <c r="CD922" s="1065"/>
      <c r="CE922" s="1065"/>
      <c r="CF922" s="1065"/>
      <c r="CG922" s="1065"/>
      <c r="CH922" s="1065"/>
      <c r="CI922" s="1065"/>
      <c r="CJ922" s="1065"/>
      <c r="CK922" s="1065"/>
      <c r="CL922" s="1065"/>
      <c r="CM922" s="1065"/>
      <c r="CN922" s="1065"/>
      <c r="CO922" s="1065"/>
      <c r="CP922" s="1065"/>
      <c r="CQ922" s="1065"/>
      <c r="CR922" s="1065"/>
      <c r="CS922" s="1065"/>
      <c r="CT922" s="1065"/>
      <c r="CU922" s="1065"/>
      <c r="CV922" s="1065"/>
      <c r="CW922" s="1065"/>
      <c r="CX922" s="1065"/>
      <c r="CY922" s="1065"/>
      <c r="CZ922" s="1065"/>
      <c r="DA922" s="1065"/>
      <c r="DB922" s="1065"/>
    </row>
    <row r="923" spans="1:106" ht="15" customHeight="1">
      <c r="A923" s="1065"/>
      <c r="B923" s="1065"/>
      <c r="C923" s="1065"/>
      <c r="D923" s="1065"/>
      <c r="E923" s="1065"/>
      <c r="F923" s="1065"/>
      <c r="G923" s="1065"/>
      <c r="H923" s="1223"/>
      <c r="I923" s="1223"/>
      <c r="J923" s="1224"/>
      <c r="K923" s="1224"/>
      <c r="L923" s="1224"/>
      <c r="M923" s="1225"/>
      <c r="N923" s="1225"/>
      <c r="O923" s="1226"/>
      <c r="P923" s="1227"/>
      <c r="Q923" s="1227"/>
      <c r="R923" s="1228"/>
      <c r="S923" s="1224"/>
      <c r="T923" s="1229"/>
      <c r="U923" s="1065"/>
      <c r="V923" s="1065"/>
      <c r="W923" s="1065"/>
      <c r="X923" s="1065"/>
      <c r="Y923" s="1065"/>
      <c r="Z923" s="1065"/>
      <c r="AA923" s="1065"/>
      <c r="AB923" s="1065"/>
      <c r="AC923" s="1065"/>
      <c r="AD923" s="1065"/>
      <c r="AE923" s="1065"/>
      <c r="AF923" s="1065"/>
      <c r="AG923" s="1065"/>
      <c r="AH923" s="1065"/>
      <c r="AI923" s="1065"/>
      <c r="AJ923" s="1065"/>
      <c r="AK923" s="1065"/>
      <c r="AL923" s="1065"/>
      <c r="AM923" s="1065"/>
      <c r="AN923" s="1065"/>
      <c r="AO923" s="1065"/>
      <c r="AP923" s="1065"/>
      <c r="AQ923" s="1065"/>
      <c r="AR923" s="1065"/>
      <c r="AS923" s="1065"/>
      <c r="AT923" s="1065"/>
      <c r="AU923" s="1065"/>
      <c r="AV923" s="1065"/>
      <c r="AW923" s="1065"/>
      <c r="AX923" s="1065"/>
      <c r="AY923" s="1065"/>
      <c r="AZ923" s="1065"/>
      <c r="BA923" s="1065"/>
      <c r="BB923" s="1065"/>
      <c r="BC923" s="1065"/>
      <c r="BD923" s="1065"/>
      <c r="BE923" s="1065"/>
      <c r="BF923" s="1065"/>
      <c r="BG923" s="1065"/>
      <c r="BH923" s="1065"/>
      <c r="BI923" s="1065"/>
      <c r="BJ923" s="1065"/>
      <c r="BK923" s="1065"/>
      <c r="BL923" s="1065"/>
      <c r="BM923" s="1065"/>
      <c r="BN923" s="1065"/>
      <c r="BO923" s="1065"/>
      <c r="BP923" s="1065"/>
      <c r="BQ923" s="1065"/>
      <c r="BR923" s="1065"/>
      <c r="BS923" s="1065"/>
      <c r="BT923" s="1065"/>
      <c r="BU923" s="1065"/>
      <c r="BV923" s="1065"/>
      <c r="BW923" s="1065"/>
      <c r="BX923" s="1065"/>
      <c r="BY923" s="1065"/>
      <c r="BZ923" s="1065"/>
      <c r="CA923" s="1065"/>
      <c r="CB923" s="1065"/>
      <c r="CC923" s="1065"/>
      <c r="CD923" s="1065"/>
      <c r="CE923" s="1065"/>
      <c r="CF923" s="1065"/>
      <c r="CG923" s="1065"/>
      <c r="CH923" s="1065"/>
      <c r="CI923" s="1065"/>
      <c r="CJ923" s="1065"/>
      <c r="CK923" s="1065"/>
      <c r="CL923" s="1065"/>
      <c r="CM923" s="1065"/>
      <c r="CN923" s="1065"/>
      <c r="CO923" s="1065"/>
      <c r="CP923" s="1065"/>
      <c r="CQ923" s="1065"/>
      <c r="CR923" s="1065"/>
      <c r="CS923" s="1065"/>
      <c r="CT923" s="1065"/>
      <c r="CU923" s="1065"/>
      <c r="CV923" s="1065"/>
      <c r="CW923" s="1065"/>
      <c r="CX923" s="1065"/>
      <c r="CY923" s="1065"/>
      <c r="CZ923" s="1065"/>
      <c r="DA923" s="1065"/>
      <c r="DB923" s="1065"/>
    </row>
    <row r="924" spans="1:106" ht="15" customHeight="1">
      <c r="A924" s="1065"/>
      <c r="B924" s="1065"/>
      <c r="C924" s="1065"/>
      <c r="D924" s="1065"/>
      <c r="E924" s="1065"/>
      <c r="F924" s="1065"/>
      <c r="G924" s="1065"/>
      <c r="H924" s="1223"/>
      <c r="I924" s="1223"/>
      <c r="J924" s="1224"/>
      <c r="K924" s="1224"/>
      <c r="L924" s="1224"/>
      <c r="M924" s="1225"/>
      <c r="N924" s="1225"/>
      <c r="O924" s="1226"/>
      <c r="P924" s="1227"/>
      <c r="Q924" s="1227"/>
      <c r="R924" s="1228"/>
      <c r="S924" s="1224"/>
      <c r="T924" s="1229"/>
      <c r="U924" s="1065"/>
      <c r="V924" s="1065"/>
      <c r="W924" s="1065"/>
      <c r="X924" s="1065"/>
      <c r="Y924" s="1065"/>
      <c r="Z924" s="1065"/>
      <c r="AA924" s="1065"/>
      <c r="AB924" s="1065"/>
      <c r="AC924" s="1065"/>
      <c r="AD924" s="1065"/>
      <c r="AE924" s="1065"/>
      <c r="AF924" s="1065"/>
      <c r="AG924" s="1065"/>
      <c r="AH924" s="1065"/>
      <c r="AI924" s="1065"/>
      <c r="AJ924" s="1065"/>
      <c r="AK924" s="1065"/>
      <c r="AL924" s="1065"/>
      <c r="AM924" s="1065"/>
      <c r="AN924" s="1065"/>
      <c r="AO924" s="1065"/>
      <c r="AP924" s="1065"/>
      <c r="AQ924" s="1065"/>
      <c r="AR924" s="1065"/>
      <c r="AS924" s="1065"/>
      <c r="AT924" s="1065"/>
      <c r="AU924" s="1065"/>
      <c r="AV924" s="1065"/>
      <c r="AW924" s="1065"/>
      <c r="AX924" s="1065"/>
      <c r="AY924" s="1065"/>
      <c r="AZ924" s="1065"/>
      <c r="BA924" s="1065"/>
      <c r="BB924" s="1065"/>
      <c r="BC924" s="1065"/>
      <c r="BD924" s="1065"/>
      <c r="BE924" s="1065"/>
      <c r="BF924" s="1065"/>
      <c r="BG924" s="1065"/>
      <c r="BH924" s="1065"/>
      <c r="BI924" s="1065"/>
      <c r="BJ924" s="1065"/>
      <c r="BK924" s="1065"/>
      <c r="BL924" s="1065"/>
      <c r="BM924" s="1065"/>
      <c r="BN924" s="1065"/>
      <c r="BO924" s="1065"/>
      <c r="BP924" s="1065"/>
      <c r="BQ924" s="1065"/>
      <c r="BR924" s="1065"/>
      <c r="BS924" s="1065"/>
      <c r="BT924" s="1065"/>
      <c r="BU924" s="1065"/>
      <c r="BV924" s="1065"/>
      <c r="BW924" s="1065"/>
      <c r="BX924" s="1065"/>
      <c r="BY924" s="1065"/>
      <c r="BZ924" s="1065"/>
      <c r="CA924" s="1065"/>
      <c r="CB924" s="1065"/>
      <c r="CC924" s="1065"/>
      <c r="CD924" s="1065"/>
      <c r="CE924" s="1065"/>
      <c r="CF924" s="1065"/>
      <c r="CG924" s="1065"/>
      <c r="CH924" s="1065"/>
      <c r="CI924" s="1065"/>
      <c r="CJ924" s="1065"/>
      <c r="CK924" s="1065"/>
      <c r="CL924" s="1065"/>
      <c r="CM924" s="1065"/>
      <c r="CN924" s="1065"/>
      <c r="CO924" s="1065"/>
      <c r="CP924" s="1065"/>
      <c r="CQ924" s="1065"/>
      <c r="CR924" s="1065"/>
      <c r="CS924" s="1065"/>
      <c r="CT924" s="1065"/>
      <c r="CU924" s="1065"/>
      <c r="CV924" s="1065"/>
      <c r="CW924" s="1065"/>
      <c r="CX924" s="1065"/>
      <c r="CY924" s="1065"/>
      <c r="CZ924" s="1065"/>
      <c r="DA924" s="1065"/>
      <c r="DB924" s="1065"/>
    </row>
    <row r="925" spans="1:106" ht="15" customHeight="1">
      <c r="A925" s="1065"/>
      <c r="B925" s="1065"/>
      <c r="C925" s="1065"/>
      <c r="D925" s="1065"/>
      <c r="E925" s="1065"/>
      <c r="F925" s="1065"/>
      <c r="G925" s="1065"/>
      <c r="H925" s="1223"/>
      <c r="I925" s="1223"/>
      <c r="J925" s="1224"/>
      <c r="K925" s="1224"/>
      <c r="L925" s="1224"/>
      <c r="M925" s="1225"/>
      <c r="N925" s="1225"/>
      <c r="O925" s="1226"/>
      <c r="P925" s="1227"/>
      <c r="Q925" s="1227"/>
      <c r="R925" s="1228"/>
      <c r="S925" s="1224"/>
      <c r="T925" s="1229"/>
      <c r="U925" s="1065"/>
      <c r="V925" s="1065"/>
      <c r="W925" s="1065"/>
      <c r="X925" s="1065"/>
      <c r="Y925" s="1065"/>
      <c r="Z925" s="1065"/>
      <c r="AA925" s="1065"/>
      <c r="AB925" s="1065"/>
      <c r="AC925" s="1065"/>
      <c r="AD925" s="1065"/>
      <c r="AE925" s="1065"/>
      <c r="AF925" s="1065"/>
      <c r="AG925" s="1065"/>
      <c r="AH925" s="1065"/>
      <c r="AI925" s="1065"/>
      <c r="AJ925" s="1065"/>
      <c r="AK925" s="1065"/>
      <c r="AL925" s="1065"/>
      <c r="AM925" s="1065"/>
      <c r="AN925" s="1065"/>
      <c r="AO925" s="1065"/>
      <c r="AP925" s="1065"/>
      <c r="AQ925" s="1065"/>
      <c r="AR925" s="1065"/>
      <c r="AS925" s="1065"/>
      <c r="AT925" s="1065"/>
      <c r="AU925" s="1065"/>
      <c r="AV925" s="1065"/>
      <c r="AW925" s="1065"/>
      <c r="AX925" s="1065"/>
      <c r="AY925" s="1065"/>
      <c r="AZ925" s="1065"/>
      <c r="BA925" s="1065"/>
      <c r="BB925" s="1065"/>
      <c r="BC925" s="1065"/>
      <c r="BD925" s="1065"/>
      <c r="BE925" s="1065"/>
      <c r="BF925" s="1065"/>
      <c r="BG925" s="1065"/>
      <c r="BH925" s="1065"/>
      <c r="BI925" s="1065"/>
      <c r="BJ925" s="1065"/>
      <c r="BK925" s="1065"/>
      <c r="BL925" s="1065"/>
      <c r="BM925" s="1065"/>
      <c r="BN925" s="1065"/>
      <c r="BO925" s="1065"/>
      <c r="BP925" s="1065"/>
      <c r="BQ925" s="1065"/>
      <c r="BR925" s="1065"/>
      <c r="BS925" s="1065"/>
      <c r="BT925" s="1065"/>
      <c r="BU925" s="1065"/>
      <c r="BV925" s="1065"/>
      <c r="BW925" s="1065"/>
      <c r="BX925" s="1065"/>
      <c r="BY925" s="1065"/>
      <c r="BZ925" s="1065"/>
      <c r="CA925" s="1065"/>
      <c r="CB925" s="1065"/>
      <c r="CC925" s="1065"/>
      <c r="CD925" s="1065"/>
      <c r="CE925" s="1065"/>
      <c r="CF925" s="1065"/>
      <c r="CG925" s="1065"/>
      <c r="CH925" s="1065"/>
      <c r="CI925" s="1065"/>
      <c r="CJ925" s="1065"/>
      <c r="CK925" s="1065"/>
      <c r="CL925" s="1065"/>
      <c r="CM925" s="1065"/>
      <c r="CN925" s="1065"/>
      <c r="CO925" s="1065"/>
      <c r="CP925" s="1065"/>
      <c r="CQ925" s="1065"/>
      <c r="CR925" s="1065"/>
      <c r="CS925" s="1065"/>
      <c r="CT925" s="1065"/>
      <c r="CU925" s="1065"/>
      <c r="CV925" s="1065"/>
      <c r="CW925" s="1065"/>
      <c r="CX925" s="1065"/>
      <c r="CY925" s="1065"/>
      <c r="CZ925" s="1065"/>
      <c r="DA925" s="1065"/>
      <c r="DB925" s="1065"/>
    </row>
    <row r="926" spans="1:106" ht="15" customHeight="1">
      <c r="A926" s="1065"/>
      <c r="B926" s="1065"/>
      <c r="C926" s="1065"/>
      <c r="D926" s="1065"/>
      <c r="E926" s="1065"/>
      <c r="F926" s="1065"/>
      <c r="G926" s="1065"/>
      <c r="H926" s="1223"/>
      <c r="I926" s="1223"/>
      <c r="J926" s="1224"/>
      <c r="K926" s="1224"/>
      <c r="L926" s="1224"/>
      <c r="M926" s="1225"/>
      <c r="N926" s="1225"/>
      <c r="O926" s="1226"/>
      <c r="P926" s="1227"/>
      <c r="Q926" s="1227"/>
      <c r="R926" s="1228"/>
      <c r="S926" s="1224"/>
      <c r="T926" s="1229"/>
      <c r="U926" s="1065"/>
      <c r="V926" s="1065"/>
      <c r="W926" s="1065"/>
      <c r="X926" s="1065"/>
      <c r="Y926" s="1065"/>
      <c r="Z926" s="1065"/>
      <c r="AA926" s="1065"/>
      <c r="AB926" s="1065"/>
      <c r="AC926" s="1065"/>
      <c r="AD926" s="1065"/>
      <c r="AE926" s="1065"/>
      <c r="AF926" s="1065"/>
      <c r="AG926" s="1065"/>
      <c r="AH926" s="1065"/>
      <c r="AI926" s="1065"/>
      <c r="AJ926" s="1065"/>
      <c r="AK926" s="1065"/>
      <c r="AL926" s="1065"/>
      <c r="AM926" s="1065"/>
      <c r="AN926" s="1065"/>
      <c r="AO926" s="1065"/>
      <c r="AP926" s="1065"/>
      <c r="AQ926" s="1065"/>
      <c r="AR926" s="1065"/>
      <c r="AS926" s="1065"/>
      <c r="AT926" s="1065"/>
      <c r="AU926" s="1065"/>
      <c r="AV926" s="1065"/>
      <c r="AW926" s="1065"/>
      <c r="AX926" s="1065"/>
      <c r="AY926" s="1065"/>
      <c r="AZ926" s="1065"/>
      <c r="BA926" s="1065"/>
      <c r="BB926" s="1065"/>
      <c r="BC926" s="1065"/>
      <c r="BD926" s="1065"/>
      <c r="BE926" s="1065"/>
      <c r="BF926" s="1065"/>
      <c r="BG926" s="1065"/>
      <c r="BH926" s="1065"/>
      <c r="BI926" s="1065"/>
      <c r="BJ926" s="1065"/>
      <c r="BK926" s="1065"/>
      <c r="BL926" s="1065"/>
      <c r="BM926" s="1065"/>
      <c r="BN926" s="1065"/>
      <c r="BO926" s="1065"/>
      <c r="BP926" s="1065"/>
      <c r="BQ926" s="1065"/>
      <c r="BR926" s="1065"/>
      <c r="BS926" s="1065"/>
      <c r="BT926" s="1065"/>
      <c r="BU926" s="1065"/>
      <c r="BV926" s="1065"/>
      <c r="BW926" s="1065"/>
      <c r="BX926" s="1065"/>
      <c r="BY926" s="1065"/>
      <c r="BZ926" s="1065"/>
      <c r="CA926" s="1065"/>
      <c r="CB926" s="1065"/>
      <c r="CC926" s="1065"/>
      <c r="CD926" s="1065"/>
      <c r="CE926" s="1065"/>
      <c r="CF926" s="1065"/>
      <c r="CG926" s="1065"/>
      <c r="CH926" s="1065"/>
      <c r="CI926" s="1065"/>
      <c r="CJ926" s="1065"/>
      <c r="CK926" s="1065"/>
      <c r="CL926" s="1065"/>
      <c r="CM926" s="1065"/>
      <c r="CN926" s="1065"/>
      <c r="CO926" s="1065"/>
      <c r="CP926" s="1065"/>
      <c r="CQ926" s="1065"/>
      <c r="CR926" s="1065"/>
      <c r="CS926" s="1065"/>
      <c r="CT926" s="1065"/>
      <c r="CU926" s="1065"/>
      <c r="CV926" s="1065"/>
      <c r="CW926" s="1065"/>
      <c r="CX926" s="1065"/>
      <c r="CY926" s="1065"/>
      <c r="CZ926" s="1065"/>
      <c r="DA926" s="1065"/>
      <c r="DB926" s="1065"/>
    </row>
    <row r="927" spans="1:106" ht="15" customHeight="1">
      <c r="A927" s="1065"/>
      <c r="B927" s="1065"/>
      <c r="C927" s="1065"/>
      <c r="D927" s="1065"/>
      <c r="E927" s="1065"/>
      <c r="F927" s="1065"/>
      <c r="G927" s="1065"/>
      <c r="H927" s="1223"/>
      <c r="I927" s="1223"/>
      <c r="J927" s="1224"/>
      <c r="K927" s="1224"/>
      <c r="L927" s="1224"/>
      <c r="M927" s="1225"/>
      <c r="N927" s="1225"/>
      <c r="O927" s="1226"/>
      <c r="P927" s="1227"/>
      <c r="Q927" s="1227"/>
      <c r="R927" s="1228"/>
      <c r="S927" s="1224"/>
      <c r="T927" s="1229"/>
      <c r="U927" s="1065"/>
      <c r="V927" s="1065"/>
      <c r="W927" s="1065"/>
      <c r="X927" s="1065"/>
      <c r="Y927" s="1065"/>
      <c r="Z927" s="1065"/>
      <c r="AA927" s="1065"/>
      <c r="AB927" s="1065"/>
      <c r="AC927" s="1065"/>
      <c r="AD927" s="1065"/>
      <c r="AE927" s="1065"/>
      <c r="AF927" s="1065"/>
      <c r="AG927" s="1065"/>
      <c r="AH927" s="1065"/>
      <c r="AI927" s="1065"/>
      <c r="AJ927" s="1065"/>
      <c r="AK927" s="1065"/>
      <c r="AL927" s="1065"/>
      <c r="AM927" s="1065"/>
      <c r="AN927" s="1065"/>
      <c r="AO927" s="1065"/>
      <c r="AP927" s="1065"/>
      <c r="AQ927" s="1065"/>
      <c r="AR927" s="1065"/>
      <c r="AS927" s="1065"/>
      <c r="AT927" s="1065"/>
      <c r="AU927" s="1065"/>
      <c r="AV927" s="1065"/>
      <c r="AW927" s="1065"/>
      <c r="AX927" s="1065"/>
      <c r="AY927" s="1065"/>
      <c r="AZ927" s="1065"/>
      <c r="BA927" s="1065"/>
      <c r="BB927" s="1065"/>
      <c r="BC927" s="1065"/>
      <c r="BD927" s="1065"/>
      <c r="BE927" s="1065"/>
      <c r="BF927" s="1065"/>
      <c r="BG927" s="1065"/>
      <c r="BH927" s="1065"/>
      <c r="BI927" s="1065"/>
      <c r="BJ927" s="1065"/>
      <c r="BK927" s="1065"/>
      <c r="BL927" s="1065"/>
      <c r="BM927" s="1065"/>
      <c r="BN927" s="1065"/>
      <c r="BO927" s="1065"/>
      <c r="BP927" s="1065"/>
      <c r="BQ927" s="1065"/>
      <c r="BR927" s="1065"/>
      <c r="BS927" s="1065"/>
      <c r="BT927" s="1065"/>
      <c r="BU927" s="1065"/>
      <c r="BV927" s="1065"/>
      <c r="BW927" s="1065"/>
      <c r="BX927" s="1065"/>
      <c r="BY927" s="1065"/>
      <c r="BZ927" s="1065"/>
      <c r="CA927" s="1065"/>
      <c r="CB927" s="1065"/>
      <c r="CC927" s="1065"/>
      <c r="CD927" s="1065"/>
      <c r="CE927" s="1065"/>
      <c r="CF927" s="1065"/>
      <c r="CG927" s="1065"/>
      <c r="CH927" s="1065"/>
      <c r="CI927" s="1065"/>
      <c r="CJ927" s="1065"/>
      <c r="CK927" s="1065"/>
      <c r="CL927" s="1065"/>
      <c r="CM927" s="1065"/>
      <c r="CN927" s="1065"/>
      <c r="CO927" s="1065"/>
      <c r="CP927" s="1065"/>
      <c r="CQ927" s="1065"/>
      <c r="CR927" s="1065"/>
      <c r="CS927" s="1065"/>
      <c r="CT927" s="1065"/>
      <c r="CU927" s="1065"/>
      <c r="CV927" s="1065"/>
      <c r="CW927" s="1065"/>
      <c r="CX927" s="1065"/>
      <c r="CY927" s="1065"/>
      <c r="CZ927" s="1065"/>
      <c r="DA927" s="1065"/>
      <c r="DB927" s="1065"/>
    </row>
    <row r="928" spans="1:106" ht="15" customHeight="1">
      <c r="A928" s="1065"/>
      <c r="B928" s="1065"/>
      <c r="C928" s="1065"/>
      <c r="D928" s="1065"/>
      <c r="E928" s="1065"/>
      <c r="F928" s="1065"/>
      <c r="G928" s="1065"/>
      <c r="H928" s="1223"/>
      <c r="I928" s="1223"/>
      <c r="J928" s="1224"/>
      <c r="K928" s="1224"/>
      <c r="L928" s="1224"/>
      <c r="M928" s="1225"/>
      <c r="N928" s="1225"/>
      <c r="O928" s="1226"/>
      <c r="P928" s="1227"/>
      <c r="Q928" s="1227"/>
      <c r="R928" s="1228"/>
      <c r="S928" s="1224"/>
      <c r="T928" s="1229"/>
      <c r="U928" s="1065"/>
      <c r="V928" s="1065"/>
      <c r="W928" s="1065"/>
      <c r="X928" s="1065"/>
      <c r="Y928" s="1065"/>
      <c r="Z928" s="1065"/>
      <c r="AA928" s="1065"/>
      <c r="AB928" s="1065"/>
      <c r="AC928" s="1065"/>
      <c r="AD928" s="1065"/>
      <c r="AE928" s="1065"/>
      <c r="AF928" s="1065"/>
      <c r="AG928" s="1065"/>
      <c r="AH928" s="1065"/>
      <c r="AI928" s="1065"/>
      <c r="AJ928" s="1065"/>
      <c r="AK928" s="1065"/>
      <c r="AL928" s="1065"/>
      <c r="AM928" s="1065"/>
      <c r="AN928" s="1065"/>
      <c r="AO928" s="1065"/>
      <c r="AP928" s="1065"/>
      <c r="AQ928" s="1065"/>
      <c r="AR928" s="1065"/>
      <c r="AS928" s="1065"/>
      <c r="AT928" s="1065"/>
      <c r="AU928" s="1065"/>
      <c r="AV928" s="1065"/>
      <c r="AW928" s="1065"/>
      <c r="AX928" s="1065"/>
      <c r="AY928" s="1065"/>
      <c r="AZ928" s="1065"/>
      <c r="BA928" s="1065"/>
      <c r="BB928" s="1065"/>
      <c r="BC928" s="1065"/>
      <c r="BD928" s="1065"/>
      <c r="BE928" s="1065"/>
      <c r="BF928" s="1065"/>
      <c r="BG928" s="1065"/>
      <c r="BH928" s="1065"/>
      <c r="BI928" s="1065"/>
      <c r="BJ928" s="1065"/>
      <c r="BK928" s="1065"/>
      <c r="BL928" s="1065"/>
      <c r="BM928" s="1065"/>
      <c r="BN928" s="1065"/>
      <c r="BO928" s="1065"/>
      <c r="BP928" s="1065"/>
      <c r="BQ928" s="1065"/>
      <c r="BR928" s="1065"/>
      <c r="BS928" s="1065"/>
      <c r="BT928" s="1065"/>
      <c r="BU928" s="1065"/>
      <c r="BV928" s="1065"/>
      <c r="BW928" s="1065"/>
      <c r="BX928" s="1065"/>
      <c r="BY928" s="1065"/>
      <c r="BZ928" s="1065"/>
      <c r="CA928" s="1065"/>
      <c r="CB928" s="1065"/>
      <c r="CC928" s="1065"/>
      <c r="CD928" s="1065"/>
      <c r="CE928" s="1065"/>
      <c r="CF928" s="1065"/>
      <c r="CG928" s="1065"/>
      <c r="CH928" s="1065"/>
      <c r="CI928" s="1065"/>
      <c r="CJ928" s="1065"/>
      <c r="CK928" s="1065"/>
      <c r="CL928" s="1065"/>
      <c r="CM928" s="1065"/>
      <c r="CN928" s="1065"/>
      <c r="CO928" s="1065"/>
      <c r="CP928" s="1065"/>
      <c r="CQ928" s="1065"/>
      <c r="CR928" s="1065"/>
      <c r="CS928" s="1065"/>
      <c r="CT928" s="1065"/>
      <c r="CU928" s="1065"/>
      <c r="CV928" s="1065"/>
      <c r="CW928" s="1065"/>
      <c r="CX928" s="1065"/>
      <c r="CY928" s="1065"/>
      <c r="CZ928" s="1065"/>
      <c r="DA928" s="1065"/>
      <c r="DB928" s="1065"/>
    </row>
    <row r="929" spans="1:106" ht="15" customHeight="1">
      <c r="A929" s="1065"/>
      <c r="B929" s="1065"/>
      <c r="C929" s="1065"/>
      <c r="D929" s="1065"/>
      <c r="E929" s="1065"/>
      <c r="F929" s="1065"/>
      <c r="G929" s="1065"/>
      <c r="H929" s="1223"/>
      <c r="I929" s="1223"/>
      <c r="J929" s="1224"/>
      <c r="K929" s="1224"/>
      <c r="L929" s="1224"/>
      <c r="M929" s="1225"/>
      <c r="N929" s="1225"/>
      <c r="O929" s="1226"/>
      <c r="P929" s="1227"/>
      <c r="Q929" s="1227"/>
      <c r="R929" s="1228"/>
      <c r="S929" s="1224"/>
      <c r="T929" s="1229"/>
      <c r="U929" s="1065"/>
      <c r="V929" s="1065"/>
      <c r="W929" s="1065"/>
      <c r="X929" s="1065"/>
      <c r="Y929" s="1065"/>
      <c r="Z929" s="1065"/>
      <c r="AA929" s="1065"/>
      <c r="AB929" s="1065"/>
      <c r="AC929" s="1065"/>
      <c r="AD929" s="1065"/>
      <c r="AE929" s="1065"/>
      <c r="AF929" s="1065"/>
      <c r="AG929" s="1065"/>
      <c r="AH929" s="1065"/>
      <c r="AI929" s="1065"/>
      <c r="AJ929" s="1065"/>
      <c r="AK929" s="1065"/>
      <c r="AL929" s="1065"/>
      <c r="AM929" s="1065"/>
      <c r="AN929" s="1065"/>
      <c r="AO929" s="1065"/>
      <c r="AP929" s="1065"/>
      <c r="AQ929" s="1065"/>
      <c r="AR929" s="1065"/>
      <c r="AS929" s="1065"/>
      <c r="AT929" s="1065"/>
      <c r="AU929" s="1065"/>
      <c r="AV929" s="1065"/>
      <c r="AW929" s="1065"/>
      <c r="AX929" s="1065"/>
      <c r="AY929" s="1065"/>
      <c r="AZ929" s="1065"/>
      <c r="BA929" s="1065"/>
      <c r="BB929" s="1065"/>
      <c r="BC929" s="1065"/>
      <c r="BD929" s="1065"/>
      <c r="BE929" s="1065"/>
      <c r="BF929" s="1065"/>
      <c r="BG929" s="1065"/>
      <c r="BH929" s="1065"/>
      <c r="BI929" s="1065"/>
      <c r="BJ929" s="1065"/>
      <c r="BK929" s="1065"/>
      <c r="BL929" s="1065"/>
      <c r="BM929" s="1065"/>
      <c r="BN929" s="1065"/>
      <c r="BO929" s="1065"/>
      <c r="BP929" s="1065"/>
      <c r="BQ929" s="1065"/>
      <c r="BR929" s="1065"/>
      <c r="BS929" s="1065"/>
      <c r="BT929" s="1065"/>
      <c r="BU929" s="1065"/>
      <c r="BV929" s="1065"/>
      <c r="BW929" s="1065"/>
      <c r="BX929" s="1065"/>
      <c r="BY929" s="1065"/>
      <c r="BZ929" s="1065"/>
      <c r="CA929" s="1065"/>
      <c r="CB929" s="1065"/>
      <c r="CC929" s="1065"/>
      <c r="CD929" s="1065"/>
      <c r="CE929" s="1065"/>
      <c r="CF929" s="1065"/>
      <c r="CG929" s="1065"/>
      <c r="CH929" s="1065"/>
      <c r="CI929" s="1065"/>
      <c r="CJ929" s="1065"/>
      <c r="CK929" s="1065"/>
      <c r="CL929" s="1065"/>
      <c r="CM929" s="1065"/>
      <c r="CN929" s="1065"/>
      <c r="CO929" s="1065"/>
      <c r="CP929" s="1065"/>
      <c r="CQ929" s="1065"/>
      <c r="CR929" s="1065"/>
      <c r="CS929" s="1065"/>
      <c r="CT929" s="1065"/>
      <c r="CU929" s="1065"/>
      <c r="CV929" s="1065"/>
      <c r="CW929" s="1065"/>
      <c r="CX929" s="1065"/>
      <c r="CY929" s="1065"/>
      <c r="CZ929" s="1065"/>
      <c r="DA929" s="1065"/>
      <c r="DB929" s="1065"/>
    </row>
    <row r="930" spans="1:106" ht="15" customHeight="1">
      <c r="A930" s="1065"/>
      <c r="B930" s="1065"/>
      <c r="C930" s="1065"/>
      <c r="D930" s="1065"/>
      <c r="E930" s="1065"/>
      <c r="F930" s="1065"/>
      <c r="G930" s="1065"/>
      <c r="H930" s="1223"/>
      <c r="I930" s="1223"/>
      <c r="J930" s="1224"/>
      <c r="K930" s="1224"/>
      <c r="L930" s="1224"/>
      <c r="M930" s="1225"/>
      <c r="N930" s="1225"/>
      <c r="O930" s="1226"/>
      <c r="P930" s="1227"/>
      <c r="Q930" s="1227"/>
      <c r="R930" s="1228"/>
      <c r="S930" s="1224"/>
      <c r="T930" s="1229"/>
      <c r="U930" s="1065"/>
      <c r="V930" s="1065"/>
      <c r="W930" s="1065"/>
      <c r="X930" s="1065"/>
      <c r="Y930" s="1065"/>
      <c r="Z930" s="1065"/>
      <c r="AA930" s="1065"/>
      <c r="AB930" s="1065"/>
      <c r="AC930" s="1065"/>
      <c r="AD930" s="1065"/>
      <c r="AE930" s="1065"/>
      <c r="AF930" s="1065"/>
      <c r="AG930" s="1065"/>
      <c r="AH930" s="1065"/>
      <c r="AI930" s="1065"/>
      <c r="AJ930" s="1065"/>
      <c r="AK930" s="1065"/>
      <c r="AL930" s="1065"/>
      <c r="AM930" s="1065"/>
      <c r="AN930" s="1065"/>
      <c r="AO930" s="1065"/>
      <c r="AP930" s="1065"/>
      <c r="AQ930" s="1065"/>
      <c r="AR930" s="1065"/>
      <c r="AS930" s="1065"/>
      <c r="AT930" s="1065"/>
      <c r="AU930" s="1065"/>
      <c r="AV930" s="1065"/>
      <c r="AW930" s="1065"/>
      <c r="AX930" s="1065"/>
      <c r="AY930" s="1065"/>
      <c r="AZ930" s="1065"/>
      <c r="BA930" s="1065"/>
      <c r="BB930" s="1065"/>
      <c r="BC930" s="1065"/>
      <c r="BD930" s="1065"/>
      <c r="BE930" s="1065"/>
      <c r="BF930" s="1065"/>
      <c r="BG930" s="1065"/>
      <c r="BH930" s="1065"/>
      <c r="BI930" s="1065"/>
      <c r="BJ930" s="1065"/>
      <c r="BK930" s="1065"/>
      <c r="BL930" s="1065"/>
      <c r="BM930" s="1065"/>
      <c r="BN930" s="1065"/>
      <c r="BO930" s="1065"/>
      <c r="BP930" s="1065"/>
      <c r="BQ930" s="1065"/>
      <c r="BR930" s="1065"/>
      <c r="BS930" s="1065"/>
      <c r="BT930" s="1065"/>
      <c r="BU930" s="1065"/>
      <c r="BV930" s="1065"/>
      <c r="BW930" s="1065"/>
      <c r="BX930" s="1065"/>
      <c r="BY930" s="1065"/>
      <c r="BZ930" s="1065"/>
      <c r="CA930" s="1065"/>
      <c r="CB930" s="1065"/>
      <c r="CC930" s="1065"/>
      <c r="CD930" s="1065"/>
      <c r="CE930" s="1065"/>
      <c r="CF930" s="1065"/>
      <c r="CG930" s="1065"/>
      <c r="CH930" s="1065"/>
      <c r="CI930" s="1065"/>
      <c r="CJ930" s="1065"/>
      <c r="CK930" s="1065"/>
      <c r="CL930" s="1065"/>
      <c r="CM930" s="1065"/>
      <c r="CN930" s="1065"/>
      <c r="CO930" s="1065"/>
      <c r="CP930" s="1065"/>
      <c r="CQ930" s="1065"/>
      <c r="CR930" s="1065"/>
      <c r="CS930" s="1065"/>
      <c r="CT930" s="1065"/>
      <c r="CU930" s="1065"/>
      <c r="CV930" s="1065"/>
      <c r="CW930" s="1065"/>
      <c r="CX930" s="1065"/>
      <c r="CY930" s="1065"/>
      <c r="CZ930" s="1065"/>
      <c r="DA930" s="1065"/>
      <c r="DB930" s="1065"/>
    </row>
    <row r="931" spans="1:106" ht="15" customHeight="1">
      <c r="A931" s="1065"/>
      <c r="B931" s="1065"/>
      <c r="C931" s="1065"/>
      <c r="D931" s="1065"/>
      <c r="E931" s="1065"/>
      <c r="F931" s="1065"/>
      <c r="G931" s="1065"/>
      <c r="H931" s="1223"/>
      <c r="I931" s="1223"/>
      <c r="J931" s="1224"/>
      <c r="K931" s="1224"/>
      <c r="L931" s="1224"/>
      <c r="M931" s="1225"/>
      <c r="N931" s="1225"/>
      <c r="O931" s="1226"/>
      <c r="P931" s="1227"/>
      <c r="Q931" s="1227"/>
      <c r="R931" s="1228"/>
      <c r="S931" s="1224"/>
      <c r="T931" s="1229"/>
      <c r="U931" s="1065"/>
      <c r="V931" s="1065"/>
      <c r="W931" s="1065"/>
      <c r="X931" s="1065"/>
      <c r="Y931" s="1065"/>
      <c r="Z931" s="1065"/>
      <c r="AA931" s="1065"/>
      <c r="AB931" s="1065"/>
      <c r="AC931" s="1065"/>
      <c r="AD931" s="1065"/>
      <c r="AE931" s="1065"/>
      <c r="AF931" s="1065"/>
      <c r="AG931" s="1065"/>
      <c r="AH931" s="1065"/>
      <c r="AI931" s="1065"/>
      <c r="AJ931" s="1065"/>
      <c r="AK931" s="1065"/>
      <c r="AL931" s="1065"/>
      <c r="AM931" s="1065"/>
      <c r="AN931" s="1065"/>
      <c r="AO931" s="1065"/>
      <c r="AP931" s="1065"/>
      <c r="AQ931" s="1065"/>
      <c r="AR931" s="1065"/>
      <c r="AS931" s="1065"/>
      <c r="AT931" s="1065"/>
      <c r="AU931" s="1065"/>
      <c r="AV931" s="1065"/>
      <c r="AW931" s="1065"/>
      <c r="AX931" s="1065"/>
      <c r="AY931" s="1065"/>
      <c r="AZ931" s="1065"/>
      <c r="BA931" s="1065"/>
      <c r="BB931" s="1065"/>
      <c r="BC931" s="1065"/>
      <c r="BD931" s="1065"/>
      <c r="BE931" s="1065"/>
      <c r="BF931" s="1065"/>
      <c r="BG931" s="1065"/>
      <c r="BH931" s="1065"/>
      <c r="BI931" s="1065"/>
      <c r="BJ931" s="1065"/>
      <c r="BK931" s="1065"/>
      <c r="BL931" s="1065"/>
      <c r="BM931" s="1065"/>
      <c r="BN931" s="1065"/>
      <c r="BO931" s="1065"/>
      <c r="BP931" s="1065"/>
      <c r="BQ931" s="1065"/>
      <c r="BR931" s="1065"/>
      <c r="BS931" s="1065"/>
      <c r="BT931" s="1065"/>
      <c r="BU931" s="1065"/>
      <c r="BV931" s="1065"/>
      <c r="BW931" s="1065"/>
      <c r="BX931" s="1065"/>
      <c r="BY931" s="1065"/>
      <c r="BZ931" s="1065"/>
      <c r="CA931" s="1065"/>
      <c r="CB931" s="1065"/>
      <c r="CC931" s="1065"/>
      <c r="CD931" s="1065"/>
      <c r="CE931" s="1065"/>
      <c r="CF931" s="1065"/>
      <c r="CG931" s="1065"/>
      <c r="CH931" s="1065"/>
      <c r="CI931" s="1065"/>
      <c r="CJ931" s="1065"/>
      <c r="CK931" s="1065"/>
      <c r="CL931" s="1065"/>
      <c r="CM931" s="1065"/>
      <c r="CN931" s="1065"/>
      <c r="CO931" s="1065"/>
      <c r="CP931" s="1065"/>
      <c r="CQ931" s="1065"/>
      <c r="CR931" s="1065"/>
      <c r="CS931" s="1065"/>
      <c r="CT931" s="1065"/>
      <c r="CU931" s="1065"/>
      <c r="CV931" s="1065"/>
      <c r="CW931" s="1065"/>
      <c r="CX931" s="1065"/>
      <c r="CY931" s="1065"/>
      <c r="CZ931" s="1065"/>
      <c r="DA931" s="1065"/>
      <c r="DB931" s="1065"/>
    </row>
    <row r="932" spans="1:106" ht="15" customHeight="1">
      <c r="A932" s="1065"/>
      <c r="B932" s="1065"/>
      <c r="C932" s="1065"/>
      <c r="D932" s="1065"/>
      <c r="E932" s="1065"/>
      <c r="F932" s="1065"/>
      <c r="G932" s="1065"/>
      <c r="H932" s="1223"/>
      <c r="I932" s="1223"/>
      <c r="J932" s="1224"/>
      <c r="K932" s="1224"/>
      <c r="L932" s="1224"/>
      <c r="M932" s="1225"/>
      <c r="N932" s="1225"/>
      <c r="O932" s="1226"/>
      <c r="P932" s="1227"/>
      <c r="Q932" s="1227"/>
      <c r="R932" s="1228"/>
      <c r="S932" s="1224"/>
      <c r="T932" s="1229"/>
      <c r="U932" s="1065"/>
      <c r="V932" s="1065"/>
      <c r="W932" s="1065"/>
      <c r="X932" s="1065"/>
      <c r="Y932" s="1065"/>
      <c r="Z932" s="1065"/>
      <c r="AA932" s="1065"/>
      <c r="AB932" s="1065"/>
      <c r="AC932" s="1065"/>
      <c r="AD932" s="1065"/>
      <c r="AE932" s="1065"/>
      <c r="AF932" s="1065"/>
      <c r="AG932" s="1065"/>
      <c r="AH932" s="1065"/>
      <c r="AI932" s="1065"/>
      <c r="AJ932" s="1065"/>
      <c r="AK932" s="1065"/>
      <c r="AL932" s="1065"/>
      <c r="AM932" s="1065"/>
      <c r="AN932" s="1065"/>
      <c r="AO932" s="1065"/>
      <c r="AP932" s="1065"/>
      <c r="AQ932" s="1065"/>
      <c r="AR932" s="1065"/>
      <c r="AS932" s="1065"/>
      <c r="AT932" s="1065"/>
      <c r="AU932" s="1065"/>
      <c r="AV932" s="1065"/>
      <c r="AW932" s="1065"/>
      <c r="AX932" s="1065"/>
      <c r="AY932" s="1065"/>
      <c r="AZ932" s="1065"/>
      <c r="BA932" s="1065"/>
      <c r="BB932" s="1065"/>
      <c r="BC932" s="1065"/>
      <c r="BD932" s="1065"/>
      <c r="BE932" s="1065"/>
      <c r="BF932" s="1065"/>
      <c r="BG932" s="1065"/>
      <c r="BH932" s="1065"/>
      <c r="BI932" s="1065"/>
      <c r="BJ932" s="1065"/>
      <c r="BK932" s="1065"/>
      <c r="BL932" s="1065"/>
      <c r="BM932" s="1065"/>
      <c r="BN932" s="1065"/>
      <c r="BO932" s="1065"/>
      <c r="BP932" s="1065"/>
      <c r="BQ932" s="1065"/>
      <c r="BR932" s="1065"/>
      <c r="BS932" s="1065"/>
      <c r="BT932" s="1065"/>
      <c r="BU932" s="1065"/>
      <c r="BV932" s="1065"/>
      <c r="BW932" s="1065"/>
      <c r="BX932" s="1065"/>
      <c r="BY932" s="1065"/>
      <c r="BZ932" s="1065"/>
      <c r="CA932" s="1065"/>
      <c r="CB932" s="1065"/>
      <c r="CC932" s="1065"/>
      <c r="CD932" s="1065"/>
      <c r="CE932" s="1065"/>
      <c r="CF932" s="1065"/>
      <c r="CG932" s="1065"/>
      <c r="CH932" s="1065"/>
      <c r="CI932" s="1065"/>
      <c r="CJ932" s="1065"/>
      <c r="CK932" s="1065"/>
      <c r="CL932" s="1065"/>
      <c r="CM932" s="1065"/>
      <c r="CN932" s="1065"/>
      <c r="CO932" s="1065"/>
      <c r="CP932" s="1065"/>
      <c r="CQ932" s="1065"/>
      <c r="CR932" s="1065"/>
      <c r="CS932" s="1065"/>
      <c r="CT932" s="1065"/>
      <c r="CU932" s="1065"/>
      <c r="CV932" s="1065"/>
      <c r="CW932" s="1065"/>
      <c r="CX932" s="1065"/>
      <c r="CY932" s="1065"/>
      <c r="CZ932" s="1065"/>
      <c r="DA932" s="1065"/>
      <c r="DB932" s="1065"/>
    </row>
    <row r="933" spans="1:106" ht="15" customHeight="1">
      <c r="A933" s="1065"/>
      <c r="B933" s="1065"/>
      <c r="C933" s="1065"/>
      <c r="D933" s="1065"/>
      <c r="E933" s="1065"/>
      <c r="F933" s="1065"/>
      <c r="G933" s="1065"/>
      <c r="H933" s="1223"/>
      <c r="I933" s="1223"/>
      <c r="J933" s="1224"/>
      <c r="K933" s="1224"/>
      <c r="L933" s="1224"/>
      <c r="M933" s="1225"/>
      <c r="N933" s="1225"/>
      <c r="O933" s="1226"/>
      <c r="P933" s="1227"/>
      <c r="Q933" s="1227"/>
      <c r="R933" s="1228"/>
      <c r="S933" s="1224"/>
      <c r="T933" s="1229"/>
      <c r="U933" s="1065"/>
      <c r="V933" s="1065"/>
      <c r="W933" s="1065"/>
      <c r="X933" s="1065"/>
      <c r="Y933" s="1065"/>
      <c r="Z933" s="1065"/>
      <c r="AA933" s="1065"/>
      <c r="AB933" s="1065"/>
      <c r="AC933" s="1065"/>
      <c r="AD933" s="1065"/>
      <c r="AE933" s="1065"/>
      <c r="AF933" s="1065"/>
      <c r="AG933" s="1065"/>
      <c r="AH933" s="1065"/>
      <c r="AI933" s="1065"/>
      <c r="AJ933" s="1065"/>
      <c r="AK933" s="1065"/>
      <c r="AL933" s="1065"/>
      <c r="AM933" s="1065"/>
      <c r="AN933" s="1065"/>
      <c r="AO933" s="1065"/>
      <c r="AP933" s="1065"/>
      <c r="AQ933" s="1065"/>
      <c r="AR933" s="1065"/>
      <c r="AS933" s="1065"/>
      <c r="AT933" s="1065"/>
      <c r="AU933" s="1065"/>
      <c r="AV933" s="1065"/>
      <c r="AW933" s="1065"/>
      <c r="AX933" s="1065"/>
      <c r="AY933" s="1065"/>
      <c r="AZ933" s="1065"/>
      <c r="BA933" s="1065"/>
      <c r="BB933" s="1065"/>
      <c r="BC933" s="1065"/>
      <c r="BD933" s="1065"/>
      <c r="BE933" s="1065"/>
      <c r="BF933" s="1065"/>
      <c r="BG933" s="1065"/>
      <c r="BH933" s="1065"/>
      <c r="BI933" s="1065"/>
      <c r="BJ933" s="1065"/>
      <c r="BK933" s="1065"/>
      <c r="BL933" s="1065"/>
      <c r="BM933" s="1065"/>
      <c r="BN933" s="1065"/>
      <c r="BO933" s="1065"/>
      <c r="BP933" s="1065"/>
      <c r="BQ933" s="1065"/>
      <c r="BR933" s="1065"/>
      <c r="BS933" s="1065"/>
      <c r="BT933" s="1065"/>
      <c r="BU933" s="1065"/>
      <c r="BV933" s="1065"/>
      <c r="BW933" s="1065"/>
      <c r="BX933" s="1065"/>
      <c r="BY933" s="1065"/>
      <c r="BZ933" s="1065"/>
      <c r="CA933" s="1065"/>
      <c r="CB933" s="1065"/>
      <c r="CC933" s="1065"/>
      <c r="CD933" s="1065"/>
      <c r="CE933" s="1065"/>
      <c r="CF933" s="1065"/>
      <c r="CG933" s="1065"/>
      <c r="CH933" s="1065"/>
      <c r="CI933" s="1065"/>
      <c r="CJ933" s="1065"/>
      <c r="CK933" s="1065"/>
      <c r="CL933" s="1065"/>
      <c r="CM933" s="1065"/>
      <c r="CN933" s="1065"/>
      <c r="CO933" s="1065"/>
      <c r="CP933" s="1065"/>
      <c r="CQ933" s="1065"/>
      <c r="CR933" s="1065"/>
      <c r="CS933" s="1065"/>
      <c r="CT933" s="1065"/>
      <c r="CU933" s="1065"/>
      <c r="CV933" s="1065"/>
      <c r="CW933" s="1065"/>
      <c r="CX933" s="1065"/>
      <c r="CY933" s="1065"/>
      <c r="CZ933" s="1065"/>
      <c r="DA933" s="1065"/>
      <c r="DB933" s="1065"/>
    </row>
    <row r="934" spans="1:106" ht="15" customHeight="1">
      <c r="A934" s="1065"/>
      <c r="B934" s="1065"/>
      <c r="C934" s="1065"/>
      <c r="D934" s="1065"/>
      <c r="E934" s="1065"/>
      <c r="F934" s="1065"/>
      <c r="G934" s="1065"/>
      <c r="H934" s="1223"/>
      <c r="I934" s="1223"/>
      <c r="J934" s="1224"/>
      <c r="K934" s="1224"/>
      <c r="L934" s="1224"/>
      <c r="M934" s="1225"/>
      <c r="N934" s="1225"/>
      <c r="O934" s="1226"/>
      <c r="P934" s="1227"/>
      <c r="Q934" s="1227"/>
      <c r="R934" s="1228"/>
      <c r="S934" s="1224"/>
      <c r="T934" s="1229"/>
      <c r="U934" s="1065"/>
      <c r="V934" s="1065"/>
      <c r="W934" s="1065"/>
      <c r="X934" s="1065"/>
      <c r="Y934" s="1065"/>
      <c r="Z934" s="1065"/>
      <c r="AA934" s="1065"/>
      <c r="AB934" s="1065"/>
      <c r="AC934" s="1065"/>
      <c r="AD934" s="1065"/>
      <c r="AE934" s="1065"/>
      <c r="AF934" s="1065"/>
      <c r="AG934" s="1065"/>
      <c r="AH934" s="1065"/>
      <c r="AI934" s="1065"/>
      <c r="AJ934" s="1065"/>
      <c r="AK934" s="1065"/>
      <c r="AL934" s="1065"/>
      <c r="AM934" s="1065"/>
      <c r="AN934" s="1065"/>
      <c r="AO934" s="1065"/>
      <c r="AP934" s="1065"/>
      <c r="AQ934" s="1065"/>
      <c r="AR934" s="1065"/>
      <c r="AS934" s="1065"/>
      <c r="AT934" s="1065"/>
      <c r="AU934" s="1065"/>
      <c r="AV934" s="1065"/>
      <c r="AW934" s="1065"/>
      <c r="AX934" s="1065"/>
      <c r="AY934" s="1065"/>
      <c r="AZ934" s="1065"/>
      <c r="BA934" s="1065"/>
      <c r="BB934" s="1065"/>
      <c r="BC934" s="1065"/>
      <c r="BD934" s="1065"/>
      <c r="BE934" s="1065"/>
      <c r="BF934" s="1065"/>
      <c r="BG934" s="1065"/>
      <c r="BH934" s="1065"/>
      <c r="BI934" s="1065"/>
      <c r="BJ934" s="1065"/>
      <c r="BK934" s="1065"/>
      <c r="BL934" s="1065"/>
      <c r="BM934" s="1065"/>
      <c r="BN934" s="1065"/>
      <c r="BO934" s="1065"/>
      <c r="BP934" s="1065"/>
      <c r="BQ934" s="1065"/>
      <c r="BR934" s="1065"/>
      <c r="BS934" s="1065"/>
      <c r="BT934" s="1065"/>
      <c r="BU934" s="1065"/>
      <c r="BV934" s="1065"/>
      <c r="BW934" s="1065"/>
      <c r="BX934" s="1065"/>
      <c r="BY934" s="1065"/>
      <c r="BZ934" s="1065"/>
      <c r="CA934" s="1065"/>
      <c r="CB934" s="1065"/>
      <c r="CC934" s="1065"/>
      <c r="CD934" s="1065"/>
      <c r="CE934" s="1065"/>
      <c r="CF934" s="1065"/>
      <c r="CG934" s="1065"/>
      <c r="CH934" s="1065"/>
      <c r="CI934" s="1065"/>
      <c r="CJ934" s="1065"/>
      <c r="CK934" s="1065"/>
      <c r="CL934" s="1065"/>
      <c r="CM934" s="1065"/>
      <c r="CN934" s="1065"/>
      <c r="CO934" s="1065"/>
      <c r="CP934" s="1065"/>
      <c r="CQ934" s="1065"/>
      <c r="CR934" s="1065"/>
      <c r="CS934" s="1065"/>
      <c r="CT934" s="1065"/>
      <c r="CU934" s="1065"/>
      <c r="CV934" s="1065"/>
      <c r="CW934" s="1065"/>
      <c r="CX934" s="1065"/>
      <c r="CY934" s="1065"/>
      <c r="CZ934" s="1065"/>
      <c r="DA934" s="1065"/>
      <c r="DB934" s="1065"/>
    </row>
    <row r="935" spans="1:106" ht="15" customHeight="1">
      <c r="A935" s="1065"/>
      <c r="B935" s="1065"/>
      <c r="C935" s="1065"/>
      <c r="D935" s="1065"/>
      <c r="E935" s="1065"/>
      <c r="F935" s="1065"/>
      <c r="G935" s="1065"/>
      <c r="H935" s="1223"/>
      <c r="I935" s="1223"/>
      <c r="J935" s="1224"/>
      <c r="K935" s="1224"/>
      <c r="L935" s="1224"/>
      <c r="M935" s="1225"/>
      <c r="N935" s="1225"/>
      <c r="O935" s="1226"/>
      <c r="P935" s="1227"/>
      <c r="Q935" s="1227"/>
      <c r="R935" s="1228"/>
      <c r="S935" s="1224"/>
      <c r="T935" s="1229"/>
      <c r="U935" s="1065"/>
      <c r="V935" s="1065"/>
      <c r="W935" s="1065"/>
      <c r="X935" s="1065"/>
      <c r="Y935" s="1065"/>
      <c r="Z935" s="1065"/>
      <c r="AA935" s="1065"/>
      <c r="AB935" s="1065"/>
      <c r="AC935" s="1065"/>
      <c r="AD935" s="1065"/>
      <c r="AE935" s="1065"/>
      <c r="AF935" s="1065"/>
      <c r="AG935" s="1065"/>
      <c r="AH935" s="1065"/>
      <c r="AI935" s="1065"/>
      <c r="AJ935" s="1065"/>
      <c r="AK935" s="1065"/>
      <c r="AL935" s="1065"/>
      <c r="AM935" s="1065"/>
      <c r="AN935" s="1065"/>
      <c r="AO935" s="1065"/>
      <c r="AP935" s="1065"/>
      <c r="AQ935" s="1065"/>
      <c r="AR935" s="1065"/>
      <c r="AS935" s="1065"/>
      <c r="AT935" s="1065"/>
      <c r="AU935" s="1065"/>
      <c r="AV935" s="1065"/>
      <c r="AW935" s="1065"/>
      <c r="AX935" s="1065"/>
      <c r="AY935" s="1065"/>
      <c r="AZ935" s="1065"/>
      <c r="BA935" s="1065"/>
      <c r="BB935" s="1065"/>
      <c r="BC935" s="1065"/>
      <c r="BD935" s="1065"/>
      <c r="BE935" s="1065"/>
      <c r="BF935" s="1065"/>
      <c r="BG935" s="1065"/>
      <c r="BH935" s="1065"/>
      <c r="BI935" s="1065"/>
      <c r="BJ935" s="1065"/>
      <c r="BK935" s="1065"/>
      <c r="BL935" s="1065"/>
      <c r="BM935" s="1065"/>
      <c r="BN935" s="1065"/>
      <c r="BO935" s="1065"/>
      <c r="BP935" s="1065"/>
      <c r="BQ935" s="1065"/>
      <c r="BR935" s="1065"/>
      <c r="BS935" s="1065"/>
      <c r="BT935" s="1065"/>
      <c r="BU935" s="1065"/>
      <c r="BV935" s="1065"/>
      <c r="BW935" s="1065"/>
      <c r="BX935" s="1065"/>
      <c r="BY935" s="1065"/>
      <c r="BZ935" s="1065"/>
      <c r="CA935" s="1065"/>
      <c r="CB935" s="1065"/>
      <c r="CC935" s="1065"/>
      <c r="CD935" s="1065"/>
      <c r="CE935" s="1065"/>
      <c r="CF935" s="1065"/>
      <c r="CG935" s="1065"/>
      <c r="CH935" s="1065"/>
      <c r="CI935" s="1065"/>
      <c r="CJ935" s="1065"/>
      <c r="CK935" s="1065"/>
      <c r="CL935" s="1065"/>
      <c r="CM935" s="1065"/>
      <c r="CN935" s="1065"/>
      <c r="CO935" s="1065"/>
      <c r="CP935" s="1065"/>
      <c r="CQ935" s="1065"/>
      <c r="CR935" s="1065"/>
      <c r="CS935" s="1065"/>
      <c r="CT935" s="1065"/>
      <c r="CU935" s="1065"/>
      <c r="CV935" s="1065"/>
      <c r="CW935" s="1065"/>
      <c r="CX935" s="1065"/>
      <c r="CY935" s="1065"/>
      <c r="CZ935" s="1065"/>
      <c r="DA935" s="1065"/>
      <c r="DB935" s="1065"/>
    </row>
    <row r="936" spans="1:106" ht="15" customHeight="1">
      <c r="A936" s="1065"/>
      <c r="B936" s="1065"/>
      <c r="C936" s="1065"/>
      <c r="D936" s="1065"/>
      <c r="E936" s="1065"/>
      <c r="F936" s="1065"/>
      <c r="G936" s="1065"/>
      <c r="H936" s="1223"/>
      <c r="I936" s="1223"/>
      <c r="J936" s="1224"/>
      <c r="K936" s="1224"/>
      <c r="L936" s="1224"/>
      <c r="M936" s="1225"/>
      <c r="N936" s="1225"/>
      <c r="O936" s="1226"/>
      <c r="P936" s="1227"/>
      <c r="Q936" s="1227"/>
      <c r="R936" s="1228"/>
      <c r="S936" s="1224"/>
      <c r="T936" s="1229"/>
      <c r="U936" s="1065"/>
      <c r="V936" s="1065"/>
      <c r="W936" s="1065"/>
      <c r="X936" s="1065"/>
      <c r="Y936" s="1065"/>
      <c r="Z936" s="1065"/>
      <c r="AA936" s="1065"/>
      <c r="AB936" s="1065"/>
      <c r="AC936" s="1065"/>
      <c r="AD936" s="1065"/>
      <c r="AE936" s="1065"/>
      <c r="AF936" s="1065"/>
      <c r="AG936" s="1065"/>
      <c r="AH936" s="1065"/>
      <c r="AI936" s="1065"/>
      <c r="AJ936" s="1065"/>
      <c r="AK936" s="1065"/>
      <c r="AL936" s="1065"/>
      <c r="AM936" s="1065"/>
      <c r="AN936" s="1065"/>
      <c r="AO936" s="1065"/>
      <c r="AP936" s="1065"/>
      <c r="AQ936" s="1065"/>
      <c r="AR936" s="1065"/>
      <c r="AS936" s="1065"/>
      <c r="AT936" s="1065"/>
      <c r="AU936" s="1065"/>
      <c r="AV936" s="1065"/>
      <c r="AW936" s="1065"/>
      <c r="AX936" s="1065"/>
      <c r="AY936" s="1065"/>
      <c r="AZ936" s="1065"/>
      <c r="BA936" s="1065"/>
      <c r="BB936" s="1065"/>
      <c r="BC936" s="1065"/>
      <c r="BD936" s="1065"/>
      <c r="BE936" s="1065"/>
      <c r="BF936" s="1065"/>
      <c r="BG936" s="1065"/>
      <c r="BH936" s="1065"/>
      <c r="BI936" s="1065"/>
      <c r="BJ936" s="1065"/>
      <c r="BK936" s="1065"/>
      <c r="BL936" s="1065"/>
      <c r="BM936" s="1065"/>
      <c r="BN936" s="1065"/>
      <c r="BO936" s="1065"/>
      <c r="BP936" s="1065"/>
      <c r="BQ936" s="1065"/>
      <c r="BR936" s="1065"/>
      <c r="BS936" s="1065"/>
      <c r="BT936" s="1065"/>
      <c r="BU936" s="1065"/>
      <c r="BV936" s="1065"/>
      <c r="BW936" s="1065"/>
      <c r="BX936" s="1065"/>
      <c r="BY936" s="1065"/>
      <c r="BZ936" s="1065"/>
      <c r="CA936" s="1065"/>
      <c r="CB936" s="1065"/>
      <c r="CC936" s="1065"/>
      <c r="CD936" s="1065"/>
      <c r="CE936" s="1065"/>
      <c r="CF936" s="1065"/>
      <c r="CG936" s="1065"/>
      <c r="CH936" s="1065"/>
      <c r="CI936" s="1065"/>
      <c r="CJ936" s="1065"/>
      <c r="CK936" s="1065"/>
      <c r="CL936" s="1065"/>
      <c r="CM936" s="1065"/>
      <c r="CN936" s="1065"/>
      <c r="CO936" s="1065"/>
      <c r="CP936" s="1065"/>
      <c r="CQ936" s="1065"/>
      <c r="CR936" s="1065"/>
      <c r="CS936" s="1065"/>
      <c r="CT936" s="1065"/>
      <c r="CU936" s="1065"/>
      <c r="CV936" s="1065"/>
      <c r="CW936" s="1065"/>
      <c r="CX936" s="1065"/>
      <c r="CY936" s="1065"/>
      <c r="CZ936" s="1065"/>
      <c r="DA936" s="1065"/>
      <c r="DB936" s="1065"/>
    </row>
    <row r="937" spans="1:106" ht="15" customHeight="1">
      <c r="A937" s="1065"/>
      <c r="B937" s="1065"/>
      <c r="C937" s="1065"/>
      <c r="D937" s="1065"/>
      <c r="E937" s="1065"/>
      <c r="F937" s="1065"/>
      <c r="G937" s="1065"/>
      <c r="H937" s="1223"/>
      <c r="I937" s="1223"/>
      <c r="J937" s="1224"/>
      <c r="K937" s="1224"/>
      <c r="L937" s="1224"/>
      <c r="M937" s="1225"/>
      <c r="N937" s="1225"/>
      <c r="O937" s="1226"/>
      <c r="P937" s="1227"/>
      <c r="Q937" s="1227"/>
      <c r="R937" s="1228"/>
      <c r="S937" s="1224"/>
      <c r="T937" s="1229"/>
      <c r="U937" s="1065"/>
      <c r="V937" s="1065"/>
      <c r="W937" s="1065"/>
      <c r="X937" s="1065"/>
      <c r="Y937" s="1065"/>
      <c r="Z937" s="1065"/>
      <c r="AA937" s="1065"/>
      <c r="AB937" s="1065"/>
      <c r="AC937" s="1065"/>
      <c r="AD937" s="1065"/>
      <c r="AE937" s="1065"/>
      <c r="AF937" s="1065"/>
      <c r="AG937" s="1065"/>
      <c r="AH937" s="1065"/>
      <c r="AI937" s="1065"/>
      <c r="AJ937" s="1065"/>
      <c r="AK937" s="1065"/>
      <c r="AL937" s="1065"/>
      <c r="AM937" s="1065"/>
      <c r="AN937" s="1065"/>
      <c r="AO937" s="1065"/>
      <c r="AP937" s="1065"/>
      <c r="AQ937" s="1065"/>
      <c r="AR937" s="1065"/>
      <c r="AS937" s="1065"/>
      <c r="AT937" s="1065"/>
      <c r="AU937" s="1065"/>
      <c r="AV937" s="1065"/>
      <c r="AW937" s="1065"/>
      <c r="AX937" s="1065"/>
      <c r="AY937" s="1065"/>
      <c r="AZ937" s="1065"/>
      <c r="BA937" s="1065"/>
      <c r="BB937" s="1065"/>
      <c r="BC937" s="1065"/>
      <c r="BD937" s="1065"/>
      <c r="BE937" s="1065"/>
      <c r="BF937" s="1065"/>
      <c r="BG937" s="1065"/>
      <c r="BH937" s="1065"/>
      <c r="BI937" s="1065"/>
      <c r="BJ937" s="1065"/>
      <c r="BK937" s="1065"/>
      <c r="BL937" s="1065"/>
      <c r="BM937" s="1065"/>
      <c r="BN937" s="1065"/>
      <c r="BO937" s="1065"/>
      <c r="BP937" s="1065"/>
      <c r="BQ937" s="1065"/>
      <c r="BR937" s="1065"/>
      <c r="BS937" s="1065"/>
      <c r="BT937" s="1065"/>
      <c r="BU937" s="1065"/>
      <c r="BV937" s="1065"/>
      <c r="BW937" s="1065"/>
      <c r="BX937" s="1065"/>
      <c r="BY937" s="1065"/>
      <c r="BZ937" s="1065"/>
      <c r="CA937" s="1065"/>
      <c r="CB937" s="1065"/>
      <c r="CC937" s="1065"/>
      <c r="CD937" s="1065"/>
      <c r="CE937" s="1065"/>
      <c r="CF937" s="1065"/>
      <c r="CG937" s="1065"/>
      <c r="CH937" s="1065"/>
      <c r="CI937" s="1065"/>
      <c r="CJ937" s="1065"/>
      <c r="CK937" s="1065"/>
      <c r="CL937" s="1065"/>
      <c r="CM937" s="1065"/>
      <c r="CN937" s="1065"/>
      <c r="CO937" s="1065"/>
      <c r="CP937" s="1065"/>
      <c r="CQ937" s="1065"/>
      <c r="CR937" s="1065"/>
      <c r="CS937" s="1065"/>
      <c r="CT937" s="1065"/>
      <c r="CU937" s="1065"/>
      <c r="CV937" s="1065"/>
      <c r="CW937" s="1065"/>
      <c r="CX937" s="1065"/>
      <c r="CY937" s="1065"/>
      <c r="CZ937" s="1065"/>
      <c r="DA937" s="1065"/>
      <c r="DB937" s="1065"/>
    </row>
    <row r="938" spans="1:106" ht="15" customHeight="1">
      <c r="A938" s="1065"/>
      <c r="B938" s="1065"/>
      <c r="C938" s="1065"/>
      <c r="D938" s="1065"/>
      <c r="E938" s="1065"/>
      <c r="F938" s="1065"/>
      <c r="G938" s="1065"/>
      <c r="H938" s="1223"/>
      <c r="I938" s="1223"/>
      <c r="J938" s="1224"/>
      <c r="K938" s="1224"/>
      <c r="L938" s="1224"/>
      <c r="M938" s="1225"/>
      <c r="N938" s="1225"/>
      <c r="O938" s="1226"/>
      <c r="P938" s="1227"/>
      <c r="Q938" s="1227"/>
      <c r="R938" s="1228"/>
      <c r="S938" s="1224"/>
      <c r="T938" s="1229"/>
      <c r="U938" s="1065"/>
      <c r="V938" s="1065"/>
      <c r="W938" s="1065"/>
      <c r="X938" s="1065"/>
      <c r="Y938" s="1065"/>
      <c r="Z938" s="1065"/>
      <c r="AA938" s="1065"/>
      <c r="AB938" s="1065"/>
      <c r="AC938" s="1065"/>
      <c r="AD938" s="1065"/>
      <c r="AE938" s="1065"/>
      <c r="AF938" s="1065"/>
      <c r="AG938" s="1065"/>
      <c r="AH938" s="1065"/>
      <c r="AI938" s="1065"/>
      <c r="AJ938" s="1065"/>
      <c r="AK938" s="1065"/>
      <c r="AL938" s="1065"/>
      <c r="AM938" s="1065"/>
      <c r="AN938" s="1065"/>
      <c r="AO938" s="1065"/>
      <c r="AP938" s="1065"/>
      <c r="AQ938" s="1065"/>
      <c r="AR938" s="1065"/>
      <c r="AS938" s="1065"/>
      <c r="AT938" s="1065"/>
      <c r="AU938" s="1065"/>
      <c r="AV938" s="1065"/>
      <c r="AW938" s="1065"/>
      <c r="AX938" s="1065"/>
      <c r="AY938" s="1065"/>
      <c r="AZ938" s="1065"/>
      <c r="BA938" s="1065"/>
      <c r="BB938" s="1065"/>
      <c r="BC938" s="1065"/>
      <c r="BD938" s="1065"/>
      <c r="BE938" s="1065"/>
      <c r="BF938" s="1065"/>
      <c r="BG938" s="1065"/>
      <c r="BH938" s="1065"/>
      <c r="BI938" s="1065"/>
      <c r="BJ938" s="1065"/>
      <c r="BK938" s="1065"/>
      <c r="BL938" s="1065"/>
      <c r="BM938" s="1065"/>
      <c r="BN938" s="1065"/>
      <c r="BO938" s="1065"/>
      <c r="BP938" s="1065"/>
      <c r="BQ938" s="1065"/>
      <c r="BR938" s="1065"/>
      <c r="BS938" s="1065"/>
      <c r="BT938" s="1065"/>
      <c r="BU938" s="1065"/>
      <c r="BV938" s="1065"/>
      <c r="BW938" s="1065"/>
      <c r="BX938" s="1065"/>
      <c r="BY938" s="1065"/>
      <c r="BZ938" s="1065"/>
      <c r="CA938" s="1065"/>
      <c r="CB938" s="1065"/>
      <c r="CC938" s="1065"/>
      <c r="CD938" s="1065"/>
      <c r="CE938" s="1065"/>
      <c r="CF938" s="1065"/>
      <c r="CG938" s="1065"/>
      <c r="CH938" s="1065"/>
      <c r="CI938" s="1065"/>
      <c r="CJ938" s="1065"/>
      <c r="CK938" s="1065"/>
      <c r="CL938" s="1065"/>
      <c r="CM938" s="1065"/>
      <c r="CN938" s="1065"/>
      <c r="CO938" s="1065"/>
      <c r="CP938" s="1065"/>
      <c r="CQ938" s="1065"/>
      <c r="CR938" s="1065"/>
      <c r="CS938" s="1065"/>
      <c r="CT938" s="1065"/>
      <c r="CU938" s="1065"/>
      <c r="CV938" s="1065"/>
      <c r="CW938" s="1065"/>
      <c r="CX938" s="1065"/>
      <c r="CY938" s="1065"/>
      <c r="CZ938" s="1065"/>
      <c r="DA938" s="1065"/>
      <c r="DB938" s="1065"/>
    </row>
    <row r="939" spans="1:106" ht="15" customHeight="1">
      <c r="A939" s="1065"/>
      <c r="B939" s="1065"/>
      <c r="C939" s="1065"/>
      <c r="D939" s="1065"/>
      <c r="E939" s="1065"/>
      <c r="F939" s="1065"/>
      <c r="G939" s="1065"/>
      <c r="H939" s="1223"/>
      <c r="I939" s="1223"/>
      <c r="J939" s="1224"/>
      <c r="K939" s="1224"/>
      <c r="L939" s="1224"/>
      <c r="M939" s="1225"/>
      <c r="N939" s="1225"/>
      <c r="O939" s="1226"/>
      <c r="P939" s="1227"/>
      <c r="Q939" s="1227"/>
      <c r="R939" s="1228"/>
      <c r="S939" s="1224"/>
      <c r="T939" s="1229"/>
      <c r="U939" s="1065"/>
      <c r="V939" s="1065"/>
      <c r="W939" s="1065"/>
      <c r="X939" s="1065"/>
      <c r="Y939" s="1065"/>
      <c r="Z939" s="1065"/>
      <c r="AA939" s="1065"/>
      <c r="AB939" s="1065"/>
      <c r="AC939" s="1065"/>
      <c r="AD939" s="1065"/>
      <c r="AE939" s="1065"/>
      <c r="AF939" s="1065"/>
      <c r="AG939" s="1065"/>
      <c r="AH939" s="1065"/>
      <c r="AI939" s="1065"/>
      <c r="AJ939" s="1065"/>
      <c r="AK939" s="1065"/>
      <c r="AL939" s="1065"/>
      <c r="AM939" s="1065"/>
      <c r="AN939" s="1065"/>
      <c r="AO939" s="1065"/>
      <c r="AP939" s="1065"/>
      <c r="AQ939" s="1065"/>
      <c r="AR939" s="1065"/>
      <c r="AS939" s="1065"/>
      <c r="AT939" s="1065"/>
      <c r="AU939" s="1065"/>
      <c r="AV939" s="1065"/>
      <c r="AW939" s="1065"/>
      <c r="AX939" s="1065"/>
      <c r="AY939" s="1065"/>
      <c r="AZ939" s="1065"/>
      <c r="BA939" s="1065"/>
      <c r="BB939" s="1065"/>
      <c r="BC939" s="1065"/>
      <c r="BD939" s="1065"/>
      <c r="BE939" s="1065"/>
      <c r="BF939" s="1065"/>
      <c r="BG939" s="1065"/>
      <c r="BH939" s="1065"/>
      <c r="BI939" s="1065"/>
      <c r="BJ939" s="1065"/>
      <c r="BK939" s="1065"/>
      <c r="BL939" s="1065"/>
      <c r="BM939" s="1065"/>
      <c r="BN939" s="1065"/>
      <c r="BO939" s="1065"/>
      <c r="BP939" s="1065"/>
      <c r="BQ939" s="1065"/>
      <c r="BR939" s="1065"/>
      <c r="BS939" s="1065"/>
      <c r="BT939" s="1065"/>
      <c r="BU939" s="1065"/>
      <c r="BV939" s="1065"/>
      <c r="BW939" s="1065"/>
      <c r="BX939" s="1065"/>
      <c r="BY939" s="1065"/>
      <c r="BZ939" s="1065"/>
      <c r="CA939" s="1065"/>
      <c r="CB939" s="1065"/>
      <c r="CC939" s="1065"/>
      <c r="CD939" s="1065"/>
      <c r="CE939" s="1065"/>
      <c r="CF939" s="1065"/>
      <c r="CG939" s="1065"/>
      <c r="CH939" s="1065"/>
      <c r="CI939" s="1065"/>
      <c r="CJ939" s="1065"/>
      <c r="CK939" s="1065"/>
      <c r="CL939" s="1065"/>
      <c r="CM939" s="1065"/>
      <c r="CN939" s="1065"/>
      <c r="CO939" s="1065"/>
      <c r="CP939" s="1065"/>
      <c r="CQ939" s="1065"/>
      <c r="CR939" s="1065"/>
      <c r="CS939" s="1065"/>
      <c r="CT939" s="1065"/>
      <c r="CU939" s="1065"/>
      <c r="CV939" s="1065"/>
      <c r="CW939" s="1065"/>
      <c r="CX939" s="1065"/>
      <c r="CY939" s="1065"/>
      <c r="CZ939" s="1065"/>
      <c r="DA939" s="1065"/>
      <c r="DB939" s="1065"/>
    </row>
    <row r="940" spans="1:106" ht="15" customHeight="1">
      <c r="A940" s="1065"/>
      <c r="B940" s="1065"/>
      <c r="C940" s="1065"/>
      <c r="D940" s="1065"/>
      <c r="E940" s="1065"/>
      <c r="F940" s="1065"/>
      <c r="G940" s="1065"/>
      <c r="H940" s="1223"/>
      <c r="I940" s="1223"/>
      <c r="J940" s="1224"/>
      <c r="K940" s="1224"/>
      <c r="L940" s="1224"/>
      <c r="M940" s="1225"/>
      <c r="N940" s="1225"/>
      <c r="O940" s="1226"/>
      <c r="P940" s="1227"/>
      <c r="Q940" s="1227"/>
      <c r="R940" s="1228"/>
      <c r="S940" s="1224"/>
      <c r="T940" s="1229"/>
      <c r="U940" s="1065"/>
      <c r="V940" s="1065"/>
      <c r="W940" s="1065"/>
      <c r="X940" s="1065"/>
      <c r="Y940" s="1065"/>
      <c r="Z940" s="1065"/>
      <c r="AA940" s="1065"/>
      <c r="AB940" s="1065"/>
      <c r="AC940" s="1065"/>
      <c r="AD940" s="1065"/>
      <c r="AE940" s="1065"/>
      <c r="AF940" s="1065"/>
      <c r="AG940" s="1065"/>
      <c r="AH940" s="1065"/>
      <c r="AI940" s="1065"/>
      <c r="AJ940" s="1065"/>
      <c r="AK940" s="1065"/>
      <c r="AL940" s="1065"/>
      <c r="AM940" s="1065"/>
      <c r="AN940" s="1065"/>
      <c r="AO940" s="1065"/>
      <c r="AP940" s="1065"/>
      <c r="AQ940" s="1065"/>
      <c r="AR940" s="1065"/>
      <c r="AS940" s="1065"/>
      <c r="AT940" s="1065"/>
      <c r="AU940" s="1065"/>
      <c r="AV940" s="1065"/>
      <c r="AW940" s="1065"/>
      <c r="AX940" s="1065"/>
      <c r="AY940" s="1065"/>
      <c r="AZ940" s="1065"/>
      <c r="BA940" s="1065"/>
      <c r="BB940" s="1065"/>
      <c r="BC940" s="1065"/>
      <c r="BD940" s="1065"/>
      <c r="BE940" s="1065"/>
      <c r="BF940" s="1065"/>
      <c r="BG940" s="1065"/>
      <c r="BH940" s="1065"/>
      <c r="BI940" s="1065"/>
      <c r="BJ940" s="1065"/>
      <c r="BK940" s="1065"/>
      <c r="BL940" s="1065"/>
      <c r="BM940" s="1065"/>
      <c r="BN940" s="1065"/>
      <c r="BO940" s="1065"/>
      <c r="BP940" s="1065"/>
      <c r="BQ940" s="1065"/>
      <c r="BR940" s="1065"/>
      <c r="BS940" s="1065"/>
      <c r="BT940" s="1065"/>
      <c r="BU940" s="1065"/>
      <c r="BV940" s="1065"/>
      <c r="BW940" s="1065"/>
      <c r="BX940" s="1065"/>
      <c r="BY940" s="1065"/>
      <c r="BZ940" s="1065"/>
      <c r="CA940" s="1065"/>
      <c r="CB940" s="1065"/>
      <c r="CC940" s="1065"/>
      <c r="CD940" s="1065"/>
      <c r="CE940" s="1065"/>
      <c r="CF940" s="1065"/>
      <c r="CG940" s="1065"/>
      <c r="CH940" s="1065"/>
      <c r="CI940" s="1065"/>
      <c r="CJ940" s="1065"/>
      <c r="CK940" s="1065"/>
      <c r="CL940" s="1065"/>
      <c r="CM940" s="1065"/>
      <c r="CN940" s="1065"/>
      <c r="CO940" s="1065"/>
      <c r="CP940" s="1065"/>
      <c r="CQ940" s="1065"/>
      <c r="CR940" s="1065"/>
      <c r="CS940" s="1065"/>
      <c r="CT940" s="1065"/>
      <c r="CU940" s="1065"/>
      <c r="CV940" s="1065"/>
      <c r="CW940" s="1065"/>
      <c r="CX940" s="1065"/>
      <c r="CY940" s="1065"/>
      <c r="CZ940" s="1065"/>
      <c r="DA940" s="1065"/>
      <c r="DB940" s="1065"/>
    </row>
    <row r="941" spans="1:106" ht="15" customHeight="1">
      <c r="A941" s="1065"/>
      <c r="B941" s="1065"/>
      <c r="C941" s="1065"/>
      <c r="D941" s="1065"/>
      <c r="E941" s="1065"/>
      <c r="F941" s="1065"/>
      <c r="G941" s="1065"/>
      <c r="H941" s="1223"/>
      <c r="I941" s="1223"/>
      <c r="J941" s="1224"/>
      <c r="K941" s="1224"/>
      <c r="L941" s="1224"/>
      <c r="M941" s="1225"/>
      <c r="N941" s="1225"/>
      <c r="O941" s="1226"/>
      <c r="P941" s="1227"/>
      <c r="Q941" s="1227"/>
      <c r="R941" s="1228"/>
      <c r="S941" s="1224"/>
      <c r="T941" s="1229"/>
      <c r="U941" s="1065"/>
      <c r="V941" s="1065"/>
      <c r="W941" s="1065"/>
      <c r="X941" s="1065"/>
      <c r="Y941" s="1065"/>
      <c r="Z941" s="1065"/>
      <c r="AA941" s="1065"/>
      <c r="AB941" s="1065"/>
      <c r="AC941" s="1065"/>
      <c r="AD941" s="1065"/>
      <c r="AE941" s="1065"/>
      <c r="AF941" s="1065"/>
      <c r="AG941" s="1065"/>
      <c r="AH941" s="1065"/>
      <c r="AI941" s="1065"/>
      <c r="AJ941" s="1065"/>
      <c r="AK941" s="1065"/>
      <c r="AL941" s="1065"/>
      <c r="AM941" s="1065"/>
      <c r="AN941" s="1065"/>
      <c r="AO941" s="1065"/>
      <c r="AP941" s="1065"/>
      <c r="AQ941" s="1065"/>
      <c r="AR941" s="1065"/>
      <c r="AS941" s="1065"/>
      <c r="AT941" s="1065"/>
      <c r="AU941" s="1065"/>
      <c r="AV941" s="1065"/>
      <c r="AW941" s="1065"/>
      <c r="AX941" s="1065"/>
      <c r="AY941" s="1065"/>
      <c r="AZ941" s="1065"/>
      <c r="BA941" s="1065"/>
      <c r="BB941" s="1065"/>
      <c r="BC941" s="1065"/>
      <c r="BD941" s="1065"/>
      <c r="BE941" s="1065"/>
      <c r="BF941" s="1065"/>
      <c r="BG941" s="1065"/>
      <c r="BH941" s="1065"/>
      <c r="BI941" s="1065"/>
      <c r="BJ941" s="1065"/>
      <c r="BK941" s="1065"/>
      <c r="BL941" s="1065"/>
      <c r="BM941" s="1065"/>
      <c r="BN941" s="1065"/>
      <c r="BO941" s="1065"/>
      <c r="BP941" s="1065"/>
      <c r="BQ941" s="1065"/>
      <c r="BR941" s="1065"/>
      <c r="BS941" s="1065"/>
      <c r="BT941" s="1065"/>
      <c r="BU941" s="1065"/>
      <c r="BV941" s="1065"/>
      <c r="BW941" s="1065"/>
      <c r="BX941" s="1065"/>
      <c r="BY941" s="1065"/>
      <c r="BZ941" s="1065"/>
      <c r="CA941" s="1065"/>
      <c r="CB941" s="1065"/>
      <c r="CC941" s="1065"/>
      <c r="CD941" s="1065"/>
      <c r="CE941" s="1065"/>
      <c r="CF941" s="1065"/>
      <c r="CG941" s="1065"/>
      <c r="CH941" s="1065"/>
      <c r="CI941" s="1065"/>
      <c r="CJ941" s="1065"/>
      <c r="CK941" s="1065"/>
      <c r="CL941" s="1065"/>
      <c r="CM941" s="1065"/>
      <c r="CN941" s="1065"/>
      <c r="CO941" s="1065"/>
      <c r="CP941" s="1065"/>
      <c r="CQ941" s="1065"/>
      <c r="CR941" s="1065"/>
      <c r="CS941" s="1065"/>
      <c r="CT941" s="1065"/>
      <c r="CU941" s="1065"/>
      <c r="CV941" s="1065"/>
      <c r="CW941" s="1065"/>
      <c r="CX941" s="1065"/>
      <c r="CY941" s="1065"/>
      <c r="CZ941" s="1065"/>
      <c r="DA941" s="1065"/>
      <c r="DB941" s="1065"/>
    </row>
    <row r="942" spans="1:106" ht="15" customHeight="1">
      <c r="A942" s="1065"/>
      <c r="B942" s="1065"/>
      <c r="C942" s="1065"/>
      <c r="D942" s="1065"/>
      <c r="E942" s="1065"/>
      <c r="F942" s="1065"/>
      <c r="G942" s="1065"/>
      <c r="H942" s="1223"/>
      <c r="I942" s="1223"/>
      <c r="J942" s="1224"/>
      <c r="K942" s="1224"/>
      <c r="L942" s="1224"/>
      <c r="M942" s="1225"/>
      <c r="N942" s="1225"/>
      <c r="O942" s="1226"/>
      <c r="P942" s="1227"/>
      <c r="Q942" s="1227"/>
      <c r="R942" s="1228"/>
      <c r="S942" s="1224"/>
      <c r="T942" s="1229"/>
      <c r="U942" s="1065"/>
      <c r="V942" s="1065"/>
      <c r="W942" s="1065"/>
      <c r="X942" s="1065"/>
      <c r="Y942" s="1065"/>
      <c r="Z942" s="1065"/>
      <c r="AA942" s="1065"/>
      <c r="AB942" s="1065"/>
      <c r="AC942" s="1065"/>
      <c r="AD942" s="1065"/>
      <c r="AE942" s="1065"/>
      <c r="AF942" s="1065"/>
      <c r="AG942" s="1065"/>
      <c r="AH942" s="1065"/>
      <c r="AI942" s="1065"/>
      <c r="AJ942" s="1065"/>
      <c r="AK942" s="1065"/>
      <c r="AL942" s="1065"/>
      <c r="AM942" s="1065"/>
      <c r="AN942" s="1065"/>
      <c r="AO942" s="1065"/>
      <c r="AP942" s="1065"/>
      <c r="AQ942" s="1065"/>
      <c r="AR942" s="1065"/>
      <c r="AS942" s="1065"/>
      <c r="AT942" s="1065"/>
      <c r="AU942" s="1065"/>
      <c r="AV942" s="1065"/>
      <c r="AW942" s="1065"/>
      <c r="AX942" s="1065"/>
      <c r="AY942" s="1065"/>
      <c r="AZ942" s="1065"/>
      <c r="BA942" s="1065"/>
      <c r="BB942" s="1065"/>
      <c r="BC942" s="1065"/>
      <c r="BD942" s="1065"/>
      <c r="BE942" s="1065"/>
      <c r="BF942" s="1065"/>
      <c r="BG942" s="1065"/>
      <c r="BH942" s="1065"/>
      <c r="BI942" s="1065"/>
      <c r="BJ942" s="1065"/>
      <c r="BK942" s="1065"/>
      <c r="BL942" s="1065"/>
      <c r="BM942" s="1065"/>
      <c r="BN942" s="1065"/>
      <c r="BO942" s="1065"/>
      <c r="BP942" s="1065"/>
      <c r="BQ942" s="1065"/>
      <c r="BR942" s="1065"/>
      <c r="BS942" s="1065"/>
      <c r="BT942" s="1065"/>
      <c r="BU942" s="1065"/>
      <c r="BV942" s="1065"/>
      <c r="BW942" s="1065"/>
      <c r="BX942" s="1065"/>
      <c r="BY942" s="1065"/>
      <c r="BZ942" s="1065"/>
      <c r="CA942" s="1065"/>
      <c r="CB942" s="1065"/>
      <c r="CC942" s="1065"/>
      <c r="CD942" s="1065"/>
      <c r="CE942" s="1065"/>
      <c r="CF942" s="1065"/>
      <c r="CG942" s="1065"/>
      <c r="CH942" s="1065"/>
      <c r="CI942" s="1065"/>
      <c r="CJ942" s="1065"/>
      <c r="CK942" s="1065"/>
      <c r="CL942" s="1065"/>
      <c r="CM942" s="1065"/>
      <c r="CN942" s="1065"/>
      <c r="CO942" s="1065"/>
      <c r="CP942" s="1065"/>
      <c r="CQ942" s="1065"/>
      <c r="CR942" s="1065"/>
      <c r="CS942" s="1065"/>
      <c r="CT942" s="1065"/>
      <c r="CU942" s="1065"/>
      <c r="CV942" s="1065"/>
      <c r="CW942" s="1065"/>
      <c r="CX942" s="1065"/>
      <c r="CY942" s="1065"/>
      <c r="CZ942" s="1065"/>
      <c r="DA942" s="1065"/>
      <c r="DB942" s="1065"/>
    </row>
    <row r="943" spans="1:106" ht="15" customHeight="1">
      <c r="A943" s="1065"/>
      <c r="B943" s="1065"/>
      <c r="C943" s="1065"/>
      <c r="D943" s="1065"/>
      <c r="E943" s="1065"/>
      <c r="F943" s="1065"/>
      <c r="G943" s="1065"/>
      <c r="H943" s="1223"/>
      <c r="I943" s="1223"/>
      <c r="J943" s="1224"/>
      <c r="K943" s="1224"/>
      <c r="L943" s="1224"/>
      <c r="M943" s="1225"/>
      <c r="N943" s="1225"/>
      <c r="O943" s="1226"/>
      <c r="P943" s="1227"/>
      <c r="Q943" s="1227"/>
      <c r="R943" s="1228"/>
      <c r="S943" s="1224"/>
      <c r="T943" s="1229"/>
      <c r="U943" s="1065"/>
      <c r="V943" s="1065"/>
      <c r="W943" s="1065"/>
      <c r="X943" s="1065"/>
      <c r="Y943" s="1065"/>
      <c r="Z943" s="1065"/>
      <c r="AA943" s="1065"/>
      <c r="AB943" s="1065"/>
      <c r="AC943" s="1065"/>
      <c r="AD943" s="1065"/>
      <c r="AE943" s="1065"/>
      <c r="AF943" s="1065"/>
      <c r="AG943" s="1065"/>
      <c r="AH943" s="1065"/>
      <c r="AI943" s="1065"/>
      <c r="AJ943" s="1065"/>
      <c r="AK943" s="1065"/>
      <c r="AL943" s="1065"/>
      <c r="AM943" s="1065"/>
      <c r="AN943" s="1065"/>
      <c r="AO943" s="1065"/>
      <c r="AP943" s="1065"/>
      <c r="AQ943" s="1065"/>
      <c r="AR943" s="1065"/>
      <c r="AS943" s="1065"/>
      <c r="AT943" s="1065"/>
      <c r="AU943" s="1065"/>
      <c r="AV943" s="1065"/>
      <c r="AW943" s="1065"/>
      <c r="AX943" s="1065"/>
      <c r="AY943" s="1065"/>
      <c r="AZ943" s="1065"/>
      <c r="BA943" s="1065"/>
      <c r="BB943" s="1065"/>
      <c r="BC943" s="1065"/>
      <c r="BD943" s="1065"/>
      <c r="BE943" s="1065"/>
      <c r="BF943" s="1065"/>
      <c r="BG943" s="1065"/>
      <c r="BH943" s="1065"/>
      <c r="BI943" s="1065"/>
      <c r="BJ943" s="1065"/>
      <c r="BK943" s="1065"/>
      <c r="BL943" s="1065"/>
      <c r="BM943" s="1065"/>
      <c r="BN943" s="1065"/>
      <c r="BO943" s="1065"/>
      <c r="BP943" s="1065"/>
      <c r="BQ943" s="1065"/>
      <c r="BR943" s="1065"/>
      <c r="BS943" s="1065"/>
      <c r="BT943" s="1065"/>
      <c r="BU943" s="1065"/>
      <c r="BV943" s="1065"/>
      <c r="BW943" s="1065"/>
      <c r="BX943" s="1065"/>
      <c r="BY943" s="1065"/>
      <c r="BZ943" s="1065"/>
      <c r="CA943" s="1065"/>
      <c r="CB943" s="1065"/>
      <c r="CC943" s="1065"/>
      <c r="CD943" s="1065"/>
      <c r="CE943" s="1065"/>
      <c r="CF943" s="1065"/>
      <c r="CG943" s="1065"/>
      <c r="CH943" s="1065"/>
      <c r="CI943" s="1065"/>
      <c r="CJ943" s="1065"/>
      <c r="CK943" s="1065"/>
      <c r="CL943" s="1065"/>
      <c r="CM943" s="1065"/>
      <c r="CN943" s="1065"/>
      <c r="CO943" s="1065"/>
      <c r="CP943" s="1065"/>
      <c r="CQ943" s="1065"/>
      <c r="CR943" s="1065"/>
      <c r="CS943" s="1065"/>
      <c r="CT943" s="1065"/>
      <c r="CU943" s="1065"/>
      <c r="CV943" s="1065"/>
      <c r="CW943" s="1065"/>
      <c r="CX943" s="1065"/>
      <c r="CY943" s="1065"/>
      <c r="CZ943" s="1065"/>
      <c r="DA943" s="1065"/>
      <c r="DB943" s="1065"/>
    </row>
    <row r="944" spans="1:106" ht="15" customHeight="1">
      <c r="A944" s="1065"/>
      <c r="B944" s="1065"/>
      <c r="C944" s="1065"/>
      <c r="D944" s="1065"/>
      <c r="E944" s="1065"/>
      <c r="F944" s="1065"/>
      <c r="G944" s="1065"/>
      <c r="H944" s="1223"/>
      <c r="I944" s="1223"/>
      <c r="J944" s="1224"/>
      <c r="K944" s="1224"/>
      <c r="L944" s="1224"/>
      <c r="M944" s="1225"/>
      <c r="N944" s="1225"/>
      <c r="O944" s="1226"/>
      <c r="P944" s="1227"/>
      <c r="Q944" s="1227"/>
      <c r="R944" s="1228"/>
      <c r="S944" s="1224"/>
      <c r="T944" s="1229"/>
      <c r="U944" s="1065"/>
      <c r="V944" s="1065"/>
      <c r="W944" s="1065"/>
      <c r="X944" s="1065"/>
      <c r="Y944" s="1065"/>
      <c r="Z944" s="1065"/>
      <c r="AA944" s="1065"/>
      <c r="AB944" s="1065"/>
      <c r="AC944" s="1065"/>
      <c r="AD944" s="1065"/>
      <c r="AE944" s="1065"/>
      <c r="AF944" s="1065"/>
      <c r="AG944" s="1065"/>
      <c r="AH944" s="1065"/>
      <c r="AI944" s="1065"/>
      <c r="AJ944" s="1065"/>
      <c r="AK944" s="1065"/>
      <c r="AL944" s="1065"/>
      <c r="AM944" s="1065"/>
      <c r="AN944" s="1065"/>
      <c r="AO944" s="1065"/>
      <c r="AP944" s="1065"/>
      <c r="AQ944" s="1065"/>
      <c r="AR944" s="1065"/>
      <c r="AS944" s="1065"/>
      <c r="AT944" s="1065"/>
      <c r="AU944" s="1065"/>
      <c r="AV944" s="1065"/>
      <c r="AW944" s="1065"/>
      <c r="AX944" s="1065"/>
      <c r="AY944" s="1065"/>
      <c r="AZ944" s="1065"/>
      <c r="BA944" s="1065"/>
      <c r="BB944" s="1065"/>
      <c r="BC944" s="1065"/>
      <c r="BD944" s="1065"/>
      <c r="BE944" s="1065"/>
      <c r="BF944" s="1065"/>
      <c r="BG944" s="1065"/>
      <c r="BH944" s="1065"/>
      <c r="BI944" s="1065"/>
      <c r="BJ944" s="1065"/>
      <c r="BK944" s="1065"/>
      <c r="BL944" s="1065"/>
      <c r="BM944" s="1065"/>
      <c r="BN944" s="1065"/>
      <c r="BO944" s="1065"/>
      <c r="BP944" s="1065"/>
      <c r="BQ944" s="1065"/>
      <c r="BR944" s="1065"/>
      <c r="BS944" s="1065"/>
      <c r="BT944" s="1065"/>
      <c r="BU944" s="1065"/>
      <c r="BV944" s="1065"/>
      <c r="BW944" s="1065"/>
      <c r="BX944" s="1065"/>
      <c r="BY944" s="1065"/>
      <c r="BZ944" s="1065"/>
      <c r="CA944" s="1065"/>
      <c r="CB944" s="1065"/>
      <c r="CC944" s="1065"/>
      <c r="CD944" s="1065"/>
      <c r="CE944" s="1065"/>
      <c r="CF944" s="1065"/>
      <c r="CG944" s="1065"/>
      <c r="CH944" s="1065"/>
      <c r="CI944" s="1065"/>
      <c r="CJ944" s="1065"/>
      <c r="CK944" s="1065"/>
      <c r="CL944" s="1065"/>
      <c r="CM944" s="1065"/>
      <c r="CN944" s="1065"/>
      <c r="CO944" s="1065"/>
      <c r="CP944" s="1065"/>
      <c r="CQ944" s="1065"/>
      <c r="CR944" s="1065"/>
      <c r="CS944" s="1065"/>
      <c r="CT944" s="1065"/>
      <c r="CU944" s="1065"/>
      <c r="CV944" s="1065"/>
      <c r="CW944" s="1065"/>
      <c r="CX944" s="1065"/>
      <c r="CY944" s="1065"/>
      <c r="CZ944" s="1065"/>
      <c r="DA944" s="1065"/>
      <c r="DB944" s="1065"/>
    </row>
    <row r="945" spans="1:106" ht="15" customHeight="1">
      <c r="A945" s="1065"/>
      <c r="B945" s="1065"/>
      <c r="C945" s="1065"/>
      <c r="D945" s="1065"/>
      <c r="E945" s="1065"/>
      <c r="F945" s="1065"/>
      <c r="G945" s="1065"/>
      <c r="H945" s="1223"/>
      <c r="I945" s="1223"/>
      <c r="J945" s="1224"/>
      <c r="K945" s="1224"/>
      <c r="L945" s="1224"/>
      <c r="M945" s="1225"/>
      <c r="N945" s="1225"/>
      <c r="O945" s="1226"/>
      <c r="P945" s="1227"/>
      <c r="Q945" s="1227"/>
      <c r="R945" s="1228"/>
      <c r="S945" s="1224"/>
      <c r="T945" s="1229"/>
      <c r="U945" s="1065"/>
      <c r="V945" s="1065"/>
      <c r="W945" s="1065"/>
      <c r="X945" s="1065"/>
      <c r="Y945" s="1065"/>
      <c r="Z945" s="1065"/>
      <c r="AA945" s="1065"/>
      <c r="AB945" s="1065"/>
      <c r="AC945" s="1065"/>
      <c r="AD945" s="1065"/>
      <c r="AE945" s="1065"/>
      <c r="AF945" s="1065"/>
      <c r="AG945" s="1065"/>
      <c r="AH945" s="1065"/>
      <c r="AI945" s="1065"/>
      <c r="AJ945" s="1065"/>
      <c r="AK945" s="1065"/>
      <c r="AL945" s="1065"/>
      <c r="AM945" s="1065"/>
      <c r="AN945" s="1065"/>
      <c r="AO945" s="1065"/>
      <c r="AP945" s="1065"/>
      <c r="AQ945" s="1065"/>
      <c r="AR945" s="1065"/>
      <c r="AS945" s="1065"/>
      <c r="AT945" s="1065"/>
      <c r="AU945" s="1065"/>
      <c r="AV945" s="1065"/>
      <c r="AW945" s="1065"/>
      <c r="AX945" s="1065"/>
      <c r="AY945" s="1065"/>
      <c r="AZ945" s="1065"/>
      <c r="BA945" s="1065"/>
      <c r="BB945" s="1065"/>
      <c r="BC945" s="1065"/>
      <c r="BD945" s="1065"/>
      <c r="BE945" s="1065"/>
      <c r="BF945" s="1065"/>
      <c r="BG945" s="1065"/>
      <c r="BH945" s="1065"/>
      <c r="BI945" s="1065"/>
      <c r="BJ945" s="1065"/>
      <c r="BK945" s="1065"/>
      <c r="BL945" s="1065"/>
      <c r="BM945" s="1065"/>
      <c r="BN945" s="1065"/>
      <c r="BO945" s="1065"/>
      <c r="BP945" s="1065"/>
      <c r="BQ945" s="1065"/>
      <c r="BR945" s="1065"/>
      <c r="BS945" s="1065"/>
      <c r="BT945" s="1065"/>
      <c r="BU945" s="1065"/>
      <c r="BV945" s="1065"/>
      <c r="BW945" s="1065"/>
      <c r="BX945" s="1065"/>
      <c r="BY945" s="1065"/>
      <c r="BZ945" s="1065"/>
      <c r="CA945" s="1065"/>
      <c r="CB945" s="1065"/>
      <c r="CC945" s="1065"/>
      <c r="CD945" s="1065"/>
      <c r="CE945" s="1065"/>
      <c r="CF945" s="1065"/>
      <c r="CG945" s="1065"/>
      <c r="CH945" s="1065"/>
      <c r="CI945" s="1065"/>
      <c r="CJ945" s="1065"/>
      <c r="CK945" s="1065"/>
      <c r="CL945" s="1065"/>
      <c r="CM945" s="1065"/>
      <c r="CN945" s="1065"/>
      <c r="CO945" s="1065"/>
      <c r="CP945" s="1065"/>
      <c r="CQ945" s="1065"/>
      <c r="CR945" s="1065"/>
      <c r="CS945" s="1065"/>
      <c r="CT945" s="1065"/>
      <c r="CU945" s="1065"/>
      <c r="CV945" s="1065"/>
      <c r="CW945" s="1065"/>
      <c r="CX945" s="1065"/>
      <c r="CY945" s="1065"/>
      <c r="CZ945" s="1065"/>
      <c r="DA945" s="1065"/>
      <c r="DB945" s="1065"/>
    </row>
    <row r="946" spans="1:106" ht="15" customHeight="1">
      <c r="A946" s="1065"/>
      <c r="B946" s="1065"/>
      <c r="C946" s="1065"/>
      <c r="D946" s="1065"/>
      <c r="E946" s="1065"/>
      <c r="F946" s="1065"/>
      <c r="G946" s="1065"/>
      <c r="H946" s="1223"/>
      <c r="I946" s="1223"/>
      <c r="J946" s="1224"/>
      <c r="K946" s="1224"/>
      <c r="L946" s="1224"/>
      <c r="M946" s="1225"/>
      <c r="N946" s="1225"/>
      <c r="O946" s="1226"/>
      <c r="P946" s="1227"/>
      <c r="Q946" s="1227"/>
      <c r="R946" s="1228"/>
      <c r="S946" s="1224"/>
      <c r="T946" s="1229"/>
      <c r="U946" s="1065"/>
      <c r="V946" s="1065"/>
      <c r="W946" s="1065"/>
      <c r="X946" s="1065"/>
      <c r="Y946" s="1065"/>
      <c r="Z946" s="1065"/>
      <c r="AA946" s="1065"/>
      <c r="AB946" s="1065"/>
      <c r="AC946" s="1065"/>
      <c r="AD946" s="1065"/>
      <c r="AE946" s="1065"/>
      <c r="AF946" s="1065"/>
      <c r="AG946" s="1065"/>
      <c r="AH946" s="1065"/>
      <c r="AI946" s="1065"/>
      <c r="AJ946" s="1065"/>
      <c r="AK946" s="1065"/>
      <c r="AL946" s="1065"/>
      <c r="AM946" s="1065"/>
      <c r="AN946" s="1065"/>
      <c r="AO946" s="1065"/>
      <c r="AP946" s="1065"/>
      <c r="AQ946" s="1065"/>
      <c r="AR946" s="1065"/>
      <c r="AS946" s="1065"/>
      <c r="AT946" s="1065"/>
      <c r="AU946" s="1065"/>
      <c r="AV946" s="1065"/>
      <c r="AW946" s="1065"/>
      <c r="AX946" s="1065"/>
      <c r="AY946" s="1065"/>
      <c r="AZ946" s="1065"/>
      <c r="BA946" s="1065"/>
      <c r="BB946" s="1065"/>
      <c r="BC946" s="1065"/>
      <c r="BD946" s="1065"/>
      <c r="BE946" s="1065"/>
      <c r="BF946" s="1065"/>
      <c r="BG946" s="1065"/>
      <c r="BH946" s="1065"/>
      <c r="BI946" s="1065"/>
      <c r="BJ946" s="1065"/>
      <c r="BK946" s="1065"/>
      <c r="BL946" s="1065"/>
      <c r="BM946" s="1065"/>
      <c r="BN946" s="1065"/>
      <c r="BO946" s="1065"/>
      <c r="BP946" s="1065"/>
      <c r="BQ946" s="1065"/>
      <c r="BR946" s="1065"/>
      <c r="BS946" s="1065"/>
      <c r="BT946" s="1065"/>
      <c r="BU946" s="1065"/>
      <c r="BV946" s="1065"/>
      <c r="BW946" s="1065"/>
      <c r="BX946" s="1065"/>
      <c r="BY946" s="1065"/>
      <c r="BZ946" s="1065"/>
      <c r="CA946" s="1065"/>
      <c r="CB946" s="1065"/>
      <c r="CC946" s="1065"/>
      <c r="CD946" s="1065"/>
      <c r="CE946" s="1065"/>
      <c r="CF946" s="1065"/>
      <c r="CG946" s="1065"/>
      <c r="CH946" s="1065"/>
      <c r="CI946" s="1065"/>
      <c r="CJ946" s="1065"/>
      <c r="CK946" s="1065"/>
      <c r="CL946" s="1065"/>
      <c r="CM946" s="1065"/>
      <c r="CN946" s="1065"/>
      <c r="CO946" s="1065"/>
      <c r="CP946" s="1065"/>
      <c r="CQ946" s="1065"/>
      <c r="CR946" s="1065"/>
      <c r="CS946" s="1065"/>
      <c r="CT946" s="1065"/>
      <c r="CU946" s="1065"/>
      <c r="CV946" s="1065"/>
      <c r="CW946" s="1065"/>
      <c r="CX946" s="1065"/>
      <c r="CY946" s="1065"/>
      <c r="CZ946" s="1065"/>
      <c r="DA946" s="1065"/>
      <c r="DB946" s="1065"/>
    </row>
    <row r="947" spans="1:106" ht="15" customHeight="1">
      <c r="A947" s="1065"/>
      <c r="B947" s="1065"/>
      <c r="C947" s="1065"/>
      <c r="D947" s="1065"/>
      <c r="E947" s="1065"/>
      <c r="F947" s="1065"/>
      <c r="G947" s="1065"/>
      <c r="H947" s="1223"/>
      <c r="I947" s="1223"/>
      <c r="J947" s="1224"/>
      <c r="K947" s="1224"/>
      <c r="L947" s="1224"/>
      <c r="M947" s="1225"/>
      <c r="N947" s="1225"/>
      <c r="O947" s="1226"/>
      <c r="P947" s="1227"/>
      <c r="Q947" s="1227"/>
      <c r="R947" s="1228"/>
      <c r="S947" s="1224"/>
      <c r="T947" s="1229"/>
      <c r="U947" s="1065"/>
      <c r="V947" s="1065"/>
      <c r="W947" s="1065"/>
      <c r="X947" s="1065"/>
      <c r="Y947" s="1065"/>
      <c r="Z947" s="1065"/>
      <c r="AA947" s="1065"/>
      <c r="AB947" s="1065"/>
      <c r="AC947" s="1065"/>
      <c r="AD947" s="1065"/>
      <c r="AE947" s="1065"/>
      <c r="AF947" s="1065"/>
      <c r="AG947" s="1065"/>
      <c r="AH947" s="1065"/>
      <c r="AI947" s="1065"/>
      <c r="AJ947" s="1065"/>
      <c r="AK947" s="1065"/>
      <c r="AL947" s="1065"/>
      <c r="AM947" s="1065"/>
      <c r="AN947" s="1065"/>
      <c r="AO947" s="1065"/>
      <c r="AP947" s="1065"/>
      <c r="AQ947" s="1065"/>
      <c r="AR947" s="1065"/>
      <c r="AS947" s="1065"/>
      <c r="AT947" s="1065"/>
      <c r="AU947" s="1065"/>
      <c r="AV947" s="1065"/>
      <c r="AW947" s="1065"/>
      <c r="AX947" s="1065"/>
      <c r="AY947" s="1065"/>
      <c r="AZ947" s="1065"/>
      <c r="BA947" s="1065"/>
      <c r="BB947" s="1065"/>
      <c r="BC947" s="1065"/>
      <c r="BD947" s="1065"/>
      <c r="BE947" s="1065"/>
      <c r="BF947" s="1065"/>
      <c r="BG947" s="1065"/>
      <c r="BH947" s="1065"/>
      <c r="BI947" s="1065"/>
      <c r="BJ947" s="1065"/>
      <c r="BK947" s="1065"/>
      <c r="BL947" s="1065"/>
      <c r="BM947" s="1065"/>
      <c r="BN947" s="1065"/>
      <c r="BO947" s="1065"/>
      <c r="BP947" s="1065"/>
      <c r="BQ947" s="1065"/>
      <c r="BR947" s="1065"/>
      <c r="BS947" s="1065"/>
      <c r="BT947" s="1065"/>
      <c r="BU947" s="1065"/>
      <c r="BV947" s="1065"/>
      <c r="BW947" s="1065"/>
      <c r="BX947" s="1065"/>
      <c r="BY947" s="1065"/>
      <c r="BZ947" s="1065"/>
      <c r="CA947" s="1065"/>
      <c r="CB947" s="1065"/>
      <c r="CC947" s="1065"/>
      <c r="CD947" s="1065"/>
      <c r="CE947" s="1065"/>
      <c r="CF947" s="1065"/>
      <c r="CG947" s="1065"/>
      <c r="CH947" s="1065"/>
      <c r="CI947" s="1065"/>
      <c r="CJ947" s="1065"/>
      <c r="CK947" s="1065"/>
      <c r="CL947" s="1065"/>
      <c r="CM947" s="1065"/>
      <c r="CN947" s="1065"/>
      <c r="CO947" s="1065"/>
      <c r="CP947" s="1065"/>
      <c r="CQ947" s="1065"/>
      <c r="CR947" s="1065"/>
      <c r="CS947" s="1065"/>
      <c r="CT947" s="1065"/>
      <c r="CU947" s="1065"/>
      <c r="CV947" s="1065"/>
      <c r="CW947" s="1065"/>
      <c r="CX947" s="1065"/>
      <c r="CY947" s="1065"/>
      <c r="CZ947" s="1065"/>
      <c r="DA947" s="1065"/>
      <c r="DB947" s="1065"/>
    </row>
    <row r="948" spans="1:106" ht="15" customHeight="1">
      <c r="A948" s="1065"/>
      <c r="B948" s="1065"/>
      <c r="C948" s="1065"/>
      <c r="D948" s="1065"/>
      <c r="E948" s="1065"/>
      <c r="F948" s="1065"/>
      <c r="G948" s="1065"/>
      <c r="H948" s="1223"/>
      <c r="I948" s="1223"/>
      <c r="J948" s="1224"/>
      <c r="K948" s="1224"/>
      <c r="L948" s="1224"/>
      <c r="M948" s="1225"/>
      <c r="N948" s="1225"/>
      <c r="O948" s="1226"/>
      <c r="P948" s="1227"/>
      <c r="Q948" s="1227"/>
      <c r="R948" s="1228"/>
      <c r="S948" s="1224"/>
      <c r="T948" s="1229"/>
      <c r="U948" s="1065"/>
      <c r="V948" s="1065"/>
      <c r="W948" s="1065"/>
      <c r="X948" s="1065"/>
      <c r="Y948" s="1065"/>
      <c r="Z948" s="1065"/>
      <c r="AA948" s="1065"/>
      <c r="AB948" s="1065"/>
      <c r="AC948" s="1065"/>
      <c r="AD948" s="1065"/>
      <c r="AE948" s="1065"/>
      <c r="AF948" s="1065"/>
      <c r="AG948" s="1065"/>
      <c r="AH948" s="1065"/>
      <c r="AI948" s="1065"/>
      <c r="AJ948" s="1065"/>
      <c r="AK948" s="1065"/>
      <c r="AL948" s="1065"/>
      <c r="AM948" s="1065"/>
      <c r="AN948" s="1065"/>
      <c r="AO948" s="1065"/>
      <c r="AP948" s="1065"/>
      <c r="AQ948" s="1065"/>
      <c r="AR948" s="1065"/>
      <c r="AS948" s="1065"/>
      <c r="AT948" s="1065"/>
      <c r="AU948" s="1065"/>
      <c r="AV948" s="1065"/>
      <c r="AW948" s="1065"/>
      <c r="AX948" s="1065"/>
      <c r="AY948" s="1065"/>
      <c r="AZ948" s="1065"/>
      <c r="BA948" s="1065"/>
      <c r="BB948" s="1065"/>
      <c r="BC948" s="1065"/>
      <c r="BD948" s="1065"/>
      <c r="BE948" s="1065"/>
      <c r="BF948" s="1065"/>
      <c r="BG948" s="1065"/>
      <c r="BH948" s="1065"/>
      <c r="BI948" s="1065"/>
      <c r="BJ948" s="1065"/>
      <c r="BK948" s="1065"/>
      <c r="BL948" s="1065"/>
      <c r="BM948" s="1065"/>
      <c r="BN948" s="1065"/>
      <c r="BO948" s="1065"/>
      <c r="BP948" s="1065"/>
      <c r="BQ948" s="1065"/>
      <c r="BR948" s="1065"/>
      <c r="BS948" s="1065"/>
      <c r="BT948" s="1065"/>
      <c r="BU948" s="1065"/>
      <c r="BV948" s="1065"/>
      <c r="BW948" s="1065"/>
      <c r="BX948" s="1065"/>
      <c r="BY948" s="1065"/>
      <c r="BZ948" s="1065"/>
      <c r="CA948" s="1065"/>
      <c r="CB948" s="1065"/>
      <c r="CC948" s="1065"/>
      <c r="CD948" s="1065"/>
      <c r="CE948" s="1065"/>
      <c r="CF948" s="1065"/>
      <c r="CG948" s="1065"/>
      <c r="CH948" s="1065"/>
      <c r="CI948" s="1065"/>
      <c r="CJ948" s="1065"/>
      <c r="CK948" s="1065"/>
      <c r="CL948" s="1065"/>
      <c r="CM948" s="1065"/>
      <c r="CN948" s="1065"/>
      <c r="CO948" s="1065"/>
      <c r="CP948" s="1065"/>
      <c r="CQ948" s="1065"/>
      <c r="CR948" s="1065"/>
      <c r="CS948" s="1065"/>
      <c r="CT948" s="1065"/>
      <c r="CU948" s="1065"/>
      <c r="CV948" s="1065"/>
      <c r="CW948" s="1065"/>
      <c r="CX948" s="1065"/>
      <c r="CY948" s="1065"/>
      <c r="CZ948" s="1065"/>
      <c r="DA948" s="1065"/>
      <c r="DB948" s="1065"/>
    </row>
    <row r="949" spans="1:106" ht="15" customHeight="1">
      <c r="A949" s="1065"/>
      <c r="B949" s="1065"/>
      <c r="C949" s="1065"/>
      <c r="D949" s="1065"/>
      <c r="E949" s="1065"/>
      <c r="F949" s="1065"/>
      <c r="G949" s="1065"/>
      <c r="H949" s="1223"/>
      <c r="I949" s="1223"/>
      <c r="J949" s="1224"/>
      <c r="K949" s="1224"/>
      <c r="L949" s="1224"/>
      <c r="M949" s="1225"/>
      <c r="N949" s="1225"/>
      <c r="O949" s="1226"/>
      <c r="P949" s="1227"/>
      <c r="Q949" s="1227"/>
      <c r="R949" s="1228"/>
      <c r="S949" s="1224"/>
      <c r="T949" s="1229"/>
      <c r="U949" s="1065"/>
      <c r="V949" s="1065"/>
      <c r="W949" s="1065"/>
      <c r="X949" s="1065"/>
      <c r="Y949" s="1065"/>
      <c r="Z949" s="1065"/>
      <c r="AA949" s="1065"/>
      <c r="AB949" s="1065"/>
      <c r="AC949" s="1065"/>
      <c r="AD949" s="1065"/>
      <c r="AE949" s="1065"/>
      <c r="AF949" s="1065"/>
      <c r="AG949" s="1065"/>
      <c r="AH949" s="1065"/>
      <c r="AI949" s="1065"/>
      <c r="AJ949" s="1065"/>
      <c r="AK949" s="1065"/>
      <c r="AL949" s="1065"/>
      <c r="AM949" s="1065"/>
      <c r="AN949" s="1065"/>
      <c r="AO949" s="1065"/>
      <c r="AP949" s="1065"/>
      <c r="AQ949" s="1065"/>
      <c r="AR949" s="1065"/>
      <c r="AS949" s="1065"/>
      <c r="AT949" s="1065"/>
      <c r="AU949" s="1065"/>
      <c r="AV949" s="1065"/>
      <c r="AW949" s="1065"/>
      <c r="AX949" s="1065"/>
      <c r="AY949" s="1065"/>
      <c r="AZ949" s="1065"/>
      <c r="BA949" s="1065"/>
      <c r="BB949" s="1065"/>
      <c r="BC949" s="1065"/>
      <c r="BD949" s="1065"/>
      <c r="BE949" s="1065"/>
      <c r="BF949" s="1065"/>
      <c r="BG949" s="1065"/>
      <c r="BH949" s="1065"/>
      <c r="BI949" s="1065"/>
      <c r="BJ949" s="1065"/>
      <c r="BK949" s="1065"/>
      <c r="BL949" s="1065"/>
      <c r="BM949" s="1065"/>
      <c r="BN949" s="1065"/>
      <c r="BO949" s="1065"/>
      <c r="BP949" s="1065"/>
      <c r="BQ949" s="1065"/>
      <c r="BR949" s="1065"/>
      <c r="BS949" s="1065"/>
      <c r="BT949" s="1065"/>
      <c r="BU949" s="1065"/>
      <c r="BV949" s="1065"/>
      <c r="BW949" s="1065"/>
      <c r="BX949" s="1065"/>
      <c r="BY949" s="1065"/>
      <c r="BZ949" s="1065"/>
      <c r="CA949" s="1065"/>
      <c r="CB949" s="1065"/>
      <c r="CC949" s="1065"/>
      <c r="CD949" s="1065"/>
      <c r="CE949" s="1065"/>
      <c r="CF949" s="1065"/>
      <c r="CG949" s="1065"/>
      <c r="CH949" s="1065"/>
      <c r="CI949" s="1065"/>
      <c r="CJ949" s="1065"/>
      <c r="CK949" s="1065"/>
      <c r="CL949" s="1065"/>
      <c r="CM949" s="1065"/>
      <c r="CN949" s="1065"/>
      <c r="CO949" s="1065"/>
      <c r="CP949" s="1065"/>
      <c r="CQ949" s="1065"/>
      <c r="CR949" s="1065"/>
      <c r="CS949" s="1065"/>
      <c r="CT949" s="1065"/>
      <c r="CU949" s="1065"/>
      <c r="CV949" s="1065"/>
      <c r="CW949" s="1065"/>
      <c r="CX949" s="1065"/>
      <c r="CY949" s="1065"/>
      <c r="CZ949" s="1065"/>
      <c r="DA949" s="1065"/>
      <c r="DB949" s="1065"/>
    </row>
    <row r="950" spans="1:106" ht="15" customHeight="1">
      <c r="A950" s="1065"/>
      <c r="B950" s="1065"/>
      <c r="C950" s="1065"/>
      <c r="D950" s="1065"/>
      <c r="E950" s="1065"/>
      <c r="F950" s="1065"/>
      <c r="G950" s="1065"/>
      <c r="H950" s="1223"/>
      <c r="I950" s="1223"/>
      <c r="J950" s="1224"/>
      <c r="K950" s="1224"/>
      <c r="L950" s="1224"/>
      <c r="M950" s="1225"/>
      <c r="N950" s="1225"/>
      <c r="O950" s="1226"/>
      <c r="P950" s="1227"/>
      <c r="Q950" s="1227"/>
      <c r="R950" s="1228"/>
      <c r="S950" s="1224"/>
      <c r="T950" s="1229"/>
      <c r="U950" s="1065"/>
      <c r="V950" s="1065"/>
      <c r="W950" s="1065"/>
      <c r="X950" s="1065"/>
      <c r="Y950" s="1065"/>
      <c r="Z950" s="1065"/>
      <c r="AA950" s="1065"/>
      <c r="AB950" s="1065"/>
      <c r="AC950" s="1065"/>
      <c r="AD950" s="1065"/>
      <c r="AE950" s="1065"/>
      <c r="AF950" s="1065"/>
      <c r="AG950" s="1065"/>
      <c r="AH950" s="1065"/>
      <c r="AI950" s="1065"/>
      <c r="AJ950" s="1065"/>
      <c r="AK950" s="1065"/>
      <c r="AL950" s="1065"/>
      <c r="AM950" s="1065"/>
      <c r="AN950" s="1065"/>
      <c r="AO950" s="1065"/>
      <c r="AP950" s="1065"/>
      <c r="AQ950" s="1065"/>
      <c r="AR950" s="1065"/>
      <c r="AS950" s="1065"/>
      <c r="AT950" s="1065"/>
      <c r="AU950" s="1065"/>
      <c r="AV950" s="1065"/>
      <c r="AW950" s="1065"/>
      <c r="AX950" s="1065"/>
      <c r="AY950" s="1065"/>
      <c r="AZ950" s="1065"/>
      <c r="BA950" s="1065"/>
      <c r="BB950" s="1065"/>
      <c r="BC950" s="1065"/>
      <c r="BD950" s="1065"/>
      <c r="BE950" s="1065"/>
      <c r="BF950" s="1065"/>
      <c r="BG950" s="1065"/>
      <c r="BH950" s="1065"/>
      <c r="BI950" s="1065"/>
      <c r="BJ950" s="1065"/>
      <c r="BK950" s="1065"/>
      <c r="BL950" s="1065"/>
      <c r="BM950" s="1065"/>
      <c r="BN950" s="1065"/>
      <c r="BO950" s="1065"/>
      <c r="BP950" s="1065"/>
      <c r="BQ950" s="1065"/>
      <c r="BR950" s="1065"/>
      <c r="BS950" s="1065"/>
      <c r="BT950" s="1065"/>
      <c r="BU950" s="1065"/>
      <c r="BV950" s="1065"/>
      <c r="BW950" s="1065"/>
      <c r="BX950" s="1065"/>
      <c r="BY950" s="1065"/>
      <c r="BZ950" s="1065"/>
      <c r="CA950" s="1065"/>
      <c r="CB950" s="1065"/>
      <c r="CC950" s="1065"/>
      <c r="CD950" s="1065"/>
      <c r="CE950" s="1065"/>
      <c r="CF950" s="1065"/>
      <c r="CG950" s="1065"/>
      <c r="CH950" s="1065"/>
      <c r="CI950" s="1065"/>
      <c r="CJ950" s="1065"/>
      <c r="CK950" s="1065"/>
      <c r="CL950" s="1065"/>
      <c r="CM950" s="1065"/>
      <c r="CN950" s="1065"/>
      <c r="CO950" s="1065"/>
      <c r="CP950" s="1065"/>
      <c r="CQ950" s="1065"/>
      <c r="CR950" s="1065"/>
      <c r="CS950" s="1065"/>
      <c r="CT950" s="1065"/>
      <c r="CU950" s="1065"/>
      <c r="CV950" s="1065"/>
      <c r="CW950" s="1065"/>
      <c r="CX950" s="1065"/>
      <c r="CY950" s="1065"/>
      <c r="CZ950" s="1065"/>
      <c r="DA950" s="1065"/>
      <c r="DB950" s="1065"/>
    </row>
    <row r="951" spans="1:106" ht="15" customHeight="1">
      <c r="A951" s="1065"/>
      <c r="B951" s="1065"/>
      <c r="C951" s="1065"/>
      <c r="D951" s="1065"/>
      <c r="E951" s="1065"/>
      <c r="F951" s="1065"/>
      <c r="G951" s="1065"/>
      <c r="H951" s="1223"/>
      <c r="I951" s="1223"/>
      <c r="J951" s="1224"/>
      <c r="K951" s="1224"/>
      <c r="L951" s="1224"/>
      <c r="M951" s="1225"/>
      <c r="N951" s="1225"/>
      <c r="O951" s="1226"/>
      <c r="P951" s="1227"/>
      <c r="Q951" s="1227"/>
      <c r="R951" s="1228"/>
      <c r="S951" s="1224"/>
      <c r="T951" s="1229"/>
      <c r="U951" s="1065"/>
      <c r="V951" s="1065"/>
      <c r="W951" s="1065"/>
      <c r="X951" s="1065"/>
      <c r="Y951" s="1065"/>
      <c r="Z951" s="1065"/>
      <c r="AA951" s="1065"/>
      <c r="AB951" s="1065"/>
      <c r="AC951" s="1065"/>
      <c r="AD951" s="1065"/>
      <c r="AE951" s="1065"/>
      <c r="AF951" s="1065"/>
      <c r="AG951" s="1065"/>
      <c r="AH951" s="1065"/>
      <c r="AI951" s="1065"/>
      <c r="AJ951" s="1065"/>
      <c r="AK951" s="1065"/>
      <c r="AL951" s="1065"/>
      <c r="AM951" s="1065"/>
      <c r="AN951" s="1065"/>
      <c r="AO951" s="1065"/>
      <c r="AP951" s="1065"/>
      <c r="AQ951" s="1065"/>
      <c r="AR951" s="1065"/>
      <c r="AS951" s="1065"/>
      <c r="AT951" s="1065"/>
      <c r="AU951" s="1065"/>
      <c r="AV951" s="1065"/>
      <c r="AW951" s="1065"/>
      <c r="AX951" s="1065"/>
      <c r="AY951" s="1065"/>
      <c r="AZ951" s="1065"/>
      <c r="BA951" s="1065"/>
      <c r="BB951" s="1065"/>
      <c r="BC951" s="1065"/>
      <c r="BD951" s="1065"/>
      <c r="BE951" s="1065"/>
      <c r="BF951" s="1065"/>
      <c r="BG951" s="1065"/>
      <c r="BH951" s="1065"/>
      <c r="BI951" s="1065"/>
      <c r="BJ951" s="1065"/>
      <c r="BK951" s="1065"/>
      <c r="BL951" s="1065"/>
      <c r="BM951" s="1065"/>
      <c r="BN951" s="1065"/>
      <c r="BO951" s="1065"/>
      <c r="BP951" s="1065"/>
      <c r="BQ951" s="1065"/>
      <c r="BR951" s="1065"/>
      <c r="BS951" s="1065"/>
      <c r="BT951" s="1065"/>
      <c r="BU951" s="1065"/>
      <c r="BV951" s="1065"/>
      <c r="BW951" s="1065"/>
      <c r="BX951" s="1065"/>
      <c r="BY951" s="1065"/>
      <c r="BZ951" s="1065"/>
      <c r="CA951" s="1065"/>
      <c r="CB951" s="1065"/>
      <c r="CC951" s="1065"/>
      <c r="CD951" s="1065"/>
      <c r="CE951" s="1065"/>
      <c r="CF951" s="1065"/>
      <c r="CG951" s="1065"/>
      <c r="CH951" s="1065"/>
      <c r="CI951" s="1065"/>
      <c r="CJ951" s="1065"/>
      <c r="CK951" s="1065"/>
      <c r="CL951" s="1065"/>
      <c r="CM951" s="1065"/>
      <c r="CN951" s="1065"/>
      <c r="CO951" s="1065"/>
      <c r="CP951" s="1065"/>
      <c r="CQ951" s="1065"/>
      <c r="CR951" s="1065"/>
      <c r="CS951" s="1065"/>
      <c r="CT951" s="1065"/>
      <c r="CU951" s="1065"/>
      <c r="CV951" s="1065"/>
      <c r="CW951" s="1065"/>
      <c r="CX951" s="1065"/>
      <c r="CY951" s="1065"/>
      <c r="CZ951" s="1065"/>
      <c r="DA951" s="1065"/>
      <c r="DB951" s="1065"/>
    </row>
    <row r="952" spans="1:106" ht="15" customHeight="1">
      <c r="A952" s="1065"/>
      <c r="B952" s="1065"/>
      <c r="C952" s="1065"/>
      <c r="D952" s="1065"/>
      <c r="E952" s="1065"/>
      <c r="F952" s="1065"/>
      <c r="G952" s="1065"/>
      <c r="H952" s="1223"/>
      <c r="I952" s="1223"/>
      <c r="J952" s="1224"/>
      <c r="K952" s="1224"/>
      <c r="L952" s="1224"/>
      <c r="M952" s="1225"/>
      <c r="N952" s="1225"/>
      <c r="O952" s="1226"/>
      <c r="P952" s="1227"/>
      <c r="Q952" s="1227"/>
      <c r="R952" s="1228"/>
      <c r="S952" s="1224"/>
      <c r="T952" s="1229"/>
      <c r="U952" s="1065"/>
      <c r="V952" s="1065"/>
      <c r="W952" s="1065"/>
      <c r="X952" s="1065"/>
      <c r="Y952" s="1065"/>
      <c r="Z952" s="1065"/>
      <c r="AA952" s="1065"/>
      <c r="AB952" s="1065"/>
      <c r="AC952" s="1065"/>
      <c r="AD952" s="1065"/>
      <c r="AE952" s="1065"/>
      <c r="AF952" s="1065"/>
      <c r="AG952" s="1065"/>
      <c r="AH952" s="1065"/>
      <c r="AI952" s="1065"/>
      <c r="AJ952" s="1065"/>
      <c r="AK952" s="1065"/>
      <c r="AL952" s="1065"/>
      <c r="AM952" s="1065"/>
      <c r="AN952" s="1065"/>
      <c r="AO952" s="1065"/>
      <c r="AP952" s="1065"/>
      <c r="AQ952" s="1065"/>
      <c r="AR952" s="1065"/>
      <c r="AS952" s="1065"/>
      <c r="AT952" s="1065"/>
      <c r="AU952" s="1065"/>
      <c r="AV952" s="1065"/>
      <c r="AW952" s="1065"/>
      <c r="AX952" s="1065"/>
      <c r="AY952" s="1065"/>
      <c r="AZ952" s="1065"/>
      <c r="BA952" s="1065"/>
      <c r="BB952" s="1065"/>
      <c r="BC952" s="1065"/>
      <c r="BD952" s="1065"/>
      <c r="BE952" s="1065"/>
      <c r="BF952" s="1065"/>
      <c r="BG952" s="1065"/>
      <c r="BH952" s="1065"/>
      <c r="BI952" s="1065"/>
      <c r="BJ952" s="1065"/>
      <c r="BK952" s="1065"/>
      <c r="BL952" s="1065"/>
      <c r="BM952" s="1065"/>
      <c r="BN952" s="1065"/>
      <c r="BO952" s="1065"/>
      <c r="BP952" s="1065"/>
      <c r="BQ952" s="1065"/>
      <c r="BR952" s="1065"/>
      <c r="BS952" s="1065"/>
      <c r="BT952" s="1065"/>
      <c r="BU952" s="1065"/>
      <c r="BV952" s="1065"/>
      <c r="BW952" s="1065"/>
      <c r="BX952" s="1065"/>
      <c r="BY952" s="1065"/>
      <c r="BZ952" s="1065"/>
      <c r="CA952" s="1065"/>
      <c r="CB952" s="1065"/>
      <c r="CC952" s="1065"/>
      <c r="CD952" s="1065"/>
      <c r="CE952" s="1065"/>
      <c r="CF952" s="1065"/>
      <c r="CG952" s="1065"/>
      <c r="CH952" s="1065"/>
      <c r="CI952" s="1065"/>
      <c r="CJ952" s="1065"/>
      <c r="CK952" s="1065"/>
      <c r="CL952" s="1065"/>
      <c r="CM952" s="1065"/>
      <c r="CN952" s="1065"/>
      <c r="CO952" s="1065"/>
      <c r="CP952" s="1065"/>
      <c r="CQ952" s="1065"/>
      <c r="CR952" s="1065"/>
      <c r="CS952" s="1065"/>
      <c r="CT952" s="1065"/>
      <c r="CU952" s="1065"/>
      <c r="CV952" s="1065"/>
      <c r="CW952" s="1065"/>
      <c r="CX952" s="1065"/>
      <c r="CY952" s="1065"/>
      <c r="CZ952" s="1065"/>
      <c r="DA952" s="1065"/>
      <c r="DB952" s="1065"/>
    </row>
    <row r="953" spans="1:106" ht="15" customHeight="1">
      <c r="A953" s="1065"/>
      <c r="B953" s="1065"/>
      <c r="C953" s="1065"/>
      <c r="D953" s="1065"/>
      <c r="E953" s="1065"/>
      <c r="F953" s="1065"/>
      <c r="G953" s="1065"/>
      <c r="H953" s="1223"/>
      <c r="I953" s="1223"/>
      <c r="J953" s="1224"/>
      <c r="K953" s="1224"/>
      <c r="L953" s="1224"/>
      <c r="M953" s="1225"/>
      <c r="N953" s="1225"/>
      <c r="O953" s="1226"/>
      <c r="P953" s="1227"/>
      <c r="Q953" s="1227"/>
      <c r="R953" s="1228"/>
      <c r="S953" s="1224"/>
      <c r="T953" s="1229"/>
      <c r="U953" s="1065"/>
      <c r="V953" s="1065"/>
      <c r="W953" s="1065"/>
      <c r="X953" s="1065"/>
      <c r="Y953" s="1065"/>
      <c r="Z953" s="1065"/>
      <c r="AA953" s="1065"/>
      <c r="AB953" s="1065"/>
      <c r="AC953" s="1065"/>
      <c r="AD953" s="1065"/>
      <c r="AE953" s="1065"/>
      <c r="AF953" s="1065"/>
      <c r="AG953" s="1065"/>
      <c r="AH953" s="1065"/>
      <c r="AI953" s="1065"/>
      <c r="AJ953" s="1065"/>
      <c r="AK953" s="1065"/>
      <c r="AL953" s="1065"/>
      <c r="AM953" s="1065"/>
      <c r="AN953" s="1065"/>
      <c r="AO953" s="1065"/>
      <c r="AP953" s="1065"/>
      <c r="AQ953" s="1065"/>
      <c r="AR953" s="1065"/>
      <c r="AS953" s="1065"/>
      <c r="AT953" s="1065"/>
      <c r="AU953" s="1065"/>
      <c r="AV953" s="1065"/>
      <c r="AW953" s="1065"/>
      <c r="AX953" s="1065"/>
      <c r="AY953" s="1065"/>
      <c r="AZ953" s="1065"/>
      <c r="BA953" s="1065"/>
      <c r="BB953" s="1065"/>
      <c r="BC953" s="1065"/>
      <c r="BD953" s="1065"/>
      <c r="BE953" s="1065"/>
      <c r="BF953" s="1065"/>
      <c r="BG953" s="1065"/>
      <c r="BH953" s="1065"/>
      <c r="BI953" s="1065"/>
      <c r="BJ953" s="1065"/>
      <c r="BK953" s="1065"/>
      <c r="BL953" s="1065"/>
      <c r="BM953" s="1065"/>
      <c r="BN953" s="1065"/>
      <c r="BO953" s="1065"/>
      <c r="BP953" s="1065"/>
      <c r="BQ953" s="1065"/>
      <c r="BR953" s="1065"/>
      <c r="BS953" s="1065"/>
      <c r="BT953" s="1065"/>
      <c r="BU953" s="1065"/>
      <c r="BV953" s="1065"/>
      <c r="BW953" s="1065"/>
      <c r="BX953" s="1065"/>
      <c r="BY953" s="1065"/>
      <c r="BZ953" s="1065"/>
      <c r="CA953" s="1065"/>
      <c r="CB953" s="1065"/>
      <c r="CC953" s="1065"/>
      <c r="CD953" s="1065"/>
      <c r="CE953" s="1065"/>
      <c r="CF953" s="1065"/>
      <c r="CG953" s="1065"/>
      <c r="CH953" s="1065"/>
      <c r="CI953" s="1065"/>
      <c r="CJ953" s="1065"/>
      <c r="CK953" s="1065"/>
      <c r="CL953" s="1065"/>
      <c r="CM953" s="1065"/>
      <c r="CN953" s="1065"/>
      <c r="CO953" s="1065"/>
      <c r="CP953" s="1065"/>
      <c r="CQ953" s="1065"/>
      <c r="CR953" s="1065"/>
      <c r="CS953" s="1065"/>
      <c r="CT953" s="1065"/>
      <c r="CU953" s="1065"/>
      <c r="CV953" s="1065"/>
      <c r="CW953" s="1065"/>
      <c r="CX953" s="1065"/>
      <c r="CY953" s="1065"/>
      <c r="CZ953" s="1065"/>
      <c r="DA953" s="1065"/>
      <c r="DB953" s="1065"/>
    </row>
    <row r="954" spans="1:106" ht="15" customHeight="1">
      <c r="A954" s="1065"/>
      <c r="B954" s="1065"/>
      <c r="C954" s="1065"/>
      <c r="D954" s="1065"/>
      <c r="E954" s="1065"/>
      <c r="F954" s="1065"/>
      <c r="G954" s="1065"/>
      <c r="H954" s="1223"/>
      <c r="I954" s="1223"/>
      <c r="J954" s="1224"/>
      <c r="K954" s="1224"/>
      <c r="L954" s="1224"/>
      <c r="M954" s="1225"/>
      <c r="N954" s="1225"/>
      <c r="O954" s="1226"/>
      <c r="P954" s="1227"/>
      <c r="Q954" s="1227"/>
      <c r="R954" s="1228"/>
      <c r="S954" s="1224"/>
      <c r="T954" s="1229"/>
      <c r="U954" s="1065"/>
      <c r="V954" s="1065"/>
      <c r="W954" s="1065"/>
      <c r="X954" s="1065"/>
      <c r="Y954" s="1065"/>
      <c r="Z954" s="1065"/>
      <c r="AA954" s="1065"/>
      <c r="AB954" s="1065"/>
      <c r="AC954" s="1065"/>
      <c r="AD954" s="1065"/>
      <c r="AE954" s="1065"/>
      <c r="AF954" s="1065"/>
      <c r="AG954" s="1065"/>
      <c r="AH954" s="1065"/>
      <c r="AI954" s="1065"/>
      <c r="AJ954" s="1065"/>
      <c r="AM954" s="1065"/>
      <c r="AN954" s="1065"/>
      <c r="AO954" s="1065"/>
      <c r="AP954" s="1065"/>
      <c r="AQ954" s="1065"/>
      <c r="AR954" s="1065"/>
      <c r="AS954" s="1065"/>
      <c r="AT954" s="1065"/>
      <c r="AU954" s="1065"/>
      <c r="AV954" s="1065"/>
      <c r="AW954" s="1065"/>
      <c r="AX954" s="1065"/>
      <c r="AY954" s="1065"/>
      <c r="AZ954" s="1065"/>
      <c r="BA954" s="1065"/>
      <c r="BB954" s="1065"/>
      <c r="BC954" s="1065"/>
      <c r="BD954" s="1065"/>
      <c r="BE954" s="1065"/>
      <c r="BF954" s="1065"/>
      <c r="BG954" s="1065"/>
      <c r="BH954" s="1065"/>
      <c r="BI954" s="1065"/>
      <c r="BJ954" s="1065"/>
      <c r="BK954" s="1065"/>
      <c r="BL954" s="1065"/>
      <c r="BM954" s="1065"/>
      <c r="BN954" s="1065"/>
      <c r="BO954" s="1065"/>
      <c r="BP954" s="1065"/>
      <c r="BQ954" s="1065"/>
      <c r="BR954" s="1065"/>
      <c r="BS954" s="1065"/>
      <c r="BT954" s="1065"/>
      <c r="BU954" s="1065"/>
      <c r="BV954" s="1065"/>
      <c r="BW954" s="1065"/>
      <c r="BX954" s="1065"/>
      <c r="BY954" s="1065"/>
      <c r="BZ954" s="1065"/>
      <c r="CA954" s="1065"/>
      <c r="CB954" s="1065"/>
      <c r="CC954" s="1065"/>
      <c r="CD954" s="1065"/>
      <c r="CE954" s="1065"/>
      <c r="CF954" s="1065"/>
      <c r="CG954" s="1065"/>
      <c r="CH954" s="1065"/>
      <c r="CI954" s="1065"/>
      <c r="CJ954" s="1065"/>
      <c r="CK954" s="1065"/>
      <c r="CL954" s="1065"/>
      <c r="CM954" s="1065"/>
      <c r="CN954" s="1065"/>
      <c r="CO954" s="1065"/>
      <c r="CP954" s="1065"/>
      <c r="CQ954" s="1065"/>
      <c r="CR954" s="1065"/>
      <c r="CS954" s="1065"/>
      <c r="CT954" s="1065"/>
      <c r="CU954" s="1065"/>
      <c r="CV954" s="1065"/>
      <c r="CW954" s="1065"/>
      <c r="CX954" s="1065"/>
      <c r="CY954" s="1065"/>
      <c r="CZ954" s="1065"/>
      <c r="DA954" s="1065"/>
      <c r="DB954" s="1065"/>
    </row>
    <row r="955" spans="1:106" ht="15" customHeight="1">
      <c r="A955" s="1065"/>
      <c r="B955" s="1065"/>
      <c r="C955" s="1065"/>
      <c r="D955" s="1065"/>
      <c r="E955" s="1065"/>
      <c r="F955" s="1065"/>
      <c r="G955" s="1065"/>
      <c r="H955" s="1223"/>
      <c r="I955" s="1223"/>
      <c r="J955" s="1224"/>
      <c r="K955" s="1224"/>
      <c r="L955" s="1224"/>
      <c r="M955" s="1225"/>
      <c r="N955" s="1225"/>
      <c r="O955" s="1226"/>
      <c r="P955" s="1227"/>
      <c r="Q955" s="1227"/>
      <c r="R955" s="1228"/>
      <c r="S955" s="1224"/>
      <c r="T955" s="1229"/>
      <c r="U955" s="1065"/>
      <c r="V955" s="1065"/>
      <c r="W955" s="1065"/>
      <c r="X955" s="1065"/>
      <c r="Y955" s="1065"/>
      <c r="Z955" s="1065"/>
      <c r="AA955" s="1065"/>
      <c r="AB955" s="1065"/>
      <c r="AC955" s="1065"/>
      <c r="AD955" s="1065"/>
      <c r="AE955" s="1065"/>
      <c r="AF955" s="1065"/>
      <c r="AG955" s="1065"/>
      <c r="AH955" s="1065"/>
      <c r="AI955" s="1065"/>
      <c r="AJ955" s="1065"/>
      <c r="AM955" s="1065"/>
      <c r="AN955" s="1065"/>
      <c r="AO955" s="1065"/>
      <c r="AP955" s="1065"/>
      <c r="AQ955" s="1065"/>
      <c r="AR955" s="1065"/>
      <c r="AS955" s="1065"/>
      <c r="AT955" s="1065"/>
      <c r="AU955" s="1065"/>
      <c r="AV955" s="1065"/>
      <c r="AW955" s="1065"/>
      <c r="AX955" s="1065"/>
      <c r="AY955" s="1065"/>
      <c r="AZ955" s="1065"/>
      <c r="BA955" s="1065"/>
      <c r="BB955" s="1065"/>
      <c r="BC955" s="1065"/>
      <c r="BD955" s="1065"/>
      <c r="BE955" s="1065"/>
      <c r="BF955" s="1065"/>
      <c r="BG955" s="1065"/>
      <c r="BH955" s="1065"/>
      <c r="BI955" s="1065"/>
      <c r="BJ955" s="1065"/>
      <c r="BK955" s="1065"/>
      <c r="BL955" s="1065"/>
      <c r="BM955" s="1065"/>
      <c r="BN955" s="1065"/>
      <c r="BO955" s="1065"/>
      <c r="BP955" s="1065"/>
      <c r="BQ955" s="1065"/>
      <c r="BR955" s="1065"/>
      <c r="BS955" s="1065"/>
      <c r="BT955" s="1065"/>
      <c r="BU955" s="1065"/>
      <c r="BV955" s="1065"/>
      <c r="BW955" s="1065"/>
      <c r="BX955" s="1065"/>
      <c r="BY955" s="1065"/>
      <c r="BZ955" s="1065"/>
      <c r="CA955" s="1065"/>
      <c r="CB955" s="1065"/>
      <c r="CC955" s="1065"/>
      <c r="CD955" s="1065"/>
      <c r="CE955" s="1065"/>
      <c r="CF955" s="1065"/>
      <c r="CG955" s="1065"/>
      <c r="CH955" s="1065"/>
      <c r="CI955" s="1065"/>
      <c r="CJ955" s="1065"/>
      <c r="CK955" s="1065"/>
      <c r="CL955" s="1065"/>
      <c r="CM955" s="1065"/>
      <c r="CN955" s="1065"/>
      <c r="CO955" s="1065"/>
      <c r="CP955" s="1065"/>
      <c r="CQ955" s="1065"/>
      <c r="CR955" s="1065"/>
      <c r="CS955" s="1065"/>
      <c r="CT955" s="1065"/>
      <c r="CU955" s="1065"/>
      <c r="CV955" s="1065"/>
      <c r="CW955" s="1065"/>
      <c r="CX955" s="1065"/>
      <c r="CY955" s="1065"/>
      <c r="CZ955" s="1065"/>
      <c r="DA955" s="1065"/>
      <c r="DB955" s="1065"/>
    </row>
    <row r="956" spans="1:106" ht="15" customHeight="1">
      <c r="A956" s="1065"/>
      <c r="B956" s="1065"/>
      <c r="C956" s="1065"/>
      <c r="D956" s="1065"/>
      <c r="E956" s="1065"/>
      <c r="F956" s="1065"/>
      <c r="G956" s="1065"/>
      <c r="H956" s="1223"/>
      <c r="I956" s="1223"/>
      <c r="J956" s="1224"/>
      <c r="K956" s="1224"/>
      <c r="L956" s="1224"/>
      <c r="M956" s="1225"/>
      <c r="N956" s="1225"/>
      <c r="O956" s="1226"/>
      <c r="P956" s="1227"/>
      <c r="Q956" s="1227"/>
      <c r="R956" s="1228"/>
      <c r="S956" s="1224"/>
      <c r="T956" s="1229"/>
      <c r="U956" s="1065"/>
      <c r="V956" s="1065"/>
      <c r="W956" s="1065"/>
      <c r="X956" s="1065"/>
      <c r="Y956" s="1065"/>
      <c r="Z956" s="1065"/>
      <c r="AA956" s="1065"/>
      <c r="AB956" s="1065"/>
      <c r="AC956" s="1065"/>
      <c r="AD956" s="1065"/>
      <c r="AE956" s="1065"/>
      <c r="AF956" s="1065"/>
      <c r="AG956" s="1065"/>
      <c r="AH956" s="1065"/>
      <c r="AI956" s="1065"/>
      <c r="AJ956" s="1065"/>
      <c r="AM956" s="1065"/>
      <c r="AN956" s="1065"/>
      <c r="AO956" s="1065"/>
      <c r="AP956" s="1065"/>
      <c r="AQ956" s="1065"/>
      <c r="AR956" s="1065"/>
      <c r="AS956" s="1065"/>
      <c r="AT956" s="1065"/>
      <c r="AU956" s="1065"/>
      <c r="AV956" s="1065"/>
      <c r="AW956" s="1065"/>
      <c r="AX956" s="1065"/>
      <c r="AY956" s="1065"/>
      <c r="AZ956" s="1065"/>
      <c r="BA956" s="1065"/>
      <c r="BB956" s="1065"/>
      <c r="BC956" s="1065"/>
      <c r="BD956" s="1065"/>
      <c r="BE956" s="1065"/>
      <c r="BF956" s="1065"/>
      <c r="BG956" s="1065"/>
      <c r="BH956" s="1065"/>
      <c r="BI956" s="1065"/>
      <c r="BJ956" s="1065"/>
      <c r="BK956" s="1065"/>
      <c r="BL956" s="1065"/>
      <c r="BM956" s="1065"/>
      <c r="BN956" s="1065"/>
      <c r="BO956" s="1065"/>
      <c r="BP956" s="1065"/>
      <c r="BQ956" s="1065"/>
      <c r="BR956" s="1065"/>
      <c r="BS956" s="1065"/>
      <c r="BT956" s="1065"/>
      <c r="BU956" s="1065"/>
      <c r="BV956" s="1065"/>
      <c r="BW956" s="1065"/>
      <c r="BX956" s="1065"/>
      <c r="BY956" s="1065"/>
      <c r="BZ956" s="1065"/>
      <c r="CA956" s="1065"/>
      <c r="CB956" s="1065"/>
      <c r="CC956" s="1065"/>
      <c r="CD956" s="1065"/>
      <c r="CE956" s="1065"/>
      <c r="CF956" s="1065"/>
      <c r="CG956" s="1065"/>
      <c r="CH956" s="1065"/>
      <c r="CI956" s="1065"/>
      <c r="CJ956" s="1065"/>
      <c r="CK956" s="1065"/>
      <c r="CL956" s="1065"/>
      <c r="CM956" s="1065"/>
      <c r="CN956" s="1065"/>
      <c r="CO956" s="1065"/>
      <c r="CP956" s="1065"/>
      <c r="CQ956" s="1065"/>
      <c r="CR956" s="1065"/>
      <c r="CS956" s="1065"/>
      <c r="CT956" s="1065"/>
      <c r="CU956" s="1065"/>
      <c r="CV956" s="1065"/>
      <c r="CW956" s="1065"/>
      <c r="CX956" s="1065"/>
      <c r="CY956" s="1065"/>
      <c r="CZ956" s="1065"/>
      <c r="DA956" s="1065"/>
      <c r="DB956" s="1065"/>
    </row>
    <row r="957" spans="1:106" ht="15" customHeight="1">
      <c r="A957" s="1065"/>
      <c r="B957" s="1065"/>
      <c r="C957" s="1065"/>
      <c r="D957" s="1065"/>
      <c r="E957" s="1065"/>
      <c r="F957" s="1065"/>
      <c r="G957" s="1065"/>
      <c r="H957" s="1223"/>
      <c r="I957" s="1223"/>
      <c r="J957" s="1224"/>
      <c r="K957" s="1224"/>
      <c r="L957" s="1224"/>
      <c r="M957" s="1225"/>
      <c r="N957" s="1225"/>
      <c r="O957" s="1226"/>
      <c r="P957" s="1227"/>
      <c r="Q957" s="1227"/>
      <c r="R957" s="1228"/>
      <c r="S957" s="1224"/>
      <c r="T957" s="1229"/>
      <c r="U957" s="1065"/>
      <c r="V957" s="1065"/>
      <c r="W957" s="1065"/>
      <c r="X957" s="1065"/>
      <c r="Y957" s="1065"/>
      <c r="Z957" s="1065"/>
      <c r="AA957" s="1065"/>
      <c r="AB957" s="1065"/>
      <c r="AC957" s="1065"/>
      <c r="AD957" s="1065"/>
      <c r="AE957" s="1065"/>
      <c r="AF957" s="1065"/>
      <c r="AG957" s="1065"/>
      <c r="AH957" s="1065"/>
      <c r="AI957" s="1065"/>
      <c r="AJ957" s="1065"/>
      <c r="AM957" s="1065"/>
      <c r="AN957" s="1065"/>
      <c r="AO957" s="1065"/>
      <c r="AP957" s="1065"/>
      <c r="AQ957" s="1065"/>
      <c r="AR957" s="1065"/>
      <c r="AS957" s="1065"/>
      <c r="AT957" s="1065"/>
      <c r="AU957" s="1065"/>
      <c r="AV957" s="1065"/>
      <c r="AW957" s="1065"/>
      <c r="AX957" s="1065"/>
      <c r="AY957" s="1065"/>
      <c r="AZ957" s="1065"/>
      <c r="BA957" s="1065"/>
      <c r="BB957" s="1065"/>
      <c r="BC957" s="1065"/>
      <c r="BD957" s="1065"/>
      <c r="BE957" s="1065"/>
      <c r="BF957" s="1065"/>
      <c r="BG957" s="1065"/>
      <c r="BH957" s="1065"/>
      <c r="BI957" s="1065"/>
      <c r="BJ957" s="1065"/>
      <c r="BK957" s="1065"/>
      <c r="BL957" s="1065"/>
      <c r="BM957" s="1065"/>
      <c r="BN957" s="1065"/>
      <c r="BO957" s="1065"/>
      <c r="BP957" s="1065"/>
      <c r="BQ957" s="1065"/>
      <c r="BR957" s="1065"/>
      <c r="BS957" s="1065"/>
      <c r="BT957" s="1065"/>
      <c r="BU957" s="1065"/>
      <c r="BV957" s="1065"/>
      <c r="BW957" s="1065"/>
      <c r="BX957" s="1065"/>
      <c r="BY957" s="1065"/>
      <c r="BZ957" s="1065"/>
      <c r="CA957" s="1065"/>
      <c r="CB957" s="1065"/>
      <c r="CC957" s="1065"/>
      <c r="CD957" s="1065"/>
      <c r="CE957" s="1065"/>
      <c r="CF957" s="1065"/>
      <c r="CG957" s="1065"/>
      <c r="CH957" s="1065"/>
      <c r="CI957" s="1065"/>
      <c r="CJ957" s="1065"/>
      <c r="CK957" s="1065"/>
      <c r="CL957" s="1065"/>
      <c r="CM957" s="1065"/>
      <c r="CN957" s="1065"/>
      <c r="CO957" s="1065"/>
      <c r="CP957" s="1065"/>
      <c r="CQ957" s="1065"/>
      <c r="CR957" s="1065"/>
      <c r="CS957" s="1065"/>
      <c r="CT957" s="1065"/>
      <c r="CU957" s="1065"/>
      <c r="CV957" s="1065"/>
      <c r="CW957" s="1065"/>
      <c r="CX957" s="1065"/>
      <c r="CY957" s="1065"/>
      <c r="CZ957" s="1065"/>
      <c r="DA957" s="1065"/>
      <c r="DB957" s="1065"/>
    </row>
    <row r="958" spans="1:106" ht="15" customHeight="1">
      <c r="A958" s="1065"/>
      <c r="B958" s="1065"/>
      <c r="C958" s="1065"/>
      <c r="D958" s="1065"/>
      <c r="E958" s="1065"/>
      <c r="F958" s="1065"/>
      <c r="G958" s="1065"/>
      <c r="H958" s="1223"/>
      <c r="I958" s="1223"/>
      <c r="J958" s="1224"/>
      <c r="K958" s="1224"/>
      <c r="L958" s="1224"/>
      <c r="M958" s="1225"/>
      <c r="N958" s="1225"/>
      <c r="O958" s="1226"/>
      <c r="P958" s="1227"/>
      <c r="Q958" s="1227"/>
      <c r="R958" s="1228"/>
      <c r="S958" s="1224"/>
      <c r="T958" s="1229"/>
      <c r="U958" s="1065"/>
      <c r="V958" s="1065"/>
      <c r="W958" s="1065"/>
      <c r="X958" s="1065"/>
      <c r="Y958" s="1065"/>
      <c r="Z958" s="1065"/>
      <c r="AA958" s="1065"/>
      <c r="AB958" s="1065"/>
      <c r="AC958" s="1065"/>
      <c r="AD958" s="1065"/>
      <c r="AE958" s="1065"/>
      <c r="AF958" s="1065"/>
      <c r="AG958" s="1065"/>
      <c r="AH958" s="1065"/>
      <c r="AI958" s="1065"/>
      <c r="AJ958" s="1065"/>
      <c r="AM958" s="1065"/>
      <c r="AN958" s="1065"/>
      <c r="AO958" s="1065"/>
      <c r="AP958" s="1065"/>
      <c r="AQ958" s="1065"/>
      <c r="AR958" s="1065"/>
      <c r="AS958" s="1065"/>
      <c r="AT958" s="1065"/>
      <c r="AU958" s="1065"/>
      <c r="AV958" s="1065"/>
      <c r="AW958" s="1065"/>
      <c r="AX958" s="1065"/>
      <c r="AY958" s="1065"/>
      <c r="AZ958" s="1065"/>
      <c r="BA958" s="1065"/>
      <c r="BB958" s="1065"/>
      <c r="BC958" s="1065"/>
      <c r="BD958" s="1065"/>
      <c r="BE958" s="1065"/>
      <c r="BF958" s="1065"/>
      <c r="BG958" s="1065"/>
      <c r="BH958" s="1065"/>
      <c r="BI958" s="1065"/>
      <c r="BJ958" s="1065"/>
      <c r="BK958" s="1065"/>
      <c r="BL958" s="1065"/>
      <c r="BM958" s="1065"/>
      <c r="BN958" s="1065"/>
      <c r="BO958" s="1065"/>
      <c r="BP958" s="1065"/>
      <c r="BQ958" s="1065"/>
      <c r="BR958" s="1065"/>
      <c r="BS958" s="1065"/>
      <c r="BT958" s="1065"/>
      <c r="BU958" s="1065"/>
      <c r="BV958" s="1065"/>
      <c r="BW958" s="1065"/>
      <c r="BX958" s="1065"/>
      <c r="BY958" s="1065"/>
      <c r="BZ958" s="1065"/>
      <c r="CA958" s="1065"/>
      <c r="CB958" s="1065"/>
      <c r="CC958" s="1065"/>
      <c r="CD958" s="1065"/>
      <c r="CE958" s="1065"/>
      <c r="CF958" s="1065"/>
      <c r="CG958" s="1065"/>
      <c r="CH958" s="1065"/>
      <c r="CI958" s="1065"/>
      <c r="CJ958" s="1065"/>
      <c r="CK958" s="1065"/>
      <c r="CL958" s="1065"/>
      <c r="CM958" s="1065"/>
      <c r="CN958" s="1065"/>
      <c r="CO958" s="1065"/>
      <c r="CP958" s="1065"/>
      <c r="CQ958" s="1065"/>
      <c r="CR958" s="1065"/>
      <c r="CS958" s="1065"/>
      <c r="CT958" s="1065"/>
      <c r="CU958" s="1065"/>
      <c r="CV958" s="1065"/>
      <c r="CW958" s="1065"/>
      <c r="CX958" s="1065"/>
      <c r="CY958" s="1065"/>
      <c r="CZ958" s="1065"/>
      <c r="DA958" s="1065"/>
      <c r="DB958" s="1065"/>
    </row>
    <row r="959" spans="1:106" ht="15" customHeight="1">
      <c r="A959" s="1065"/>
      <c r="B959" s="1065"/>
      <c r="C959" s="1065"/>
      <c r="D959" s="1065"/>
      <c r="E959" s="1065"/>
      <c r="F959" s="1065"/>
      <c r="G959" s="1065"/>
      <c r="H959" s="1223"/>
      <c r="I959" s="1223"/>
      <c r="J959" s="1224"/>
      <c r="K959" s="1224"/>
      <c r="L959" s="1224"/>
      <c r="M959" s="1225"/>
      <c r="N959" s="1225"/>
      <c r="O959" s="1226"/>
      <c r="P959" s="1227"/>
      <c r="Q959" s="1227"/>
      <c r="R959" s="1228"/>
      <c r="S959" s="1224"/>
      <c r="T959" s="1229"/>
      <c r="U959" s="1065"/>
      <c r="V959" s="1065"/>
      <c r="W959" s="1065"/>
      <c r="X959" s="1065"/>
      <c r="Y959" s="1065"/>
      <c r="Z959" s="1065"/>
      <c r="AA959" s="1065"/>
      <c r="AB959" s="1065"/>
      <c r="AC959" s="1065"/>
      <c r="AD959" s="1065"/>
      <c r="AE959" s="1065"/>
      <c r="AF959" s="1065"/>
      <c r="AG959" s="1065"/>
      <c r="AH959" s="1065"/>
      <c r="AI959" s="1065"/>
      <c r="AJ959" s="1065"/>
      <c r="AM959" s="1065"/>
      <c r="AN959" s="1065"/>
      <c r="AO959" s="1065"/>
      <c r="AP959" s="1065"/>
      <c r="AQ959" s="1065"/>
      <c r="AR959" s="1065"/>
      <c r="AS959" s="1065"/>
      <c r="AT959" s="1065"/>
      <c r="AU959" s="1065"/>
      <c r="AV959" s="1065"/>
      <c r="AW959" s="1065"/>
      <c r="AX959" s="1065"/>
      <c r="AY959" s="1065"/>
      <c r="AZ959" s="1065"/>
      <c r="BA959" s="1065"/>
      <c r="BB959" s="1065"/>
      <c r="BC959" s="1065"/>
      <c r="BD959" s="1065"/>
      <c r="BE959" s="1065"/>
      <c r="BF959" s="1065"/>
      <c r="BG959" s="1065"/>
      <c r="BH959" s="1065"/>
      <c r="BI959" s="1065"/>
      <c r="BJ959" s="1065"/>
      <c r="BK959" s="1065"/>
      <c r="BL959" s="1065"/>
      <c r="BM959" s="1065"/>
      <c r="BN959" s="1065"/>
      <c r="BO959" s="1065"/>
      <c r="BP959" s="1065"/>
      <c r="BQ959" s="1065"/>
      <c r="BR959" s="1065"/>
      <c r="BS959" s="1065"/>
      <c r="BT959" s="1065"/>
      <c r="BU959" s="1065"/>
      <c r="BV959" s="1065"/>
      <c r="BW959" s="1065"/>
      <c r="BX959" s="1065"/>
      <c r="BY959" s="1065"/>
      <c r="BZ959" s="1065"/>
      <c r="CA959" s="1065"/>
      <c r="CB959" s="1065"/>
      <c r="CC959" s="1065"/>
      <c r="CD959" s="1065"/>
      <c r="CE959" s="1065"/>
      <c r="CF959" s="1065"/>
      <c r="CG959" s="1065"/>
      <c r="CH959" s="1065"/>
      <c r="CI959" s="1065"/>
      <c r="CJ959" s="1065"/>
      <c r="CK959" s="1065"/>
      <c r="CL959" s="1065"/>
      <c r="CM959" s="1065"/>
      <c r="CN959" s="1065"/>
      <c r="CO959" s="1065"/>
      <c r="CP959" s="1065"/>
      <c r="CQ959" s="1065"/>
      <c r="CR959" s="1065"/>
      <c r="CS959" s="1065"/>
      <c r="CT959" s="1065"/>
      <c r="CU959" s="1065"/>
      <c r="CV959" s="1065"/>
      <c r="CW959" s="1065"/>
      <c r="CX959" s="1065"/>
      <c r="CY959" s="1065"/>
      <c r="CZ959" s="1065"/>
      <c r="DA959" s="1065"/>
      <c r="DB959" s="1065"/>
    </row>
    <row r="960" spans="1:106" ht="15" customHeight="1">
      <c r="A960" s="1065"/>
      <c r="B960" s="1065"/>
      <c r="C960" s="1065"/>
      <c r="D960" s="1065"/>
      <c r="E960" s="1065"/>
      <c r="F960" s="1065"/>
      <c r="G960" s="1065"/>
      <c r="H960" s="1223"/>
      <c r="I960" s="1223"/>
      <c r="J960" s="1224"/>
      <c r="K960" s="1224"/>
      <c r="L960" s="1224"/>
      <c r="M960" s="1225"/>
      <c r="N960" s="1225"/>
      <c r="O960" s="1226"/>
      <c r="P960" s="1227"/>
      <c r="Q960" s="1227"/>
      <c r="R960" s="1228"/>
      <c r="S960" s="1224"/>
      <c r="T960" s="1229"/>
      <c r="U960" s="1065"/>
      <c r="V960" s="1065"/>
      <c r="W960" s="1065"/>
      <c r="X960" s="1065"/>
      <c r="Y960" s="1065"/>
      <c r="Z960" s="1065"/>
      <c r="AA960" s="1065"/>
      <c r="AB960" s="1065"/>
      <c r="AC960" s="1065"/>
      <c r="AD960" s="1065"/>
      <c r="AE960" s="1065"/>
      <c r="AF960" s="1065"/>
      <c r="AG960" s="1065"/>
      <c r="AH960" s="1065"/>
      <c r="AI960" s="1065"/>
      <c r="AJ960" s="1065"/>
      <c r="AM960" s="1065"/>
      <c r="AN960" s="1065"/>
      <c r="AO960" s="1065"/>
      <c r="AP960" s="1065"/>
      <c r="AQ960" s="1065"/>
      <c r="AR960" s="1065"/>
      <c r="AS960" s="1065"/>
      <c r="AT960" s="1065"/>
      <c r="AU960" s="1065"/>
      <c r="AV960" s="1065"/>
      <c r="AW960" s="1065"/>
      <c r="AX960" s="1065"/>
      <c r="AY960" s="1065"/>
      <c r="AZ960" s="1065"/>
      <c r="BA960" s="1065"/>
      <c r="BB960" s="1065"/>
      <c r="BC960" s="1065"/>
      <c r="BD960" s="1065"/>
      <c r="BE960" s="1065"/>
      <c r="BF960" s="1065"/>
      <c r="BG960" s="1065"/>
      <c r="BH960" s="1065"/>
      <c r="BI960" s="1065"/>
      <c r="BJ960" s="1065"/>
      <c r="BK960" s="1065"/>
      <c r="BL960" s="1065"/>
      <c r="BM960" s="1065"/>
      <c r="BN960" s="1065"/>
      <c r="BO960" s="1065"/>
      <c r="BP960" s="1065"/>
      <c r="BQ960" s="1065"/>
      <c r="BR960" s="1065"/>
      <c r="BS960" s="1065"/>
      <c r="BT960" s="1065"/>
      <c r="BU960" s="1065"/>
      <c r="BV960" s="1065"/>
      <c r="BW960" s="1065"/>
      <c r="BX960" s="1065"/>
      <c r="BY960" s="1065"/>
      <c r="BZ960" s="1065"/>
      <c r="CA960" s="1065"/>
      <c r="CB960" s="1065"/>
      <c r="CC960" s="1065"/>
      <c r="CD960" s="1065"/>
      <c r="CE960" s="1065"/>
      <c r="CF960" s="1065"/>
      <c r="CG960" s="1065"/>
      <c r="CH960" s="1065"/>
      <c r="CI960" s="1065"/>
      <c r="CJ960" s="1065"/>
      <c r="CK960" s="1065"/>
      <c r="CL960" s="1065"/>
      <c r="CM960" s="1065"/>
      <c r="CN960" s="1065"/>
      <c r="CO960" s="1065"/>
      <c r="CP960" s="1065"/>
      <c r="CQ960" s="1065"/>
      <c r="CR960" s="1065"/>
      <c r="CS960" s="1065"/>
      <c r="CT960" s="1065"/>
      <c r="CU960" s="1065"/>
      <c r="CV960" s="1065"/>
      <c r="CW960" s="1065"/>
      <c r="CX960" s="1065"/>
      <c r="CY960" s="1065"/>
      <c r="CZ960" s="1065"/>
      <c r="DA960" s="1065"/>
      <c r="DB960" s="1065"/>
    </row>
    <row r="961" spans="1:106" ht="15" customHeight="1">
      <c r="A961" s="1065"/>
      <c r="B961" s="1065"/>
      <c r="C961" s="1065"/>
      <c r="D961" s="1065"/>
      <c r="E961" s="1065"/>
      <c r="F961" s="1065"/>
      <c r="G961" s="1065"/>
      <c r="H961" s="1223"/>
      <c r="I961" s="1223"/>
      <c r="J961" s="1224"/>
      <c r="K961" s="1224"/>
      <c r="L961" s="1224"/>
      <c r="M961" s="1225"/>
      <c r="N961" s="1225"/>
      <c r="O961" s="1226"/>
      <c r="P961" s="1227"/>
      <c r="Q961" s="1227"/>
      <c r="R961" s="1228"/>
      <c r="S961" s="1224"/>
      <c r="T961" s="1229"/>
      <c r="U961" s="1065"/>
      <c r="V961" s="1065"/>
      <c r="W961" s="1065"/>
      <c r="X961" s="1065"/>
      <c r="Y961" s="1065"/>
      <c r="Z961" s="1065"/>
      <c r="AA961" s="1065"/>
      <c r="AB961" s="1065"/>
      <c r="AC961" s="1065"/>
      <c r="AD961" s="1065"/>
      <c r="AE961" s="1065"/>
      <c r="AF961" s="1065"/>
      <c r="AG961" s="1065"/>
      <c r="AH961" s="1065"/>
      <c r="AI961" s="1065"/>
      <c r="AJ961" s="1065"/>
      <c r="AM961" s="1065"/>
      <c r="AN961" s="1065"/>
      <c r="AO961" s="1065"/>
      <c r="AP961" s="1065"/>
      <c r="AQ961" s="1065"/>
      <c r="AR961" s="1065"/>
      <c r="AS961" s="1065"/>
      <c r="AT961" s="1065"/>
      <c r="AU961" s="1065"/>
      <c r="AV961" s="1065"/>
      <c r="AW961" s="1065"/>
      <c r="AX961" s="1065"/>
      <c r="AY961" s="1065"/>
      <c r="AZ961" s="1065"/>
      <c r="BA961" s="1065"/>
      <c r="BB961" s="1065"/>
      <c r="BC961" s="1065"/>
      <c r="BD961" s="1065"/>
      <c r="BE961" s="1065"/>
      <c r="BF961" s="1065"/>
      <c r="BG961" s="1065"/>
      <c r="BH961" s="1065"/>
      <c r="BI961" s="1065"/>
      <c r="BJ961" s="1065"/>
      <c r="BK961" s="1065"/>
      <c r="BL961" s="1065"/>
      <c r="BM961" s="1065"/>
      <c r="BN961" s="1065"/>
      <c r="BO961" s="1065"/>
      <c r="BP961" s="1065"/>
      <c r="BQ961" s="1065"/>
      <c r="BR961" s="1065"/>
      <c r="BS961" s="1065"/>
      <c r="BT961" s="1065"/>
      <c r="BU961" s="1065"/>
      <c r="BV961" s="1065"/>
      <c r="BW961" s="1065"/>
      <c r="BX961" s="1065"/>
      <c r="BY961" s="1065"/>
      <c r="BZ961" s="1065"/>
      <c r="CA961" s="1065"/>
      <c r="CB961" s="1065"/>
      <c r="CC961" s="1065"/>
      <c r="CD961" s="1065"/>
      <c r="CE961" s="1065"/>
      <c r="CF961" s="1065"/>
      <c r="CG961" s="1065"/>
      <c r="CH961" s="1065"/>
      <c r="CI961" s="1065"/>
      <c r="CJ961" s="1065"/>
      <c r="CK961" s="1065"/>
      <c r="CL961" s="1065"/>
      <c r="CM961" s="1065"/>
      <c r="CN961" s="1065"/>
      <c r="CO961" s="1065"/>
      <c r="CP961" s="1065"/>
      <c r="CQ961" s="1065"/>
      <c r="CR961" s="1065"/>
      <c r="CS961" s="1065"/>
      <c r="CT961" s="1065"/>
      <c r="CU961" s="1065"/>
      <c r="CV961" s="1065"/>
      <c r="CW961" s="1065"/>
      <c r="CX961" s="1065"/>
      <c r="CY961" s="1065"/>
      <c r="CZ961" s="1065"/>
      <c r="DA961" s="1065"/>
      <c r="DB961" s="1065"/>
    </row>
    <row r="962" spans="1:106" ht="15" customHeight="1">
      <c r="A962" s="1065"/>
      <c r="B962" s="1065"/>
      <c r="C962" s="1065"/>
      <c r="D962" s="1065"/>
      <c r="E962" s="1065"/>
      <c r="F962" s="1065"/>
      <c r="G962" s="1065"/>
      <c r="H962" s="1223"/>
      <c r="I962" s="1223"/>
      <c r="J962" s="1224"/>
      <c r="K962" s="1224"/>
      <c r="L962" s="1224"/>
      <c r="M962" s="1225"/>
      <c r="N962" s="1225"/>
      <c r="O962" s="1226"/>
      <c r="P962" s="1227"/>
      <c r="Q962" s="1227"/>
      <c r="R962" s="1228"/>
      <c r="S962" s="1224"/>
      <c r="T962" s="1229"/>
      <c r="U962" s="1065"/>
      <c r="V962" s="1065"/>
      <c r="W962" s="1065"/>
      <c r="X962" s="1065"/>
      <c r="Y962" s="1065"/>
      <c r="Z962" s="1065"/>
      <c r="AA962" s="1065"/>
      <c r="AB962" s="1065"/>
      <c r="AC962" s="1065"/>
      <c r="AD962" s="1065"/>
      <c r="AE962" s="1065"/>
      <c r="AF962" s="1065"/>
      <c r="AG962" s="1065"/>
      <c r="AH962" s="1065"/>
      <c r="AI962" s="1065"/>
      <c r="AJ962" s="1065"/>
      <c r="AM962" s="1065"/>
      <c r="AN962" s="1065"/>
      <c r="AO962" s="1065"/>
      <c r="AP962" s="1065"/>
      <c r="AQ962" s="1065"/>
      <c r="AR962" s="1065"/>
      <c r="AS962" s="1065"/>
      <c r="AT962" s="1065"/>
      <c r="AU962" s="1065"/>
      <c r="AV962" s="1065"/>
      <c r="AW962" s="1065"/>
      <c r="AX962" s="1065"/>
      <c r="AY962" s="1065"/>
      <c r="AZ962" s="1065"/>
      <c r="BA962" s="1065"/>
      <c r="BB962" s="1065"/>
      <c r="BC962" s="1065"/>
      <c r="BD962" s="1065"/>
      <c r="BE962" s="1065"/>
      <c r="BF962" s="1065"/>
      <c r="BG962" s="1065"/>
      <c r="BH962" s="1065"/>
      <c r="BI962" s="1065"/>
      <c r="BJ962" s="1065"/>
      <c r="BK962" s="1065"/>
      <c r="BL962" s="1065"/>
      <c r="BM962" s="1065"/>
      <c r="BN962" s="1065"/>
      <c r="BO962" s="1065"/>
      <c r="BP962" s="1065"/>
      <c r="BQ962" s="1065"/>
      <c r="BR962" s="1065"/>
      <c r="BS962" s="1065"/>
      <c r="BT962" s="1065"/>
      <c r="BU962" s="1065"/>
      <c r="BV962" s="1065"/>
      <c r="BW962" s="1065"/>
      <c r="BX962" s="1065"/>
      <c r="BY962" s="1065"/>
      <c r="BZ962" s="1065"/>
      <c r="CA962" s="1065"/>
      <c r="CB962" s="1065"/>
      <c r="CC962" s="1065"/>
      <c r="CD962" s="1065"/>
      <c r="CE962" s="1065"/>
      <c r="CF962" s="1065"/>
      <c r="CG962" s="1065"/>
      <c r="CH962" s="1065"/>
      <c r="CI962" s="1065"/>
      <c r="CJ962" s="1065"/>
      <c r="CK962" s="1065"/>
      <c r="CL962" s="1065"/>
      <c r="CM962" s="1065"/>
      <c r="CN962" s="1065"/>
      <c r="CO962" s="1065"/>
      <c r="CP962" s="1065"/>
      <c r="CQ962" s="1065"/>
      <c r="CR962" s="1065"/>
      <c r="CS962" s="1065"/>
      <c r="CT962" s="1065"/>
      <c r="CU962" s="1065"/>
      <c r="CV962" s="1065"/>
      <c r="CW962" s="1065"/>
      <c r="CX962" s="1065"/>
      <c r="CY962" s="1065"/>
      <c r="CZ962" s="1065"/>
      <c r="DA962" s="1065"/>
      <c r="DB962" s="1065"/>
    </row>
    <row r="963" spans="1:106" ht="15" customHeight="1">
      <c r="A963" s="1065"/>
      <c r="B963" s="1065"/>
      <c r="C963" s="1065"/>
      <c r="D963" s="1065"/>
      <c r="E963" s="1065"/>
      <c r="F963" s="1065"/>
      <c r="G963" s="1065"/>
      <c r="H963" s="1223"/>
      <c r="I963" s="1223"/>
      <c r="J963" s="1224"/>
      <c r="K963" s="1224"/>
      <c r="L963" s="1224"/>
      <c r="M963" s="1225"/>
      <c r="N963" s="1225"/>
      <c r="O963" s="1226"/>
      <c r="P963" s="1227"/>
      <c r="Q963" s="1227"/>
      <c r="R963" s="1228"/>
      <c r="S963" s="1224"/>
      <c r="T963" s="1229"/>
      <c r="U963" s="1065"/>
      <c r="V963" s="1065"/>
      <c r="W963" s="1065"/>
      <c r="X963" s="1065"/>
      <c r="Y963" s="1065"/>
      <c r="Z963" s="1065"/>
      <c r="AA963" s="1065"/>
      <c r="AB963" s="1065"/>
      <c r="AC963" s="1065"/>
      <c r="AD963" s="1065"/>
      <c r="AE963" s="1065"/>
      <c r="AF963" s="1065"/>
      <c r="AG963" s="1065"/>
      <c r="AH963" s="1065"/>
      <c r="AI963" s="1065"/>
      <c r="AJ963" s="1065"/>
      <c r="AM963" s="1065"/>
      <c r="AN963" s="1065"/>
      <c r="AO963" s="1065"/>
      <c r="AP963" s="1065"/>
      <c r="AQ963" s="1065"/>
      <c r="AR963" s="1065"/>
      <c r="AS963" s="1065"/>
      <c r="AT963" s="1065"/>
      <c r="AU963" s="1065"/>
      <c r="AV963" s="1065"/>
      <c r="AW963" s="1065"/>
      <c r="AX963" s="1065"/>
      <c r="AY963" s="1065"/>
      <c r="AZ963" s="1065"/>
      <c r="BA963" s="1065"/>
      <c r="BB963" s="1065"/>
      <c r="BC963" s="1065"/>
      <c r="BD963" s="1065"/>
      <c r="BE963" s="1065"/>
      <c r="BF963" s="1065"/>
      <c r="BG963" s="1065"/>
      <c r="BH963" s="1065"/>
      <c r="BI963" s="1065"/>
      <c r="BJ963" s="1065"/>
      <c r="BK963" s="1065"/>
      <c r="BL963" s="1065"/>
      <c r="BM963" s="1065"/>
      <c r="BN963" s="1065"/>
      <c r="BO963" s="1065"/>
      <c r="BP963" s="1065"/>
      <c r="BQ963" s="1065"/>
      <c r="BR963" s="1065"/>
      <c r="BS963" s="1065"/>
      <c r="BT963" s="1065"/>
      <c r="BU963" s="1065"/>
      <c r="BV963" s="1065"/>
      <c r="BW963" s="1065"/>
      <c r="BX963" s="1065"/>
      <c r="BY963" s="1065"/>
      <c r="BZ963" s="1065"/>
      <c r="CA963" s="1065"/>
      <c r="CB963" s="1065"/>
      <c r="CC963" s="1065"/>
      <c r="CD963" s="1065"/>
      <c r="CE963" s="1065"/>
      <c r="CF963" s="1065"/>
      <c r="CG963" s="1065"/>
      <c r="CH963" s="1065"/>
      <c r="CI963" s="1065"/>
      <c r="CJ963" s="1065"/>
      <c r="CK963" s="1065"/>
      <c r="CL963" s="1065"/>
      <c r="CM963" s="1065"/>
      <c r="CN963" s="1065"/>
      <c r="CO963" s="1065"/>
      <c r="CP963" s="1065"/>
      <c r="CQ963" s="1065"/>
      <c r="CR963" s="1065"/>
      <c r="CS963" s="1065"/>
      <c r="CT963" s="1065"/>
      <c r="CU963" s="1065"/>
      <c r="CV963" s="1065"/>
      <c r="CW963" s="1065"/>
      <c r="CX963" s="1065"/>
      <c r="CY963" s="1065"/>
      <c r="CZ963" s="1065"/>
      <c r="DA963" s="1065"/>
      <c r="DB963" s="1065"/>
    </row>
    <row r="964" spans="1:106" ht="15" customHeight="1">
      <c r="A964" s="1065"/>
      <c r="B964" s="1065"/>
      <c r="C964" s="1065"/>
      <c r="D964" s="1065"/>
      <c r="E964" s="1065"/>
      <c r="F964" s="1065"/>
      <c r="G964" s="1065"/>
      <c r="H964" s="1223"/>
      <c r="I964" s="1223"/>
      <c r="J964" s="1224"/>
      <c r="K964" s="1224"/>
      <c r="L964" s="1224"/>
      <c r="M964" s="1225"/>
      <c r="N964" s="1225"/>
      <c r="O964" s="1226"/>
      <c r="P964" s="1227"/>
      <c r="Q964" s="1227"/>
      <c r="R964" s="1228"/>
      <c r="S964" s="1224"/>
      <c r="T964" s="1229"/>
      <c r="U964" s="1065"/>
      <c r="V964" s="1065"/>
      <c r="W964" s="1065"/>
      <c r="X964" s="1065"/>
      <c r="Y964" s="1065"/>
      <c r="Z964" s="1065"/>
      <c r="AA964" s="1065"/>
      <c r="AB964" s="1065"/>
      <c r="AC964" s="1065"/>
      <c r="AD964" s="1065"/>
      <c r="AE964" s="1065"/>
      <c r="AF964" s="1065"/>
      <c r="AG964" s="1065"/>
      <c r="AH964" s="1065"/>
      <c r="AI964" s="1065"/>
      <c r="AJ964" s="1065"/>
      <c r="AM964" s="1065"/>
      <c r="AN964" s="1065"/>
      <c r="AO964" s="1065"/>
      <c r="AP964" s="1065"/>
      <c r="AQ964" s="1065"/>
      <c r="AR964" s="1065"/>
      <c r="AS964" s="1065"/>
      <c r="AT964" s="1065"/>
      <c r="AU964" s="1065"/>
      <c r="AV964" s="1065"/>
      <c r="AW964" s="1065"/>
      <c r="AX964" s="1065"/>
      <c r="AY964" s="1065"/>
      <c r="AZ964" s="1065"/>
      <c r="BA964" s="1065"/>
      <c r="BB964" s="1065"/>
      <c r="BC964" s="1065"/>
      <c r="BD964" s="1065"/>
      <c r="BE964" s="1065"/>
      <c r="BF964" s="1065"/>
      <c r="BG964" s="1065"/>
      <c r="BH964" s="1065"/>
      <c r="BI964" s="1065"/>
      <c r="BJ964" s="1065"/>
      <c r="BK964" s="1065"/>
      <c r="BL964" s="1065"/>
      <c r="BM964" s="1065"/>
      <c r="BN964" s="1065"/>
      <c r="BO964" s="1065"/>
      <c r="BP964" s="1065"/>
      <c r="BQ964" s="1065"/>
      <c r="BR964" s="1065"/>
      <c r="BS964" s="1065"/>
      <c r="BT964" s="1065"/>
      <c r="BU964" s="1065"/>
      <c r="BV964" s="1065"/>
      <c r="BW964" s="1065"/>
      <c r="BX964" s="1065"/>
      <c r="BY964" s="1065"/>
      <c r="BZ964" s="1065"/>
      <c r="CA964" s="1065"/>
      <c r="CB964" s="1065"/>
      <c r="CC964" s="1065"/>
      <c r="CD964" s="1065"/>
      <c r="CE964" s="1065"/>
      <c r="CF964" s="1065"/>
      <c r="CG964" s="1065"/>
      <c r="CH964" s="1065"/>
      <c r="CI964" s="1065"/>
      <c r="CJ964" s="1065"/>
      <c r="CK964" s="1065"/>
      <c r="CL964" s="1065"/>
      <c r="CM964" s="1065"/>
      <c r="CN964" s="1065"/>
      <c r="CO964" s="1065"/>
      <c r="CP964" s="1065"/>
      <c r="CQ964" s="1065"/>
      <c r="CR964" s="1065"/>
      <c r="CS964" s="1065"/>
      <c r="CT964" s="1065"/>
      <c r="CU964" s="1065"/>
      <c r="CV964" s="1065"/>
      <c r="CW964" s="1065"/>
      <c r="CX964" s="1065"/>
      <c r="CY964" s="1065"/>
      <c r="CZ964" s="1065"/>
      <c r="DA964" s="1065"/>
      <c r="DB964" s="1065"/>
    </row>
    <row r="965" spans="1:106" ht="15" customHeight="1">
      <c r="A965" s="1065"/>
      <c r="B965" s="1065"/>
      <c r="C965" s="1065"/>
      <c r="D965" s="1065"/>
      <c r="E965" s="1065"/>
      <c r="F965" s="1065"/>
      <c r="G965" s="1065"/>
      <c r="H965" s="1223"/>
      <c r="I965" s="1223"/>
      <c r="J965" s="1224"/>
      <c r="K965" s="1224"/>
      <c r="L965" s="1224"/>
      <c r="M965" s="1225"/>
      <c r="N965" s="1225"/>
      <c r="O965" s="1226"/>
      <c r="P965" s="1227"/>
      <c r="Q965" s="1227"/>
      <c r="R965" s="1228"/>
      <c r="S965" s="1224"/>
      <c r="T965" s="1229"/>
      <c r="U965" s="1065"/>
      <c r="V965" s="1065"/>
      <c r="W965" s="1065"/>
      <c r="X965" s="1065"/>
      <c r="Y965" s="1065"/>
      <c r="Z965" s="1065"/>
      <c r="AA965" s="1065"/>
      <c r="AB965" s="1065"/>
      <c r="AC965" s="1065"/>
      <c r="AD965" s="1065"/>
      <c r="AE965" s="1065"/>
      <c r="AF965" s="1065"/>
      <c r="AG965" s="1065"/>
      <c r="AH965" s="1065"/>
      <c r="AI965" s="1065"/>
      <c r="AJ965" s="1065"/>
      <c r="AM965" s="1065"/>
      <c r="AN965" s="1065"/>
      <c r="AO965" s="1065"/>
      <c r="AP965" s="1065"/>
      <c r="AQ965" s="1065"/>
      <c r="AR965" s="1065"/>
      <c r="AS965" s="1065"/>
      <c r="AT965" s="1065"/>
      <c r="AU965" s="1065"/>
      <c r="AV965" s="1065"/>
      <c r="AW965" s="1065"/>
      <c r="AX965" s="1065"/>
      <c r="AY965" s="1065"/>
      <c r="AZ965" s="1065"/>
      <c r="BA965" s="1065"/>
      <c r="BB965" s="1065"/>
      <c r="BZ965" s="1065"/>
      <c r="CA965" s="1065"/>
      <c r="CB965" s="1065"/>
      <c r="CC965" s="1065"/>
      <c r="CD965" s="1065"/>
      <c r="CE965" s="1065"/>
      <c r="CF965" s="1065"/>
      <c r="CG965" s="1065"/>
      <c r="CH965" s="1065"/>
      <c r="CI965" s="1065"/>
      <c r="CJ965" s="1065"/>
      <c r="CK965" s="1065"/>
      <c r="CL965" s="1065"/>
      <c r="CM965" s="1065"/>
      <c r="CN965" s="1065"/>
      <c r="CO965" s="1065"/>
      <c r="CP965" s="1065"/>
      <c r="CQ965" s="1065"/>
      <c r="CR965" s="1065"/>
      <c r="CS965" s="1065"/>
      <c r="CT965" s="1065"/>
      <c r="CU965" s="1065"/>
      <c r="CV965" s="1065"/>
      <c r="CW965" s="1065"/>
      <c r="CX965" s="1065"/>
      <c r="CY965" s="1065"/>
      <c r="CZ965" s="1065"/>
      <c r="DA965" s="1065"/>
      <c r="DB965" s="1065"/>
    </row>
    <row r="966" spans="1:106" ht="15" customHeight="1">
      <c r="A966" s="1065"/>
      <c r="B966" s="1065"/>
      <c r="C966" s="1065"/>
      <c r="D966" s="1065"/>
      <c r="E966" s="1065"/>
      <c r="F966" s="1065"/>
      <c r="G966" s="1065"/>
      <c r="H966" s="1223"/>
      <c r="I966" s="1223"/>
      <c r="J966" s="1224"/>
      <c r="K966" s="1224"/>
      <c r="L966" s="1224"/>
      <c r="M966" s="1225"/>
      <c r="N966" s="1225"/>
      <c r="O966" s="1226"/>
      <c r="P966" s="1227"/>
      <c r="Q966" s="1227"/>
      <c r="R966" s="1228"/>
      <c r="S966" s="1224"/>
      <c r="T966" s="1229"/>
      <c r="U966" s="1065"/>
      <c r="V966" s="1065"/>
      <c r="W966" s="1065"/>
      <c r="X966" s="1065"/>
      <c r="Y966" s="1065"/>
      <c r="Z966" s="1065"/>
      <c r="AA966" s="1065"/>
      <c r="AB966" s="1065"/>
      <c r="AC966" s="1065"/>
      <c r="AD966" s="1065"/>
      <c r="AE966" s="1065"/>
      <c r="AF966" s="1065"/>
      <c r="AG966" s="1065"/>
      <c r="AH966" s="1065"/>
      <c r="AI966" s="1065"/>
      <c r="AJ966" s="1065"/>
      <c r="AM966" s="1065"/>
      <c r="AN966" s="1065"/>
      <c r="AO966" s="1065"/>
      <c r="AP966" s="1065"/>
      <c r="AQ966" s="1065"/>
      <c r="AR966" s="1065"/>
      <c r="AS966" s="1065"/>
      <c r="AT966" s="1065"/>
      <c r="AU966" s="1065"/>
      <c r="AV966" s="1065"/>
      <c r="AW966" s="1065"/>
      <c r="AX966" s="1065"/>
      <c r="AY966" s="1065"/>
      <c r="AZ966" s="1065"/>
      <c r="BA966" s="1065"/>
      <c r="BB966" s="1065"/>
      <c r="BZ966" s="1065"/>
      <c r="CA966" s="1065"/>
      <c r="CB966" s="1065"/>
      <c r="CC966" s="1065"/>
      <c r="CD966" s="1065"/>
      <c r="CE966" s="1065"/>
      <c r="CF966" s="1065"/>
      <c r="CG966" s="1065"/>
      <c r="CH966" s="1065"/>
      <c r="CI966" s="1065"/>
      <c r="CJ966" s="1065"/>
      <c r="CK966" s="1065"/>
      <c r="CL966" s="1065"/>
      <c r="CM966" s="1065"/>
      <c r="CN966" s="1065"/>
      <c r="CO966" s="1065"/>
      <c r="CP966" s="1065"/>
      <c r="CQ966" s="1065"/>
      <c r="CR966" s="1065"/>
      <c r="CS966" s="1065"/>
      <c r="CT966" s="1065"/>
      <c r="CU966" s="1065"/>
      <c r="CV966" s="1065"/>
      <c r="CW966" s="1065"/>
      <c r="CX966" s="1065"/>
      <c r="CY966" s="1065"/>
      <c r="CZ966" s="1065"/>
      <c r="DA966" s="1065"/>
      <c r="DB966" s="1065"/>
    </row>
    <row r="967" spans="1:106" ht="15" customHeight="1">
      <c r="A967" s="1065"/>
      <c r="B967" s="1065"/>
      <c r="C967" s="1065"/>
      <c r="D967" s="1065"/>
      <c r="E967" s="1065"/>
      <c r="F967" s="1065"/>
      <c r="G967" s="1065"/>
      <c r="H967" s="1223"/>
      <c r="I967" s="1223"/>
      <c r="J967" s="1224"/>
      <c r="K967" s="1224"/>
      <c r="L967" s="1224"/>
      <c r="M967" s="1225"/>
      <c r="N967" s="1225"/>
      <c r="O967" s="1226"/>
      <c r="P967" s="1227"/>
      <c r="Q967" s="1227"/>
      <c r="R967" s="1228"/>
      <c r="S967" s="1224"/>
      <c r="T967" s="1229"/>
      <c r="U967" s="1065"/>
      <c r="V967" s="1065"/>
      <c r="W967" s="1065"/>
      <c r="X967" s="1065"/>
      <c r="Y967" s="1065"/>
      <c r="Z967" s="1065"/>
      <c r="AA967" s="1065"/>
      <c r="AB967" s="1065"/>
      <c r="AC967" s="1065"/>
      <c r="AD967" s="1065"/>
      <c r="AE967" s="1065"/>
      <c r="AF967" s="1065"/>
      <c r="AG967" s="1065"/>
      <c r="AH967" s="1065"/>
      <c r="AI967" s="1065"/>
      <c r="AJ967" s="1065"/>
      <c r="AM967" s="1065"/>
      <c r="AN967" s="1065"/>
      <c r="AO967" s="1065"/>
      <c r="AP967" s="1065"/>
      <c r="AQ967" s="1065"/>
      <c r="AR967" s="1065"/>
      <c r="AS967" s="1065"/>
      <c r="AT967" s="1065"/>
      <c r="AU967" s="1065"/>
      <c r="AV967" s="1065"/>
      <c r="AW967" s="1065"/>
      <c r="AX967" s="1065"/>
      <c r="AY967" s="1065"/>
      <c r="AZ967" s="1065"/>
      <c r="BA967" s="1065"/>
      <c r="BB967" s="1065"/>
      <c r="BZ967" s="1065"/>
      <c r="CA967" s="1065"/>
      <c r="CB967" s="1065"/>
      <c r="CC967" s="1065"/>
      <c r="CD967" s="1065"/>
      <c r="CE967" s="1065"/>
      <c r="CF967" s="1065"/>
      <c r="CG967" s="1065"/>
      <c r="CH967" s="1065"/>
      <c r="CI967" s="1065"/>
      <c r="CJ967" s="1065"/>
      <c r="CK967" s="1065"/>
      <c r="CL967" s="1065"/>
      <c r="CM967" s="1065"/>
      <c r="CN967" s="1065"/>
      <c r="CO967" s="1065"/>
      <c r="CP967" s="1065"/>
      <c r="CQ967" s="1065"/>
      <c r="CR967" s="1065"/>
      <c r="CS967" s="1065"/>
      <c r="CT967" s="1065"/>
      <c r="CU967" s="1065"/>
      <c r="CV967" s="1065"/>
      <c r="CW967" s="1065"/>
      <c r="CX967" s="1065"/>
      <c r="CY967" s="1065"/>
      <c r="CZ967" s="1065"/>
      <c r="DA967" s="1065"/>
      <c r="DB967" s="1065"/>
    </row>
    <row r="968" spans="1:106" ht="15" customHeight="1">
      <c r="A968" s="1065"/>
      <c r="B968" s="1065"/>
      <c r="C968" s="1065"/>
      <c r="D968" s="1065"/>
      <c r="E968" s="1065"/>
      <c r="F968" s="1065"/>
      <c r="G968" s="1065"/>
      <c r="H968" s="1223"/>
      <c r="I968" s="1223"/>
      <c r="J968" s="1224"/>
      <c r="K968" s="1224"/>
      <c r="L968" s="1224"/>
      <c r="M968" s="1225"/>
      <c r="N968" s="1225"/>
      <c r="O968" s="1226"/>
      <c r="P968" s="1227"/>
      <c r="Q968" s="1227"/>
      <c r="R968" s="1228"/>
      <c r="S968" s="1224"/>
      <c r="T968" s="1229"/>
      <c r="U968" s="1065"/>
      <c r="V968" s="1065"/>
      <c r="W968" s="1065"/>
      <c r="X968" s="1065"/>
      <c r="Y968" s="1065"/>
      <c r="Z968" s="1065"/>
      <c r="AA968" s="1065"/>
      <c r="AB968" s="1065"/>
      <c r="AC968" s="1065"/>
      <c r="AD968" s="1065"/>
      <c r="AE968" s="1065"/>
      <c r="AF968" s="1065"/>
      <c r="AG968" s="1065"/>
      <c r="AH968" s="1065"/>
      <c r="AI968" s="1065"/>
      <c r="AJ968" s="1065"/>
      <c r="AM968" s="1065"/>
      <c r="AN968" s="1065"/>
      <c r="AO968" s="1065"/>
      <c r="AP968" s="1065"/>
      <c r="AQ968" s="1065"/>
      <c r="AR968" s="1065"/>
      <c r="AS968" s="1065"/>
      <c r="AT968" s="1065"/>
      <c r="AU968" s="1065"/>
      <c r="AV968" s="1065"/>
      <c r="AW968" s="1065"/>
      <c r="AX968" s="1065"/>
      <c r="AY968" s="1065"/>
      <c r="AZ968" s="1065"/>
      <c r="BA968" s="1065"/>
      <c r="BB968" s="1065"/>
      <c r="BZ968" s="1065"/>
      <c r="CA968" s="1065"/>
      <c r="CB968" s="1065"/>
      <c r="CC968" s="1065"/>
      <c r="CD968" s="1065"/>
      <c r="CE968" s="1065"/>
      <c r="CF968" s="1065"/>
      <c r="CG968" s="1065"/>
      <c r="CH968" s="1065"/>
      <c r="CI968" s="1065"/>
      <c r="CJ968" s="1065"/>
      <c r="CK968" s="1065"/>
      <c r="CL968" s="1065"/>
      <c r="CM968" s="1065"/>
      <c r="CN968" s="1065"/>
      <c r="CO968" s="1065"/>
      <c r="CP968" s="1065"/>
      <c r="CQ968" s="1065"/>
      <c r="CR968" s="1065"/>
      <c r="CS968" s="1065"/>
      <c r="CT968" s="1065"/>
      <c r="CU968" s="1065"/>
      <c r="CV968" s="1065"/>
      <c r="CW968" s="1065"/>
      <c r="CX968" s="1065"/>
      <c r="CY968" s="1065"/>
      <c r="CZ968" s="1065"/>
      <c r="DA968" s="1065"/>
      <c r="DB968" s="1065"/>
    </row>
    <row r="969" spans="1:106" ht="15" customHeight="1">
      <c r="A969" s="1065"/>
      <c r="B969" s="1065"/>
      <c r="C969" s="1065"/>
      <c r="D969" s="1065"/>
      <c r="E969" s="1065"/>
      <c r="F969" s="1065"/>
      <c r="G969" s="1065"/>
      <c r="H969" s="1223"/>
      <c r="I969" s="1223"/>
      <c r="J969" s="1224"/>
      <c r="K969" s="1224"/>
      <c r="L969" s="1224"/>
      <c r="M969" s="1225"/>
      <c r="N969" s="1225"/>
      <c r="O969" s="1226"/>
      <c r="P969" s="1227"/>
      <c r="Q969" s="1227"/>
      <c r="R969" s="1228"/>
      <c r="S969" s="1224"/>
      <c r="T969" s="1229"/>
      <c r="U969" s="1065"/>
      <c r="V969" s="1065"/>
      <c r="W969" s="1065"/>
      <c r="X969" s="1065"/>
      <c r="Y969" s="1065"/>
      <c r="Z969" s="1065"/>
      <c r="AA969" s="1065"/>
      <c r="AB969" s="1065"/>
      <c r="AC969" s="1065"/>
      <c r="AD969" s="1065"/>
      <c r="AE969" s="1065"/>
      <c r="AF969" s="1065"/>
      <c r="AG969" s="1065"/>
      <c r="AH969" s="1065"/>
      <c r="AI969" s="1065"/>
      <c r="AJ969" s="1065"/>
      <c r="AM969" s="1065"/>
      <c r="AN969" s="1065"/>
      <c r="AO969" s="1065"/>
      <c r="AP969" s="1065"/>
      <c r="AQ969" s="1065"/>
      <c r="AR969" s="1065"/>
      <c r="AS969" s="1065"/>
      <c r="AT969" s="1065"/>
      <c r="AU969" s="1065"/>
      <c r="AV969" s="1065"/>
      <c r="AW969" s="1065"/>
      <c r="AX969" s="1065"/>
      <c r="AY969" s="1065"/>
      <c r="AZ969" s="1065"/>
      <c r="BA969" s="1065"/>
      <c r="BB969" s="1065"/>
      <c r="BZ969" s="1065"/>
      <c r="CA969" s="1065"/>
      <c r="CB969" s="1065"/>
      <c r="CC969" s="1065"/>
      <c r="CD969" s="1065"/>
      <c r="CE969" s="1065"/>
      <c r="CF969" s="1065"/>
      <c r="CG969" s="1065"/>
      <c r="CH969" s="1065"/>
      <c r="CI969" s="1065"/>
      <c r="CJ969" s="1065"/>
      <c r="CK969" s="1065"/>
      <c r="CL969" s="1065"/>
      <c r="CM969" s="1065"/>
      <c r="CN969" s="1065"/>
      <c r="CO969" s="1065"/>
      <c r="CP969" s="1065"/>
      <c r="CQ969" s="1065"/>
      <c r="CR969" s="1065"/>
      <c r="CS969" s="1065"/>
      <c r="CT969" s="1065"/>
      <c r="CU969" s="1065"/>
      <c r="CV969" s="1065"/>
      <c r="CW969" s="1065"/>
      <c r="CX969" s="1065"/>
      <c r="CY969" s="1065"/>
      <c r="CZ969" s="1065"/>
      <c r="DA969" s="1065"/>
      <c r="DB969" s="1065"/>
    </row>
    <row r="970" spans="1:106" ht="15" customHeight="1">
      <c r="A970" s="1065"/>
      <c r="B970" s="1065"/>
      <c r="C970" s="1065"/>
      <c r="D970" s="1065"/>
      <c r="E970" s="1065"/>
      <c r="F970" s="1065"/>
      <c r="G970" s="1065"/>
      <c r="H970" s="1223"/>
      <c r="I970" s="1223"/>
      <c r="J970" s="1224"/>
      <c r="K970" s="1224"/>
      <c r="L970" s="1224"/>
      <c r="M970" s="1225"/>
      <c r="N970" s="1225"/>
      <c r="O970" s="1226"/>
      <c r="P970" s="1227"/>
      <c r="Q970" s="1227"/>
      <c r="R970" s="1228"/>
      <c r="S970" s="1224"/>
      <c r="T970" s="1229"/>
      <c r="U970" s="1065"/>
      <c r="V970" s="1065"/>
      <c r="W970" s="1065"/>
      <c r="X970" s="1065"/>
      <c r="Y970" s="1065"/>
      <c r="Z970" s="1065"/>
      <c r="AA970" s="1065"/>
      <c r="AB970" s="1065"/>
      <c r="AC970" s="1065"/>
      <c r="AD970" s="1065"/>
      <c r="AE970" s="1065"/>
      <c r="AF970" s="1065"/>
      <c r="AG970" s="1065"/>
      <c r="AH970" s="1065"/>
      <c r="AI970" s="1065"/>
      <c r="AJ970" s="1065"/>
      <c r="AM970" s="1065"/>
      <c r="AN970" s="1065"/>
      <c r="AO970" s="1065"/>
      <c r="AP970" s="1065"/>
      <c r="AQ970" s="1065"/>
      <c r="AR970" s="1065"/>
      <c r="AS970" s="1065"/>
      <c r="AT970" s="1065"/>
      <c r="AU970" s="1065"/>
      <c r="AV970" s="1065"/>
      <c r="AW970" s="1065"/>
      <c r="AX970" s="1065"/>
      <c r="AY970" s="1065"/>
      <c r="AZ970" s="1065"/>
      <c r="BA970" s="1065"/>
      <c r="BB970" s="1065"/>
      <c r="BZ970" s="1065"/>
      <c r="CA970" s="1065"/>
      <c r="CB970" s="1065"/>
      <c r="CC970" s="1065"/>
      <c r="CD970" s="1065"/>
      <c r="CE970" s="1065"/>
      <c r="CF970" s="1065"/>
      <c r="CG970" s="1065"/>
      <c r="CH970" s="1065"/>
      <c r="CI970" s="1065"/>
      <c r="CJ970" s="1065"/>
      <c r="CK970" s="1065"/>
      <c r="CL970" s="1065"/>
      <c r="CM970" s="1065"/>
      <c r="CN970" s="1065"/>
      <c r="CO970" s="1065"/>
      <c r="CP970" s="1065"/>
      <c r="CQ970" s="1065"/>
      <c r="CR970" s="1065"/>
      <c r="CS970" s="1065"/>
      <c r="CT970" s="1065"/>
      <c r="CU970" s="1065"/>
      <c r="CV970" s="1065"/>
      <c r="CW970" s="1065"/>
      <c r="CX970" s="1065"/>
      <c r="CY970" s="1065"/>
      <c r="CZ970" s="1065"/>
      <c r="DA970" s="1065"/>
      <c r="DB970" s="1065"/>
    </row>
    <row r="971" spans="1:106" ht="15" customHeight="1">
      <c r="A971" s="1065"/>
      <c r="B971" s="1065"/>
      <c r="C971" s="1065"/>
      <c r="D971" s="1065"/>
      <c r="E971" s="1065"/>
      <c r="F971" s="1065"/>
      <c r="G971" s="1065"/>
      <c r="H971" s="1223"/>
      <c r="I971" s="1223"/>
      <c r="J971" s="1224"/>
      <c r="K971" s="1224"/>
      <c r="L971" s="1224"/>
      <c r="M971" s="1225"/>
      <c r="N971" s="1225"/>
      <c r="O971" s="1226"/>
      <c r="P971" s="1227"/>
      <c r="Q971" s="1227"/>
      <c r="R971" s="1228"/>
      <c r="S971" s="1224"/>
      <c r="T971" s="1229"/>
      <c r="U971" s="1065"/>
      <c r="V971" s="1065"/>
      <c r="W971" s="1065"/>
      <c r="X971" s="1065"/>
      <c r="Y971" s="1065"/>
      <c r="Z971" s="1065"/>
      <c r="AA971" s="1065"/>
      <c r="AB971" s="1065"/>
      <c r="AC971" s="1065"/>
      <c r="AD971" s="1065"/>
      <c r="AE971" s="1065"/>
      <c r="AF971" s="1065"/>
      <c r="AG971" s="1065"/>
      <c r="AH971" s="1065"/>
      <c r="AI971" s="1065"/>
      <c r="AJ971" s="1065"/>
      <c r="AM971" s="1065"/>
      <c r="AN971" s="1065"/>
      <c r="AO971" s="1065"/>
      <c r="AP971" s="1065"/>
      <c r="AQ971" s="1065"/>
      <c r="AR971" s="1065"/>
      <c r="AS971" s="1065"/>
      <c r="AT971" s="1065"/>
      <c r="AU971" s="1065"/>
      <c r="AV971" s="1065"/>
      <c r="AW971" s="1065"/>
      <c r="AX971" s="1065"/>
      <c r="AY971" s="1065"/>
      <c r="AZ971" s="1065"/>
      <c r="BA971" s="1065"/>
      <c r="BB971" s="1065"/>
      <c r="BZ971" s="1065"/>
      <c r="CA971" s="1065"/>
      <c r="CB971" s="1065"/>
      <c r="CC971" s="1065"/>
      <c r="CD971" s="1065"/>
      <c r="CE971" s="1065"/>
      <c r="CF971" s="1065"/>
      <c r="CG971" s="1065"/>
      <c r="CH971" s="1065"/>
      <c r="CI971" s="1065"/>
      <c r="CJ971" s="1065"/>
      <c r="CK971" s="1065"/>
      <c r="CL971" s="1065"/>
      <c r="CM971" s="1065"/>
      <c r="CN971" s="1065"/>
      <c r="CO971" s="1065"/>
      <c r="CP971" s="1065"/>
      <c r="CQ971" s="1065"/>
      <c r="CR971" s="1065"/>
      <c r="CS971" s="1065"/>
      <c r="CT971" s="1065"/>
      <c r="CU971" s="1065"/>
      <c r="CV971" s="1065"/>
      <c r="CW971" s="1065"/>
      <c r="CX971" s="1065"/>
      <c r="CY971" s="1065"/>
      <c r="CZ971" s="1065"/>
      <c r="DA971" s="1065"/>
      <c r="DB971" s="1065"/>
    </row>
    <row r="972" spans="1:106" ht="15" customHeight="1">
      <c r="A972" s="1065"/>
      <c r="B972" s="1065"/>
      <c r="C972" s="1065"/>
      <c r="D972" s="1065"/>
      <c r="E972" s="1065"/>
      <c r="F972" s="1065"/>
      <c r="G972" s="1065"/>
      <c r="H972" s="1223"/>
      <c r="I972" s="1223"/>
      <c r="J972" s="1224"/>
      <c r="K972" s="1224"/>
      <c r="L972" s="1224"/>
      <c r="M972" s="1225"/>
      <c r="N972" s="1225"/>
      <c r="O972" s="1226"/>
      <c r="P972" s="1227"/>
      <c r="Q972" s="1227"/>
      <c r="R972" s="1228"/>
      <c r="S972" s="1224"/>
      <c r="T972" s="1229"/>
      <c r="U972" s="1065"/>
      <c r="V972" s="1065"/>
      <c r="W972" s="1065"/>
      <c r="X972" s="1065"/>
      <c r="Y972" s="1065"/>
      <c r="Z972" s="1065"/>
      <c r="AA972" s="1065"/>
      <c r="AB972" s="1065"/>
      <c r="AC972" s="1065"/>
      <c r="AD972" s="1065"/>
      <c r="AE972" s="1065"/>
      <c r="AF972" s="1065"/>
      <c r="AG972" s="1065"/>
      <c r="AH972" s="1065"/>
      <c r="AI972" s="1065"/>
      <c r="AJ972" s="1065"/>
      <c r="AM972" s="1065"/>
      <c r="AN972" s="1065"/>
      <c r="AO972" s="1065"/>
      <c r="AP972" s="1065"/>
      <c r="AQ972" s="1065"/>
      <c r="AR972" s="1065"/>
      <c r="AS972" s="1065"/>
      <c r="AT972" s="1065"/>
      <c r="AU972" s="1065"/>
      <c r="AV972" s="1065"/>
      <c r="AW972" s="1065"/>
      <c r="AX972" s="1065"/>
      <c r="AY972" s="1065"/>
      <c r="AZ972" s="1065"/>
      <c r="BA972" s="1065"/>
      <c r="BB972" s="1065"/>
      <c r="BZ972" s="1065"/>
      <c r="CA972" s="1065"/>
      <c r="CB972" s="1065"/>
      <c r="CC972" s="1065"/>
      <c r="CD972" s="1065"/>
      <c r="CE972" s="1065"/>
      <c r="CF972" s="1065"/>
      <c r="CG972" s="1065"/>
      <c r="CH972" s="1065"/>
      <c r="CI972" s="1065"/>
      <c r="CJ972" s="1065"/>
      <c r="CK972" s="1065"/>
      <c r="CL972" s="1065"/>
      <c r="CM972" s="1065"/>
      <c r="CN972" s="1065"/>
      <c r="CO972" s="1065"/>
      <c r="CP972" s="1065"/>
      <c r="CQ972" s="1065"/>
      <c r="CR972" s="1065"/>
      <c r="CS972" s="1065"/>
      <c r="CT972" s="1065"/>
      <c r="CU972" s="1065"/>
      <c r="CV972" s="1065"/>
      <c r="CW972" s="1065"/>
      <c r="CX972" s="1065"/>
      <c r="CY972" s="1065"/>
      <c r="CZ972" s="1065"/>
      <c r="DA972" s="1065"/>
      <c r="DB972" s="1065"/>
    </row>
    <row r="973" spans="1:106" ht="15" customHeight="1">
      <c r="A973" s="1065"/>
      <c r="B973" s="1065"/>
      <c r="C973" s="1065"/>
      <c r="D973" s="1065"/>
      <c r="E973" s="1065"/>
      <c r="F973" s="1065"/>
      <c r="G973" s="1065"/>
      <c r="H973" s="1223"/>
      <c r="I973" s="1223"/>
      <c r="J973" s="1224"/>
      <c r="K973" s="1224"/>
      <c r="L973" s="1224"/>
      <c r="M973" s="1225"/>
      <c r="N973" s="1225"/>
      <c r="O973" s="1226"/>
      <c r="P973" s="1227"/>
      <c r="Q973" s="1227"/>
      <c r="R973" s="1228"/>
      <c r="S973" s="1224"/>
      <c r="T973" s="1229"/>
      <c r="U973" s="1065"/>
      <c r="V973" s="1065"/>
      <c r="W973" s="1065"/>
      <c r="X973" s="1065"/>
      <c r="Y973" s="1065"/>
      <c r="Z973" s="1065"/>
      <c r="AA973" s="1065"/>
      <c r="AB973" s="1065"/>
      <c r="AC973" s="1065"/>
      <c r="AD973" s="1065"/>
      <c r="AE973" s="1065"/>
      <c r="AF973" s="1065"/>
      <c r="AG973" s="1065"/>
      <c r="AH973" s="1065"/>
      <c r="AI973" s="1065"/>
      <c r="AJ973" s="1065"/>
      <c r="AM973" s="1065"/>
      <c r="AN973" s="1065"/>
      <c r="AO973" s="1065"/>
      <c r="AP973" s="1065"/>
      <c r="AQ973" s="1065"/>
      <c r="AR973" s="1065"/>
      <c r="AS973" s="1065"/>
      <c r="AT973" s="1065"/>
      <c r="AU973" s="1065"/>
      <c r="AV973" s="1065"/>
      <c r="AW973" s="1065"/>
      <c r="AX973" s="1065"/>
      <c r="AY973" s="1065"/>
      <c r="AZ973" s="1065"/>
      <c r="BA973" s="1065"/>
      <c r="BB973" s="1065"/>
      <c r="BZ973" s="1065"/>
      <c r="CA973" s="1065"/>
      <c r="CB973" s="1065"/>
      <c r="CC973" s="1065"/>
      <c r="CD973" s="1065"/>
      <c r="CE973" s="1065"/>
      <c r="CF973" s="1065"/>
      <c r="CG973" s="1065"/>
      <c r="CH973" s="1065"/>
      <c r="CI973" s="1065"/>
      <c r="CJ973" s="1065"/>
      <c r="CK973" s="1065"/>
      <c r="CL973" s="1065"/>
      <c r="CM973" s="1065"/>
      <c r="CN973" s="1065"/>
      <c r="CO973" s="1065"/>
      <c r="CP973" s="1065"/>
      <c r="CQ973" s="1065"/>
      <c r="CR973" s="1065"/>
      <c r="CS973" s="1065"/>
      <c r="CT973" s="1065"/>
      <c r="CU973" s="1065"/>
      <c r="CV973" s="1065"/>
      <c r="CW973" s="1065"/>
      <c r="CX973" s="1065"/>
      <c r="CY973" s="1065"/>
      <c r="CZ973" s="1065"/>
      <c r="DA973" s="1065"/>
      <c r="DB973" s="1065"/>
    </row>
    <row r="974" spans="1:106" ht="15" customHeight="1">
      <c r="A974" s="1065"/>
      <c r="B974" s="1065"/>
      <c r="C974" s="1065"/>
      <c r="D974" s="1065"/>
      <c r="E974" s="1065"/>
      <c r="F974" s="1065"/>
      <c r="G974" s="1065"/>
      <c r="H974" s="1223"/>
      <c r="I974" s="1223"/>
      <c r="J974" s="1224"/>
      <c r="K974" s="1224"/>
      <c r="L974" s="1224"/>
      <c r="M974" s="1225"/>
      <c r="N974" s="1225"/>
      <c r="O974" s="1226"/>
      <c r="P974" s="1227"/>
      <c r="Q974" s="1227"/>
      <c r="R974" s="1228"/>
      <c r="S974" s="1224"/>
      <c r="T974" s="1229"/>
      <c r="U974" s="1065"/>
      <c r="V974" s="1065"/>
      <c r="W974" s="1065"/>
      <c r="X974" s="1065"/>
      <c r="AH974" s="1065"/>
      <c r="AI974" s="1065"/>
      <c r="AJ974" s="1065"/>
      <c r="AM974" s="1065"/>
      <c r="AN974" s="1065"/>
      <c r="AO974" s="1065"/>
      <c r="AP974" s="1065"/>
      <c r="AQ974" s="1065"/>
      <c r="AR974" s="1065"/>
      <c r="AS974" s="1065"/>
      <c r="AT974" s="1065"/>
      <c r="AU974" s="1065"/>
      <c r="AV974" s="1065"/>
      <c r="AW974" s="1065"/>
      <c r="AX974" s="1065"/>
      <c r="AY974" s="1065"/>
      <c r="AZ974" s="1065"/>
      <c r="BA974" s="1065"/>
      <c r="BB974" s="1065"/>
      <c r="BZ974" s="1065"/>
      <c r="CA974" s="1065"/>
      <c r="CB974" s="1065"/>
      <c r="CC974" s="1065"/>
      <c r="CD974" s="1065"/>
      <c r="CE974" s="1065"/>
      <c r="CF974" s="1065"/>
      <c r="CG974" s="1065"/>
      <c r="CH974" s="1065"/>
      <c r="CI974" s="1065"/>
      <c r="CJ974" s="1065"/>
      <c r="CK974" s="1065"/>
      <c r="CL974" s="1065"/>
      <c r="CM974" s="1065"/>
      <c r="CN974" s="1065"/>
      <c r="CO974" s="1065"/>
      <c r="CP974" s="1065"/>
      <c r="CQ974" s="1065"/>
      <c r="CR974" s="1065"/>
      <c r="CS974" s="1065"/>
      <c r="CT974" s="1065"/>
      <c r="CU974" s="1065"/>
      <c r="CV974" s="1065"/>
      <c r="CW974" s="1065"/>
      <c r="CX974" s="1065"/>
      <c r="CY974" s="1065"/>
      <c r="CZ974" s="1065"/>
      <c r="DA974" s="1065"/>
      <c r="DB974" s="1065"/>
    </row>
    <row r="975" spans="1:106" ht="15" customHeight="1">
      <c r="A975" s="1065"/>
      <c r="B975" s="1065"/>
      <c r="C975" s="1065"/>
      <c r="D975" s="1065"/>
      <c r="E975" s="1065"/>
      <c r="F975" s="1065"/>
      <c r="G975" s="1065"/>
      <c r="H975" s="1223"/>
      <c r="I975" s="1223"/>
      <c r="J975" s="1224"/>
      <c r="K975" s="1224"/>
      <c r="L975" s="1224"/>
      <c r="M975" s="1225"/>
      <c r="N975" s="1225"/>
      <c r="O975" s="1226"/>
      <c r="P975" s="1227"/>
      <c r="Q975" s="1227"/>
      <c r="R975" s="1228"/>
      <c r="S975" s="1224"/>
      <c r="T975" s="1229"/>
      <c r="U975" s="1065"/>
      <c r="V975" s="1065"/>
      <c r="W975" s="1065"/>
      <c r="X975" s="1065"/>
      <c r="AM975" s="1065"/>
      <c r="AN975" s="1065"/>
      <c r="AO975" s="1065"/>
      <c r="AP975" s="1065"/>
      <c r="AQ975" s="1065"/>
      <c r="AR975" s="1065"/>
      <c r="AS975" s="1065"/>
      <c r="AT975" s="1065"/>
      <c r="AU975" s="1065"/>
      <c r="AV975" s="1065"/>
      <c r="AW975" s="1065"/>
      <c r="AX975" s="1065"/>
      <c r="AY975" s="1065"/>
      <c r="AZ975" s="1065"/>
      <c r="BA975" s="1065"/>
      <c r="BB975" s="1065"/>
      <c r="BZ975" s="1065"/>
      <c r="CA975" s="1065"/>
      <c r="CB975" s="1065"/>
      <c r="CC975" s="1065"/>
      <c r="CD975" s="1065"/>
      <c r="CE975" s="1065"/>
      <c r="CF975" s="1065"/>
      <c r="CG975" s="1065"/>
      <c r="CH975" s="1065"/>
      <c r="CI975" s="1065"/>
      <c r="CJ975" s="1065"/>
      <c r="CK975" s="1065"/>
      <c r="CL975" s="1065"/>
      <c r="CM975" s="1065"/>
      <c r="CN975" s="1065"/>
      <c r="CO975" s="1065"/>
      <c r="CP975" s="1065"/>
      <c r="CQ975" s="1065"/>
      <c r="CR975" s="1065"/>
      <c r="CS975" s="1065"/>
      <c r="CT975" s="1065"/>
      <c r="CU975" s="1065"/>
      <c r="CV975" s="1065"/>
      <c r="CW975" s="1065"/>
      <c r="CX975" s="1065"/>
      <c r="CY975" s="1065"/>
      <c r="CZ975" s="1065"/>
      <c r="DA975" s="1065"/>
      <c r="DB975" s="1065"/>
    </row>
    <row r="976" spans="1:106" ht="15" customHeight="1">
      <c r="A976" s="1065"/>
      <c r="B976" s="1065"/>
      <c r="C976" s="1065"/>
      <c r="D976" s="1065"/>
      <c r="E976" s="1065"/>
      <c r="F976" s="1065"/>
      <c r="G976" s="1065"/>
      <c r="H976" s="1223"/>
      <c r="I976" s="1223"/>
      <c r="J976" s="1224"/>
      <c r="K976" s="1224"/>
      <c r="L976" s="1224"/>
      <c r="M976" s="1225"/>
      <c r="N976" s="1225"/>
      <c r="O976" s="1226"/>
      <c r="P976" s="1227"/>
      <c r="Q976" s="1227"/>
      <c r="R976" s="1228"/>
      <c r="S976" s="1224"/>
      <c r="AQ976" s="1065"/>
      <c r="AR976" s="1065"/>
      <c r="AS976" s="1065"/>
      <c r="AT976" s="1065"/>
      <c r="AU976" s="1065"/>
      <c r="AV976" s="1065"/>
      <c r="AW976" s="1065"/>
      <c r="AX976" s="1065"/>
      <c r="AY976" s="1065"/>
      <c r="AZ976" s="1065"/>
      <c r="BA976" s="1065"/>
      <c r="BB976" s="1065"/>
      <c r="BZ976" s="1065"/>
      <c r="CA976" s="1065"/>
      <c r="CB976" s="1065"/>
      <c r="CC976" s="1065"/>
      <c r="CD976" s="1065"/>
      <c r="CE976" s="1065"/>
      <c r="CF976" s="1065"/>
      <c r="CG976" s="1065"/>
      <c r="CH976" s="1065"/>
      <c r="CI976" s="1065"/>
      <c r="CJ976" s="1065"/>
      <c r="CK976" s="1065"/>
      <c r="CL976" s="1065"/>
      <c r="CM976" s="1065"/>
      <c r="CN976" s="1065"/>
      <c r="CO976" s="1065"/>
      <c r="CP976" s="1065"/>
      <c r="CQ976" s="1065"/>
      <c r="CR976" s="1065"/>
      <c r="CS976" s="1065"/>
      <c r="CT976" s="1065"/>
      <c r="CU976" s="1065"/>
      <c r="CV976" s="1065"/>
      <c r="CW976" s="1065"/>
      <c r="CX976" s="1065"/>
      <c r="CY976" s="1065"/>
      <c r="CZ976" s="1065"/>
      <c r="DA976" s="1065"/>
      <c r="DB976" s="1065"/>
    </row>
    <row r="977" spans="1:106" ht="15" customHeight="1">
      <c r="A977" s="1065"/>
      <c r="B977" s="1065"/>
      <c r="C977" s="1065"/>
      <c r="D977" s="1065"/>
      <c r="E977" s="1065"/>
      <c r="F977" s="1065"/>
      <c r="G977" s="1065"/>
      <c r="H977" s="1223"/>
      <c r="I977" s="1223"/>
      <c r="J977" s="1224"/>
      <c r="K977" s="1224"/>
      <c r="L977" s="1224"/>
      <c r="M977" s="1225"/>
      <c r="N977" s="1225"/>
      <c r="O977" s="1226"/>
      <c r="P977" s="1227"/>
      <c r="Q977" s="1227"/>
      <c r="R977" s="1228"/>
      <c r="S977" s="1224"/>
      <c r="AQ977" s="1065"/>
      <c r="AR977" s="1065"/>
      <c r="AS977" s="1065"/>
      <c r="AT977" s="1065"/>
      <c r="AU977" s="1065"/>
      <c r="AV977" s="1065"/>
      <c r="AW977" s="1065"/>
      <c r="AX977" s="1065"/>
      <c r="AY977" s="1065"/>
      <c r="AZ977" s="1065"/>
      <c r="BA977" s="1065"/>
      <c r="BB977" s="1065"/>
      <c r="BZ977" s="1065"/>
      <c r="CA977" s="1065"/>
      <c r="CB977" s="1065"/>
      <c r="CC977" s="1065"/>
      <c r="CD977" s="1065"/>
      <c r="CE977" s="1065"/>
      <c r="CF977" s="1065"/>
      <c r="CG977" s="1065"/>
      <c r="CH977" s="1065"/>
      <c r="CI977" s="1065"/>
      <c r="CJ977" s="1065"/>
      <c r="CK977" s="1065"/>
      <c r="CL977" s="1065"/>
      <c r="CM977" s="1065"/>
      <c r="CN977" s="1065"/>
      <c r="CO977" s="1065"/>
      <c r="CP977" s="1065"/>
      <c r="CQ977" s="1065"/>
      <c r="CR977" s="1065"/>
      <c r="CS977" s="1065"/>
      <c r="CT977" s="1065"/>
      <c r="CU977" s="1065"/>
      <c r="CV977" s="1065"/>
      <c r="CW977" s="1065"/>
      <c r="CX977" s="1065"/>
      <c r="CY977" s="1065"/>
      <c r="CZ977" s="1065"/>
      <c r="DA977" s="1065"/>
      <c r="DB977" s="1065"/>
    </row>
    <row r="978" spans="1:106" ht="15" customHeight="1">
      <c r="L978" s="1224"/>
      <c r="M978" s="1225"/>
    </row>
    <row r="979" spans="1:106" ht="15" customHeight="1">
      <c r="L979" s="1224"/>
      <c r="M979" s="1225"/>
    </row>
    <row r="980" spans="1:106" ht="15" customHeight="1"/>
    <row r="981" spans="1:106" ht="15" customHeight="1"/>
    <row r="982" spans="1:106" ht="15" customHeight="1"/>
    <row r="983" spans="1:106" ht="15" customHeight="1"/>
    <row r="984" spans="1:106" ht="15" customHeight="1"/>
    <row r="985" spans="1:106" ht="15" customHeight="1"/>
    <row r="986" spans="1:106" ht="15" customHeight="1"/>
    <row r="987" spans="1:106" ht="15" customHeight="1"/>
    <row r="988" spans="1:106" ht="15" customHeight="1"/>
    <row r="989" spans="1:106" ht="15" customHeight="1"/>
    <row r="990" spans="1:106" ht="15" customHeight="1"/>
    <row r="991" spans="1:106" ht="15" customHeight="1"/>
    <row r="992" spans="1:106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</sheetData>
  <mergeCells count="1670">
    <mergeCell ref="P2:T2"/>
    <mergeCell ref="U2:U3"/>
    <mergeCell ref="C5:D9"/>
    <mergeCell ref="E5:G9"/>
    <mergeCell ref="H5:J5"/>
    <mergeCell ref="K5:L5"/>
    <mergeCell ref="S5:S9"/>
    <mergeCell ref="T5:T9"/>
    <mergeCell ref="U5:U9"/>
    <mergeCell ref="H6:J6"/>
    <mergeCell ref="C2:D3"/>
    <mergeCell ref="E2:G3"/>
    <mergeCell ref="H2:J3"/>
    <mergeCell ref="K2:L3"/>
    <mergeCell ref="M2:N2"/>
    <mergeCell ref="O2:O3"/>
    <mergeCell ref="U10:U14"/>
    <mergeCell ref="H11:J14"/>
    <mergeCell ref="K11:L11"/>
    <mergeCell ref="K12:L12"/>
    <mergeCell ref="K13:L13"/>
    <mergeCell ref="K14:L14"/>
    <mergeCell ref="C10:D14"/>
    <mergeCell ref="E10:G14"/>
    <mergeCell ref="H10:J10"/>
    <mergeCell ref="K10:L10"/>
    <mergeCell ref="S10:S14"/>
    <mergeCell ref="T10:T14"/>
    <mergeCell ref="K6:L6"/>
    <mergeCell ref="H7:J7"/>
    <mergeCell ref="K7:L7"/>
    <mergeCell ref="H8:J8"/>
    <mergeCell ref="K8:L8"/>
    <mergeCell ref="H9:J9"/>
    <mergeCell ref="K9:L9"/>
    <mergeCell ref="U19:U22"/>
    <mergeCell ref="H20:J22"/>
    <mergeCell ref="K20:L20"/>
    <mergeCell ref="K21:L21"/>
    <mergeCell ref="K22:L22"/>
    <mergeCell ref="C23:D26"/>
    <mergeCell ref="E23:G26"/>
    <mergeCell ref="H23:J23"/>
    <mergeCell ref="K23:L23"/>
    <mergeCell ref="S23:S26"/>
    <mergeCell ref="C19:D22"/>
    <mergeCell ref="E19:G22"/>
    <mergeCell ref="H19:J19"/>
    <mergeCell ref="K19:L19"/>
    <mergeCell ref="S19:S22"/>
    <mergeCell ref="T19:T22"/>
    <mergeCell ref="U15:U18"/>
    <mergeCell ref="H16:J16"/>
    <mergeCell ref="K16:L16"/>
    <mergeCell ref="H17:J17"/>
    <mergeCell ref="K17:L17"/>
    <mergeCell ref="H18:J18"/>
    <mergeCell ref="K18:L18"/>
    <mergeCell ref="C15:D18"/>
    <mergeCell ref="E15:G18"/>
    <mergeCell ref="H15:J15"/>
    <mergeCell ref="K15:L15"/>
    <mergeCell ref="S15:S18"/>
    <mergeCell ref="T15:T18"/>
    <mergeCell ref="U27:U32"/>
    <mergeCell ref="H28:J29"/>
    <mergeCell ref="K28:L29"/>
    <mergeCell ref="H30:J30"/>
    <mergeCell ref="K30:L30"/>
    <mergeCell ref="H31:J31"/>
    <mergeCell ref="K31:L31"/>
    <mergeCell ref="H32:J32"/>
    <mergeCell ref="K32:L32"/>
    <mergeCell ref="C27:D32"/>
    <mergeCell ref="E27:G32"/>
    <mergeCell ref="H27:J27"/>
    <mergeCell ref="K27:L27"/>
    <mergeCell ref="S27:S32"/>
    <mergeCell ref="T27:T32"/>
    <mergeCell ref="T23:T26"/>
    <mergeCell ref="U23:U26"/>
    <mergeCell ref="H24:J24"/>
    <mergeCell ref="K24:L24"/>
    <mergeCell ref="H25:J25"/>
    <mergeCell ref="K25:L25"/>
    <mergeCell ref="H26:J26"/>
    <mergeCell ref="K26:L26"/>
    <mergeCell ref="U40:U44"/>
    <mergeCell ref="H41:J41"/>
    <mergeCell ref="K41:L41"/>
    <mergeCell ref="H42:J42"/>
    <mergeCell ref="K42:L42"/>
    <mergeCell ref="H43:J43"/>
    <mergeCell ref="K43:L43"/>
    <mergeCell ref="H44:J44"/>
    <mergeCell ref="K44:L44"/>
    <mergeCell ref="C40:D44"/>
    <mergeCell ref="E40:G44"/>
    <mergeCell ref="H40:J40"/>
    <mergeCell ref="K40:L40"/>
    <mergeCell ref="S40:S44"/>
    <mergeCell ref="T40:T44"/>
    <mergeCell ref="U33:U39"/>
    <mergeCell ref="H34:J39"/>
    <mergeCell ref="K34:L34"/>
    <mergeCell ref="K35:L35"/>
    <mergeCell ref="K36:L36"/>
    <mergeCell ref="K37:L37"/>
    <mergeCell ref="K38:L38"/>
    <mergeCell ref="K39:L39"/>
    <mergeCell ref="C33:D39"/>
    <mergeCell ref="E33:G39"/>
    <mergeCell ref="H33:J33"/>
    <mergeCell ref="K33:L33"/>
    <mergeCell ref="S33:S39"/>
    <mergeCell ref="T33:T39"/>
    <mergeCell ref="T49:T53"/>
    <mergeCell ref="U49:U53"/>
    <mergeCell ref="H50:J50"/>
    <mergeCell ref="K50:L50"/>
    <mergeCell ref="H51:J51"/>
    <mergeCell ref="K51:L51"/>
    <mergeCell ref="H52:J52"/>
    <mergeCell ref="K52:L52"/>
    <mergeCell ref="H53:J53"/>
    <mergeCell ref="K53:L53"/>
    <mergeCell ref="U45:U48"/>
    <mergeCell ref="H46:J48"/>
    <mergeCell ref="K46:L46"/>
    <mergeCell ref="K47:L47"/>
    <mergeCell ref="K48:L48"/>
    <mergeCell ref="C49:D53"/>
    <mergeCell ref="E49:G53"/>
    <mergeCell ref="H49:J49"/>
    <mergeCell ref="K49:L49"/>
    <mergeCell ref="S49:S53"/>
    <mergeCell ref="C45:D48"/>
    <mergeCell ref="E45:G48"/>
    <mergeCell ref="H45:J45"/>
    <mergeCell ref="K45:L45"/>
    <mergeCell ref="S45:S48"/>
    <mergeCell ref="T45:T48"/>
    <mergeCell ref="U61:U63"/>
    <mergeCell ref="H62:J62"/>
    <mergeCell ref="K62:L62"/>
    <mergeCell ref="H63:J63"/>
    <mergeCell ref="K63:L63"/>
    <mergeCell ref="C64:D68"/>
    <mergeCell ref="E64:G68"/>
    <mergeCell ref="H64:J64"/>
    <mergeCell ref="K64:L64"/>
    <mergeCell ref="S64:S68"/>
    <mergeCell ref="C61:D63"/>
    <mergeCell ref="E61:G63"/>
    <mergeCell ref="H61:J61"/>
    <mergeCell ref="K61:L61"/>
    <mergeCell ref="S61:S63"/>
    <mergeCell ref="T61:T63"/>
    <mergeCell ref="U54:U60"/>
    <mergeCell ref="K55:L55"/>
    <mergeCell ref="K56:L56"/>
    <mergeCell ref="K57:L57"/>
    <mergeCell ref="H58:J60"/>
    <mergeCell ref="K58:L58"/>
    <mergeCell ref="K59:L59"/>
    <mergeCell ref="K60:L60"/>
    <mergeCell ref="C54:D60"/>
    <mergeCell ref="E54:G60"/>
    <mergeCell ref="H54:J57"/>
    <mergeCell ref="K54:L54"/>
    <mergeCell ref="S54:S60"/>
    <mergeCell ref="T54:T60"/>
    <mergeCell ref="U69:U73"/>
    <mergeCell ref="H70:J70"/>
    <mergeCell ref="K70:L70"/>
    <mergeCell ref="H71:J71"/>
    <mergeCell ref="K71:L71"/>
    <mergeCell ref="H72:J73"/>
    <mergeCell ref="K72:L72"/>
    <mergeCell ref="K73:L73"/>
    <mergeCell ref="C69:D73"/>
    <mergeCell ref="E69:G73"/>
    <mergeCell ref="H69:J69"/>
    <mergeCell ref="K69:L69"/>
    <mergeCell ref="S69:S73"/>
    <mergeCell ref="T69:T73"/>
    <mergeCell ref="T64:T68"/>
    <mergeCell ref="U64:U68"/>
    <mergeCell ref="H65:J68"/>
    <mergeCell ref="K65:L65"/>
    <mergeCell ref="K66:L66"/>
    <mergeCell ref="K67:L67"/>
    <mergeCell ref="K68:L68"/>
    <mergeCell ref="U79:U83"/>
    <mergeCell ref="H80:J83"/>
    <mergeCell ref="K80:L80"/>
    <mergeCell ref="K81:L81"/>
    <mergeCell ref="K82:L82"/>
    <mergeCell ref="K83:L83"/>
    <mergeCell ref="C79:D83"/>
    <mergeCell ref="E79:G83"/>
    <mergeCell ref="H79:J79"/>
    <mergeCell ref="K79:L79"/>
    <mergeCell ref="S79:S83"/>
    <mergeCell ref="T79:T83"/>
    <mergeCell ref="U74:U78"/>
    <mergeCell ref="H75:J78"/>
    <mergeCell ref="K75:L75"/>
    <mergeCell ref="K76:L76"/>
    <mergeCell ref="K77:L77"/>
    <mergeCell ref="K78:L78"/>
    <mergeCell ref="C74:D78"/>
    <mergeCell ref="E74:G78"/>
    <mergeCell ref="H74:J74"/>
    <mergeCell ref="K74:L74"/>
    <mergeCell ref="S74:S78"/>
    <mergeCell ref="T74:T78"/>
    <mergeCell ref="T88:T92"/>
    <mergeCell ref="U88:U92"/>
    <mergeCell ref="H89:J89"/>
    <mergeCell ref="K89:L89"/>
    <mergeCell ref="H90:J91"/>
    <mergeCell ref="K90:L90"/>
    <mergeCell ref="K91:L91"/>
    <mergeCell ref="H92:J92"/>
    <mergeCell ref="K92:L92"/>
    <mergeCell ref="U84:U87"/>
    <mergeCell ref="H85:J87"/>
    <mergeCell ref="K85:L85"/>
    <mergeCell ref="K86:L86"/>
    <mergeCell ref="K87:L87"/>
    <mergeCell ref="C88:D92"/>
    <mergeCell ref="E88:G92"/>
    <mergeCell ref="H88:J88"/>
    <mergeCell ref="K88:L88"/>
    <mergeCell ref="S88:S92"/>
    <mergeCell ref="C84:D87"/>
    <mergeCell ref="E84:G87"/>
    <mergeCell ref="H84:J84"/>
    <mergeCell ref="K84:L84"/>
    <mergeCell ref="S84:S87"/>
    <mergeCell ref="T84:T87"/>
    <mergeCell ref="U97:U101"/>
    <mergeCell ref="H98:J98"/>
    <mergeCell ref="K98:L98"/>
    <mergeCell ref="H99:J99"/>
    <mergeCell ref="K99:L99"/>
    <mergeCell ref="H100:J100"/>
    <mergeCell ref="K100:L100"/>
    <mergeCell ref="H101:J101"/>
    <mergeCell ref="K101:L101"/>
    <mergeCell ref="C97:D101"/>
    <mergeCell ref="E97:G101"/>
    <mergeCell ref="H97:J97"/>
    <mergeCell ref="K97:L97"/>
    <mergeCell ref="S97:S101"/>
    <mergeCell ref="T97:T101"/>
    <mergeCell ref="U93:U96"/>
    <mergeCell ref="H94:J94"/>
    <mergeCell ref="K94:L94"/>
    <mergeCell ref="H95:J95"/>
    <mergeCell ref="K95:L95"/>
    <mergeCell ref="H96:J96"/>
    <mergeCell ref="K96:L96"/>
    <mergeCell ref="C93:D96"/>
    <mergeCell ref="E93:G96"/>
    <mergeCell ref="H93:J93"/>
    <mergeCell ref="K93:L93"/>
    <mergeCell ref="S93:S96"/>
    <mergeCell ref="T93:T96"/>
    <mergeCell ref="U106:U109"/>
    <mergeCell ref="H107:J109"/>
    <mergeCell ref="K107:L107"/>
    <mergeCell ref="K108:L108"/>
    <mergeCell ref="K109:L109"/>
    <mergeCell ref="C110:D113"/>
    <mergeCell ref="E110:G113"/>
    <mergeCell ref="H110:J110"/>
    <mergeCell ref="K110:L110"/>
    <mergeCell ref="S110:S113"/>
    <mergeCell ref="C106:D109"/>
    <mergeCell ref="E106:G109"/>
    <mergeCell ref="H106:J106"/>
    <mergeCell ref="K106:L106"/>
    <mergeCell ref="S106:S109"/>
    <mergeCell ref="T106:T109"/>
    <mergeCell ref="U102:U105"/>
    <mergeCell ref="H103:J103"/>
    <mergeCell ref="K103:L103"/>
    <mergeCell ref="H104:J104"/>
    <mergeCell ref="K104:L104"/>
    <mergeCell ref="H105:J105"/>
    <mergeCell ref="K105:L105"/>
    <mergeCell ref="C102:D105"/>
    <mergeCell ref="E102:G105"/>
    <mergeCell ref="H102:J102"/>
    <mergeCell ref="K102:L102"/>
    <mergeCell ref="S102:S105"/>
    <mergeCell ref="T102:T105"/>
    <mergeCell ref="U114:U117"/>
    <mergeCell ref="H115:J115"/>
    <mergeCell ref="K115:L115"/>
    <mergeCell ref="H116:J116"/>
    <mergeCell ref="K116:L116"/>
    <mergeCell ref="H117:J117"/>
    <mergeCell ref="K117:L117"/>
    <mergeCell ref="C114:D117"/>
    <mergeCell ref="E114:G117"/>
    <mergeCell ref="H114:J114"/>
    <mergeCell ref="K114:L114"/>
    <mergeCell ref="S114:S117"/>
    <mergeCell ref="T114:T117"/>
    <mergeCell ref="T110:T113"/>
    <mergeCell ref="U110:U113"/>
    <mergeCell ref="H111:J111"/>
    <mergeCell ref="H112:J112"/>
    <mergeCell ref="K112:L112"/>
    <mergeCell ref="H113:J113"/>
    <mergeCell ref="K113:L113"/>
    <mergeCell ref="U123:U126"/>
    <mergeCell ref="H124:J126"/>
    <mergeCell ref="K124:L124"/>
    <mergeCell ref="K125:L125"/>
    <mergeCell ref="K126:L126"/>
    <mergeCell ref="C127:D131"/>
    <mergeCell ref="E127:G131"/>
    <mergeCell ref="H127:J127"/>
    <mergeCell ref="K127:L127"/>
    <mergeCell ref="S127:S131"/>
    <mergeCell ref="C123:D126"/>
    <mergeCell ref="E123:G126"/>
    <mergeCell ref="H123:J123"/>
    <mergeCell ref="K123:L123"/>
    <mergeCell ref="S123:S126"/>
    <mergeCell ref="T123:T126"/>
    <mergeCell ref="U118:U122"/>
    <mergeCell ref="H119:J119"/>
    <mergeCell ref="K119:L119"/>
    <mergeCell ref="H120:J120"/>
    <mergeCell ref="K120:L120"/>
    <mergeCell ref="H121:J121"/>
    <mergeCell ref="K121:L121"/>
    <mergeCell ref="H122:J122"/>
    <mergeCell ref="K122:L122"/>
    <mergeCell ref="C118:D122"/>
    <mergeCell ref="E118:G122"/>
    <mergeCell ref="H118:J118"/>
    <mergeCell ref="K118:L118"/>
    <mergeCell ref="S118:S122"/>
    <mergeCell ref="T118:T122"/>
    <mergeCell ref="U132:U135"/>
    <mergeCell ref="H133:J134"/>
    <mergeCell ref="K133:L133"/>
    <mergeCell ref="K134:L134"/>
    <mergeCell ref="H135:J135"/>
    <mergeCell ref="K135:L135"/>
    <mergeCell ref="C132:D135"/>
    <mergeCell ref="E132:G135"/>
    <mergeCell ref="H132:J132"/>
    <mergeCell ref="K132:L132"/>
    <mergeCell ref="S132:S135"/>
    <mergeCell ref="T132:T135"/>
    <mergeCell ref="T127:T131"/>
    <mergeCell ref="U127:U131"/>
    <mergeCell ref="H128:J128"/>
    <mergeCell ref="H129:J129"/>
    <mergeCell ref="K129:L129"/>
    <mergeCell ref="H130:J130"/>
    <mergeCell ref="K130:L130"/>
    <mergeCell ref="H131:J131"/>
    <mergeCell ref="K131:L131"/>
    <mergeCell ref="U140:U144"/>
    <mergeCell ref="H141:J144"/>
    <mergeCell ref="K141:L141"/>
    <mergeCell ref="K142:L142"/>
    <mergeCell ref="K143:L143"/>
    <mergeCell ref="K144:L144"/>
    <mergeCell ref="C140:D144"/>
    <mergeCell ref="E140:G144"/>
    <mergeCell ref="H140:J140"/>
    <mergeCell ref="K140:L140"/>
    <mergeCell ref="S140:S144"/>
    <mergeCell ref="T140:T144"/>
    <mergeCell ref="U136:U139"/>
    <mergeCell ref="H137:J137"/>
    <mergeCell ref="K137:L137"/>
    <mergeCell ref="H138:J138"/>
    <mergeCell ref="H139:J139"/>
    <mergeCell ref="K139:L139"/>
    <mergeCell ref="C136:D139"/>
    <mergeCell ref="E136:G139"/>
    <mergeCell ref="H136:J136"/>
    <mergeCell ref="K136:L136"/>
    <mergeCell ref="S136:S139"/>
    <mergeCell ref="T136:T139"/>
    <mergeCell ref="U150:U154"/>
    <mergeCell ref="H151:J151"/>
    <mergeCell ref="K151:L151"/>
    <mergeCell ref="H152:J152"/>
    <mergeCell ref="K152:L152"/>
    <mergeCell ref="H153:J153"/>
    <mergeCell ref="K153:L153"/>
    <mergeCell ref="H154:J154"/>
    <mergeCell ref="K154:L154"/>
    <mergeCell ref="C150:D154"/>
    <mergeCell ref="E150:G154"/>
    <mergeCell ref="H150:J150"/>
    <mergeCell ref="K150:L150"/>
    <mergeCell ref="S150:S154"/>
    <mergeCell ref="T150:T154"/>
    <mergeCell ref="U145:U149"/>
    <mergeCell ref="H146:J148"/>
    <mergeCell ref="K146:L146"/>
    <mergeCell ref="K147:L147"/>
    <mergeCell ref="K148:L148"/>
    <mergeCell ref="H149:J149"/>
    <mergeCell ref="K149:L149"/>
    <mergeCell ref="C145:D149"/>
    <mergeCell ref="E145:G149"/>
    <mergeCell ref="H145:J145"/>
    <mergeCell ref="K145:L145"/>
    <mergeCell ref="S145:S149"/>
    <mergeCell ref="T145:T149"/>
    <mergeCell ref="U161:U164"/>
    <mergeCell ref="H162:J162"/>
    <mergeCell ref="K162:L162"/>
    <mergeCell ref="H163:J163"/>
    <mergeCell ref="K163:L163"/>
    <mergeCell ref="H164:J164"/>
    <mergeCell ref="K164:L164"/>
    <mergeCell ref="C161:D164"/>
    <mergeCell ref="E161:G164"/>
    <mergeCell ref="H161:J161"/>
    <mergeCell ref="K161:L161"/>
    <mergeCell ref="S161:S164"/>
    <mergeCell ref="T161:T164"/>
    <mergeCell ref="U155:U160"/>
    <mergeCell ref="H156:J157"/>
    <mergeCell ref="K156:L157"/>
    <mergeCell ref="H158:J158"/>
    <mergeCell ref="K158:L158"/>
    <mergeCell ref="H159:J159"/>
    <mergeCell ref="K159:L159"/>
    <mergeCell ref="H160:J160"/>
    <mergeCell ref="K160:L160"/>
    <mergeCell ref="C155:D160"/>
    <mergeCell ref="E155:G160"/>
    <mergeCell ref="H155:J155"/>
    <mergeCell ref="K155:L155"/>
    <mergeCell ref="S155:S160"/>
    <mergeCell ref="T155:T160"/>
    <mergeCell ref="U169:U172"/>
    <mergeCell ref="H170:J172"/>
    <mergeCell ref="K170:L170"/>
    <mergeCell ref="K171:L171"/>
    <mergeCell ref="K172:L172"/>
    <mergeCell ref="C173:D177"/>
    <mergeCell ref="E173:G177"/>
    <mergeCell ref="H173:J173"/>
    <mergeCell ref="K173:L173"/>
    <mergeCell ref="S173:S177"/>
    <mergeCell ref="C169:D172"/>
    <mergeCell ref="E169:G172"/>
    <mergeCell ref="H169:J169"/>
    <mergeCell ref="K169:L169"/>
    <mergeCell ref="S169:S172"/>
    <mergeCell ref="T169:T172"/>
    <mergeCell ref="U165:U168"/>
    <mergeCell ref="H166:J166"/>
    <mergeCell ref="K166:L166"/>
    <mergeCell ref="H167:J167"/>
    <mergeCell ref="K167:L167"/>
    <mergeCell ref="H168:J168"/>
    <mergeCell ref="K168:L168"/>
    <mergeCell ref="C165:D168"/>
    <mergeCell ref="E165:G168"/>
    <mergeCell ref="H165:J165"/>
    <mergeCell ref="K165:L165"/>
    <mergeCell ref="S165:S168"/>
    <mergeCell ref="T165:T168"/>
    <mergeCell ref="U178:U182"/>
    <mergeCell ref="H179:J182"/>
    <mergeCell ref="K179:L179"/>
    <mergeCell ref="K180:L180"/>
    <mergeCell ref="K181:L181"/>
    <mergeCell ref="K182:L182"/>
    <mergeCell ref="C178:D182"/>
    <mergeCell ref="E178:G182"/>
    <mergeCell ref="H178:J178"/>
    <mergeCell ref="K178:L178"/>
    <mergeCell ref="S178:S182"/>
    <mergeCell ref="T178:T182"/>
    <mergeCell ref="T173:T177"/>
    <mergeCell ref="U173:U177"/>
    <mergeCell ref="H174:J177"/>
    <mergeCell ref="K174:L174"/>
    <mergeCell ref="K175:L175"/>
    <mergeCell ref="K176:L176"/>
    <mergeCell ref="K177:L177"/>
    <mergeCell ref="U188:U192"/>
    <mergeCell ref="H189:J192"/>
    <mergeCell ref="K189:L189"/>
    <mergeCell ref="K190:L190"/>
    <mergeCell ref="K191:L191"/>
    <mergeCell ref="K192:L192"/>
    <mergeCell ref="C188:D192"/>
    <mergeCell ref="E188:G192"/>
    <mergeCell ref="H188:J188"/>
    <mergeCell ref="K188:L188"/>
    <mergeCell ref="S188:S192"/>
    <mergeCell ref="T188:T192"/>
    <mergeCell ref="U183:U187"/>
    <mergeCell ref="H184:J187"/>
    <mergeCell ref="K184:L184"/>
    <mergeCell ref="K185:L185"/>
    <mergeCell ref="K186:L186"/>
    <mergeCell ref="K187:L187"/>
    <mergeCell ref="C183:D187"/>
    <mergeCell ref="E183:G187"/>
    <mergeCell ref="H183:J183"/>
    <mergeCell ref="K183:L183"/>
    <mergeCell ref="S183:S187"/>
    <mergeCell ref="T183:T187"/>
    <mergeCell ref="D219:G232"/>
    <mergeCell ref="H219:I232"/>
    <mergeCell ref="J219:L232"/>
    <mergeCell ref="M219:R232"/>
    <mergeCell ref="U219:U232"/>
    <mergeCell ref="C233:U233"/>
    <mergeCell ref="U199:U200"/>
    <mergeCell ref="D201:G218"/>
    <mergeCell ref="H201:I218"/>
    <mergeCell ref="J201:L218"/>
    <mergeCell ref="M201:R218"/>
    <mergeCell ref="U201:U218"/>
    <mergeCell ref="C196:U196"/>
    <mergeCell ref="C197:U197"/>
    <mergeCell ref="C198:U198"/>
    <mergeCell ref="C199:C200"/>
    <mergeCell ref="D199:G200"/>
    <mergeCell ref="H199:I200"/>
    <mergeCell ref="J199:L200"/>
    <mergeCell ref="M199:R200"/>
    <mergeCell ref="S199:S200"/>
    <mergeCell ref="T199:T200"/>
    <mergeCell ref="J237:L237"/>
    <mergeCell ref="M237:R237"/>
    <mergeCell ref="D238:G238"/>
    <mergeCell ref="H238:I238"/>
    <mergeCell ref="J238:L238"/>
    <mergeCell ref="M238:R238"/>
    <mergeCell ref="T234:T235"/>
    <mergeCell ref="U234:U235"/>
    <mergeCell ref="D236:G236"/>
    <mergeCell ref="H236:I236"/>
    <mergeCell ref="J236:L236"/>
    <mergeCell ref="M236:R236"/>
    <mergeCell ref="T236:T238"/>
    <mergeCell ref="U236:U238"/>
    <mergeCell ref="D237:G237"/>
    <mergeCell ref="H237:I237"/>
    <mergeCell ref="C234:C235"/>
    <mergeCell ref="D234:G235"/>
    <mergeCell ref="H234:I235"/>
    <mergeCell ref="J234:L235"/>
    <mergeCell ref="M234:R235"/>
    <mergeCell ref="S234:S235"/>
    <mergeCell ref="D242:G255"/>
    <mergeCell ref="H242:I255"/>
    <mergeCell ref="J242:L255"/>
    <mergeCell ref="M242:R255"/>
    <mergeCell ref="U242:U255"/>
    <mergeCell ref="D256:G262"/>
    <mergeCell ref="H256:I262"/>
    <mergeCell ref="J256:L262"/>
    <mergeCell ref="M256:R262"/>
    <mergeCell ref="U256:U261"/>
    <mergeCell ref="C239:U239"/>
    <mergeCell ref="C240:C241"/>
    <mergeCell ref="D240:G241"/>
    <mergeCell ref="H240:I241"/>
    <mergeCell ref="J240:L241"/>
    <mergeCell ref="M240:R241"/>
    <mergeCell ref="S240:S241"/>
    <mergeCell ref="T240:T241"/>
    <mergeCell ref="U240:U241"/>
    <mergeCell ref="D266:G266"/>
    <mergeCell ref="H266:I266"/>
    <mergeCell ref="J266:L266"/>
    <mergeCell ref="M266:R266"/>
    <mergeCell ref="T266:T268"/>
    <mergeCell ref="U266:U268"/>
    <mergeCell ref="D267:G267"/>
    <mergeCell ref="H267:I267"/>
    <mergeCell ref="J267:L267"/>
    <mergeCell ref="M267:R267"/>
    <mergeCell ref="C263:U263"/>
    <mergeCell ref="C264:C265"/>
    <mergeCell ref="D264:G265"/>
    <mergeCell ref="H264:I265"/>
    <mergeCell ref="J264:L265"/>
    <mergeCell ref="M264:R265"/>
    <mergeCell ref="S264:S265"/>
    <mergeCell ref="T264:T265"/>
    <mergeCell ref="U264:U265"/>
    <mergeCell ref="C273:U273"/>
    <mergeCell ref="C274:C275"/>
    <mergeCell ref="D274:G275"/>
    <mergeCell ref="H274:I275"/>
    <mergeCell ref="J274:L275"/>
    <mergeCell ref="M274:R275"/>
    <mergeCell ref="S274:S275"/>
    <mergeCell ref="T274:T275"/>
    <mergeCell ref="U274:U275"/>
    <mergeCell ref="S270:S271"/>
    <mergeCell ref="T270:T271"/>
    <mergeCell ref="U270:U271"/>
    <mergeCell ref="D272:G272"/>
    <mergeCell ref="H272:I272"/>
    <mergeCell ref="J272:L272"/>
    <mergeCell ref="M272:R272"/>
    <mergeCell ref="D268:G268"/>
    <mergeCell ref="H268:I268"/>
    <mergeCell ref="J268:L268"/>
    <mergeCell ref="M268:R268"/>
    <mergeCell ref="C269:U269"/>
    <mergeCell ref="C270:C271"/>
    <mergeCell ref="D270:G271"/>
    <mergeCell ref="H270:I271"/>
    <mergeCell ref="J270:L271"/>
    <mergeCell ref="M270:R271"/>
    <mergeCell ref="D300:G301"/>
    <mergeCell ref="H300:I301"/>
    <mergeCell ref="J300:L301"/>
    <mergeCell ref="M300:R301"/>
    <mergeCell ref="U300:U301"/>
    <mergeCell ref="D302:G305"/>
    <mergeCell ref="H302:I302"/>
    <mergeCell ref="J302:L302"/>
    <mergeCell ref="M302:R305"/>
    <mergeCell ref="H303:I303"/>
    <mergeCell ref="D276:G287"/>
    <mergeCell ref="H276:I287"/>
    <mergeCell ref="J276:L287"/>
    <mergeCell ref="M276:R287"/>
    <mergeCell ref="U276:U287"/>
    <mergeCell ref="D288:G299"/>
    <mergeCell ref="H288:I299"/>
    <mergeCell ref="J288:L299"/>
    <mergeCell ref="M288:R299"/>
    <mergeCell ref="U288:U299"/>
    <mergeCell ref="C309:U309"/>
    <mergeCell ref="C310:C311"/>
    <mergeCell ref="D310:G311"/>
    <mergeCell ref="H310:I311"/>
    <mergeCell ref="J310:L311"/>
    <mergeCell ref="M310:R311"/>
    <mergeCell ref="S310:S311"/>
    <mergeCell ref="T310:T311"/>
    <mergeCell ref="U310:U311"/>
    <mergeCell ref="M306:R306"/>
    <mergeCell ref="H307:I307"/>
    <mergeCell ref="M307:R307"/>
    <mergeCell ref="D308:G308"/>
    <mergeCell ref="H308:I308"/>
    <mergeCell ref="J308:L308"/>
    <mergeCell ref="M308:R308"/>
    <mergeCell ref="J303:L303"/>
    <mergeCell ref="H304:I304"/>
    <mergeCell ref="J304:L304"/>
    <mergeCell ref="H305:I305"/>
    <mergeCell ref="J305:L305"/>
    <mergeCell ref="H306:I306"/>
    <mergeCell ref="D316:G316"/>
    <mergeCell ref="J316:L316"/>
    <mergeCell ref="M316:R316"/>
    <mergeCell ref="M317:R317"/>
    <mergeCell ref="M318:R318"/>
    <mergeCell ref="D319:G319"/>
    <mergeCell ref="M319:R319"/>
    <mergeCell ref="D312:G312"/>
    <mergeCell ref="H312:I312"/>
    <mergeCell ref="J312:L312"/>
    <mergeCell ref="M312:R312"/>
    <mergeCell ref="T312:T360"/>
    <mergeCell ref="U312:U360"/>
    <mergeCell ref="D313:G313"/>
    <mergeCell ref="M313:R313"/>
    <mergeCell ref="M314:R314"/>
    <mergeCell ref="M315:R315"/>
    <mergeCell ref="D334:G334"/>
    <mergeCell ref="H334:I334"/>
    <mergeCell ref="J334:L334"/>
    <mergeCell ref="M334:R334"/>
    <mergeCell ref="D335:G335"/>
    <mergeCell ref="H335:I335"/>
    <mergeCell ref="J335:L335"/>
    <mergeCell ref="M335:R335"/>
    <mergeCell ref="D332:G332"/>
    <mergeCell ref="H332:I332"/>
    <mergeCell ref="J332:L332"/>
    <mergeCell ref="M332:R332"/>
    <mergeCell ref="D333:G333"/>
    <mergeCell ref="H333:I333"/>
    <mergeCell ref="J333:L333"/>
    <mergeCell ref="M333:R333"/>
    <mergeCell ref="D320:G320"/>
    <mergeCell ref="M320:R320"/>
    <mergeCell ref="D331:G331"/>
    <mergeCell ref="H331:I331"/>
    <mergeCell ref="J331:L331"/>
    <mergeCell ref="M331:R331"/>
    <mergeCell ref="J343:L343"/>
    <mergeCell ref="M343:R343"/>
    <mergeCell ref="D344:G344"/>
    <mergeCell ref="H344:I344"/>
    <mergeCell ref="J344:L344"/>
    <mergeCell ref="M344:R344"/>
    <mergeCell ref="D339:G339"/>
    <mergeCell ref="D340:G340"/>
    <mergeCell ref="D341:G341"/>
    <mergeCell ref="D342:G342"/>
    <mergeCell ref="D343:G343"/>
    <mergeCell ref="H343:I343"/>
    <mergeCell ref="D336:G336"/>
    <mergeCell ref="H336:I336"/>
    <mergeCell ref="J336:L336"/>
    <mergeCell ref="M336:R336"/>
    <mergeCell ref="D337:G337"/>
    <mergeCell ref="D338:G338"/>
    <mergeCell ref="D352:G352"/>
    <mergeCell ref="H352:I352"/>
    <mergeCell ref="J352:L352"/>
    <mergeCell ref="M352:R352"/>
    <mergeCell ref="D353:G353"/>
    <mergeCell ref="H353:I353"/>
    <mergeCell ref="J353:L353"/>
    <mergeCell ref="M353:R353"/>
    <mergeCell ref="D350:G350"/>
    <mergeCell ref="H350:I350"/>
    <mergeCell ref="J350:L350"/>
    <mergeCell ref="M350:R350"/>
    <mergeCell ref="D351:G351"/>
    <mergeCell ref="H351:I351"/>
    <mergeCell ref="J351:L351"/>
    <mergeCell ref="M351:R351"/>
    <mergeCell ref="D348:G348"/>
    <mergeCell ref="H348:I348"/>
    <mergeCell ref="J348:L348"/>
    <mergeCell ref="M348:R348"/>
    <mergeCell ref="D349:G349"/>
    <mergeCell ref="H349:I349"/>
    <mergeCell ref="J349:L349"/>
    <mergeCell ref="M349:R349"/>
    <mergeCell ref="D358:G358"/>
    <mergeCell ref="J358:L358"/>
    <mergeCell ref="M358:R358"/>
    <mergeCell ref="D359:G359"/>
    <mergeCell ref="J359:L359"/>
    <mergeCell ref="M359:R359"/>
    <mergeCell ref="D356:G356"/>
    <mergeCell ref="H356:I356"/>
    <mergeCell ref="J356:L356"/>
    <mergeCell ref="M356:R356"/>
    <mergeCell ref="D357:G357"/>
    <mergeCell ref="H357:I357"/>
    <mergeCell ref="J357:L357"/>
    <mergeCell ref="M357:R357"/>
    <mergeCell ref="D354:G354"/>
    <mergeCell ref="H354:I354"/>
    <mergeCell ref="J354:L354"/>
    <mergeCell ref="M354:R354"/>
    <mergeCell ref="D355:G355"/>
    <mergeCell ref="H355:I355"/>
    <mergeCell ref="J355:L355"/>
    <mergeCell ref="M355:R355"/>
    <mergeCell ref="D385:G394"/>
    <mergeCell ref="H385:I394"/>
    <mergeCell ref="J385:L394"/>
    <mergeCell ref="M385:R394"/>
    <mergeCell ref="U385:U394"/>
    <mergeCell ref="C395:U395"/>
    <mergeCell ref="S362:S363"/>
    <mergeCell ref="T362:T363"/>
    <mergeCell ref="U362:U363"/>
    <mergeCell ref="D364:G384"/>
    <mergeCell ref="H364:I384"/>
    <mergeCell ref="J364:L384"/>
    <mergeCell ref="M364:R384"/>
    <mergeCell ref="U364:U384"/>
    <mergeCell ref="D360:G360"/>
    <mergeCell ref="H360:I360"/>
    <mergeCell ref="J360:L360"/>
    <mergeCell ref="M360:R360"/>
    <mergeCell ref="C361:U361"/>
    <mergeCell ref="C362:C363"/>
    <mergeCell ref="D362:G363"/>
    <mergeCell ref="H362:I363"/>
    <mergeCell ref="J362:L363"/>
    <mergeCell ref="M362:R363"/>
    <mergeCell ref="C401:U401"/>
    <mergeCell ref="C402:C403"/>
    <mergeCell ref="D402:G403"/>
    <mergeCell ref="H402:I403"/>
    <mergeCell ref="J402:L403"/>
    <mergeCell ref="M402:R403"/>
    <mergeCell ref="S402:S403"/>
    <mergeCell ref="T402:T403"/>
    <mergeCell ref="U402:U403"/>
    <mergeCell ref="J399:L399"/>
    <mergeCell ref="M399:R399"/>
    <mergeCell ref="D400:G400"/>
    <mergeCell ref="H400:I400"/>
    <mergeCell ref="J400:L400"/>
    <mergeCell ref="M400:R400"/>
    <mergeCell ref="T396:T397"/>
    <mergeCell ref="U396:U397"/>
    <mergeCell ref="D398:G398"/>
    <mergeCell ref="H398:I398"/>
    <mergeCell ref="J398:L398"/>
    <mergeCell ref="M398:R398"/>
    <mergeCell ref="T398:T400"/>
    <mergeCell ref="U398:U400"/>
    <mergeCell ref="D399:G399"/>
    <mergeCell ref="H399:I399"/>
    <mergeCell ref="C396:C397"/>
    <mergeCell ref="D396:G397"/>
    <mergeCell ref="H396:I397"/>
    <mergeCell ref="J396:L397"/>
    <mergeCell ref="M396:R397"/>
    <mergeCell ref="S396:S397"/>
    <mergeCell ref="D420:G423"/>
    <mergeCell ref="H420:I423"/>
    <mergeCell ref="J420:L423"/>
    <mergeCell ref="M420:R423"/>
    <mergeCell ref="U420:U423"/>
    <mergeCell ref="D424:G426"/>
    <mergeCell ref="H424:I426"/>
    <mergeCell ref="J424:L426"/>
    <mergeCell ref="M424:R426"/>
    <mergeCell ref="U424:U426"/>
    <mergeCell ref="D404:G411"/>
    <mergeCell ref="H404:I411"/>
    <mergeCell ref="J404:L411"/>
    <mergeCell ref="M404:R411"/>
    <mergeCell ref="U404:U411"/>
    <mergeCell ref="D412:G419"/>
    <mergeCell ref="H412:I419"/>
    <mergeCell ref="J412:L419"/>
    <mergeCell ref="M412:R419"/>
    <mergeCell ref="U412:U419"/>
    <mergeCell ref="C437:U437"/>
    <mergeCell ref="C438:C439"/>
    <mergeCell ref="D438:G439"/>
    <mergeCell ref="H438:I439"/>
    <mergeCell ref="J438:L439"/>
    <mergeCell ref="M438:R439"/>
    <mergeCell ref="S438:S439"/>
    <mergeCell ref="T438:T439"/>
    <mergeCell ref="U438:U439"/>
    <mergeCell ref="D427:G435"/>
    <mergeCell ref="H427:I435"/>
    <mergeCell ref="J427:L435"/>
    <mergeCell ref="M427:R435"/>
    <mergeCell ref="U427:U435"/>
    <mergeCell ref="D436:G436"/>
    <mergeCell ref="H436:I436"/>
    <mergeCell ref="J436:L436"/>
    <mergeCell ref="M436:R436"/>
    <mergeCell ref="D442:G442"/>
    <mergeCell ref="H442:I442"/>
    <mergeCell ref="J442:L442"/>
    <mergeCell ref="M442:R442"/>
    <mergeCell ref="D443:G443"/>
    <mergeCell ref="H443:I443"/>
    <mergeCell ref="J443:L443"/>
    <mergeCell ref="M443:R443"/>
    <mergeCell ref="D440:G440"/>
    <mergeCell ref="H440:I440"/>
    <mergeCell ref="J440:L440"/>
    <mergeCell ref="M440:R440"/>
    <mergeCell ref="T440:T460"/>
    <mergeCell ref="U440:U460"/>
    <mergeCell ref="D441:G441"/>
    <mergeCell ref="H441:I441"/>
    <mergeCell ref="J441:L441"/>
    <mergeCell ref="M441:R441"/>
    <mergeCell ref="D448:G448"/>
    <mergeCell ref="H448:I448"/>
    <mergeCell ref="J448:L448"/>
    <mergeCell ref="M448:R448"/>
    <mergeCell ref="D449:G449"/>
    <mergeCell ref="H449:I449"/>
    <mergeCell ref="J449:L449"/>
    <mergeCell ref="M449:R449"/>
    <mergeCell ref="D446:G446"/>
    <mergeCell ref="H446:I446"/>
    <mergeCell ref="J446:L446"/>
    <mergeCell ref="M446:R446"/>
    <mergeCell ref="D447:G447"/>
    <mergeCell ref="H447:I447"/>
    <mergeCell ref="J447:L447"/>
    <mergeCell ref="M447:R447"/>
    <mergeCell ref="D444:G444"/>
    <mergeCell ref="H444:I444"/>
    <mergeCell ref="J444:L444"/>
    <mergeCell ref="M444:R444"/>
    <mergeCell ref="D445:G445"/>
    <mergeCell ref="H445:I445"/>
    <mergeCell ref="J445:L445"/>
    <mergeCell ref="M445:R445"/>
    <mergeCell ref="D454:G454"/>
    <mergeCell ref="H454:I454"/>
    <mergeCell ref="J454:L454"/>
    <mergeCell ref="M454:R454"/>
    <mergeCell ref="D455:G455"/>
    <mergeCell ref="H455:I455"/>
    <mergeCell ref="J455:L455"/>
    <mergeCell ref="M455:R455"/>
    <mergeCell ref="D452:G452"/>
    <mergeCell ref="H452:I452"/>
    <mergeCell ref="J452:L452"/>
    <mergeCell ref="M452:R452"/>
    <mergeCell ref="D453:G453"/>
    <mergeCell ref="H453:I453"/>
    <mergeCell ref="J453:L453"/>
    <mergeCell ref="M453:R453"/>
    <mergeCell ref="D450:G450"/>
    <mergeCell ref="H450:I450"/>
    <mergeCell ref="J450:L450"/>
    <mergeCell ref="M450:R450"/>
    <mergeCell ref="D451:G451"/>
    <mergeCell ref="H451:I451"/>
    <mergeCell ref="J451:L451"/>
    <mergeCell ref="M451:R451"/>
    <mergeCell ref="D460:G460"/>
    <mergeCell ref="H460:I460"/>
    <mergeCell ref="J460:L460"/>
    <mergeCell ref="M460:R460"/>
    <mergeCell ref="C461:U461"/>
    <mergeCell ref="C462:C463"/>
    <mergeCell ref="D462:G463"/>
    <mergeCell ref="H462:I463"/>
    <mergeCell ref="J462:L463"/>
    <mergeCell ref="M462:R463"/>
    <mergeCell ref="D456:G456"/>
    <mergeCell ref="H456:I459"/>
    <mergeCell ref="J456:L459"/>
    <mergeCell ref="M456:R456"/>
    <mergeCell ref="D457:G457"/>
    <mergeCell ref="M457:R457"/>
    <mergeCell ref="D458:G458"/>
    <mergeCell ref="M458:R458"/>
    <mergeCell ref="D459:G459"/>
    <mergeCell ref="M459:R459"/>
    <mergeCell ref="M465:R465"/>
    <mergeCell ref="J466:L466"/>
    <mergeCell ref="M466:R466"/>
    <mergeCell ref="C467:C470"/>
    <mergeCell ref="D467:G470"/>
    <mergeCell ref="H467:I470"/>
    <mergeCell ref="J467:L467"/>
    <mergeCell ref="M467:R467"/>
    <mergeCell ref="J468:L468"/>
    <mergeCell ref="M468:R468"/>
    <mergeCell ref="S462:S463"/>
    <mergeCell ref="T462:T463"/>
    <mergeCell ref="U462:U463"/>
    <mergeCell ref="C464:C466"/>
    <mergeCell ref="D464:G466"/>
    <mergeCell ref="H464:I466"/>
    <mergeCell ref="J464:L464"/>
    <mergeCell ref="M464:R464"/>
    <mergeCell ref="U464:U498"/>
    <mergeCell ref="J465:L465"/>
    <mergeCell ref="M472:R472"/>
    <mergeCell ref="J473:L473"/>
    <mergeCell ref="M473:R473"/>
    <mergeCell ref="C474:C476"/>
    <mergeCell ref="D474:G476"/>
    <mergeCell ref="H474:I476"/>
    <mergeCell ref="J474:L474"/>
    <mergeCell ref="M474:R474"/>
    <mergeCell ref="J475:L475"/>
    <mergeCell ref="M475:R475"/>
    <mergeCell ref="J469:L469"/>
    <mergeCell ref="M469:R469"/>
    <mergeCell ref="J470:L470"/>
    <mergeCell ref="M470:R470"/>
    <mergeCell ref="C471:C473"/>
    <mergeCell ref="D471:G473"/>
    <mergeCell ref="H471:I473"/>
    <mergeCell ref="J471:L471"/>
    <mergeCell ref="M471:R471"/>
    <mergeCell ref="J472:L472"/>
    <mergeCell ref="M479:R479"/>
    <mergeCell ref="D480:G480"/>
    <mergeCell ref="H480:I480"/>
    <mergeCell ref="J480:L480"/>
    <mergeCell ref="M480:R480"/>
    <mergeCell ref="C481:C483"/>
    <mergeCell ref="D481:G483"/>
    <mergeCell ref="H481:I483"/>
    <mergeCell ref="J481:L481"/>
    <mergeCell ref="M481:R481"/>
    <mergeCell ref="J476:L476"/>
    <mergeCell ref="M476:R476"/>
    <mergeCell ref="C477:C479"/>
    <mergeCell ref="D477:G479"/>
    <mergeCell ref="H477:I479"/>
    <mergeCell ref="J477:L477"/>
    <mergeCell ref="M477:R477"/>
    <mergeCell ref="J478:L478"/>
    <mergeCell ref="M478:R478"/>
    <mergeCell ref="J479:L479"/>
    <mergeCell ref="M485:R485"/>
    <mergeCell ref="J486:L486"/>
    <mergeCell ref="M486:R486"/>
    <mergeCell ref="C487:C488"/>
    <mergeCell ref="D487:G488"/>
    <mergeCell ref="H487:I488"/>
    <mergeCell ref="J487:L487"/>
    <mergeCell ref="M487:R487"/>
    <mergeCell ref="J488:L488"/>
    <mergeCell ref="M488:R488"/>
    <mergeCell ref="J482:L482"/>
    <mergeCell ref="M482:R482"/>
    <mergeCell ref="J483:L483"/>
    <mergeCell ref="M483:R483"/>
    <mergeCell ref="C484:C486"/>
    <mergeCell ref="D484:G486"/>
    <mergeCell ref="H484:I486"/>
    <mergeCell ref="J484:L484"/>
    <mergeCell ref="M484:R484"/>
    <mergeCell ref="J485:L485"/>
    <mergeCell ref="J496:L496"/>
    <mergeCell ref="M496:R496"/>
    <mergeCell ref="C497:C498"/>
    <mergeCell ref="D497:G498"/>
    <mergeCell ref="H497:I498"/>
    <mergeCell ref="J497:L497"/>
    <mergeCell ref="M497:R497"/>
    <mergeCell ref="J498:L498"/>
    <mergeCell ref="M498:R498"/>
    <mergeCell ref="M492:R492"/>
    <mergeCell ref="J493:L493"/>
    <mergeCell ref="M493:R493"/>
    <mergeCell ref="C494:C496"/>
    <mergeCell ref="D494:G496"/>
    <mergeCell ref="H494:I496"/>
    <mergeCell ref="J494:L494"/>
    <mergeCell ref="M494:R494"/>
    <mergeCell ref="J495:L495"/>
    <mergeCell ref="M495:R495"/>
    <mergeCell ref="C489:C493"/>
    <mergeCell ref="D489:G493"/>
    <mergeCell ref="H489:I493"/>
    <mergeCell ref="J489:L489"/>
    <mergeCell ref="M489:R489"/>
    <mergeCell ref="J490:L490"/>
    <mergeCell ref="M490:R490"/>
    <mergeCell ref="J491:L491"/>
    <mergeCell ref="M491:R491"/>
    <mergeCell ref="J492:L492"/>
    <mergeCell ref="D502:G502"/>
    <mergeCell ref="H502:I502"/>
    <mergeCell ref="M502:R502"/>
    <mergeCell ref="T502:T525"/>
    <mergeCell ref="U502:U525"/>
    <mergeCell ref="D503:G503"/>
    <mergeCell ref="M503:R503"/>
    <mergeCell ref="D504:G504"/>
    <mergeCell ref="J504:L504"/>
    <mergeCell ref="M504:R504"/>
    <mergeCell ref="C499:U499"/>
    <mergeCell ref="C500:C501"/>
    <mergeCell ref="D500:G501"/>
    <mergeCell ref="H500:I501"/>
    <mergeCell ref="J500:L501"/>
    <mergeCell ref="M500:R501"/>
    <mergeCell ref="S500:S501"/>
    <mergeCell ref="T500:T501"/>
    <mergeCell ref="U500:U501"/>
    <mergeCell ref="D510:G510"/>
    <mergeCell ref="J510:L510"/>
    <mergeCell ref="M510:R510"/>
    <mergeCell ref="D511:G511"/>
    <mergeCell ref="H511:I511"/>
    <mergeCell ref="J511:L511"/>
    <mergeCell ref="M511:R511"/>
    <mergeCell ref="J507:L507"/>
    <mergeCell ref="D508:G508"/>
    <mergeCell ref="H508:I508"/>
    <mergeCell ref="M508:R508"/>
    <mergeCell ref="D509:G509"/>
    <mergeCell ref="H509:I509"/>
    <mergeCell ref="M509:R509"/>
    <mergeCell ref="D505:G505"/>
    <mergeCell ref="H505:I505"/>
    <mergeCell ref="J505:L505"/>
    <mergeCell ref="M505:R505"/>
    <mergeCell ref="D506:G506"/>
    <mergeCell ref="H506:I506"/>
    <mergeCell ref="J506:L506"/>
    <mergeCell ref="M506:R506"/>
    <mergeCell ref="D516:G516"/>
    <mergeCell ref="H516:I516"/>
    <mergeCell ref="J516:L516"/>
    <mergeCell ref="M516:R516"/>
    <mergeCell ref="D517:G517"/>
    <mergeCell ref="H517:I517"/>
    <mergeCell ref="J517:L517"/>
    <mergeCell ref="M517:R517"/>
    <mergeCell ref="D514:G514"/>
    <mergeCell ref="H514:I514"/>
    <mergeCell ref="J514:L514"/>
    <mergeCell ref="M514:R514"/>
    <mergeCell ref="D515:G515"/>
    <mergeCell ref="H515:I515"/>
    <mergeCell ref="J515:L515"/>
    <mergeCell ref="M515:R515"/>
    <mergeCell ref="D512:G512"/>
    <mergeCell ref="H512:I512"/>
    <mergeCell ref="J512:L512"/>
    <mergeCell ref="M512:R512"/>
    <mergeCell ref="D513:G513"/>
    <mergeCell ref="H513:I513"/>
    <mergeCell ref="J513:L513"/>
    <mergeCell ref="M513:R513"/>
    <mergeCell ref="D522:G522"/>
    <mergeCell ref="H522:I522"/>
    <mergeCell ref="J522:L522"/>
    <mergeCell ref="M522:R522"/>
    <mergeCell ref="D523:G523"/>
    <mergeCell ref="H523:I523"/>
    <mergeCell ref="J523:L523"/>
    <mergeCell ref="M523:R523"/>
    <mergeCell ref="D520:G520"/>
    <mergeCell ref="H520:I520"/>
    <mergeCell ref="J520:L520"/>
    <mergeCell ref="M520:R520"/>
    <mergeCell ref="D521:G521"/>
    <mergeCell ref="H521:I521"/>
    <mergeCell ref="J521:L521"/>
    <mergeCell ref="M521:R521"/>
    <mergeCell ref="D518:G518"/>
    <mergeCell ref="H518:I518"/>
    <mergeCell ref="J518:L518"/>
    <mergeCell ref="M518:R518"/>
    <mergeCell ref="D519:G519"/>
    <mergeCell ref="H519:I519"/>
    <mergeCell ref="J519:L519"/>
    <mergeCell ref="M519:R519"/>
    <mergeCell ref="C529:L529"/>
    <mergeCell ref="M529:R531"/>
    <mergeCell ref="T529:T531"/>
    <mergeCell ref="U529:U531"/>
    <mergeCell ref="C530:L530"/>
    <mergeCell ref="C531:L531"/>
    <mergeCell ref="C526:U526"/>
    <mergeCell ref="C527:L528"/>
    <mergeCell ref="M527:R528"/>
    <mergeCell ref="S527:S528"/>
    <mergeCell ref="T527:T528"/>
    <mergeCell ref="U527:U528"/>
    <mergeCell ref="D524:G524"/>
    <mergeCell ref="H524:I524"/>
    <mergeCell ref="J524:L524"/>
    <mergeCell ref="M524:R524"/>
    <mergeCell ref="D525:G525"/>
    <mergeCell ref="H525:I525"/>
    <mergeCell ref="J525:L525"/>
    <mergeCell ref="M525:R525"/>
    <mergeCell ref="U535:U536"/>
    <mergeCell ref="D537:G537"/>
    <mergeCell ref="J537:L537"/>
    <mergeCell ref="M537:R537"/>
    <mergeCell ref="T537:T583"/>
    <mergeCell ref="U537:U583"/>
    <mergeCell ref="D538:G538"/>
    <mergeCell ref="J538:L538"/>
    <mergeCell ref="M538:R538"/>
    <mergeCell ref="H541:I541"/>
    <mergeCell ref="C532:U532"/>
    <mergeCell ref="C533:U533"/>
    <mergeCell ref="C534:U534"/>
    <mergeCell ref="C535:C536"/>
    <mergeCell ref="D535:G536"/>
    <mergeCell ref="H535:I536"/>
    <mergeCell ref="J535:L536"/>
    <mergeCell ref="M535:R536"/>
    <mergeCell ref="S535:S536"/>
    <mergeCell ref="T535:T536"/>
    <mergeCell ref="D554:G554"/>
    <mergeCell ref="H554:I554"/>
    <mergeCell ref="J554:L554"/>
    <mergeCell ref="M554:R554"/>
    <mergeCell ref="D555:G555"/>
    <mergeCell ref="H555:I555"/>
    <mergeCell ref="J555:L555"/>
    <mergeCell ref="M555:R555"/>
    <mergeCell ref="D545:G545"/>
    <mergeCell ref="H545:I545"/>
    <mergeCell ref="D553:G553"/>
    <mergeCell ref="H553:I553"/>
    <mergeCell ref="J553:L553"/>
    <mergeCell ref="M553:R553"/>
    <mergeCell ref="D542:G542"/>
    <mergeCell ref="H542:I542"/>
    <mergeCell ref="D543:G543"/>
    <mergeCell ref="H543:I543"/>
    <mergeCell ref="D544:G544"/>
    <mergeCell ref="H544:I544"/>
    <mergeCell ref="D560:G560"/>
    <mergeCell ref="H560:I560"/>
    <mergeCell ref="J560:L560"/>
    <mergeCell ref="M560:R560"/>
    <mergeCell ref="D561:G561"/>
    <mergeCell ref="H561:I561"/>
    <mergeCell ref="J561:L561"/>
    <mergeCell ref="M561:R561"/>
    <mergeCell ref="D558:G558"/>
    <mergeCell ref="H558:I558"/>
    <mergeCell ref="J558:L558"/>
    <mergeCell ref="M558:R558"/>
    <mergeCell ref="D559:G559"/>
    <mergeCell ref="H559:I559"/>
    <mergeCell ref="J559:L559"/>
    <mergeCell ref="M559:R559"/>
    <mergeCell ref="D556:G556"/>
    <mergeCell ref="H556:I556"/>
    <mergeCell ref="J556:L556"/>
    <mergeCell ref="M556:R556"/>
    <mergeCell ref="D557:G557"/>
    <mergeCell ref="H557:I557"/>
    <mergeCell ref="J557:L557"/>
    <mergeCell ref="M557:R557"/>
    <mergeCell ref="D566:G566"/>
    <mergeCell ref="H566:I566"/>
    <mergeCell ref="J566:L566"/>
    <mergeCell ref="M566:R566"/>
    <mergeCell ref="D567:G567"/>
    <mergeCell ref="H567:I567"/>
    <mergeCell ref="J567:L567"/>
    <mergeCell ref="M567:R567"/>
    <mergeCell ref="D564:G564"/>
    <mergeCell ref="H564:I564"/>
    <mergeCell ref="J564:L564"/>
    <mergeCell ref="M564:R564"/>
    <mergeCell ref="D565:G565"/>
    <mergeCell ref="H565:I565"/>
    <mergeCell ref="J565:L565"/>
    <mergeCell ref="M565:R565"/>
    <mergeCell ref="D562:G562"/>
    <mergeCell ref="H562:I562"/>
    <mergeCell ref="J562:L562"/>
    <mergeCell ref="M562:R562"/>
    <mergeCell ref="D563:G563"/>
    <mergeCell ref="H563:I563"/>
    <mergeCell ref="J563:L563"/>
    <mergeCell ref="M563:R563"/>
    <mergeCell ref="D572:G572"/>
    <mergeCell ref="H572:I572"/>
    <mergeCell ref="J572:L572"/>
    <mergeCell ref="M572:R572"/>
    <mergeCell ref="D573:G573"/>
    <mergeCell ref="H573:I573"/>
    <mergeCell ref="J573:L573"/>
    <mergeCell ref="M573:R573"/>
    <mergeCell ref="D570:G570"/>
    <mergeCell ref="H570:I570"/>
    <mergeCell ref="J570:L570"/>
    <mergeCell ref="M570:R570"/>
    <mergeCell ref="D571:G571"/>
    <mergeCell ref="H571:I571"/>
    <mergeCell ref="J571:L571"/>
    <mergeCell ref="M571:R571"/>
    <mergeCell ref="D568:G568"/>
    <mergeCell ref="H568:I568"/>
    <mergeCell ref="J568:L568"/>
    <mergeCell ref="M568:R568"/>
    <mergeCell ref="D569:G569"/>
    <mergeCell ref="H569:I569"/>
    <mergeCell ref="J569:L569"/>
    <mergeCell ref="M569:R569"/>
    <mergeCell ref="D578:G578"/>
    <mergeCell ref="H578:I578"/>
    <mergeCell ref="J578:L578"/>
    <mergeCell ref="M578:R578"/>
    <mergeCell ref="D579:G579"/>
    <mergeCell ref="H579:I579"/>
    <mergeCell ref="J579:L579"/>
    <mergeCell ref="M579:R579"/>
    <mergeCell ref="D576:G576"/>
    <mergeCell ref="H576:I576"/>
    <mergeCell ref="J576:L576"/>
    <mergeCell ref="M576:R576"/>
    <mergeCell ref="D577:G577"/>
    <mergeCell ref="H577:I577"/>
    <mergeCell ref="J577:L577"/>
    <mergeCell ref="M577:R577"/>
    <mergeCell ref="D574:G574"/>
    <mergeCell ref="H574:I574"/>
    <mergeCell ref="J574:L574"/>
    <mergeCell ref="M574:R574"/>
    <mergeCell ref="D575:G575"/>
    <mergeCell ref="H575:I575"/>
    <mergeCell ref="J575:L575"/>
    <mergeCell ref="M575:R575"/>
    <mergeCell ref="C584:U584"/>
    <mergeCell ref="C585:C586"/>
    <mergeCell ref="D585:I586"/>
    <mergeCell ref="J585:L586"/>
    <mergeCell ref="M585:R586"/>
    <mergeCell ref="S585:S586"/>
    <mergeCell ref="T585:T586"/>
    <mergeCell ref="U585:U586"/>
    <mergeCell ref="D582:G582"/>
    <mergeCell ref="H582:I582"/>
    <mergeCell ref="J582:L582"/>
    <mergeCell ref="M582:R582"/>
    <mergeCell ref="D583:G583"/>
    <mergeCell ref="H583:I583"/>
    <mergeCell ref="J583:L583"/>
    <mergeCell ref="M583:R583"/>
    <mergeCell ref="D580:G580"/>
    <mergeCell ref="H580:I580"/>
    <mergeCell ref="J580:L580"/>
    <mergeCell ref="M580:R580"/>
    <mergeCell ref="D581:G581"/>
    <mergeCell ref="H581:I581"/>
    <mergeCell ref="J581:L581"/>
    <mergeCell ref="M581:R581"/>
    <mergeCell ref="C592:U592"/>
    <mergeCell ref="C593:C594"/>
    <mergeCell ref="D593:I594"/>
    <mergeCell ref="J593:L594"/>
    <mergeCell ref="M593:R594"/>
    <mergeCell ref="S593:S594"/>
    <mergeCell ref="T593:T594"/>
    <mergeCell ref="U593:U594"/>
    <mergeCell ref="M589:R589"/>
    <mergeCell ref="D590:I590"/>
    <mergeCell ref="J590:L590"/>
    <mergeCell ref="M590:R590"/>
    <mergeCell ref="D591:I591"/>
    <mergeCell ref="J591:L591"/>
    <mergeCell ref="M591:R591"/>
    <mergeCell ref="D587:I587"/>
    <mergeCell ref="J587:L587"/>
    <mergeCell ref="M587:R587"/>
    <mergeCell ref="T587:T591"/>
    <mergeCell ref="U587:U591"/>
    <mergeCell ref="D588:I588"/>
    <mergeCell ref="J588:L588"/>
    <mergeCell ref="M588:R588"/>
    <mergeCell ref="D589:I589"/>
    <mergeCell ref="J589:L589"/>
    <mergeCell ref="M597:R597"/>
    <mergeCell ref="D598:I598"/>
    <mergeCell ref="J598:L598"/>
    <mergeCell ref="M598:R598"/>
    <mergeCell ref="D599:I599"/>
    <mergeCell ref="J599:L599"/>
    <mergeCell ref="M599:R599"/>
    <mergeCell ref="D595:I595"/>
    <mergeCell ref="J595:L595"/>
    <mergeCell ref="M595:R595"/>
    <mergeCell ref="T595:T600"/>
    <mergeCell ref="U595:U600"/>
    <mergeCell ref="D596:I596"/>
    <mergeCell ref="J596:L596"/>
    <mergeCell ref="M596:R596"/>
    <mergeCell ref="D597:I597"/>
    <mergeCell ref="J597:L597"/>
    <mergeCell ref="AS611:AS612"/>
    <mergeCell ref="C612:H612"/>
    <mergeCell ref="C613:H613"/>
    <mergeCell ref="C614:H614"/>
    <mergeCell ref="I614:AR614"/>
    <mergeCell ref="C615:H615"/>
    <mergeCell ref="I615:AR615"/>
    <mergeCell ref="C605:H605"/>
    <mergeCell ref="C606:H606"/>
    <mergeCell ref="C607:H607"/>
    <mergeCell ref="C608:H608"/>
    <mergeCell ref="C609:H609"/>
    <mergeCell ref="C611:H611"/>
    <mergeCell ref="D600:I600"/>
    <mergeCell ref="J600:L600"/>
    <mergeCell ref="M600:R600"/>
    <mergeCell ref="C603:H603"/>
    <mergeCell ref="AS603:AS604"/>
    <mergeCell ref="C604:H604"/>
    <mergeCell ref="C620:H620"/>
    <mergeCell ref="C621:Z621"/>
    <mergeCell ref="C622:Z622"/>
    <mergeCell ref="C623:D623"/>
    <mergeCell ref="F623:H623"/>
    <mergeCell ref="I623:Z625"/>
    <mergeCell ref="C624:D624"/>
    <mergeCell ref="E624:H624"/>
    <mergeCell ref="C625:D625"/>
    <mergeCell ref="E625:H625"/>
    <mergeCell ref="C616:H616"/>
    <mergeCell ref="I616:AR616"/>
    <mergeCell ref="C617:H617"/>
    <mergeCell ref="C618:H618"/>
    <mergeCell ref="I618:AR618"/>
    <mergeCell ref="C619:H619"/>
    <mergeCell ref="I619:AR619"/>
    <mergeCell ref="P628:Q628"/>
    <mergeCell ref="R628:S628"/>
    <mergeCell ref="T628:U628"/>
    <mergeCell ref="V628:W628"/>
    <mergeCell ref="Y628:Z628"/>
    <mergeCell ref="P629:Q629"/>
    <mergeCell ref="R629:S629"/>
    <mergeCell ref="T629:U629"/>
    <mergeCell ref="V629:W629"/>
    <mergeCell ref="Y629:Z629"/>
    <mergeCell ref="R626:S627"/>
    <mergeCell ref="T626:X626"/>
    <mergeCell ref="Y626:Z627"/>
    <mergeCell ref="T627:U627"/>
    <mergeCell ref="V627:W627"/>
    <mergeCell ref="C628:C629"/>
    <mergeCell ref="D628:E629"/>
    <mergeCell ref="F628:I630"/>
    <mergeCell ref="J628:K630"/>
    <mergeCell ref="L628:O629"/>
    <mergeCell ref="C626:C627"/>
    <mergeCell ref="D626:E627"/>
    <mergeCell ref="F626:I627"/>
    <mergeCell ref="J626:K627"/>
    <mergeCell ref="L626:O627"/>
    <mergeCell ref="P626:Q627"/>
    <mergeCell ref="R636:S637"/>
    <mergeCell ref="T636:X636"/>
    <mergeCell ref="Y636:Z637"/>
    <mergeCell ref="AA636:AB637"/>
    <mergeCell ref="AC636:AD637"/>
    <mergeCell ref="T637:U637"/>
    <mergeCell ref="V637:W637"/>
    <mergeCell ref="C636:C637"/>
    <mergeCell ref="D636:E637"/>
    <mergeCell ref="F636:I637"/>
    <mergeCell ref="J636:K637"/>
    <mergeCell ref="L636:O637"/>
    <mergeCell ref="P636:Q637"/>
    <mergeCell ref="Y630:Z630"/>
    <mergeCell ref="C631:Z631"/>
    <mergeCell ref="C632:AD632"/>
    <mergeCell ref="C633:D633"/>
    <mergeCell ref="F633:H633"/>
    <mergeCell ref="I633:AD635"/>
    <mergeCell ref="C634:D634"/>
    <mergeCell ref="E634:H634"/>
    <mergeCell ref="C635:D635"/>
    <mergeCell ref="E635:H635"/>
    <mergeCell ref="D630:E630"/>
    <mergeCell ref="L630:O630"/>
    <mergeCell ref="P630:Q630"/>
    <mergeCell ref="R630:S630"/>
    <mergeCell ref="T630:U630"/>
    <mergeCell ref="V630:W630"/>
    <mergeCell ref="V639:W639"/>
    <mergeCell ref="Y639:Z639"/>
    <mergeCell ref="AA639:AB639"/>
    <mergeCell ref="AC639:AD639"/>
    <mergeCell ref="C641:Z641"/>
    <mergeCell ref="C642:D642"/>
    <mergeCell ref="F642:H642"/>
    <mergeCell ref="I642:Z644"/>
    <mergeCell ref="AB642:AD642"/>
    <mergeCell ref="T638:U638"/>
    <mergeCell ref="V638:W638"/>
    <mergeCell ref="Y638:Z638"/>
    <mergeCell ref="AA638:AB638"/>
    <mergeCell ref="AC638:AD638"/>
    <mergeCell ref="D639:E639"/>
    <mergeCell ref="L639:O639"/>
    <mergeCell ref="P639:Q639"/>
    <mergeCell ref="R639:S639"/>
    <mergeCell ref="T639:U639"/>
    <mergeCell ref="D638:E638"/>
    <mergeCell ref="F638:I639"/>
    <mergeCell ref="J638:K639"/>
    <mergeCell ref="L638:O638"/>
    <mergeCell ref="P638:Q638"/>
    <mergeCell ref="R638:S638"/>
    <mergeCell ref="R645:S646"/>
    <mergeCell ref="T645:X645"/>
    <mergeCell ref="Y645:Z646"/>
    <mergeCell ref="T646:U646"/>
    <mergeCell ref="V646:W646"/>
    <mergeCell ref="C647:C648"/>
    <mergeCell ref="D647:E648"/>
    <mergeCell ref="F647:I649"/>
    <mergeCell ref="J647:K649"/>
    <mergeCell ref="L647:O647"/>
    <mergeCell ref="C645:C646"/>
    <mergeCell ref="D645:E646"/>
    <mergeCell ref="F645:I646"/>
    <mergeCell ref="J645:K646"/>
    <mergeCell ref="L645:O646"/>
    <mergeCell ref="P645:Q646"/>
    <mergeCell ref="AF642:AH642"/>
    <mergeCell ref="C643:D643"/>
    <mergeCell ref="E643:H643"/>
    <mergeCell ref="AB643:AD643"/>
    <mergeCell ref="AF643:AH643"/>
    <mergeCell ref="C644:D644"/>
    <mergeCell ref="E644:H644"/>
    <mergeCell ref="Y648:Z648"/>
    <mergeCell ref="D649:E649"/>
    <mergeCell ref="L649:O649"/>
    <mergeCell ref="P649:Q649"/>
    <mergeCell ref="R649:S649"/>
    <mergeCell ref="T649:U649"/>
    <mergeCell ref="V649:W649"/>
    <mergeCell ref="Y649:Z649"/>
    <mergeCell ref="P647:Q647"/>
    <mergeCell ref="R647:S647"/>
    <mergeCell ref="T647:U647"/>
    <mergeCell ref="V647:W647"/>
    <mergeCell ref="Y647:Z647"/>
    <mergeCell ref="L648:O648"/>
    <mergeCell ref="P648:Q648"/>
    <mergeCell ref="R648:S648"/>
    <mergeCell ref="T648:U648"/>
    <mergeCell ref="V648:W648"/>
    <mergeCell ref="AD652:AF652"/>
    <mergeCell ref="AH652:AJ653"/>
    <mergeCell ref="V658:X658"/>
    <mergeCell ref="Z658:AB658"/>
    <mergeCell ref="V659:X659"/>
    <mergeCell ref="Z659:AB659"/>
    <mergeCell ref="AD659:AF659"/>
    <mergeCell ref="Z651:AB651"/>
    <mergeCell ref="AD651:AF651"/>
    <mergeCell ref="AH651:AJ651"/>
    <mergeCell ref="C652:E652"/>
    <mergeCell ref="G652:I652"/>
    <mergeCell ref="K652:M652"/>
    <mergeCell ref="O652:Q652"/>
    <mergeCell ref="S652:U652"/>
    <mergeCell ref="V652:X652"/>
    <mergeCell ref="Z652:AB652"/>
    <mergeCell ref="C651:E651"/>
    <mergeCell ref="G651:I651"/>
    <mergeCell ref="K651:M651"/>
    <mergeCell ref="O651:Q651"/>
    <mergeCell ref="S651:U651"/>
    <mergeCell ref="V651:X651"/>
    <mergeCell ref="U670:X670"/>
    <mergeCell ref="Z670:AD670"/>
    <mergeCell ref="AF670:AJ670"/>
    <mergeCell ref="AL670:AP670"/>
    <mergeCell ref="AR670:AV670"/>
    <mergeCell ref="AX670:BB670"/>
    <mergeCell ref="C663:C664"/>
    <mergeCell ref="C665:C666"/>
    <mergeCell ref="C667:C668"/>
    <mergeCell ref="C669:S669"/>
    <mergeCell ref="C670:G670"/>
    <mergeCell ref="I670:M670"/>
    <mergeCell ref="O670:S670"/>
    <mergeCell ref="C660:G660"/>
    <mergeCell ref="I660:M660"/>
    <mergeCell ref="O660:Q660"/>
    <mergeCell ref="S660:U660"/>
    <mergeCell ref="AD660:AF660"/>
    <mergeCell ref="C661:G661"/>
    <mergeCell ref="I661:M661"/>
    <mergeCell ref="O661:Q661"/>
    <mergeCell ref="S661:U661"/>
    <mergeCell ref="I686:J686"/>
    <mergeCell ref="C698:G698"/>
    <mergeCell ref="I698:M698"/>
    <mergeCell ref="O698:S698"/>
    <mergeCell ref="U698:X698"/>
    <mergeCell ref="C699:G699"/>
    <mergeCell ref="I699:M699"/>
    <mergeCell ref="O699:S699"/>
    <mergeCell ref="U699:X699"/>
    <mergeCell ref="AL671:AP671"/>
    <mergeCell ref="AR671:AV671"/>
    <mergeCell ref="AX671:BB671"/>
    <mergeCell ref="AL682:AP682"/>
    <mergeCell ref="AL683:AP683"/>
    <mergeCell ref="I685:J685"/>
    <mergeCell ref="C671:G671"/>
    <mergeCell ref="I671:M671"/>
    <mergeCell ref="O671:S671"/>
    <mergeCell ref="U671:X671"/>
    <mergeCell ref="Z671:AD671"/>
    <mergeCell ref="AF671:AJ671"/>
    <mergeCell ref="D712:G712"/>
    <mergeCell ref="M712:P712"/>
    <mergeCell ref="V712:X712"/>
    <mergeCell ref="D713:G713"/>
    <mergeCell ref="M713:P713"/>
    <mergeCell ref="V713:X713"/>
    <mergeCell ref="C709:J709"/>
    <mergeCell ref="L709:S709"/>
    <mergeCell ref="U709:AA709"/>
    <mergeCell ref="D711:G711"/>
    <mergeCell ref="M711:P711"/>
    <mergeCell ref="V711:X711"/>
    <mergeCell ref="I704:J704"/>
    <mergeCell ref="I705:J705"/>
    <mergeCell ref="C707:J707"/>
    <mergeCell ref="L707:S707"/>
    <mergeCell ref="U707:AA707"/>
    <mergeCell ref="C708:J708"/>
    <mergeCell ref="L708:S708"/>
    <mergeCell ref="U708:AA708"/>
    <mergeCell ref="D718:G718"/>
    <mergeCell ref="M718:P718"/>
    <mergeCell ref="V718:X718"/>
    <mergeCell ref="D719:G719"/>
    <mergeCell ref="M719:P719"/>
    <mergeCell ref="V719:X719"/>
    <mergeCell ref="D716:G716"/>
    <mergeCell ref="M716:P716"/>
    <mergeCell ref="V716:X716"/>
    <mergeCell ref="D717:G717"/>
    <mergeCell ref="M717:P717"/>
    <mergeCell ref="V717:X717"/>
    <mergeCell ref="D714:G714"/>
    <mergeCell ref="M714:P714"/>
    <mergeCell ref="V714:X714"/>
    <mergeCell ref="D715:G715"/>
    <mergeCell ref="M715:P715"/>
    <mergeCell ref="V715:X715"/>
    <mergeCell ref="D724:G724"/>
    <mergeCell ref="M724:P724"/>
    <mergeCell ref="V724:X724"/>
    <mergeCell ref="D725:G725"/>
    <mergeCell ref="C726:G726"/>
    <mergeCell ref="D722:G722"/>
    <mergeCell ref="M722:P722"/>
    <mergeCell ref="V722:X722"/>
    <mergeCell ref="D723:G723"/>
    <mergeCell ref="M723:P723"/>
    <mergeCell ref="V723:X723"/>
    <mergeCell ref="D720:G720"/>
    <mergeCell ref="M720:P720"/>
    <mergeCell ref="V720:X720"/>
    <mergeCell ref="D721:G721"/>
    <mergeCell ref="M721:P721"/>
    <mergeCell ref="V721:X721"/>
    <mergeCell ref="V2:V3"/>
    <mergeCell ref="V114:V117"/>
    <mergeCell ref="V118:V122"/>
    <mergeCell ref="V5:V9"/>
    <mergeCell ref="V10:V14"/>
    <mergeCell ref="V15:V18"/>
    <mergeCell ref="V19:V22"/>
    <mergeCell ref="V23:V26"/>
    <mergeCell ref="V27:V32"/>
    <mergeCell ref="V33:V39"/>
    <mergeCell ref="V40:V44"/>
    <mergeCell ref="V45:V48"/>
    <mergeCell ref="V49:V53"/>
    <mergeCell ref="V54:V60"/>
    <mergeCell ref="V61:V63"/>
    <mergeCell ref="V64:V68"/>
    <mergeCell ref="V69:V73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pageSetUpPr fitToPage="1"/>
  </sheetPr>
  <dimension ref="A1:DA394"/>
  <sheetViews>
    <sheetView zoomScaleNormal="100" workbookViewId="0">
      <pane xSplit="4" ySplit="1" topLeftCell="E152" activePane="bottomRight" state="frozen"/>
      <selection pane="topRight" activeCell="E1" sqref="E1"/>
      <selection pane="bottomLeft" activeCell="A2" sqref="A2"/>
      <selection pane="bottomRight" activeCell="B181" sqref="A1:XFD1048576"/>
    </sheetView>
  </sheetViews>
  <sheetFormatPr defaultColWidth="9.42578125" defaultRowHeight="18" outlineLevelCol="3"/>
  <cols>
    <col min="1" max="1" width="14.140625" style="154" customWidth="1"/>
    <col min="2" max="2" width="30.7109375" style="154" customWidth="1"/>
    <col min="3" max="3" width="34.7109375" style="241" customWidth="1"/>
    <col min="4" max="4" width="19.28515625" style="242" customWidth="1"/>
    <col min="5" max="5" width="12" style="313" bestFit="1" customWidth="1"/>
    <col min="6" max="6" width="9.42578125" style="332" customWidth="1" outlineLevel="1"/>
    <col min="7" max="7" width="12" style="244" customWidth="1" outlineLevel="1"/>
    <col min="8" max="8" width="9.5703125" style="244" customWidth="1" outlineLevel="1"/>
    <col min="9" max="9" width="9.7109375" style="80" customWidth="1" outlineLevel="1"/>
    <col min="10" max="10" width="12" style="87" customWidth="1" outlineLevel="1" collapsed="1"/>
    <col min="11" max="11" width="9.42578125" style="332" customWidth="1" outlineLevel="2"/>
    <col min="12" max="12" width="12" style="244" customWidth="1" outlineLevel="2"/>
    <col min="13" max="13" width="9.5703125" style="244" customWidth="1" outlineLevel="2"/>
    <col min="14" max="14" width="10.7109375" style="80" customWidth="1" outlineLevel="2"/>
    <col min="15" max="15" width="10.7109375" style="87" customWidth="1" outlineLevel="1"/>
    <col min="16" max="16" width="9.42578125" style="332" customWidth="1" outlineLevel="2"/>
    <col min="17" max="17" width="12" style="244" customWidth="1" outlineLevel="2"/>
    <col min="18" max="18" width="9.5703125" style="244" customWidth="1" outlineLevel="2"/>
    <col min="19" max="19" width="10.7109375" style="80" customWidth="1" outlineLevel="2"/>
    <col min="20" max="20" width="10.140625" style="87" customWidth="1" outlineLevel="1"/>
    <col min="21" max="21" width="9.42578125" style="324" customWidth="1" outlineLevel="2"/>
    <col min="22" max="22" width="12" style="244" customWidth="1" outlineLevel="2"/>
    <col min="23" max="23" width="9.5703125" style="244" customWidth="1" outlineLevel="2"/>
    <col min="24" max="24" width="10.7109375" style="80" customWidth="1" outlineLevel="2"/>
    <col min="25" max="25" width="11" style="80" customWidth="1" outlineLevel="1"/>
    <col min="26" max="26" width="10.85546875" style="243" customWidth="1" outlineLevel="2"/>
    <col min="27" max="27" width="12" style="244" customWidth="1" outlineLevel="2"/>
    <col min="28" max="28" width="9.5703125" style="244" customWidth="1" outlineLevel="2"/>
    <col min="29" max="29" width="10.7109375" style="80" customWidth="1" outlineLevel="2"/>
    <col min="30" max="30" width="9.85546875" style="80" customWidth="1" outlineLevel="1"/>
    <col min="31" max="31" width="9.42578125" style="243" customWidth="1" outlineLevel="3"/>
    <col min="32" max="32" width="12" style="244" customWidth="1" outlineLevel="3"/>
    <col min="33" max="33" width="9.5703125" style="244" customWidth="1" outlineLevel="3"/>
    <col min="34" max="34" width="10.7109375" style="80" customWidth="1" outlineLevel="3"/>
    <col min="35" max="35" width="9.7109375" style="154" customWidth="1" outlineLevel="1"/>
    <col min="36" max="36" width="9.42578125" style="243" customWidth="1" outlineLevel="2"/>
    <col min="37" max="37" width="12" style="244" customWidth="1" outlineLevel="2"/>
    <col min="38" max="38" width="9.5703125" style="244" customWidth="1" outlineLevel="2"/>
    <col min="39" max="39" width="10.7109375" style="80" customWidth="1" outlineLevel="2"/>
    <col min="40" max="40" width="9.7109375" style="154" customWidth="1" outlineLevel="1"/>
    <col min="41" max="41" width="9.42578125" style="243" customWidth="1" outlineLevel="2"/>
    <col min="42" max="42" width="12" style="244" customWidth="1" outlineLevel="2"/>
    <col min="43" max="43" width="9.5703125" style="244" customWidth="1" outlineLevel="2"/>
    <col min="44" max="44" width="10.7109375" style="80" customWidth="1" outlineLevel="2"/>
    <col min="45" max="45" width="9.7109375" style="154" customWidth="1" outlineLevel="1"/>
    <col min="46" max="46" width="9.42578125" style="243" customWidth="1" outlineLevel="2"/>
    <col min="47" max="47" width="12" style="244" customWidth="1" outlineLevel="2"/>
    <col min="48" max="48" width="9.5703125" style="244" customWidth="1" outlineLevel="2"/>
    <col min="49" max="49" width="10.7109375" style="80" customWidth="1" outlineLevel="2"/>
    <col min="50" max="50" width="9.7109375" style="154" customWidth="1" outlineLevel="1"/>
    <col min="51" max="51" width="9.42578125" style="243" customWidth="1" outlineLevel="2"/>
    <col min="52" max="52" width="12" style="244" customWidth="1" outlineLevel="2"/>
    <col min="53" max="53" width="9.5703125" style="244" customWidth="1" outlineLevel="2"/>
    <col min="54" max="54" width="10.7109375" style="80" customWidth="1" outlineLevel="2"/>
    <col min="55" max="55" width="9.7109375" style="154" customWidth="1" outlineLevel="1"/>
    <col min="56" max="56" width="9.42578125" style="243" customWidth="1" outlineLevel="2"/>
    <col min="57" max="57" width="12" style="244" customWidth="1" outlineLevel="2"/>
    <col min="58" max="58" width="9.5703125" style="244" customWidth="1" outlineLevel="2"/>
    <col min="59" max="59" width="10.7109375" style="80" customWidth="1" outlineLevel="2"/>
    <col min="60" max="60" width="9.7109375" style="154" customWidth="1" outlineLevel="1"/>
    <col min="61" max="61" width="9.42578125" style="243" customWidth="1" outlineLevel="2"/>
    <col min="62" max="62" width="12" style="244" customWidth="1" outlineLevel="2"/>
    <col min="63" max="63" width="9.5703125" style="244" customWidth="1" outlineLevel="2"/>
    <col min="64" max="64" width="10.7109375" style="80" customWidth="1" outlineLevel="2"/>
    <col min="65" max="65" width="9.7109375" style="154" customWidth="1" outlineLevel="1"/>
    <col min="66" max="66" width="9.42578125" style="243" customWidth="1" outlineLevel="1"/>
    <col min="67" max="67" width="12" style="244" customWidth="1" outlineLevel="1"/>
    <col min="68" max="68" width="9.5703125" style="244" customWidth="1" outlineLevel="1"/>
    <col min="69" max="69" width="10.7109375" style="80" customWidth="1" outlineLevel="1"/>
    <col min="70" max="70" width="9.7109375" style="154" customWidth="1"/>
    <col min="71" max="71" width="9.42578125" style="243" customWidth="1" outlineLevel="1"/>
    <col min="72" max="72" width="12" style="244" customWidth="1" outlineLevel="1"/>
    <col min="73" max="73" width="9.5703125" style="244" customWidth="1" outlineLevel="1"/>
    <col min="74" max="74" width="10.7109375" style="80" customWidth="1" outlineLevel="1"/>
    <col min="75" max="75" width="9.7109375" style="154" customWidth="1"/>
    <col min="76" max="76" width="9.42578125" style="243" customWidth="1" outlineLevel="1"/>
    <col min="77" max="77" width="12" style="244" customWidth="1" outlineLevel="1"/>
    <col min="78" max="78" width="9.5703125" style="244" customWidth="1" outlineLevel="1"/>
    <col min="79" max="79" width="10.7109375" style="80" customWidth="1" outlineLevel="1"/>
    <col min="80" max="80" width="9.7109375" style="154" customWidth="1"/>
    <col min="81" max="81" width="9.42578125" style="243" customWidth="1" outlineLevel="1"/>
    <col min="82" max="82" width="12" style="244" customWidth="1" outlineLevel="1"/>
    <col min="83" max="83" width="9.5703125" style="244" customWidth="1" outlineLevel="1"/>
    <col min="84" max="84" width="10.7109375" style="80" customWidth="1" outlineLevel="1"/>
    <col min="85" max="85" width="9.7109375" style="154" customWidth="1"/>
    <col min="86" max="86" width="9.42578125" style="243" customWidth="1" outlineLevel="1"/>
    <col min="87" max="87" width="12" style="244" customWidth="1" outlineLevel="1"/>
    <col min="88" max="88" width="9.5703125" style="244" customWidth="1" outlineLevel="1"/>
    <col min="89" max="89" width="10.7109375" style="80" customWidth="1" outlineLevel="1"/>
    <col min="90" max="90" width="9.7109375" style="154" customWidth="1"/>
    <col min="91" max="91" width="9.42578125" style="243" customWidth="1" outlineLevel="1"/>
    <col min="92" max="92" width="12" style="244" customWidth="1" outlineLevel="1"/>
    <col min="93" max="93" width="9.5703125" style="244" customWidth="1" outlineLevel="1"/>
    <col min="94" max="94" width="10.7109375" style="80" customWidth="1" outlineLevel="1"/>
    <col min="95" max="95" width="9.7109375" style="154" customWidth="1"/>
    <col min="96" max="96" width="9.42578125" style="243" customWidth="1" outlineLevel="1"/>
    <col min="97" max="97" width="12" style="244" customWidth="1" outlineLevel="1"/>
    <col min="98" max="98" width="9.5703125" style="244" customWidth="1" outlineLevel="1"/>
    <col min="99" max="99" width="10.7109375" style="80" customWidth="1" outlineLevel="1"/>
    <col min="100" max="100" width="9.7109375" style="154" customWidth="1"/>
    <col min="101" max="101" width="9.42578125" style="243" outlineLevel="1"/>
    <col min="102" max="102" width="12" style="244" customWidth="1" outlineLevel="1"/>
    <col min="103" max="103" width="9.5703125" style="244" customWidth="1" outlineLevel="1"/>
    <col min="104" max="104" width="10.7109375" style="80" customWidth="1" outlineLevel="1"/>
    <col min="105" max="105" width="9.7109375" style="154" customWidth="1"/>
    <col min="106" max="16384" width="9.42578125" style="16"/>
  </cols>
  <sheetData>
    <row r="1" spans="1:105" s="214" customFormat="1" ht="38.25" customHeight="1">
      <c r="A1" s="211" t="s">
        <v>0</v>
      </c>
      <c r="B1" s="211" t="s">
        <v>1</v>
      </c>
      <c r="C1" s="212" t="s">
        <v>2</v>
      </c>
      <c r="D1" s="213" t="s">
        <v>3</v>
      </c>
      <c r="E1" s="307" t="s">
        <v>193</v>
      </c>
      <c r="F1" s="100" t="s">
        <v>4</v>
      </c>
      <c r="G1" s="82" t="s">
        <v>5</v>
      </c>
      <c r="H1" s="82" t="s">
        <v>6</v>
      </c>
      <c r="I1" s="83" t="s">
        <v>7</v>
      </c>
      <c r="J1" s="588" t="s">
        <v>196</v>
      </c>
      <c r="K1" s="589" t="s">
        <v>4</v>
      </c>
      <c r="L1" s="590" t="s">
        <v>5</v>
      </c>
      <c r="M1" s="590" t="s">
        <v>6</v>
      </c>
      <c r="N1" s="591" t="s">
        <v>7</v>
      </c>
      <c r="O1" s="588" t="s">
        <v>197</v>
      </c>
      <c r="P1" s="589" t="s">
        <v>4</v>
      </c>
      <c r="Q1" s="590" t="s">
        <v>5</v>
      </c>
      <c r="R1" s="590" t="s">
        <v>6</v>
      </c>
      <c r="S1" s="591" t="s">
        <v>7</v>
      </c>
      <c r="T1" s="592" t="s">
        <v>198</v>
      </c>
      <c r="U1" s="593" t="s">
        <v>4</v>
      </c>
      <c r="V1" s="594" t="s">
        <v>5</v>
      </c>
      <c r="W1" s="594" t="s">
        <v>6</v>
      </c>
      <c r="X1" s="595" t="s">
        <v>7</v>
      </c>
      <c r="Y1" s="596" t="s">
        <v>199</v>
      </c>
      <c r="Z1" s="597" t="s">
        <v>4</v>
      </c>
      <c r="AA1" s="594" t="s">
        <v>5</v>
      </c>
      <c r="AB1" s="594" t="s">
        <v>6</v>
      </c>
      <c r="AC1" s="595" t="s">
        <v>7</v>
      </c>
      <c r="AD1" s="596" t="s">
        <v>218</v>
      </c>
      <c r="AE1" s="597" t="s">
        <v>4</v>
      </c>
      <c r="AF1" s="594" t="s">
        <v>5</v>
      </c>
      <c r="AG1" s="594" t="s">
        <v>6</v>
      </c>
      <c r="AH1" s="595" t="s">
        <v>7</v>
      </c>
      <c r="AI1" s="434" t="s">
        <v>294</v>
      </c>
      <c r="AJ1" s="597" t="s">
        <v>4</v>
      </c>
      <c r="AK1" s="594" t="s">
        <v>5</v>
      </c>
      <c r="AL1" s="594" t="s">
        <v>6</v>
      </c>
      <c r="AM1" s="595" t="s">
        <v>7</v>
      </c>
      <c r="AN1" s="434" t="s">
        <v>295</v>
      </c>
      <c r="AO1" s="597" t="s">
        <v>4</v>
      </c>
      <c r="AP1" s="594" t="s">
        <v>5</v>
      </c>
      <c r="AQ1" s="594" t="s">
        <v>6</v>
      </c>
      <c r="AR1" s="595" t="s">
        <v>7</v>
      </c>
      <c r="AS1" s="153" t="s">
        <v>327</v>
      </c>
      <c r="AT1" s="597" t="s">
        <v>4</v>
      </c>
      <c r="AU1" s="594" t="s">
        <v>5</v>
      </c>
      <c r="AV1" s="594" t="s">
        <v>6</v>
      </c>
      <c r="AW1" s="595" t="s">
        <v>7</v>
      </c>
      <c r="AX1" s="153" t="s">
        <v>328</v>
      </c>
      <c r="AY1" s="597" t="s">
        <v>4</v>
      </c>
      <c r="AZ1" s="594" t="s">
        <v>5</v>
      </c>
      <c r="BA1" s="594" t="s">
        <v>6</v>
      </c>
      <c r="BB1" s="595" t="s">
        <v>7</v>
      </c>
      <c r="BC1" s="153" t="s">
        <v>414</v>
      </c>
      <c r="BD1" s="597" t="s">
        <v>4</v>
      </c>
      <c r="BE1" s="594" t="s">
        <v>5</v>
      </c>
      <c r="BF1" s="594" t="s">
        <v>6</v>
      </c>
      <c r="BG1" s="595" t="s">
        <v>7</v>
      </c>
      <c r="BH1" s="153" t="s">
        <v>415</v>
      </c>
      <c r="BI1" s="597" t="s">
        <v>4</v>
      </c>
      <c r="BJ1" s="594" t="s">
        <v>5</v>
      </c>
      <c r="BK1" s="594" t="s">
        <v>6</v>
      </c>
      <c r="BL1" s="595" t="s">
        <v>7</v>
      </c>
      <c r="BM1" s="153" t="s">
        <v>416</v>
      </c>
      <c r="BN1" s="597" t="s">
        <v>4</v>
      </c>
      <c r="BO1" s="594" t="s">
        <v>5</v>
      </c>
      <c r="BP1" s="594" t="s">
        <v>6</v>
      </c>
      <c r="BQ1" s="595" t="s">
        <v>7</v>
      </c>
      <c r="BR1" s="153" t="s">
        <v>417</v>
      </c>
      <c r="BS1" s="89" t="s">
        <v>4</v>
      </c>
      <c r="BT1" s="50" t="s">
        <v>5</v>
      </c>
      <c r="BU1" s="50" t="s">
        <v>6</v>
      </c>
      <c r="BV1" s="51" t="s">
        <v>7</v>
      </c>
      <c r="BW1" s="153" t="s">
        <v>418</v>
      </c>
      <c r="BX1" s="89" t="s">
        <v>4</v>
      </c>
      <c r="BY1" s="50" t="s">
        <v>5</v>
      </c>
      <c r="BZ1" s="50" t="s">
        <v>6</v>
      </c>
      <c r="CA1" s="51" t="s">
        <v>7</v>
      </c>
      <c r="CB1" s="153" t="s">
        <v>419</v>
      </c>
      <c r="CC1" s="89" t="s">
        <v>4</v>
      </c>
      <c r="CD1" s="50" t="s">
        <v>5</v>
      </c>
      <c r="CE1" s="50" t="s">
        <v>6</v>
      </c>
      <c r="CF1" s="51" t="s">
        <v>7</v>
      </c>
      <c r="CG1" s="153" t="s">
        <v>420</v>
      </c>
      <c r="CH1" s="89" t="s">
        <v>4</v>
      </c>
      <c r="CI1" s="50" t="s">
        <v>5</v>
      </c>
      <c r="CJ1" s="50" t="s">
        <v>6</v>
      </c>
      <c r="CK1" s="51" t="s">
        <v>7</v>
      </c>
      <c r="CL1" s="153" t="s">
        <v>421</v>
      </c>
      <c r="CM1" s="89" t="s">
        <v>4</v>
      </c>
      <c r="CN1" s="50" t="s">
        <v>5</v>
      </c>
      <c r="CO1" s="50" t="s">
        <v>6</v>
      </c>
      <c r="CP1" s="51" t="s">
        <v>7</v>
      </c>
      <c r="CQ1" s="153" t="s">
        <v>422</v>
      </c>
      <c r="CR1" s="89" t="s">
        <v>4</v>
      </c>
      <c r="CS1" s="50" t="s">
        <v>5</v>
      </c>
      <c r="CT1" s="50" t="s">
        <v>6</v>
      </c>
      <c r="CU1" s="51" t="s">
        <v>7</v>
      </c>
      <c r="CV1" s="153" t="s">
        <v>423</v>
      </c>
      <c r="CW1" s="89" t="s">
        <v>4</v>
      </c>
      <c r="CX1" s="50" t="s">
        <v>5</v>
      </c>
      <c r="CY1" s="50" t="s">
        <v>6</v>
      </c>
      <c r="CZ1" s="51" t="s">
        <v>7</v>
      </c>
      <c r="DA1" s="153" t="s">
        <v>424</v>
      </c>
    </row>
    <row r="2" spans="1:105" s="248" customFormat="1" ht="18" customHeight="1" thickBot="1">
      <c r="A2" s="245"/>
      <c r="B2" s="245"/>
      <c r="C2" s="25"/>
      <c r="D2" s="246"/>
      <c r="E2" s="1"/>
      <c r="F2" s="193"/>
      <c r="G2" s="194"/>
      <c r="H2" s="194"/>
      <c r="I2" s="194"/>
      <c r="J2" s="195"/>
      <c r="K2" s="333"/>
      <c r="L2" s="158"/>
      <c r="M2" s="158"/>
      <c r="N2" s="159"/>
      <c r="O2" s="160"/>
      <c r="P2" s="333"/>
      <c r="Q2" s="158"/>
      <c r="R2" s="158"/>
      <c r="S2" s="159"/>
      <c r="T2" s="160"/>
      <c r="U2" s="157"/>
      <c r="V2" s="158"/>
      <c r="W2" s="158"/>
      <c r="X2" s="159"/>
      <c r="Y2" s="159"/>
      <c r="Z2" s="247"/>
      <c r="AA2" s="158"/>
      <c r="AB2" s="158"/>
      <c r="AC2" s="159"/>
      <c r="AD2" s="159"/>
      <c r="AE2" s="247"/>
      <c r="AF2" s="158"/>
      <c r="AG2" s="158"/>
      <c r="AH2" s="159"/>
      <c r="AI2" s="159"/>
      <c r="AJ2" s="247"/>
      <c r="AK2" s="158"/>
      <c r="AL2" s="158"/>
      <c r="AM2" s="159"/>
      <c r="AN2" s="159"/>
      <c r="AO2" s="247"/>
      <c r="AP2" s="158"/>
      <c r="AQ2" s="158"/>
      <c r="AR2" s="159"/>
      <c r="AS2" s="159"/>
      <c r="AT2" s="247"/>
      <c r="AU2" s="158"/>
      <c r="AV2" s="158"/>
      <c r="AW2" s="159"/>
      <c r="AX2" s="159"/>
      <c r="AY2" s="247"/>
      <c r="AZ2" s="158"/>
      <c r="BA2" s="158"/>
      <c r="BB2" s="159"/>
      <c r="BC2" s="159"/>
      <c r="BD2" s="247"/>
      <c r="BE2" s="158"/>
      <c r="BF2" s="158"/>
      <c r="BG2" s="159"/>
      <c r="BH2" s="159"/>
      <c r="BI2" s="247"/>
      <c r="BJ2" s="158"/>
      <c r="BK2" s="158"/>
      <c r="BL2" s="159"/>
      <c r="BM2" s="159"/>
      <c r="BN2" s="247"/>
      <c r="BO2" s="158"/>
      <c r="BP2" s="158"/>
      <c r="BQ2" s="159"/>
      <c r="BR2" s="159"/>
      <c r="BS2" s="247"/>
      <c r="BT2" s="158"/>
      <c r="BU2" s="158"/>
      <c r="BV2" s="159"/>
      <c r="BW2" s="159"/>
      <c r="BX2" s="247"/>
      <c r="BY2" s="158"/>
      <c r="BZ2" s="158"/>
      <c r="CA2" s="159"/>
      <c r="CB2" s="159"/>
      <c r="CC2" s="247"/>
      <c r="CD2" s="158"/>
      <c r="CE2" s="158"/>
      <c r="CF2" s="159"/>
      <c r="CG2" s="159"/>
      <c r="CH2" s="247"/>
      <c r="CI2" s="158"/>
      <c r="CJ2" s="158"/>
      <c r="CK2" s="159"/>
      <c r="CL2" s="159"/>
      <c r="CM2" s="247"/>
      <c r="CN2" s="158"/>
      <c r="CO2" s="158"/>
      <c r="CP2" s="159"/>
      <c r="CQ2" s="159"/>
      <c r="CR2" s="247"/>
      <c r="CS2" s="158"/>
      <c r="CT2" s="158"/>
      <c r="CU2" s="159"/>
      <c r="CV2" s="159"/>
      <c r="CW2" s="247"/>
      <c r="CX2" s="158"/>
      <c r="CY2" s="158"/>
      <c r="CZ2" s="159"/>
      <c r="DA2" s="159"/>
    </row>
    <row r="3" spans="1:105" s="255" customFormat="1" ht="18.95" customHeight="1">
      <c r="A3" s="250" t="s">
        <v>296</v>
      </c>
      <c r="B3" s="251" t="s">
        <v>8</v>
      </c>
      <c r="C3" s="252" t="s">
        <v>9</v>
      </c>
      <c r="D3" s="253" t="s">
        <v>10</v>
      </c>
      <c r="E3" s="21"/>
      <c r="F3" s="161"/>
      <c r="G3" s="82"/>
      <c r="H3" s="83"/>
      <c r="I3" s="162"/>
      <c r="J3" s="163"/>
      <c r="K3" s="161"/>
      <c r="L3" s="82"/>
      <c r="M3" s="83"/>
      <c r="N3" s="162"/>
      <c r="O3" s="163"/>
      <c r="P3" s="161"/>
      <c r="Q3" s="82"/>
      <c r="R3" s="83"/>
      <c r="S3" s="162"/>
      <c r="T3" s="163"/>
      <c r="U3" s="314"/>
      <c r="V3" s="82"/>
      <c r="W3" s="382" t="s">
        <v>222</v>
      </c>
      <c r="X3" s="162"/>
      <c r="Y3" s="383">
        <f>SUM(W3:W7)*1.1</f>
        <v>266598.77200000006</v>
      </c>
      <c r="Z3" s="254">
        <v>330000</v>
      </c>
      <c r="AA3" s="82"/>
      <c r="AB3" s="83">
        <v>100</v>
      </c>
      <c r="AC3" s="162"/>
      <c r="AD3" s="383">
        <f>SUM(AB3:AB7)*1.1</f>
        <v>254435.92900000003</v>
      </c>
      <c r="AE3" s="254"/>
      <c r="AF3" s="82"/>
      <c r="AG3" s="382">
        <f>3277.5+600</f>
        <v>3877.5</v>
      </c>
      <c r="AH3" s="162"/>
      <c r="AI3" s="383">
        <f>AI4*1.1</f>
        <v>304938.28200000001</v>
      </c>
      <c r="AJ3" s="254"/>
      <c r="AK3" s="82"/>
      <c r="AL3" s="83">
        <v>100</v>
      </c>
      <c r="AM3" s="162"/>
      <c r="AN3" s="383">
        <f>AN4*1.2</f>
        <v>244056.492</v>
      </c>
      <c r="AO3" s="254"/>
      <c r="AP3" s="82"/>
      <c r="AQ3" s="83">
        <v>100</v>
      </c>
      <c r="AR3" s="162"/>
      <c r="AS3" s="383">
        <f>SUM(AQ3:AQ7)*1.3</f>
        <v>417523.31400000007</v>
      </c>
      <c r="AT3" s="254"/>
      <c r="AU3" s="82"/>
      <c r="AV3" s="83">
        <v>100</v>
      </c>
      <c r="AW3" s="162"/>
      <c r="AX3" s="383">
        <f>SUM(AV3:AV7)*1</f>
        <v>339604.38</v>
      </c>
      <c r="AY3" s="254"/>
      <c r="AZ3" s="82"/>
      <c r="BA3" s="83">
        <v>100</v>
      </c>
      <c r="BB3" s="162"/>
      <c r="BC3" s="383">
        <f>SUM(BA3:BA7)*1.11</f>
        <v>341852.34989999997</v>
      </c>
      <c r="BD3" s="254"/>
      <c r="BE3" s="82"/>
      <c r="BF3" s="83">
        <v>100</v>
      </c>
      <c r="BG3" s="162"/>
      <c r="BH3" s="383">
        <f>SUM(BF3:BF7)*1.1</f>
        <v>326765.93400000001</v>
      </c>
      <c r="BI3" s="254"/>
      <c r="BJ3" s="82"/>
      <c r="BK3" s="83">
        <v>100</v>
      </c>
      <c r="BL3" s="162"/>
      <c r="BM3" s="383">
        <f>SUM(BK3:BK7)*1.1</f>
        <v>373177.56299999997</v>
      </c>
      <c r="BN3" s="254"/>
      <c r="BO3" s="82"/>
      <c r="BP3" s="83">
        <v>100</v>
      </c>
      <c r="BQ3" s="162"/>
      <c r="BR3" s="383">
        <f>SUM(BP3:BP7)*1.1</f>
        <v>407182.35800000007</v>
      </c>
      <c r="BS3" s="254"/>
      <c r="BT3" s="82"/>
      <c r="BU3" s="83">
        <v>100</v>
      </c>
      <c r="BV3" s="162"/>
      <c r="BW3" s="383">
        <f>SUM(BU3:BU7)*1.1</f>
        <v>385830.64300000004</v>
      </c>
      <c r="BX3" s="254"/>
      <c r="BY3" s="82"/>
      <c r="BZ3" s="83">
        <v>100</v>
      </c>
      <c r="CA3" s="162"/>
      <c r="CB3" s="383">
        <f>SUM(BZ3:BZ7)*1.1</f>
        <v>266185.50200000004</v>
      </c>
      <c r="CC3" s="254"/>
      <c r="CD3" s="82"/>
      <c r="CE3" s="83">
        <v>100</v>
      </c>
      <c r="CF3" s="162"/>
      <c r="CG3" s="383">
        <f>SUM(CE3:CE7)*1.1</f>
        <v>266185.50200000004</v>
      </c>
      <c r="CH3" s="254"/>
      <c r="CI3" s="82"/>
      <c r="CJ3" s="83">
        <v>100</v>
      </c>
      <c r="CK3" s="162"/>
      <c r="CL3" s="383">
        <f>SUM(CJ3:CJ7)*1.1</f>
        <v>266185.50200000004</v>
      </c>
      <c r="CM3" s="254"/>
      <c r="CN3" s="82"/>
      <c r="CO3" s="83">
        <v>100</v>
      </c>
      <c r="CP3" s="162"/>
      <c r="CQ3" s="383">
        <f>SUM(CO3:CO7)*1.1</f>
        <v>266185.50200000004</v>
      </c>
      <c r="CR3" s="254"/>
      <c r="CS3" s="82"/>
      <c r="CT3" s="83">
        <v>100</v>
      </c>
      <c r="CU3" s="162"/>
      <c r="CV3" s="383">
        <f>SUM(CT3:CT7)*1.1</f>
        <v>266185.50200000004</v>
      </c>
      <c r="CW3" s="254"/>
      <c r="CX3" s="82"/>
      <c r="CY3" s="83">
        <v>100</v>
      </c>
      <c r="CZ3" s="162"/>
      <c r="DA3" s="383">
        <f>SUM(CY3:CY7)*1.1</f>
        <v>266185.50200000004</v>
      </c>
    </row>
    <row r="4" spans="1:105" ht="26.25" customHeight="1">
      <c r="A4" s="256"/>
      <c r="B4" s="215"/>
      <c r="C4" s="45"/>
      <c r="D4" s="216" t="s">
        <v>11</v>
      </c>
      <c r="E4" s="22"/>
      <c r="F4" s="101"/>
      <c r="G4" s="50"/>
      <c r="H4" s="51"/>
      <c r="I4" s="52"/>
      <c r="J4" s="84"/>
      <c r="K4" s="101"/>
      <c r="L4" s="50"/>
      <c r="M4" s="51"/>
      <c r="N4" s="52"/>
      <c r="O4" s="84"/>
      <c r="P4" s="101"/>
      <c r="Q4" s="50"/>
      <c r="R4" s="51"/>
      <c r="S4" s="52"/>
      <c r="T4" s="84"/>
      <c r="U4" s="113"/>
      <c r="V4" s="50"/>
      <c r="W4" s="51"/>
      <c r="X4" s="52"/>
      <c r="Y4" s="403">
        <f>SUM(W3:W7)*1</f>
        <v>242362.52000000002</v>
      </c>
      <c r="Z4" s="90"/>
      <c r="AA4" s="50"/>
      <c r="AB4" s="51"/>
      <c r="AC4" s="52"/>
      <c r="AD4" s="403">
        <f>SUM(AB3:AB7)*1</f>
        <v>231305.39</v>
      </c>
      <c r="AE4" s="90"/>
      <c r="AF4" s="50"/>
      <c r="AG4" s="51"/>
      <c r="AH4" s="52"/>
      <c r="AI4" s="403">
        <f>SUM(AG6:AG7)+AH5+AG3*1</f>
        <v>277216.62</v>
      </c>
      <c r="AJ4" s="90"/>
      <c r="AK4" s="50"/>
      <c r="AL4" s="51"/>
      <c r="AM4" s="52"/>
      <c r="AN4" s="403">
        <f>SUM(AL6:AL7)+AM5+AL3*1</f>
        <v>203380.41</v>
      </c>
      <c r="AO4" s="90"/>
      <c r="AP4" s="50"/>
      <c r="AQ4" s="51"/>
      <c r="AR4" s="52"/>
      <c r="AS4" s="403">
        <f>SUM(AQ3:AQ7)*1</f>
        <v>321171.78000000003</v>
      </c>
      <c r="AT4" s="90"/>
      <c r="AU4" s="50"/>
      <c r="AV4" s="51"/>
      <c r="AW4" s="52"/>
      <c r="AX4" s="403">
        <f>SUM(AV3:AV7)*1</f>
        <v>339604.38</v>
      </c>
      <c r="AY4" s="90"/>
      <c r="AZ4" s="50"/>
      <c r="BA4" s="51"/>
      <c r="BB4" s="52"/>
      <c r="BC4" s="403">
        <f>SUM(BA7+BA6+BA3+BB5)</f>
        <v>334718.34999999998</v>
      </c>
      <c r="BD4" s="90"/>
      <c r="BE4" s="50"/>
      <c r="BF4" s="51"/>
      <c r="BG4" s="52"/>
      <c r="BH4" s="403">
        <f>SUM(BF3:BF7)*1</f>
        <v>297059.94</v>
      </c>
      <c r="BI4" s="90"/>
      <c r="BJ4" s="50"/>
      <c r="BK4" s="51"/>
      <c r="BL4" s="52"/>
      <c r="BM4" s="403">
        <f>SUM(BK3:BK7)*1</f>
        <v>339252.32999999996</v>
      </c>
      <c r="BN4" s="90"/>
      <c r="BO4" s="50"/>
      <c r="BP4" s="51"/>
      <c r="BQ4" s="52"/>
      <c r="BR4" s="403">
        <f>SUM(BP3:BP7)*1</f>
        <v>370165.78</v>
      </c>
      <c r="BS4" s="90"/>
      <c r="BT4" s="50"/>
      <c r="BU4" s="51"/>
      <c r="BV4" s="52"/>
      <c r="BW4" s="403">
        <f>SUM(BU7+BU6+BV5+BU3)*1</f>
        <v>401619.69</v>
      </c>
      <c r="BX4" s="90"/>
      <c r="BY4" s="50"/>
      <c r="BZ4" s="51"/>
      <c r="CA4" s="52"/>
      <c r="CB4" s="403">
        <f>SUM(BZ3:BZ7)*1</f>
        <v>241986.82</v>
      </c>
      <c r="CC4" s="90"/>
      <c r="CD4" s="50"/>
      <c r="CE4" s="51"/>
      <c r="CF4" s="52"/>
      <c r="CG4" s="403">
        <f>SUM(CE3:CE7)*1</f>
        <v>241986.82</v>
      </c>
      <c r="CH4" s="90"/>
      <c r="CI4" s="50"/>
      <c r="CJ4" s="51"/>
      <c r="CK4" s="52"/>
      <c r="CL4" s="403">
        <f>SUM(CJ3:CJ7)*1</f>
        <v>241986.82</v>
      </c>
      <c r="CM4" s="90"/>
      <c r="CN4" s="50"/>
      <c r="CO4" s="51"/>
      <c r="CP4" s="52"/>
      <c r="CQ4" s="403">
        <f>SUM(CO3:CO7)*1</f>
        <v>241986.82</v>
      </c>
      <c r="CR4" s="90"/>
      <c r="CS4" s="50"/>
      <c r="CT4" s="51"/>
      <c r="CU4" s="52"/>
      <c r="CV4" s="403">
        <f>SUM(CT3:CT7)*1</f>
        <v>241986.82</v>
      </c>
      <c r="CW4" s="90"/>
      <c r="CX4" s="50"/>
      <c r="CY4" s="51"/>
      <c r="CZ4" s="52"/>
      <c r="DA4" s="403">
        <f>SUM(CY3:CY7)*1</f>
        <v>241986.82</v>
      </c>
    </row>
    <row r="5" spans="1:105" ht="30" customHeight="1">
      <c r="A5" s="256"/>
      <c r="B5" s="215">
        <v>42095943</v>
      </c>
      <c r="C5" s="45" t="s">
        <v>12</v>
      </c>
      <c r="D5" s="216" t="s">
        <v>13</v>
      </c>
      <c r="E5" s="22"/>
      <c r="F5" s="102">
        <f>H5/G5</f>
        <v>6.2021215745411054</v>
      </c>
      <c r="G5" s="124">
        <v>38462</v>
      </c>
      <c r="H5" s="125">
        <v>238546</v>
      </c>
      <c r="I5" s="54">
        <v>270000</v>
      </c>
      <c r="J5" s="85"/>
      <c r="K5" s="102">
        <f>M5/L5</f>
        <v>6.4444440428138234</v>
      </c>
      <c r="L5" s="124">
        <v>49797</v>
      </c>
      <c r="M5" s="125">
        <v>320913.98</v>
      </c>
      <c r="N5" s="54">
        <v>270000</v>
      </c>
      <c r="O5" s="85"/>
      <c r="P5" s="102">
        <f>R5/Q5</f>
        <v>6.0761996898308839</v>
      </c>
      <c r="Q5" s="124">
        <v>40623</v>
      </c>
      <c r="R5" s="125">
        <v>246833.46</v>
      </c>
      <c r="S5" s="54">
        <v>325000</v>
      </c>
      <c r="T5" s="85"/>
      <c r="U5" s="114">
        <f>W5/V5</f>
        <v>5.1846597938144336</v>
      </c>
      <c r="V5" s="124">
        <v>46075</v>
      </c>
      <c r="W5" s="125">
        <v>238883.20000000001</v>
      </c>
      <c r="X5" s="54">
        <v>300000</v>
      </c>
      <c r="Y5" s="54"/>
      <c r="Z5" s="91">
        <f>AB5/AA5</f>
        <v>5.8564076046409923</v>
      </c>
      <c r="AA5" s="124">
        <v>38871</v>
      </c>
      <c r="AB5" s="125">
        <v>227644.42</v>
      </c>
      <c r="AC5" s="54">
        <v>250000</v>
      </c>
      <c r="AD5" s="54"/>
      <c r="AE5" s="91">
        <f>AG5/AF5</f>
        <v>5.843027470156767</v>
      </c>
      <c r="AF5" s="418">
        <v>41718</v>
      </c>
      <c r="AG5" s="419">
        <v>243759.42</v>
      </c>
      <c r="AH5" s="54">
        <v>270000</v>
      </c>
      <c r="AI5" s="55"/>
      <c r="AJ5" s="91">
        <f>AL5/AK5</f>
        <v>5.9171158248502262</v>
      </c>
      <c r="AK5" s="418">
        <v>41062</v>
      </c>
      <c r="AL5" s="419">
        <v>242968.61</v>
      </c>
      <c r="AM5" s="54">
        <v>200000</v>
      </c>
      <c r="AN5" s="55"/>
      <c r="AO5" s="91">
        <f>AQ5/AP5</f>
        <v>6.6963835529783866</v>
      </c>
      <c r="AP5" s="418">
        <v>47425</v>
      </c>
      <c r="AQ5" s="419">
        <v>317575.99</v>
      </c>
      <c r="AR5" s="55">
        <v>270000</v>
      </c>
      <c r="AS5" s="54"/>
      <c r="AT5" s="91">
        <f>AV5/AU5</f>
        <v>7.3038959595519328</v>
      </c>
      <c r="AU5" s="418">
        <v>45886</v>
      </c>
      <c r="AV5" s="419">
        <v>335146.57</v>
      </c>
      <c r="AW5" s="54">
        <f>130588.31+399432.6</f>
        <v>530020.90999999992</v>
      </c>
      <c r="AX5" s="54"/>
      <c r="AY5" s="91">
        <f>BA5/AZ5</f>
        <v>7.0350960203609434</v>
      </c>
      <c r="AZ5" s="418">
        <v>43220</v>
      </c>
      <c r="BA5" s="419">
        <v>304056.84999999998</v>
      </c>
      <c r="BB5" s="54">
        <v>330800.11</v>
      </c>
      <c r="BC5" s="54"/>
      <c r="BD5" s="91">
        <f>BF5/BE5</f>
        <v>7.1411038254010499</v>
      </c>
      <c r="BE5" s="418">
        <v>41329</v>
      </c>
      <c r="BF5" s="419">
        <v>295134.68</v>
      </c>
      <c r="BG5" s="54">
        <v>270000</v>
      </c>
      <c r="BH5" s="54"/>
      <c r="BI5" s="91">
        <f>BK5/BJ5</f>
        <v>7.4900641039958895</v>
      </c>
      <c r="BJ5" s="418">
        <v>44771</v>
      </c>
      <c r="BK5" s="419">
        <v>335337.65999999997</v>
      </c>
      <c r="BL5" s="54">
        <v>270000</v>
      </c>
      <c r="BM5" s="54"/>
      <c r="BN5" s="565">
        <f>BP5/BO5</f>
        <v>7.1331720659553834</v>
      </c>
      <c r="BO5" s="418">
        <v>51550</v>
      </c>
      <c r="BP5" s="419">
        <v>367715.02</v>
      </c>
      <c r="BQ5" s="54">
        <v>300000</v>
      </c>
      <c r="BR5" s="54"/>
      <c r="BS5" s="91">
        <f>BU5/BT5</f>
        <v>7.0676880194400766</v>
      </c>
      <c r="BT5" s="418">
        <v>48971</v>
      </c>
      <c r="BU5" s="419">
        <v>346111.75</v>
      </c>
      <c r="BV5" s="54">
        <v>396976.31</v>
      </c>
      <c r="BW5" s="54"/>
      <c r="BX5" s="91">
        <f>BZ5/BY5</f>
        <v>6.2021215745411054</v>
      </c>
      <c r="BY5" s="53">
        <v>38462</v>
      </c>
      <c r="BZ5" s="51">
        <v>238546</v>
      </c>
      <c r="CA5" s="54">
        <v>248322.31</v>
      </c>
      <c r="CB5" s="54"/>
      <c r="CC5" s="91">
        <f>CE5/CD5</f>
        <v>6.2021215745411054</v>
      </c>
      <c r="CD5" s="53">
        <v>38462</v>
      </c>
      <c r="CE5" s="51">
        <v>238546</v>
      </c>
      <c r="CF5" s="55"/>
      <c r="CG5" s="54"/>
      <c r="CH5" s="91">
        <f>CJ5/CI5</f>
        <v>6.2021215745411054</v>
      </c>
      <c r="CI5" s="53">
        <v>38462</v>
      </c>
      <c r="CJ5" s="51">
        <v>238546</v>
      </c>
      <c r="CK5" s="55"/>
      <c r="CL5" s="54"/>
      <c r="CM5" s="91">
        <f>CO5/CN5</f>
        <v>6.2021215745411054</v>
      </c>
      <c r="CN5" s="53">
        <v>38462</v>
      </c>
      <c r="CO5" s="51">
        <v>238546</v>
      </c>
      <c r="CP5" s="55"/>
      <c r="CQ5" s="54"/>
      <c r="CR5" s="91">
        <f>CT5/CS5</f>
        <v>6.2021215745411054</v>
      </c>
      <c r="CS5" s="53">
        <v>38462</v>
      </c>
      <c r="CT5" s="51">
        <v>238546</v>
      </c>
      <c r="CU5" s="55"/>
      <c r="CV5" s="54"/>
      <c r="CW5" s="91">
        <f>CY5/CX5</f>
        <v>6.2021215745411054</v>
      </c>
      <c r="CX5" s="53">
        <v>38462</v>
      </c>
      <c r="CY5" s="51">
        <v>238546</v>
      </c>
      <c r="CZ5" s="55"/>
      <c r="DA5" s="54"/>
    </row>
    <row r="6" spans="1:105" ht="30" customHeight="1">
      <c r="A6" s="256"/>
      <c r="B6" s="215">
        <v>22048622</v>
      </c>
      <c r="C6" s="45" t="s">
        <v>14</v>
      </c>
      <c r="D6" s="216" t="s">
        <v>15</v>
      </c>
      <c r="E6" s="22"/>
      <c r="F6" s="101"/>
      <c r="G6" s="126">
        <v>1</v>
      </c>
      <c r="H6" s="54">
        <v>990.06</v>
      </c>
      <c r="I6" s="127"/>
      <c r="J6" s="135"/>
      <c r="K6" s="101"/>
      <c r="L6" s="126">
        <v>1</v>
      </c>
      <c r="M6" s="54">
        <v>1198.26</v>
      </c>
      <c r="N6" s="127"/>
      <c r="O6" s="135"/>
      <c r="P6" s="101"/>
      <c r="Q6" s="126">
        <v>1</v>
      </c>
      <c r="R6" s="54">
        <v>1065.68</v>
      </c>
      <c r="S6" s="127"/>
      <c r="T6" s="135"/>
      <c r="U6" s="113"/>
      <c r="V6" s="126">
        <v>1</v>
      </c>
      <c r="W6" s="54">
        <v>1278.7</v>
      </c>
      <c r="X6" s="127"/>
      <c r="Y6" s="127"/>
      <c r="Z6" s="90"/>
      <c r="AA6" s="126">
        <v>1</v>
      </c>
      <c r="AB6" s="54">
        <v>1135.1300000000001</v>
      </c>
      <c r="AC6" s="127"/>
      <c r="AD6" s="127"/>
      <c r="AE6" s="90"/>
      <c r="AF6" s="126">
        <v>1</v>
      </c>
      <c r="AG6" s="54">
        <v>1251.1099999999999</v>
      </c>
      <c r="AH6" s="127"/>
      <c r="AI6" s="127"/>
      <c r="AJ6" s="90"/>
      <c r="AK6" s="126">
        <v>1</v>
      </c>
      <c r="AL6" s="54">
        <v>1342.54</v>
      </c>
      <c r="AM6" s="127"/>
      <c r="AN6" s="127"/>
      <c r="AO6" s="90"/>
      <c r="AP6" s="126">
        <v>1</v>
      </c>
      <c r="AQ6" s="372">
        <v>1595.46</v>
      </c>
      <c r="AR6" s="127"/>
      <c r="AS6" s="127"/>
      <c r="AT6" s="90"/>
      <c r="AU6" s="126">
        <v>1</v>
      </c>
      <c r="AV6" s="54">
        <v>1894.44</v>
      </c>
      <c r="AW6" s="127"/>
      <c r="AX6" s="127"/>
      <c r="AY6" s="90"/>
      <c r="AZ6" s="126">
        <v>1</v>
      </c>
      <c r="BA6" s="54">
        <v>2030.52</v>
      </c>
      <c r="BB6" s="127"/>
      <c r="BC6" s="127"/>
      <c r="BD6" s="90"/>
      <c r="BE6" s="126">
        <v>1</v>
      </c>
      <c r="BF6" s="54" t="s">
        <v>361</v>
      </c>
      <c r="BG6" s="127"/>
      <c r="BH6" s="127"/>
      <c r="BI6" s="90"/>
      <c r="BJ6" s="126">
        <v>1</v>
      </c>
      <c r="BK6" s="54" t="s">
        <v>367</v>
      </c>
      <c r="BL6" s="127"/>
      <c r="BM6" s="127"/>
      <c r="BN6" s="90"/>
      <c r="BO6" s="558">
        <v>1</v>
      </c>
      <c r="BP6" s="557" t="s">
        <v>385</v>
      </c>
      <c r="BQ6" s="421"/>
      <c r="BR6" s="127"/>
      <c r="BS6" s="90"/>
      <c r="BT6" s="558">
        <v>1</v>
      </c>
      <c r="BU6" s="557">
        <v>1742.18</v>
      </c>
      <c r="BV6" s="421"/>
      <c r="BW6" s="127"/>
      <c r="BX6" s="90"/>
      <c r="BY6" s="50">
        <v>1</v>
      </c>
      <c r="BZ6" s="55">
        <v>990.06</v>
      </c>
      <c r="CA6" s="52"/>
      <c r="CB6" s="127"/>
      <c r="CC6" s="90"/>
      <c r="CD6" s="50">
        <v>1</v>
      </c>
      <c r="CE6" s="55">
        <v>990.06</v>
      </c>
      <c r="CF6" s="52"/>
      <c r="CG6" s="127"/>
      <c r="CH6" s="90"/>
      <c r="CI6" s="50">
        <v>1</v>
      </c>
      <c r="CJ6" s="55">
        <v>990.06</v>
      </c>
      <c r="CK6" s="52"/>
      <c r="CL6" s="127"/>
      <c r="CM6" s="90"/>
      <c r="CN6" s="50">
        <v>1</v>
      </c>
      <c r="CO6" s="55">
        <v>990.06</v>
      </c>
      <c r="CP6" s="52"/>
      <c r="CQ6" s="127"/>
      <c r="CR6" s="90"/>
      <c r="CS6" s="50">
        <v>1</v>
      </c>
      <c r="CT6" s="55">
        <v>990.06</v>
      </c>
      <c r="CU6" s="52"/>
      <c r="CV6" s="127"/>
      <c r="CW6" s="90"/>
      <c r="CX6" s="50">
        <v>1</v>
      </c>
      <c r="CY6" s="55">
        <v>990.06</v>
      </c>
      <c r="CZ6" s="52"/>
      <c r="DA6" s="127"/>
    </row>
    <row r="7" spans="1:105" s="264" customFormat="1" ht="26.25" customHeight="1" thickBot="1">
      <c r="A7" s="257"/>
      <c r="B7" s="365" t="s">
        <v>212</v>
      </c>
      <c r="C7" s="20" t="s">
        <v>16</v>
      </c>
      <c r="D7" s="259" t="s">
        <v>17</v>
      </c>
      <c r="E7" s="23"/>
      <c r="F7" s="188">
        <v>37.536000000000001</v>
      </c>
      <c r="G7" s="189">
        <f>Таблица3[[#This Row],[Сумма]]/Таблица3[[#This Row],[Тариф]]</f>
        <v>59.627024722932646</v>
      </c>
      <c r="H7" s="190">
        <v>2238.16</v>
      </c>
      <c r="I7" s="191"/>
      <c r="J7" s="192"/>
      <c r="K7" s="188">
        <f>M7/L7</f>
        <v>37.928166666666669</v>
      </c>
      <c r="L7" s="189">
        <v>60</v>
      </c>
      <c r="M7" s="190">
        <v>2275.69</v>
      </c>
      <c r="N7" s="191"/>
      <c r="O7" s="192"/>
      <c r="P7" s="188">
        <f>R7/Q7</f>
        <v>37.928166666666669</v>
      </c>
      <c r="Q7" s="189">
        <v>60</v>
      </c>
      <c r="R7" s="190">
        <v>2275.69</v>
      </c>
      <c r="S7" s="191"/>
      <c r="T7" s="192"/>
      <c r="U7" s="315">
        <f>W7/V7</f>
        <v>37.941724137931033</v>
      </c>
      <c r="V7" s="189">
        <v>58</v>
      </c>
      <c r="W7" s="190">
        <v>2200.62</v>
      </c>
      <c r="X7" s="191"/>
      <c r="Y7" s="191"/>
      <c r="Z7" s="260">
        <f>AB7/AA7</f>
        <v>37.903750000000002</v>
      </c>
      <c r="AA7" s="189">
        <v>64</v>
      </c>
      <c r="AB7" s="190">
        <v>2425.84</v>
      </c>
      <c r="AC7" s="191"/>
      <c r="AD7" s="191"/>
      <c r="AE7" s="260">
        <f>AG7/AF7</f>
        <v>37.963818181818183</v>
      </c>
      <c r="AF7" s="189">
        <v>55</v>
      </c>
      <c r="AG7" s="190">
        <v>2088.0100000000002</v>
      </c>
      <c r="AH7" s="191"/>
      <c r="AI7" s="191"/>
      <c r="AJ7" s="260">
        <f>AL7/AK7</f>
        <v>37.997450980392152</v>
      </c>
      <c r="AK7" s="189">
        <v>51</v>
      </c>
      <c r="AL7" s="190">
        <v>1937.87</v>
      </c>
      <c r="AM7" s="191"/>
      <c r="AN7" s="191"/>
      <c r="AO7" s="260">
        <f>AQ7/AP7</f>
        <v>38.006599999999999</v>
      </c>
      <c r="AP7" s="189">
        <v>50</v>
      </c>
      <c r="AQ7" s="510">
        <v>1900.33</v>
      </c>
      <c r="AR7" s="191"/>
      <c r="AS7" s="191"/>
      <c r="AT7" s="260">
        <f>AV7/AU7</f>
        <v>37.897999999999996</v>
      </c>
      <c r="AU7" s="189">
        <v>65</v>
      </c>
      <c r="AV7" s="190">
        <v>2463.37</v>
      </c>
      <c r="AW7" s="191"/>
      <c r="AX7" s="191"/>
      <c r="AY7" s="260">
        <f>BA7/AZ7</f>
        <v>38.036595744680852</v>
      </c>
      <c r="AZ7" s="189">
        <v>47</v>
      </c>
      <c r="BA7" s="190">
        <v>1787.72</v>
      </c>
      <c r="BB7" s="191"/>
      <c r="BC7" s="191"/>
      <c r="BD7" s="260">
        <f>BF7/BE7</f>
        <v>38.026249999999997</v>
      </c>
      <c r="BE7" s="189">
        <v>48</v>
      </c>
      <c r="BF7" s="190">
        <f>1825.26</f>
        <v>1825.26</v>
      </c>
      <c r="BG7" s="191">
        <v>192.61</v>
      </c>
      <c r="BH7" s="191"/>
      <c r="BI7" s="260">
        <f>BK7/BJ7</f>
        <v>37.769009900990099</v>
      </c>
      <c r="BJ7" s="189">
        <v>101</v>
      </c>
      <c r="BK7" s="190">
        <v>3814.67</v>
      </c>
      <c r="BL7" s="191"/>
      <c r="BM7" s="191"/>
      <c r="BN7" s="566">
        <f>BP7/BO7</f>
        <v>37.915483870967748</v>
      </c>
      <c r="BO7" s="189">
        <v>62</v>
      </c>
      <c r="BP7" s="190">
        <v>2350.7600000000002</v>
      </c>
      <c r="BQ7" s="191"/>
      <c r="BR7" s="191"/>
      <c r="BS7" s="260">
        <f>BU7/BT7</f>
        <v>37.854054054054053</v>
      </c>
      <c r="BT7" s="189">
        <v>74</v>
      </c>
      <c r="BU7" s="190">
        <v>2801.2</v>
      </c>
      <c r="BV7" s="191"/>
      <c r="BW7" s="191"/>
      <c r="BX7" s="260">
        <f>BZ7/BY7</f>
        <v>37.915483870967748</v>
      </c>
      <c r="BY7" s="261">
        <v>62</v>
      </c>
      <c r="BZ7" s="262">
        <v>2350.7600000000002</v>
      </c>
      <c r="CA7" s="263"/>
      <c r="CB7" s="191"/>
      <c r="CC7" s="260">
        <f>CE7/CD7</f>
        <v>37.915483870967748</v>
      </c>
      <c r="CD7" s="261">
        <v>62</v>
      </c>
      <c r="CE7" s="262">
        <v>2350.7600000000002</v>
      </c>
      <c r="CF7" s="263"/>
      <c r="CG7" s="191"/>
      <c r="CH7" s="260">
        <f>CJ7/CI7</f>
        <v>37.915483870967748</v>
      </c>
      <c r="CI7" s="261">
        <v>62</v>
      </c>
      <c r="CJ7" s="262">
        <v>2350.7600000000002</v>
      </c>
      <c r="CK7" s="263"/>
      <c r="CL7" s="191"/>
      <c r="CM7" s="260">
        <f>CO7/CN7</f>
        <v>37.915483870967748</v>
      </c>
      <c r="CN7" s="261">
        <v>62</v>
      </c>
      <c r="CO7" s="262">
        <v>2350.7600000000002</v>
      </c>
      <c r="CP7" s="263"/>
      <c r="CQ7" s="191"/>
      <c r="CR7" s="260">
        <f>CT7/CS7</f>
        <v>37.915483870967748</v>
      </c>
      <c r="CS7" s="261">
        <v>62</v>
      </c>
      <c r="CT7" s="262">
        <v>2350.7600000000002</v>
      </c>
      <c r="CU7" s="263"/>
      <c r="CV7" s="191"/>
      <c r="CW7" s="260">
        <f>CY7/CX7</f>
        <v>37.915483870967748</v>
      </c>
      <c r="CX7" s="261">
        <v>62</v>
      </c>
      <c r="CY7" s="262">
        <v>2350.7600000000002</v>
      </c>
      <c r="CZ7" s="263"/>
      <c r="DA7" s="191"/>
    </row>
    <row r="8" spans="1:105" s="249" customFormat="1" ht="15" customHeight="1">
      <c r="A8" s="265" t="s">
        <v>297</v>
      </c>
      <c r="B8" s="5" t="s">
        <v>18</v>
      </c>
      <c r="C8" s="6" t="s">
        <v>19</v>
      </c>
      <c r="D8" s="7" t="s">
        <v>10</v>
      </c>
      <c r="E8" s="4"/>
      <c r="F8" s="196"/>
      <c r="G8" s="197"/>
      <c r="H8" s="197"/>
      <c r="I8" s="197"/>
      <c r="J8" s="325"/>
      <c r="K8" s="196"/>
      <c r="L8" s="197"/>
      <c r="M8" s="197"/>
      <c r="N8" s="197"/>
      <c r="O8" s="325"/>
      <c r="P8" s="196"/>
      <c r="Q8" s="197"/>
      <c r="R8" s="197"/>
      <c r="S8" s="197"/>
      <c r="T8" s="325"/>
      <c r="U8" s="207"/>
      <c r="V8" s="197"/>
      <c r="W8" s="204">
        <v>1990</v>
      </c>
      <c r="X8" s="197"/>
      <c r="Y8" s="402">
        <f>SUM(W8:W12)*1.1</f>
        <v>64870.718000000001</v>
      </c>
      <c r="Z8" s="36"/>
      <c r="AA8" s="197"/>
      <c r="AB8" s="204">
        <v>1548</v>
      </c>
      <c r="AC8" s="197"/>
      <c r="AD8" s="402">
        <f>SUM(AB8:AB12)*1.1</f>
        <v>49751.473200000008</v>
      </c>
      <c r="AE8" s="36"/>
      <c r="AF8" s="197"/>
      <c r="AG8" s="204">
        <v>1920</v>
      </c>
      <c r="AH8" s="197"/>
      <c r="AI8" s="402">
        <f>AI9*1.1</f>
        <v>64838.782799999994</v>
      </c>
      <c r="AJ8" s="36"/>
      <c r="AK8" s="197"/>
      <c r="AL8" s="204">
        <v>1990</v>
      </c>
      <c r="AM8" s="197"/>
      <c r="AN8" s="402">
        <f>AN9*1.2</f>
        <v>82628.32799999998</v>
      </c>
      <c r="AO8" s="36"/>
      <c r="AP8" s="204"/>
      <c r="AQ8" s="204">
        <v>1769</v>
      </c>
      <c r="AR8" s="204"/>
      <c r="AS8" s="402">
        <f>SUM(AQ8:AQ12)*1.2</f>
        <v>101644.944</v>
      </c>
      <c r="AT8" s="36"/>
      <c r="AU8" s="197"/>
      <c r="AV8" s="197"/>
      <c r="AW8" s="197"/>
      <c r="AX8" s="402">
        <f>SUM(AV8:AV12)*1.1</f>
        <v>106741.39080000001</v>
      </c>
      <c r="AY8" s="36"/>
      <c r="AZ8" s="197"/>
      <c r="BA8" s="197"/>
      <c r="BB8" s="197"/>
      <c r="BC8" s="402">
        <f>SUM(BA8:BA12)*1.22</f>
        <v>106425.64103999996</v>
      </c>
      <c r="BD8" s="36"/>
      <c r="BE8" s="197"/>
      <c r="BF8" s="197"/>
      <c r="BG8" s="197"/>
      <c r="BH8" s="402">
        <f>SUM(BF8:BF12)*1.1</f>
        <v>68123.642399999997</v>
      </c>
      <c r="BI8" s="36"/>
      <c r="BJ8" s="197"/>
      <c r="BK8" s="197"/>
      <c r="BL8" s="197"/>
      <c r="BM8" s="402">
        <f>SUM(BK8:BK12)*1.1</f>
        <v>104238.50139999999</v>
      </c>
      <c r="BN8" s="36"/>
      <c r="BO8" s="197"/>
      <c r="BP8" s="197"/>
      <c r="BQ8" s="197"/>
      <c r="BR8" s="402">
        <f>SUM(BP8:BP12)*1.1</f>
        <v>74189.055600000007</v>
      </c>
      <c r="BS8" s="36"/>
      <c r="BT8" s="197"/>
      <c r="BU8" s="197"/>
      <c r="BV8" s="197"/>
      <c r="BW8" s="402">
        <f>SUM(BU8:BU12)*1.1</f>
        <v>23640.7732</v>
      </c>
      <c r="BX8" s="36"/>
      <c r="BY8" s="197"/>
      <c r="BZ8" s="197"/>
      <c r="CA8" s="197"/>
      <c r="CB8" s="402">
        <f>SUM(BZ8:BZ12)*1.1</f>
        <v>41354.412000000004</v>
      </c>
      <c r="CC8" s="36"/>
      <c r="CD8" s="197"/>
      <c r="CE8" s="197"/>
      <c r="CF8" s="197"/>
      <c r="CG8" s="402">
        <f>SUM(CE8:CE12)*1.1</f>
        <v>41354.412000000004</v>
      </c>
      <c r="CH8" s="36"/>
      <c r="CI8" s="197"/>
      <c r="CJ8" s="197"/>
      <c r="CK8" s="197"/>
      <c r="CL8" s="402">
        <f>SUM(CJ8:CJ12)*1.1</f>
        <v>41354.412000000004</v>
      </c>
      <c r="CM8" s="36"/>
      <c r="CN8" s="197"/>
      <c r="CO8" s="197"/>
      <c r="CP8" s="197"/>
      <c r="CQ8" s="402">
        <f>SUM(CO8:CO12)*1.1</f>
        <v>41354.412000000004</v>
      </c>
      <c r="CR8" s="36"/>
      <c r="CS8" s="197"/>
      <c r="CT8" s="197"/>
      <c r="CU8" s="197"/>
      <c r="CV8" s="402">
        <f>SUM(CT8:CT12)*1.1</f>
        <v>41354.412000000004</v>
      </c>
      <c r="CW8" s="36"/>
      <c r="CX8" s="197"/>
      <c r="CY8" s="197"/>
      <c r="CZ8" s="197"/>
      <c r="DA8" s="402">
        <f>SUM(CY8:CY12)*1.1</f>
        <v>41354.412000000004</v>
      </c>
    </row>
    <row r="9" spans="1:105" ht="15" customHeight="1">
      <c r="A9" s="256"/>
      <c r="B9" s="215">
        <v>35791356</v>
      </c>
      <c r="C9" s="45" t="s">
        <v>20</v>
      </c>
      <c r="D9" s="216" t="s">
        <v>11</v>
      </c>
      <c r="E9" s="22"/>
      <c r="F9" s="103"/>
      <c r="G9" s="128">
        <v>1</v>
      </c>
      <c r="H9" s="74">
        <f>1.2*2899.56</f>
        <v>3479.4719999999998</v>
      </c>
      <c r="I9" s="128"/>
      <c r="J9" s="136"/>
      <c r="K9" s="103"/>
      <c r="L9" s="128">
        <v>1</v>
      </c>
      <c r="M9" s="74">
        <f>1.2*2899.56</f>
        <v>3479.4719999999998</v>
      </c>
      <c r="N9" s="128"/>
      <c r="O9" s="136"/>
      <c r="P9" s="103"/>
      <c r="Q9" s="128">
        <v>1</v>
      </c>
      <c r="R9" s="74">
        <f>1.2*2899.56</f>
        <v>3479.4719999999998</v>
      </c>
      <c r="S9" s="128"/>
      <c r="T9" s="136"/>
      <c r="U9" s="47"/>
      <c r="V9" s="128">
        <v>1</v>
      </c>
      <c r="W9" s="74">
        <f>1.2*2899.56</f>
        <v>3479.4719999999998</v>
      </c>
      <c r="X9" s="128"/>
      <c r="Y9" s="403">
        <f>SUM(W8:W12)*1</f>
        <v>58973.38</v>
      </c>
      <c r="Z9" s="46"/>
      <c r="AA9" s="128">
        <v>1</v>
      </c>
      <c r="AB9" s="74">
        <f>1.2*2899.56</f>
        <v>3479.4719999999998</v>
      </c>
      <c r="AC9" s="128"/>
      <c r="AD9" s="403">
        <f>SUM(AB8:AB12)*1</f>
        <v>45228.612000000001</v>
      </c>
      <c r="AE9" s="46"/>
      <c r="AF9" s="128">
        <v>1</v>
      </c>
      <c r="AG9" s="74">
        <f>1.2*2899.56</f>
        <v>3479.4719999999998</v>
      </c>
      <c r="AH9" s="128"/>
      <c r="AI9" s="403">
        <f>SUM(AG8:AG12)*1</f>
        <v>58944.347999999991</v>
      </c>
      <c r="AJ9" s="46"/>
      <c r="AK9" s="128">
        <v>1</v>
      </c>
      <c r="AL9" s="74">
        <f>1.2*2899.56</f>
        <v>3479.4719999999998</v>
      </c>
      <c r="AM9" s="128"/>
      <c r="AN9" s="403">
        <f>SUM(AL8:AL12)*1</f>
        <v>68856.939999999988</v>
      </c>
      <c r="AO9" s="46"/>
      <c r="AP9" s="128">
        <v>1</v>
      </c>
      <c r="AQ9" s="74">
        <f>1.2*2899.56</f>
        <v>3479.4719999999998</v>
      </c>
      <c r="AR9" s="128"/>
      <c r="AS9" s="403">
        <f>SUM(AQ8:AQ12)*1</f>
        <v>84704.12000000001</v>
      </c>
      <c r="AT9" s="46"/>
      <c r="AU9" s="128">
        <v>1</v>
      </c>
      <c r="AV9" s="74">
        <f>1.2*2899.56</f>
        <v>3479.4719999999998</v>
      </c>
      <c r="AW9" s="56"/>
      <c r="AX9" s="403">
        <f>SUM(AV8:AV12)*1</f>
        <v>97037.627999999997</v>
      </c>
      <c r="AY9" s="46"/>
      <c r="AZ9" s="128">
        <v>1</v>
      </c>
      <c r="BA9" s="74">
        <f>1.2*2899.56</f>
        <v>3479.4719999999998</v>
      </c>
      <c r="BB9" s="128"/>
      <c r="BC9" s="403">
        <f>SUM(BA8:BA12)*1</f>
        <v>87234.131999999969</v>
      </c>
      <c r="BD9" s="46"/>
      <c r="BE9" s="128">
        <v>1</v>
      </c>
      <c r="BF9" s="74">
        <f>1.2*2899.56</f>
        <v>3479.4719999999998</v>
      </c>
      <c r="BG9" s="128"/>
      <c r="BH9" s="403">
        <f>SUM(BF8:BF12)*1</f>
        <v>61930.583999999995</v>
      </c>
      <c r="BI9" s="46"/>
      <c r="BJ9" s="128">
        <v>1</v>
      </c>
      <c r="BK9" s="74">
        <f>1.2*2899.56</f>
        <v>3479.4719999999998</v>
      </c>
      <c r="BL9" s="128"/>
      <c r="BM9" s="403">
        <f>SUM(BK8:BK12)*1</f>
        <v>94762.27399999999</v>
      </c>
      <c r="BN9" s="46"/>
      <c r="BO9" s="128">
        <v>1</v>
      </c>
      <c r="BP9" s="74">
        <f>1.2*2899.56</f>
        <v>3479.4719999999998</v>
      </c>
      <c r="BQ9" s="128"/>
      <c r="BR9" s="403">
        <f>SUM(BP8:BP12)*1</f>
        <v>67444.596000000005</v>
      </c>
      <c r="BS9" s="46"/>
      <c r="BT9" s="56">
        <v>1</v>
      </c>
      <c r="BU9" s="57">
        <f>1.2*2899.56</f>
        <v>3479.4719999999998</v>
      </c>
      <c r="BV9" s="56"/>
      <c r="BW9" s="403">
        <f>SUM(BU8:BU12)*1</f>
        <v>21491.611999999997</v>
      </c>
      <c r="BX9" s="46"/>
      <c r="BY9" s="56">
        <v>1</v>
      </c>
      <c r="BZ9" s="57">
        <f>1.2*2899.56</f>
        <v>3479.4719999999998</v>
      </c>
      <c r="CA9" s="56"/>
      <c r="CB9" s="403">
        <f>SUM(BZ8:BZ12)*1</f>
        <v>37594.92</v>
      </c>
      <c r="CC9" s="46"/>
      <c r="CD9" s="56">
        <v>1</v>
      </c>
      <c r="CE9" s="57">
        <f>1.2*2899.56</f>
        <v>3479.4719999999998</v>
      </c>
      <c r="CF9" s="56"/>
      <c r="CG9" s="403">
        <f>SUM(CE8:CE12)*1</f>
        <v>37594.92</v>
      </c>
      <c r="CH9" s="46"/>
      <c r="CI9" s="56">
        <v>1</v>
      </c>
      <c r="CJ9" s="57">
        <f>1.2*2899.56</f>
        <v>3479.4719999999998</v>
      </c>
      <c r="CK9" s="56"/>
      <c r="CL9" s="403">
        <f>SUM(CJ8:CJ12)*1</f>
        <v>37594.92</v>
      </c>
      <c r="CM9" s="46"/>
      <c r="CN9" s="56">
        <v>1</v>
      </c>
      <c r="CO9" s="57">
        <f>1.2*2899.56</f>
        <v>3479.4719999999998</v>
      </c>
      <c r="CP9" s="56"/>
      <c r="CQ9" s="403">
        <f>SUM(CO8:CO12)*1</f>
        <v>37594.92</v>
      </c>
      <c r="CR9" s="46"/>
      <c r="CS9" s="56">
        <v>1</v>
      </c>
      <c r="CT9" s="57">
        <f>1.2*2899.56</f>
        <v>3479.4719999999998</v>
      </c>
      <c r="CU9" s="56"/>
      <c r="CV9" s="403">
        <f>SUM(CT8:CT12)*1</f>
        <v>37594.92</v>
      </c>
      <c r="CW9" s="46"/>
      <c r="CX9" s="56">
        <v>1</v>
      </c>
      <c r="CY9" s="57">
        <f>1.2*2899.56</f>
        <v>3479.4719999999998</v>
      </c>
      <c r="CZ9" s="56"/>
      <c r="DA9" s="403">
        <f>SUM(CY8:CY12)*1</f>
        <v>37594.92</v>
      </c>
    </row>
    <row r="10" spans="1:105" ht="15" customHeight="1">
      <c r="A10" s="256" t="s">
        <v>333</v>
      </c>
      <c r="B10" s="215"/>
      <c r="C10" s="45"/>
      <c r="D10" s="216" t="s">
        <v>13</v>
      </c>
      <c r="E10" s="22"/>
      <c r="F10" s="104">
        <f>H10/G10</f>
        <v>5.2317112697919903</v>
      </c>
      <c r="G10" s="128">
        <v>6442</v>
      </c>
      <c r="H10" s="74">
        <f>1.2*28085.57</f>
        <v>33702.684000000001</v>
      </c>
      <c r="I10" s="128"/>
      <c r="J10" s="136"/>
      <c r="K10" s="104">
        <f>M10/L10</f>
        <v>5.2938113207547168</v>
      </c>
      <c r="L10" s="128">
        <v>6837</v>
      </c>
      <c r="M10" s="74">
        <f>1.2*30161.49</f>
        <v>36193.788</v>
      </c>
      <c r="N10" s="128"/>
      <c r="O10" s="136"/>
      <c r="P10" s="104">
        <f>R10/Q10</f>
        <v>5.3313120149022044</v>
      </c>
      <c r="Q10" s="128">
        <v>6442</v>
      </c>
      <c r="R10" s="74">
        <f>1.2*28620.26</f>
        <v>34344.311999999998</v>
      </c>
      <c r="S10" s="128"/>
      <c r="T10" s="136"/>
      <c r="U10" s="115">
        <f>W10/V10</f>
        <v>5.2188720070942951</v>
      </c>
      <c r="V10" s="128">
        <v>10149</v>
      </c>
      <c r="W10" s="74">
        <f>1.2*44138.61</f>
        <v>52966.332000000002</v>
      </c>
      <c r="X10" s="128"/>
      <c r="Y10" s="128"/>
      <c r="Z10" s="92">
        <f>AB10/AA10</f>
        <v>5.0483035714285709</v>
      </c>
      <c r="AA10" s="128">
        <v>7840</v>
      </c>
      <c r="AB10" s="74">
        <f>1.2*32982.25</f>
        <v>39578.699999999997</v>
      </c>
      <c r="AC10" s="128"/>
      <c r="AD10" s="128"/>
      <c r="AE10" s="92">
        <f>AG10/AF10</f>
        <v>4.8623882743362827</v>
      </c>
      <c r="AF10" s="128">
        <v>10848</v>
      </c>
      <c r="AG10" s="74">
        <f>1.2*43955.99</f>
        <v>52747.187999999995</v>
      </c>
      <c r="AH10" s="128"/>
      <c r="AI10" s="128"/>
      <c r="AJ10" s="92">
        <f>AL10/AK10</f>
        <v>5.2394158432423374</v>
      </c>
      <c r="AK10" s="128">
        <v>11942</v>
      </c>
      <c r="AL10" s="74">
        <f>1.2*52140.92</f>
        <v>62569.103999999992</v>
      </c>
      <c r="AM10" s="128"/>
      <c r="AN10" s="128"/>
      <c r="AO10" s="92">
        <f>AQ10/AP10</f>
        <v>5.6894517251377215</v>
      </c>
      <c r="AP10" s="128">
        <v>13796</v>
      </c>
      <c r="AQ10" s="74">
        <f>1.2*65409.73</f>
        <v>78491.676000000007</v>
      </c>
      <c r="AR10" s="128"/>
      <c r="AS10" s="128"/>
      <c r="AT10" s="92">
        <f>AV10/AU10</f>
        <v>6.5030283982806001</v>
      </c>
      <c r="AU10" s="128">
        <v>14191</v>
      </c>
      <c r="AV10" s="74">
        <f>1.2*76903.73</f>
        <v>92284.475999999995</v>
      </c>
      <c r="AW10" s="128"/>
      <c r="AX10" s="128"/>
      <c r="AY10" s="92">
        <f>BA10/AZ10</f>
        <v>6.4884476908576803</v>
      </c>
      <c r="AZ10" s="128">
        <v>12732</v>
      </c>
      <c r="BA10" s="74">
        <f>1.2*68842.43</f>
        <v>82610.915999999983</v>
      </c>
      <c r="BB10" s="128"/>
      <c r="BC10" s="128"/>
      <c r="BD10" s="92">
        <f>BF10/BE10</f>
        <v>6.7719605077574041</v>
      </c>
      <c r="BE10" s="128">
        <v>8508</v>
      </c>
      <c r="BF10" s="74">
        <f>1.2*48013.2</f>
        <v>57615.839999999997</v>
      </c>
      <c r="BG10" s="128"/>
      <c r="BH10" s="128"/>
      <c r="BI10" s="92">
        <f>BK10/BJ10</f>
        <v>6.9206275830399511</v>
      </c>
      <c r="BJ10" s="128">
        <v>13066</v>
      </c>
      <c r="BK10" s="74">
        <f>1.2*75354.1</f>
        <v>90424.92</v>
      </c>
      <c r="BL10" s="128"/>
      <c r="BM10" s="128"/>
      <c r="BN10" s="92">
        <f>BP10/BO10</f>
        <v>7.0693801874163311</v>
      </c>
      <c r="BO10" s="128">
        <v>8964</v>
      </c>
      <c r="BP10" s="74">
        <f>1.2*52808.27</f>
        <v>63369.923999999992</v>
      </c>
      <c r="BQ10" s="128"/>
      <c r="BR10" s="128"/>
      <c r="BS10" s="92">
        <f>BU10/BT10</f>
        <v>6.1674965132496515</v>
      </c>
      <c r="BT10" s="128">
        <v>2868</v>
      </c>
      <c r="BU10" s="74">
        <v>17688.38</v>
      </c>
      <c r="BV10" s="128"/>
      <c r="BW10" s="128"/>
      <c r="BX10" s="92">
        <f>BZ10/BY10</f>
        <v>5.2317112697919903</v>
      </c>
      <c r="BY10" s="56">
        <v>6442</v>
      </c>
      <c r="BZ10" s="57">
        <f>1.2*28085.57</f>
        <v>33702.684000000001</v>
      </c>
      <c r="CA10" s="56"/>
      <c r="CB10" s="128"/>
      <c r="CC10" s="92">
        <f>CE10/CD10</f>
        <v>5.2317112697919903</v>
      </c>
      <c r="CD10" s="56">
        <v>6442</v>
      </c>
      <c r="CE10" s="57">
        <f>1.2*28085.57</f>
        <v>33702.684000000001</v>
      </c>
      <c r="CF10" s="56"/>
      <c r="CG10" s="128"/>
      <c r="CH10" s="92">
        <f>CJ10/CI10</f>
        <v>5.2317112697919903</v>
      </c>
      <c r="CI10" s="56">
        <v>6442</v>
      </c>
      <c r="CJ10" s="57">
        <f>1.2*28085.57</f>
        <v>33702.684000000001</v>
      </c>
      <c r="CK10" s="56"/>
      <c r="CL10" s="128"/>
      <c r="CM10" s="92">
        <f>CO10/CN10</f>
        <v>5.2317112697919903</v>
      </c>
      <c r="CN10" s="56">
        <v>6442</v>
      </c>
      <c r="CO10" s="57">
        <f>1.2*28085.57</f>
        <v>33702.684000000001</v>
      </c>
      <c r="CP10" s="56"/>
      <c r="CQ10" s="128"/>
      <c r="CR10" s="92">
        <f>CT10/CS10</f>
        <v>5.2317112697919903</v>
      </c>
      <c r="CS10" s="56">
        <v>6442</v>
      </c>
      <c r="CT10" s="57">
        <f>1.2*28085.57</f>
        <v>33702.684000000001</v>
      </c>
      <c r="CU10" s="56"/>
      <c r="CV10" s="128"/>
      <c r="CW10" s="92">
        <f>CY10/CX10</f>
        <v>5.2317112697919903</v>
      </c>
      <c r="CX10" s="56">
        <v>6442</v>
      </c>
      <c r="CY10" s="57">
        <f>1.2*28085.57</f>
        <v>33702.684000000001</v>
      </c>
      <c r="CZ10" s="56"/>
      <c r="DA10" s="128"/>
    </row>
    <row r="11" spans="1:105" ht="15" customHeight="1">
      <c r="A11" s="256"/>
      <c r="B11" s="215"/>
      <c r="C11" s="45"/>
      <c r="D11" s="216" t="s">
        <v>15</v>
      </c>
      <c r="E11" s="22"/>
      <c r="F11" s="103"/>
      <c r="G11" s="128">
        <v>1</v>
      </c>
      <c r="H11" s="74">
        <f>1.2*235.35</f>
        <v>282.41999999999996</v>
      </c>
      <c r="I11" s="128"/>
      <c r="J11" s="136"/>
      <c r="K11" s="103"/>
      <c r="L11" s="128">
        <v>1</v>
      </c>
      <c r="M11" s="74">
        <f>1.2*282.36</f>
        <v>338.83199999999999</v>
      </c>
      <c r="N11" s="128"/>
      <c r="O11" s="136"/>
      <c r="P11" s="103"/>
      <c r="Q11" s="128">
        <v>1</v>
      </c>
      <c r="R11" s="74">
        <f>1.2*334.73</f>
        <v>401.67599999999999</v>
      </c>
      <c r="S11" s="128"/>
      <c r="T11" s="136"/>
      <c r="U11" s="47"/>
      <c r="V11" s="128">
        <v>1</v>
      </c>
      <c r="W11" s="74">
        <f>1.2*344.42</f>
        <v>413.30400000000003</v>
      </c>
      <c r="X11" s="128"/>
      <c r="Y11" s="128"/>
      <c r="Z11" s="46"/>
      <c r="AA11" s="128">
        <v>1</v>
      </c>
      <c r="AB11" s="74">
        <f>1.2*407.54</f>
        <v>489.048</v>
      </c>
      <c r="AC11" s="128"/>
      <c r="AD11" s="128"/>
      <c r="AE11" s="46"/>
      <c r="AF11" s="128">
        <v>1</v>
      </c>
      <c r="AG11" s="74">
        <f>1.2*556.12</f>
        <v>667.34399999999994</v>
      </c>
      <c r="AH11" s="128"/>
      <c r="AI11" s="128"/>
      <c r="AJ11" s="46"/>
      <c r="AK11" s="128">
        <v>1</v>
      </c>
      <c r="AL11" s="74">
        <f>1.2*570.81</f>
        <v>684.97199999999987</v>
      </c>
      <c r="AM11" s="128"/>
      <c r="AN11" s="128"/>
      <c r="AO11" s="46"/>
      <c r="AP11" s="128">
        <v>1</v>
      </c>
      <c r="AQ11" s="74">
        <f>1.2*735.2</f>
        <v>882.24</v>
      </c>
      <c r="AR11" s="128"/>
      <c r="AS11" s="128"/>
      <c r="AT11" s="46"/>
      <c r="AU11" s="128">
        <v>1</v>
      </c>
      <c r="AV11" s="74">
        <f>1.2*909.73</f>
        <v>1091.6759999999999</v>
      </c>
      <c r="AW11" s="128"/>
      <c r="AX11" s="128"/>
      <c r="AY11" s="46"/>
      <c r="AZ11" s="128">
        <v>1</v>
      </c>
      <c r="BA11" s="74">
        <f>1.2*920.46</f>
        <v>1104.5519999999999</v>
      </c>
      <c r="BB11" s="128"/>
      <c r="BC11" s="128"/>
      <c r="BD11" s="46"/>
      <c r="BE11" s="128">
        <v>1</v>
      </c>
      <c r="BF11" s="74">
        <f>1.2*582.38</f>
        <v>698.85599999999999</v>
      </c>
      <c r="BG11" s="128"/>
      <c r="BH11" s="128"/>
      <c r="BI11" s="46"/>
      <c r="BJ11" s="128">
        <v>1</v>
      </c>
      <c r="BK11" s="74">
        <v>818.69</v>
      </c>
      <c r="BL11" s="128"/>
      <c r="BM11" s="128"/>
      <c r="BN11" s="46"/>
      <c r="BO11" s="128">
        <v>1</v>
      </c>
      <c r="BP11" s="74">
        <f>1.2*384.84</f>
        <v>461.80799999999994</v>
      </c>
      <c r="BQ11" s="128"/>
      <c r="BR11" s="128"/>
      <c r="BS11" s="46"/>
      <c r="BT11" s="128">
        <v>1</v>
      </c>
      <c r="BU11" s="74">
        <f>1.2*158.64</f>
        <v>190.36799999999997</v>
      </c>
      <c r="BV11" s="128"/>
      <c r="BW11" s="128"/>
      <c r="BX11" s="46"/>
      <c r="BY11" s="56">
        <v>1</v>
      </c>
      <c r="BZ11" s="57">
        <f>1.2*235.35</f>
        <v>282.41999999999996</v>
      </c>
      <c r="CA11" s="56"/>
      <c r="CB11" s="128"/>
      <c r="CC11" s="46"/>
      <c r="CD11" s="56">
        <v>1</v>
      </c>
      <c r="CE11" s="57">
        <f>1.2*235.35</f>
        <v>282.41999999999996</v>
      </c>
      <c r="CF11" s="56"/>
      <c r="CG11" s="128"/>
      <c r="CH11" s="46"/>
      <c r="CI11" s="56">
        <v>1</v>
      </c>
      <c r="CJ11" s="57">
        <f>1.2*235.35</f>
        <v>282.41999999999996</v>
      </c>
      <c r="CK11" s="56"/>
      <c r="CL11" s="128"/>
      <c r="CM11" s="46"/>
      <c r="CN11" s="56">
        <v>1</v>
      </c>
      <c r="CO11" s="57">
        <f>1.2*235.35</f>
        <v>282.41999999999996</v>
      </c>
      <c r="CP11" s="56"/>
      <c r="CQ11" s="128"/>
      <c r="CR11" s="46"/>
      <c r="CS11" s="56">
        <v>1</v>
      </c>
      <c r="CT11" s="57">
        <f>1.2*235.35</f>
        <v>282.41999999999996</v>
      </c>
      <c r="CU11" s="56"/>
      <c r="CV11" s="128"/>
      <c r="CW11" s="46"/>
      <c r="CX11" s="56">
        <v>1</v>
      </c>
      <c r="CY11" s="57">
        <f>1.2*235.35</f>
        <v>282.41999999999996</v>
      </c>
      <c r="CZ11" s="56"/>
      <c r="DA11" s="128"/>
    </row>
    <row r="12" spans="1:105" s="264" customFormat="1" ht="15" customHeight="1" thickBot="1">
      <c r="A12" s="257"/>
      <c r="B12" s="258"/>
      <c r="C12" s="20"/>
      <c r="D12" s="259" t="s">
        <v>17</v>
      </c>
      <c r="E12" s="23"/>
      <c r="F12" s="168">
        <f>H12/G12</f>
        <v>33.76787564766839</v>
      </c>
      <c r="G12" s="172">
        <v>3.86</v>
      </c>
      <c r="H12" s="170">
        <f>1.2*108.62</f>
        <v>130.34399999999999</v>
      </c>
      <c r="I12" s="172"/>
      <c r="J12" s="18"/>
      <c r="K12" s="168">
        <f>M12/L12</f>
        <v>28.797927461139896</v>
      </c>
      <c r="L12" s="172">
        <v>3.86</v>
      </c>
      <c r="M12" s="170">
        <v>111.16</v>
      </c>
      <c r="N12" s="172"/>
      <c r="O12" s="18"/>
      <c r="P12" s="168">
        <f>R12/Q12</f>
        <v>34.557512953367876</v>
      </c>
      <c r="Q12" s="172">
        <v>3.86</v>
      </c>
      <c r="R12" s="170">
        <f>1.2*111.16</f>
        <v>133.392</v>
      </c>
      <c r="S12" s="172"/>
      <c r="T12" s="18"/>
      <c r="U12" s="209">
        <f>W12/V12</f>
        <v>32.19481865284974</v>
      </c>
      <c r="V12" s="172">
        <v>3.86</v>
      </c>
      <c r="W12" s="170">
        <f>1.2*103.56</f>
        <v>124.27199999999999</v>
      </c>
      <c r="X12" s="172"/>
      <c r="Y12" s="172"/>
      <c r="Z12" s="3">
        <f>AB12/AA12</f>
        <v>34.557512953367876</v>
      </c>
      <c r="AA12" s="172">
        <v>3.86</v>
      </c>
      <c r="AB12" s="170">
        <f>1.2*111.16</f>
        <v>133.392</v>
      </c>
      <c r="AC12" s="172"/>
      <c r="AD12" s="172"/>
      <c r="AE12" s="3">
        <f>AG12/AF12</f>
        <v>34.665957446808513</v>
      </c>
      <c r="AF12" s="172">
        <v>3.76</v>
      </c>
      <c r="AG12" s="170">
        <f>1.2*108.62</f>
        <v>130.34399999999999</v>
      </c>
      <c r="AH12" s="172"/>
      <c r="AI12" s="172"/>
      <c r="AJ12" s="3">
        <f>AL12/AK12</f>
        <v>43.029677419354833</v>
      </c>
      <c r="AK12" s="172">
        <v>3.1</v>
      </c>
      <c r="AL12" s="170">
        <f>1.2*111.16</f>
        <v>133.392</v>
      </c>
      <c r="AM12" s="172"/>
      <c r="AN12" s="172"/>
      <c r="AO12" s="3">
        <f>AQ12/AP12</f>
        <v>21.174093264248704</v>
      </c>
      <c r="AP12" s="172">
        <v>3.86</v>
      </c>
      <c r="AQ12" s="170">
        <f>1.2*68.11</f>
        <v>81.731999999999999</v>
      </c>
      <c r="AR12" s="172"/>
      <c r="AS12" s="172"/>
      <c r="AT12" s="3">
        <f>AV12/AU12</f>
        <v>47.151295336787562</v>
      </c>
      <c r="AU12" s="172">
        <v>3.86</v>
      </c>
      <c r="AV12" s="170">
        <f>1.2*151.67</f>
        <v>182.00399999999999</v>
      </c>
      <c r="AW12" s="177"/>
      <c r="AX12" s="172"/>
      <c r="AY12" s="3">
        <f>BA12/AZ12</f>
        <v>10.153367875647668</v>
      </c>
      <c r="AZ12" s="172">
        <v>3.86</v>
      </c>
      <c r="BA12" s="170">
        <f>1.2*32.66</f>
        <v>39.191999999999993</v>
      </c>
      <c r="BB12" s="172"/>
      <c r="BC12" s="172"/>
      <c r="BD12" s="3">
        <f>BF12/BE12</f>
        <v>35.340932642487047</v>
      </c>
      <c r="BE12" s="172">
        <v>3.86</v>
      </c>
      <c r="BF12" s="506">
        <f>1.2*113.68</f>
        <v>136.416</v>
      </c>
      <c r="BG12" s="172"/>
      <c r="BH12" s="172"/>
      <c r="BI12" s="3">
        <f>BK12/BJ12</f>
        <v>39.191999999999993</v>
      </c>
      <c r="BJ12" s="172">
        <v>1</v>
      </c>
      <c r="BK12" s="170">
        <f>1.2*32.66</f>
        <v>39.191999999999993</v>
      </c>
      <c r="BL12" s="172"/>
      <c r="BM12" s="172"/>
      <c r="BN12" s="3">
        <f>BP12/BO12</f>
        <v>133.392</v>
      </c>
      <c r="BO12" s="172">
        <v>1</v>
      </c>
      <c r="BP12" s="170">
        <f>1.2*111.16</f>
        <v>133.392</v>
      </c>
      <c r="BQ12" s="177"/>
      <c r="BR12" s="172"/>
      <c r="BS12" s="3">
        <f>BU12/BT12</f>
        <v>133.392</v>
      </c>
      <c r="BT12" s="172">
        <v>1</v>
      </c>
      <c r="BU12" s="170">
        <f>1.2*111.16</f>
        <v>133.392</v>
      </c>
      <c r="BV12" s="172"/>
      <c r="BW12" s="172"/>
      <c r="BX12" s="3">
        <f>BZ12/BY12</f>
        <v>2.1023225806451613</v>
      </c>
      <c r="BY12" s="177">
        <v>62</v>
      </c>
      <c r="BZ12" s="169">
        <f>1.2*108.62</f>
        <v>130.34399999999999</v>
      </c>
      <c r="CA12" s="177"/>
      <c r="CB12" s="172"/>
      <c r="CC12" s="3">
        <f>CE12/CD12</f>
        <v>2.1023225806451613</v>
      </c>
      <c r="CD12" s="177">
        <v>62</v>
      </c>
      <c r="CE12" s="169">
        <f>1.2*108.62</f>
        <v>130.34399999999999</v>
      </c>
      <c r="CF12" s="177"/>
      <c r="CG12" s="172"/>
      <c r="CH12" s="3">
        <f>CJ12/CI12</f>
        <v>2.1023225806451613</v>
      </c>
      <c r="CI12" s="177">
        <v>62</v>
      </c>
      <c r="CJ12" s="169">
        <f>1.2*108.62</f>
        <v>130.34399999999999</v>
      </c>
      <c r="CK12" s="177"/>
      <c r="CL12" s="172"/>
      <c r="CM12" s="3">
        <f>CO12/CN12</f>
        <v>2.1023225806451613</v>
      </c>
      <c r="CN12" s="177">
        <v>62</v>
      </c>
      <c r="CO12" s="169">
        <f>1.2*108.62</f>
        <v>130.34399999999999</v>
      </c>
      <c r="CP12" s="177"/>
      <c r="CQ12" s="172"/>
      <c r="CR12" s="3">
        <f>CT12/CS12</f>
        <v>2.1023225806451613</v>
      </c>
      <c r="CS12" s="177">
        <v>62</v>
      </c>
      <c r="CT12" s="169">
        <f>1.2*108.62</f>
        <v>130.34399999999999</v>
      </c>
      <c r="CU12" s="177"/>
      <c r="CV12" s="172"/>
      <c r="CW12" s="3">
        <f>CY12/CX12</f>
        <v>2.1023225806451613</v>
      </c>
      <c r="CX12" s="177">
        <v>62</v>
      </c>
      <c r="CY12" s="169">
        <f>1.2*108.62</f>
        <v>130.34399999999999</v>
      </c>
      <c r="CZ12" s="177"/>
      <c r="DA12" s="172"/>
    </row>
    <row r="13" spans="1:105" s="249" customFormat="1" ht="15" customHeight="1">
      <c r="A13" s="265" t="s">
        <v>298</v>
      </c>
      <c r="B13" s="5" t="s">
        <v>21</v>
      </c>
      <c r="C13" s="6" t="s">
        <v>19</v>
      </c>
      <c r="D13" s="7" t="s">
        <v>10</v>
      </c>
      <c r="E13" s="4"/>
      <c r="F13" s="196"/>
      <c r="G13" s="197"/>
      <c r="H13" s="197"/>
      <c r="I13" s="38"/>
      <c r="J13" s="206"/>
      <c r="K13" s="196"/>
      <c r="L13" s="197"/>
      <c r="M13" s="197"/>
      <c r="N13" s="38"/>
      <c r="O13" s="206"/>
      <c r="P13" s="196"/>
      <c r="Q13" s="197"/>
      <c r="R13" s="197"/>
      <c r="S13" s="38"/>
      <c r="T13" s="206"/>
      <c r="U13" s="207"/>
      <c r="V13" s="197"/>
      <c r="W13" s="204">
        <v>1769</v>
      </c>
      <c r="X13" s="38"/>
      <c r="Y13" s="383">
        <f>SUM(W13:W16)*1.1</f>
        <v>69137.351800000004</v>
      </c>
      <c r="Z13" s="36"/>
      <c r="AA13" s="197"/>
      <c r="AB13" s="204">
        <v>1769</v>
      </c>
      <c r="AC13" s="38"/>
      <c r="AD13" s="383">
        <f>SUM(AB13:AB16)*1.1</f>
        <v>64896.5504</v>
      </c>
      <c r="AE13" s="36"/>
      <c r="AF13" s="197"/>
      <c r="AG13" s="204">
        <v>2211</v>
      </c>
      <c r="AH13" s="38"/>
      <c r="AI13" s="383">
        <f>AI14*1.1</f>
        <v>119705.905</v>
      </c>
      <c r="AJ13" s="36"/>
      <c r="AK13" s="197"/>
      <c r="AL13" s="204">
        <v>1327</v>
      </c>
      <c r="AM13" s="38"/>
      <c r="AN13" s="383">
        <f>AN14*1.2</f>
        <v>155518.6992</v>
      </c>
      <c r="AO13" s="36"/>
      <c r="AP13" s="197"/>
      <c r="AQ13" s="204">
        <v>2211</v>
      </c>
      <c r="AR13" s="38"/>
      <c r="AS13" s="383">
        <f>SUM(AQ13:AQ16)*1.2</f>
        <v>142971.73919999998</v>
      </c>
      <c r="AT13" s="36"/>
      <c r="AU13" s="197"/>
      <c r="AV13" s="197"/>
      <c r="AW13" s="38"/>
      <c r="AX13" s="383">
        <f>SUM(AV13:AV16)*1.1</f>
        <v>145006.85100000002</v>
      </c>
      <c r="AY13" s="36"/>
      <c r="AZ13" s="197"/>
      <c r="BA13" s="197"/>
      <c r="BB13" s="38"/>
      <c r="BC13" s="383">
        <f>SUM(BA14:BA16)*1.2</f>
        <v>139319.87279999998</v>
      </c>
      <c r="BD13" s="36"/>
      <c r="BE13" s="197"/>
      <c r="BF13" s="197"/>
      <c r="BG13" s="38"/>
      <c r="BH13" s="383">
        <f>SUM(BF13:BF16)*1.1</f>
        <v>109403.83520000002</v>
      </c>
      <c r="BI13" s="36"/>
      <c r="BJ13" s="197"/>
      <c r="BK13" s="197"/>
      <c r="BL13" s="38"/>
      <c r="BM13" s="383">
        <f>SUM(BK13:BK16)*1.1</f>
        <v>104134.1378</v>
      </c>
      <c r="BN13" s="36"/>
      <c r="BO13" s="197"/>
      <c r="BP13" s="197"/>
      <c r="BQ13" s="38"/>
      <c r="BR13" s="383">
        <f>SUM(BP13:BP16)*1.1</f>
        <v>104482.36040000001</v>
      </c>
      <c r="BS13" s="36"/>
      <c r="BT13" s="197"/>
      <c r="BU13" s="197"/>
      <c r="BV13" s="38"/>
      <c r="BW13" s="383">
        <f>SUM(BU13:BU16)*1.1</f>
        <v>104340.06879999999</v>
      </c>
      <c r="BX13" s="36"/>
      <c r="BY13" s="197"/>
      <c r="BZ13" s="197"/>
      <c r="CA13" s="38"/>
      <c r="CB13" s="383">
        <f>SUM(BZ13:BZ16)*1.1</f>
        <v>24808.887399999996</v>
      </c>
      <c r="CC13" s="36"/>
      <c r="CD13" s="197"/>
      <c r="CE13" s="197"/>
      <c r="CF13" s="38"/>
      <c r="CG13" s="383">
        <f>SUM(CE13:CE16)*1.1</f>
        <v>24808.887399999996</v>
      </c>
      <c r="CH13" s="36"/>
      <c r="CI13" s="197"/>
      <c r="CJ13" s="197"/>
      <c r="CK13" s="38"/>
      <c r="CL13" s="383">
        <f>SUM(CJ13:CJ16)*1.1</f>
        <v>24808.887399999996</v>
      </c>
      <c r="CM13" s="36"/>
      <c r="CN13" s="197"/>
      <c r="CO13" s="197"/>
      <c r="CP13" s="38"/>
      <c r="CQ13" s="383">
        <f>SUM(CO13:CO16)*1.1</f>
        <v>24808.887399999996</v>
      </c>
      <c r="CR13" s="36"/>
      <c r="CS13" s="197"/>
      <c r="CT13" s="197"/>
      <c r="CU13" s="38"/>
      <c r="CV13" s="383">
        <f>SUM(CT13:CT16)*1.1</f>
        <v>24808.887399999996</v>
      </c>
      <c r="CW13" s="36"/>
      <c r="CX13" s="197"/>
      <c r="CY13" s="197"/>
      <c r="CZ13" s="38"/>
      <c r="DA13" s="383">
        <f>SUM(CY13:CY16)*1.1</f>
        <v>24808.887399999996</v>
      </c>
    </row>
    <row r="14" spans="1:105" ht="15" customHeight="1">
      <c r="A14" s="256"/>
      <c r="B14" s="215">
        <v>41916045</v>
      </c>
      <c r="C14" s="45" t="s">
        <v>195</v>
      </c>
      <c r="D14" s="216" t="s">
        <v>13</v>
      </c>
      <c r="E14" s="22"/>
      <c r="F14" s="104">
        <f>H14/G14</f>
        <v>5.3077204843592325</v>
      </c>
      <c r="G14" s="69">
        <v>3964</v>
      </c>
      <c r="H14" s="137">
        <v>21039.803999999996</v>
      </c>
      <c r="I14" s="137">
        <v>14610.974999999999</v>
      </c>
      <c r="J14" s="147"/>
      <c r="K14" s="104">
        <f>M14/L14</f>
        <v>5.3685484344422703</v>
      </c>
      <c r="L14" s="69">
        <v>8176</v>
      </c>
      <c r="M14" s="137">
        <v>43893.252</v>
      </c>
      <c r="N14" s="137">
        <v>43893.252</v>
      </c>
      <c r="O14" s="147"/>
      <c r="P14" s="104">
        <f>R14/Q14</f>
        <v>4.9663921852387833</v>
      </c>
      <c r="Q14" s="69">
        <v>8292</v>
      </c>
      <c r="R14" s="137">
        <f>34317.77*1.2</f>
        <v>41181.323999999993</v>
      </c>
      <c r="S14" s="137">
        <v>41181.323999999993</v>
      </c>
      <c r="T14" s="147"/>
      <c r="U14" s="115">
        <f>W14/V14</f>
        <v>5.2077240641711224</v>
      </c>
      <c r="V14" s="69">
        <v>11220</v>
      </c>
      <c r="W14" s="137">
        <v>58430.663999999997</v>
      </c>
      <c r="X14" s="137">
        <v>58430.663999999997</v>
      </c>
      <c r="Y14" s="403">
        <f>SUM(W13:W16)*1</f>
        <v>62852.137999999999</v>
      </c>
      <c r="Z14" s="92">
        <f>AB14/AA14</f>
        <v>4.6829516957862278</v>
      </c>
      <c r="AA14" s="69">
        <v>11676</v>
      </c>
      <c r="AB14" s="137">
        <v>54678.144</v>
      </c>
      <c r="AC14" s="137">
        <v>54678.144</v>
      </c>
      <c r="AD14" s="403">
        <f>SUM(AB13:AB16)*1</f>
        <v>58996.863999999994</v>
      </c>
      <c r="AE14" s="92">
        <f>AG14/AF14</f>
        <v>4.8199439746300214</v>
      </c>
      <c r="AF14" s="410">
        <v>15136</v>
      </c>
      <c r="AG14" s="417">
        <v>72954.672000000006</v>
      </c>
      <c r="AH14" s="137">
        <f>28777.97+74729.76</f>
        <v>103507.73</v>
      </c>
      <c r="AI14" s="403">
        <f>SUM(AG15:AG16)+AH14+AG13*1</f>
        <v>108823.54999999999</v>
      </c>
      <c r="AJ14" s="92">
        <f>AL14/AK14</f>
        <v>4.9792202797202796</v>
      </c>
      <c r="AK14" s="410">
        <v>17160</v>
      </c>
      <c r="AL14" s="417">
        <v>85443.42</v>
      </c>
      <c r="AM14" s="137">
        <f>37070.31+89591.256</f>
        <v>126661.56599999999</v>
      </c>
      <c r="AN14" s="403">
        <f>SUM(AL15:AL16)+AM14+AL13*1</f>
        <v>129598.916</v>
      </c>
      <c r="AO14" s="92">
        <f>AQ14/AP14</f>
        <v>5.9466957888120673</v>
      </c>
      <c r="AP14" s="410">
        <v>19092</v>
      </c>
      <c r="AQ14" s="417">
        <v>113534.31599999999</v>
      </c>
      <c r="AR14" s="137">
        <v>128034.996</v>
      </c>
      <c r="AS14" s="403">
        <f>SUM(AQ13:AQ16)*1</f>
        <v>119143.11599999999</v>
      </c>
      <c r="AT14" s="92">
        <f>AV14/AU14</f>
        <v>6.6107629568449306</v>
      </c>
      <c r="AU14" s="410">
        <v>19372</v>
      </c>
      <c r="AV14" s="417">
        <v>128063.7</v>
      </c>
      <c r="AW14" s="59">
        <v>14610.974999999999</v>
      </c>
      <c r="AX14" s="403">
        <f>SUM(AV13:AV16)*1</f>
        <v>131824.41</v>
      </c>
      <c r="AY14" s="92">
        <f>BA14/AZ14</f>
        <v>6.349451831750339</v>
      </c>
      <c r="AZ14" s="410">
        <v>17688</v>
      </c>
      <c r="BA14" s="417">
        <v>112309.10399999999</v>
      </c>
      <c r="BB14" s="137">
        <v>93590.92</v>
      </c>
      <c r="BC14" s="403">
        <f>(BA16+BA15+BA14)*1</f>
        <v>116099.89399999999</v>
      </c>
      <c r="BD14" s="92">
        <f>BF14/BE14</f>
        <v>6.2594403693254685</v>
      </c>
      <c r="BE14" s="410">
        <v>15596</v>
      </c>
      <c r="BF14" s="417">
        <v>97622.232000000004</v>
      </c>
      <c r="BG14" s="137">
        <v>93590.92</v>
      </c>
      <c r="BH14" s="403">
        <f>SUM(BF13:BF16)*1</f>
        <v>99458.032000000007</v>
      </c>
      <c r="BI14" s="92">
        <f>BK14/BJ14</f>
        <v>6.7596598420590812</v>
      </c>
      <c r="BJ14" s="410">
        <v>13676</v>
      </c>
      <c r="BK14" s="417">
        <v>92445.107999999993</v>
      </c>
      <c r="BL14" s="137">
        <v>77284.27</v>
      </c>
      <c r="BM14" s="403">
        <f>SUM(BK13:BK16)*1</f>
        <v>94667.397999999986</v>
      </c>
      <c r="BN14" s="405">
        <f>BP14/BO14</f>
        <v>6.4951201692524672</v>
      </c>
      <c r="BO14" s="410">
        <v>14180</v>
      </c>
      <c r="BP14" s="417">
        <v>92100.803999999989</v>
      </c>
      <c r="BQ14" s="59">
        <v>14610.974999999999</v>
      </c>
      <c r="BR14" s="403">
        <f>SUM(BP13:BP16)*1</f>
        <v>94983.963999999993</v>
      </c>
      <c r="BS14" s="92">
        <f>BU14/BT14</f>
        <v>6.131988019169329</v>
      </c>
      <c r="BT14" s="410">
        <v>15024</v>
      </c>
      <c r="BU14" s="417">
        <v>92126.987999999998</v>
      </c>
      <c r="BV14" s="137">
        <v>93423.62</v>
      </c>
      <c r="BW14" s="403">
        <f>SUM(BU16+BU15+BV14)*1</f>
        <v>96151.239999999991</v>
      </c>
      <c r="BX14" s="92">
        <f>BZ14/BY14</f>
        <v>5.3077204843592325</v>
      </c>
      <c r="BY14" s="58">
        <v>3964</v>
      </c>
      <c r="BZ14" s="59">
        <v>21039.803999999996</v>
      </c>
      <c r="CA14" s="137" t="s">
        <v>442</v>
      </c>
      <c r="CB14" s="403">
        <f>SUM(BZ13:BZ16)*1</f>
        <v>22553.533999999996</v>
      </c>
      <c r="CC14" s="92">
        <f>CE14/CD14</f>
        <v>5.3077204843592325</v>
      </c>
      <c r="CD14" s="58">
        <v>3964</v>
      </c>
      <c r="CE14" s="59">
        <v>21039.803999999996</v>
      </c>
      <c r="CF14" s="59">
        <v>14610.974999999999</v>
      </c>
      <c r="CG14" s="403">
        <f>SUM(CE13:CE16)*1</f>
        <v>22553.533999999996</v>
      </c>
      <c r="CH14" s="92">
        <f>CJ14/CI14</f>
        <v>5.3077204843592325</v>
      </c>
      <c r="CI14" s="58">
        <v>3964</v>
      </c>
      <c r="CJ14" s="59">
        <v>21039.803999999996</v>
      </c>
      <c r="CK14" s="59">
        <v>14610.974999999999</v>
      </c>
      <c r="CL14" s="403">
        <f>SUM(CJ13:CJ16)*1</f>
        <v>22553.533999999996</v>
      </c>
      <c r="CM14" s="92">
        <f>CO14/CN14</f>
        <v>5.3077204843592325</v>
      </c>
      <c r="CN14" s="58">
        <v>3964</v>
      </c>
      <c r="CO14" s="59">
        <v>21039.803999999996</v>
      </c>
      <c r="CP14" s="59">
        <v>14610.974999999999</v>
      </c>
      <c r="CQ14" s="403">
        <f>SUM(CO13:CO16)*1</f>
        <v>22553.533999999996</v>
      </c>
      <c r="CR14" s="92">
        <f>CT14/CS14</f>
        <v>5.3077204843592325</v>
      </c>
      <c r="CS14" s="58">
        <v>3964</v>
      </c>
      <c r="CT14" s="59">
        <v>21039.803999999996</v>
      </c>
      <c r="CU14" s="59">
        <v>14610.974999999999</v>
      </c>
      <c r="CV14" s="403">
        <f>SUM(CT13:CT16)*1</f>
        <v>22553.533999999996</v>
      </c>
      <c r="CW14" s="92">
        <f>CY14/CX14</f>
        <v>5.3077204843592325</v>
      </c>
      <c r="CX14" s="58">
        <v>3964</v>
      </c>
      <c r="CY14" s="59">
        <v>21039.803999999996</v>
      </c>
      <c r="CZ14" s="59">
        <v>14610.974999999999</v>
      </c>
      <c r="DA14" s="403">
        <f>SUM(CY13:CY16)*1</f>
        <v>22553.533999999996</v>
      </c>
    </row>
    <row r="15" spans="1:105" ht="15" customHeight="1">
      <c r="A15" s="256"/>
      <c r="B15" s="215">
        <v>41946011</v>
      </c>
      <c r="C15" s="45" t="s">
        <v>200</v>
      </c>
      <c r="D15" s="216" t="s">
        <v>15</v>
      </c>
      <c r="E15" s="22"/>
      <c r="F15" s="103"/>
      <c r="G15" s="56">
        <v>0</v>
      </c>
      <c r="H15" s="58">
        <v>0</v>
      </c>
      <c r="I15" s="44"/>
      <c r="J15" s="88"/>
      <c r="K15" s="103"/>
      <c r="L15" s="128">
        <v>0</v>
      </c>
      <c r="M15" s="69">
        <v>651.98</v>
      </c>
      <c r="N15" s="81"/>
      <c r="O15" s="88"/>
      <c r="P15" s="103"/>
      <c r="Q15" s="128">
        <v>0</v>
      </c>
      <c r="R15" s="69">
        <v>650.04999999999995</v>
      </c>
      <c r="S15" s="81"/>
      <c r="T15" s="88"/>
      <c r="U15" s="47"/>
      <c r="V15" s="128"/>
      <c r="W15" s="69">
        <v>945.50400000000002</v>
      </c>
      <c r="X15" s="81"/>
      <c r="Y15" s="81"/>
      <c r="Z15" s="46"/>
      <c r="AA15" s="128">
        <v>0</v>
      </c>
      <c r="AB15" s="69">
        <v>1068.2</v>
      </c>
      <c r="AC15" s="81"/>
      <c r="AD15" s="81"/>
      <c r="AE15" s="46"/>
      <c r="AF15" s="128">
        <v>0</v>
      </c>
      <c r="AG15" s="410">
        <v>1462.27</v>
      </c>
      <c r="AH15" s="81"/>
      <c r="AI15" s="81"/>
      <c r="AJ15" s="46"/>
      <c r="AK15" s="56">
        <v>0</v>
      </c>
      <c r="AL15" s="410" t="s">
        <v>289</v>
      </c>
      <c r="AM15" s="44"/>
      <c r="AN15" s="81"/>
      <c r="AO15" s="46"/>
      <c r="AP15" s="408"/>
      <c r="AQ15" s="410">
        <v>1761.86</v>
      </c>
      <c r="AR15" s="511"/>
      <c r="AS15" s="81"/>
      <c r="AT15" s="46"/>
      <c r="AU15" s="408">
        <v>0</v>
      </c>
      <c r="AV15" s="410">
        <v>2053.7399999999998</v>
      </c>
      <c r="AW15" s="511"/>
      <c r="AX15" s="81"/>
      <c r="AY15" s="46"/>
      <c r="AZ15" s="408">
        <v>0</v>
      </c>
      <c r="BA15" s="410">
        <v>1954.99</v>
      </c>
      <c r="BB15" s="511"/>
      <c r="BC15" s="81"/>
      <c r="BD15" s="46"/>
      <c r="BE15" s="408">
        <v>0</v>
      </c>
      <c r="BF15" s="410" t="s">
        <v>362</v>
      </c>
      <c r="BG15" s="511"/>
      <c r="BH15" s="81"/>
      <c r="BI15" s="46"/>
      <c r="BJ15" s="408">
        <v>0</v>
      </c>
      <c r="BK15" s="410" t="s">
        <v>371</v>
      </c>
      <c r="BL15" s="511"/>
      <c r="BM15" s="81"/>
      <c r="BN15" s="46"/>
      <c r="BO15" s="408">
        <v>0</v>
      </c>
      <c r="BP15" s="410">
        <v>950.74</v>
      </c>
      <c r="BQ15" s="511"/>
      <c r="BR15" s="81"/>
      <c r="BS15" s="46"/>
      <c r="BT15" s="408">
        <v>1</v>
      </c>
      <c r="BU15" s="410">
        <v>988.44</v>
      </c>
      <c r="BV15" s="44"/>
      <c r="BW15" s="81"/>
      <c r="BX15" s="46"/>
      <c r="BY15" s="56">
        <v>0</v>
      </c>
      <c r="BZ15" s="58">
        <v>0</v>
      </c>
      <c r="CA15" s="44"/>
      <c r="CB15" s="81"/>
      <c r="CC15" s="46"/>
      <c r="CD15" s="56">
        <v>0</v>
      </c>
      <c r="CE15" s="58">
        <v>0</v>
      </c>
      <c r="CF15" s="44"/>
      <c r="CG15" s="81"/>
      <c r="CH15" s="46"/>
      <c r="CI15" s="56">
        <v>0</v>
      </c>
      <c r="CJ15" s="58">
        <v>0</v>
      </c>
      <c r="CK15" s="44"/>
      <c r="CL15" s="81"/>
      <c r="CM15" s="46"/>
      <c r="CN15" s="56">
        <v>0</v>
      </c>
      <c r="CO15" s="58">
        <v>0</v>
      </c>
      <c r="CP15" s="44"/>
      <c r="CQ15" s="81"/>
      <c r="CR15" s="46"/>
      <c r="CS15" s="56">
        <v>0</v>
      </c>
      <c r="CT15" s="58">
        <v>0</v>
      </c>
      <c r="CU15" s="44"/>
      <c r="CV15" s="81"/>
      <c r="CW15" s="46"/>
      <c r="CX15" s="56">
        <v>0</v>
      </c>
      <c r="CY15" s="58">
        <v>0</v>
      </c>
      <c r="CZ15" s="44"/>
      <c r="DA15" s="81"/>
    </row>
    <row r="16" spans="1:105" s="264" customFormat="1" ht="15" customHeight="1" thickBot="1">
      <c r="A16" s="257"/>
      <c r="B16" s="258">
        <v>2978013090</v>
      </c>
      <c r="C16" s="20" t="s">
        <v>23</v>
      </c>
      <c r="D16" s="259" t="s">
        <v>17</v>
      </c>
      <c r="E16" s="23"/>
      <c r="F16" s="168">
        <f>H16/G16</f>
        <v>32.207021276595746</v>
      </c>
      <c r="G16" s="170">
        <v>47</v>
      </c>
      <c r="H16" s="170">
        <v>1513.73</v>
      </c>
      <c r="I16" s="179"/>
      <c r="J16" s="182"/>
      <c r="K16" s="168">
        <f>M16/L16</f>
        <v>32.207105263157892</v>
      </c>
      <c r="L16" s="170">
        <v>38</v>
      </c>
      <c r="M16" s="170">
        <v>1223.8699999999999</v>
      </c>
      <c r="N16" s="179"/>
      <c r="O16" s="182"/>
      <c r="P16" s="168">
        <f>R16/Q16</f>
        <v>32.207346938775515</v>
      </c>
      <c r="Q16" s="170">
        <v>49</v>
      </c>
      <c r="R16" s="170">
        <v>1578.16</v>
      </c>
      <c r="S16" s="179"/>
      <c r="T16" s="182"/>
      <c r="U16" s="209">
        <f>W16/V16</f>
        <v>32.20698113207547</v>
      </c>
      <c r="V16" s="170">
        <v>53</v>
      </c>
      <c r="W16" s="170">
        <v>1706.97</v>
      </c>
      <c r="X16" s="179"/>
      <c r="Y16" s="179"/>
      <c r="Z16" s="3">
        <f>AB16/AA16</f>
        <v>32.20695652173913</v>
      </c>
      <c r="AA16" s="170">
        <v>46</v>
      </c>
      <c r="AB16" s="170">
        <v>1481.52</v>
      </c>
      <c r="AC16" s="179"/>
      <c r="AD16" s="179"/>
      <c r="AE16" s="3">
        <f>AG16/AF16</f>
        <v>32.206862745098036</v>
      </c>
      <c r="AF16" s="170">
        <v>51</v>
      </c>
      <c r="AG16" s="170">
        <v>1642.55</v>
      </c>
      <c r="AH16" s="179"/>
      <c r="AI16" s="179"/>
      <c r="AJ16" s="3">
        <f>AL16/AK16</f>
        <v>32.207000000000001</v>
      </c>
      <c r="AK16" s="170">
        <v>50</v>
      </c>
      <c r="AL16" s="506">
        <v>1610.35</v>
      </c>
      <c r="AM16" s="179"/>
      <c r="AN16" s="179"/>
      <c r="AO16" s="3">
        <f>AQ16/AP16</f>
        <v>34.082083333333337</v>
      </c>
      <c r="AP16" s="170">
        <v>48</v>
      </c>
      <c r="AQ16" s="170">
        <v>1635.94</v>
      </c>
      <c r="AR16" s="179"/>
      <c r="AS16" s="179"/>
      <c r="AT16" s="3">
        <f>AV16/AU16</f>
        <v>32.20698113207547</v>
      </c>
      <c r="AU16" s="170">
        <v>53</v>
      </c>
      <c r="AV16" s="170">
        <v>1706.97</v>
      </c>
      <c r="AW16" s="179"/>
      <c r="AX16" s="179"/>
      <c r="AY16" s="3">
        <f>BA16/AZ16</f>
        <v>32.207017543859649</v>
      </c>
      <c r="AZ16" s="170">
        <v>57</v>
      </c>
      <c r="BA16" s="170">
        <v>1835.8</v>
      </c>
      <c r="BB16" s="179"/>
      <c r="BC16" s="179"/>
      <c r="BD16" s="3">
        <f>BF16/BE16</f>
        <v>32.207017543859649</v>
      </c>
      <c r="BE16" s="170">
        <v>57</v>
      </c>
      <c r="BF16" s="170">
        <v>1835.8</v>
      </c>
      <c r="BG16" s="179"/>
      <c r="BH16" s="179"/>
      <c r="BI16" s="3">
        <f>BK16/BJ16</f>
        <v>32.207101449275363</v>
      </c>
      <c r="BJ16" s="170">
        <v>69</v>
      </c>
      <c r="BK16" s="170">
        <v>2222.29</v>
      </c>
      <c r="BL16" s="179"/>
      <c r="BM16" s="179"/>
      <c r="BN16" s="3">
        <f>BP16/BO16</f>
        <v>32.207000000000001</v>
      </c>
      <c r="BO16" s="170">
        <v>60</v>
      </c>
      <c r="BP16" s="170">
        <v>1932.42</v>
      </c>
      <c r="BQ16" s="179"/>
      <c r="BR16" s="179"/>
      <c r="BS16" s="3">
        <f>BU16/BT16</f>
        <v>32.20703703703704</v>
      </c>
      <c r="BT16" s="170">
        <v>54</v>
      </c>
      <c r="BU16" s="170">
        <v>1739.18</v>
      </c>
      <c r="BV16" s="179"/>
      <c r="BW16" s="179"/>
      <c r="BX16" s="3">
        <f>BZ16/BY16</f>
        <v>32.207021276595746</v>
      </c>
      <c r="BY16" s="169">
        <v>47</v>
      </c>
      <c r="BZ16" s="169">
        <v>1513.73</v>
      </c>
      <c r="CA16" s="48"/>
      <c r="CB16" s="179"/>
      <c r="CC16" s="3">
        <f>CE16/CD16</f>
        <v>32.207021276595746</v>
      </c>
      <c r="CD16" s="169">
        <v>47</v>
      </c>
      <c r="CE16" s="169">
        <v>1513.73</v>
      </c>
      <c r="CF16" s="48"/>
      <c r="CG16" s="179"/>
      <c r="CH16" s="3">
        <f>CJ16/CI16</f>
        <v>32.207021276595746</v>
      </c>
      <c r="CI16" s="169">
        <v>47</v>
      </c>
      <c r="CJ16" s="169">
        <v>1513.73</v>
      </c>
      <c r="CK16" s="48"/>
      <c r="CL16" s="179"/>
      <c r="CM16" s="3">
        <f>CO16/CN16</f>
        <v>32.207021276595746</v>
      </c>
      <c r="CN16" s="169">
        <v>47</v>
      </c>
      <c r="CO16" s="169">
        <v>1513.73</v>
      </c>
      <c r="CP16" s="48"/>
      <c r="CQ16" s="179"/>
      <c r="CR16" s="3">
        <f>CT16/CS16</f>
        <v>32.207021276595746</v>
      </c>
      <c r="CS16" s="169">
        <v>47</v>
      </c>
      <c r="CT16" s="169">
        <v>1513.73</v>
      </c>
      <c r="CU16" s="48"/>
      <c r="CV16" s="179"/>
      <c r="CW16" s="3">
        <f>CY16/CX16</f>
        <v>32.207021276595746</v>
      </c>
      <c r="CX16" s="169">
        <v>47</v>
      </c>
      <c r="CY16" s="169">
        <v>1513.73</v>
      </c>
      <c r="CZ16" s="48"/>
      <c r="DA16" s="179"/>
    </row>
    <row r="17" spans="1:105" s="249" customFormat="1" ht="15" customHeight="1">
      <c r="A17" s="609" t="s">
        <v>124</v>
      </c>
      <c r="B17" s="5" t="s">
        <v>24</v>
      </c>
      <c r="C17" s="6" t="s">
        <v>25</v>
      </c>
      <c r="D17" s="7" t="s">
        <v>10</v>
      </c>
      <c r="E17" s="4"/>
      <c r="F17" s="196"/>
      <c r="G17" s="197"/>
      <c r="H17" s="197"/>
      <c r="I17" s="197"/>
      <c r="J17" s="325"/>
      <c r="K17" s="196"/>
      <c r="L17" s="197"/>
      <c r="M17" s="197"/>
      <c r="N17" s="197"/>
      <c r="O17" s="325"/>
      <c r="P17" s="196"/>
      <c r="Q17" s="197"/>
      <c r="R17" s="197"/>
      <c r="S17" s="197"/>
      <c r="T17" s="325"/>
      <c r="U17" s="207"/>
      <c r="V17" s="197"/>
      <c r="W17" s="204">
        <v>2530</v>
      </c>
      <c r="X17" s="197"/>
      <c r="Y17" s="383">
        <f>SUM(W17:W20)*1.2</f>
        <v>83719.562399999995</v>
      </c>
      <c r="Z17" s="36"/>
      <c r="AA17" s="197"/>
      <c r="AB17" s="204">
        <v>2024</v>
      </c>
      <c r="AC17" s="197"/>
      <c r="AD17" s="383">
        <f>SUM(AB17:AB20)*1.2</f>
        <v>97664.035199999998</v>
      </c>
      <c r="AE17" s="36"/>
      <c r="AF17" s="197"/>
      <c r="AG17" s="204">
        <v>2024</v>
      </c>
      <c r="AH17" s="197"/>
      <c r="AI17" s="383">
        <f>AI18*1.1</f>
        <v>98364.730200000005</v>
      </c>
      <c r="AJ17" s="36"/>
      <c r="AK17" s="197"/>
      <c r="AL17" s="204">
        <v>2530</v>
      </c>
      <c r="AM17" s="197"/>
      <c r="AN17" s="383">
        <f>AN18*1.2</f>
        <v>120776.09999999998</v>
      </c>
      <c r="AO17" s="36"/>
      <c r="AP17" s="197"/>
      <c r="AQ17" s="197"/>
      <c r="AR17" s="197"/>
      <c r="AS17" s="383">
        <f>SUM(AQ17:AQ20)*1.2</f>
        <v>143589.8616</v>
      </c>
      <c r="AT17" s="36"/>
      <c r="AU17" s="197"/>
      <c r="AV17" s="197"/>
      <c r="AW17" s="197"/>
      <c r="AX17" s="383">
        <f>SUM(AV17:AV20)*1.2</f>
        <v>168735.83039999998</v>
      </c>
      <c r="AY17" s="36"/>
      <c r="AZ17" s="197"/>
      <c r="BA17" s="197"/>
      <c r="BB17" s="197"/>
      <c r="BC17" s="383">
        <f>SUM(BA17:BA20)*1.2</f>
        <v>132970.68</v>
      </c>
      <c r="BD17" s="36"/>
      <c r="BE17" s="197"/>
      <c r="BF17" s="197"/>
      <c r="BG17" s="197"/>
      <c r="BH17" s="383">
        <f>SUM(BF17:BF20)*1.2</f>
        <v>145941.81359999999</v>
      </c>
      <c r="BI17" s="36"/>
      <c r="BJ17" s="197"/>
      <c r="BK17" s="197"/>
      <c r="BL17" s="197"/>
      <c r="BM17" s="383">
        <f>SUM(BK17:BK20)*1.1</f>
        <v>150848.55720000001</v>
      </c>
      <c r="BN17" s="36"/>
      <c r="BO17" s="197"/>
      <c r="BP17" s="197"/>
      <c r="BQ17" s="197"/>
      <c r="BR17" s="383">
        <f>SUM(BP17:BP20)*1.2</f>
        <v>139827.85440000001</v>
      </c>
      <c r="BS17" s="36"/>
      <c r="BT17" s="197"/>
      <c r="BU17" s="197"/>
      <c r="BV17" s="197"/>
      <c r="BW17" s="383">
        <f>SUM(BU17:BU20)*1.2</f>
        <v>132846.62639999998</v>
      </c>
      <c r="BX17" s="36"/>
      <c r="BY17" s="197"/>
      <c r="BZ17" s="197"/>
      <c r="CA17" s="197"/>
      <c r="CB17" s="383">
        <f>SUM(BZ17:BZ20)*1.2</f>
        <v>38836.3416</v>
      </c>
      <c r="CC17" s="36"/>
      <c r="CD17" s="197"/>
      <c r="CE17" s="197"/>
      <c r="CF17" s="197"/>
      <c r="CG17" s="383">
        <f>SUM(CE17:CE20)*1.2</f>
        <v>38836.3416</v>
      </c>
      <c r="CH17" s="36"/>
      <c r="CI17" s="197"/>
      <c r="CJ17" s="197"/>
      <c r="CK17" s="197"/>
      <c r="CL17" s="383">
        <f>SUM(CJ17:CJ20)*1.2</f>
        <v>38836.3416</v>
      </c>
      <c r="CM17" s="36"/>
      <c r="CN17" s="197"/>
      <c r="CO17" s="197"/>
      <c r="CP17" s="197"/>
      <c r="CQ17" s="383">
        <f>SUM(CO17:CO20)*1.2</f>
        <v>38836.3416</v>
      </c>
      <c r="CR17" s="36"/>
      <c r="CS17" s="197"/>
      <c r="CT17" s="197"/>
      <c r="CU17" s="197"/>
      <c r="CV17" s="383">
        <f>SUM(CT17:CT20)*1.2</f>
        <v>38836.3416</v>
      </c>
      <c r="CW17" s="36"/>
      <c r="CX17" s="197"/>
      <c r="CY17" s="197"/>
      <c r="CZ17" s="197"/>
      <c r="DA17" s="383">
        <f>SUM(CY17:CY20)*1.2</f>
        <v>38836.3416</v>
      </c>
    </row>
    <row r="18" spans="1:105" ht="15" customHeight="1">
      <c r="A18" s="256" t="s">
        <v>336</v>
      </c>
      <c r="B18" s="215">
        <v>19420118</v>
      </c>
      <c r="C18" s="45" t="s">
        <v>26</v>
      </c>
      <c r="D18" s="216" t="s">
        <v>13</v>
      </c>
      <c r="E18" s="22"/>
      <c r="F18" s="104">
        <f>H18/G18</f>
        <v>5.7995290115290112</v>
      </c>
      <c r="G18" s="69">
        <v>5291</v>
      </c>
      <c r="H18" s="69">
        <f>1.2*25571.09</f>
        <v>30685.307999999997</v>
      </c>
      <c r="I18" s="128"/>
      <c r="J18" s="136"/>
      <c r="K18" s="104">
        <f>M18/L18</f>
        <v>5.7929482359000772</v>
      </c>
      <c r="L18" s="69">
        <v>7766</v>
      </c>
      <c r="M18" s="69">
        <f>1.2*37490.03</f>
        <v>44988.036</v>
      </c>
      <c r="N18" s="128"/>
      <c r="O18" s="136"/>
      <c r="P18" s="104">
        <f>R18/Q18</f>
        <v>5.7364084788029928</v>
      </c>
      <c r="Q18" s="69">
        <v>8020</v>
      </c>
      <c r="R18" s="69">
        <f>1.2*38338.33</f>
        <v>46005.995999999999</v>
      </c>
      <c r="S18" s="128"/>
      <c r="T18" s="136"/>
      <c r="U18" s="115">
        <f>W18/V18</f>
        <v>5.9058732091019754</v>
      </c>
      <c r="V18" s="69">
        <v>10679</v>
      </c>
      <c r="W18" s="69">
        <f>1.2*52557.35</f>
        <v>63068.819999999992</v>
      </c>
      <c r="X18" s="128"/>
      <c r="Y18" s="403">
        <f>SUM(W17:W20)*1</f>
        <v>69766.301999999996</v>
      </c>
      <c r="Z18" s="92">
        <f>AB18/AA18</f>
        <v>5.6497682843988226</v>
      </c>
      <c r="AA18" s="69">
        <v>13249</v>
      </c>
      <c r="AB18" s="69">
        <f>1.2*62378.15</f>
        <v>74853.78</v>
      </c>
      <c r="AC18" s="128"/>
      <c r="AD18" s="403">
        <f>SUM(AB17:AB20)*1</f>
        <v>81386.695999999996</v>
      </c>
      <c r="AE18" s="92">
        <f>AG18/AF18</f>
        <v>5.4696957210776542</v>
      </c>
      <c r="AF18" s="69">
        <v>15144</v>
      </c>
      <c r="AG18" s="69">
        <f>1.2*69027.56</f>
        <v>82833.072</v>
      </c>
      <c r="AH18" s="128"/>
      <c r="AI18" s="403">
        <f>SUM(AG17:AG20)*1</f>
        <v>89422.482000000004</v>
      </c>
      <c r="AJ18" s="92">
        <f>AL18/AK18</f>
        <v>5.8678681815328595</v>
      </c>
      <c r="AK18" s="128">
        <v>15931</v>
      </c>
      <c r="AL18" s="74">
        <f>1.2*77900.84</f>
        <v>93481.007999999987</v>
      </c>
      <c r="AM18" s="128"/>
      <c r="AN18" s="403">
        <f>SUM(AL17:AL20)*1</f>
        <v>100646.74999999999</v>
      </c>
      <c r="AO18" s="92">
        <f>AQ18/AP18</f>
        <v>6.762972027560215</v>
      </c>
      <c r="AP18" s="69">
        <v>16981</v>
      </c>
      <c r="AQ18" s="69">
        <f>1.2*95701.69</f>
        <v>114842.02800000001</v>
      </c>
      <c r="AR18" s="128"/>
      <c r="AS18" s="403">
        <f>SUM(AQ17:AQ20)*1</f>
        <v>119658.21800000001</v>
      </c>
      <c r="AT18" s="92">
        <f>AV18/AU18</f>
        <v>7.3032482608695641</v>
      </c>
      <c r="AU18" s="69">
        <v>18400</v>
      </c>
      <c r="AV18" s="69">
        <f>1.2*111983.14</f>
        <v>134379.76799999998</v>
      </c>
      <c r="AW18" s="128"/>
      <c r="AX18" s="403">
        <f>SUM(AV17:AV20)*1</f>
        <v>140613.19199999998</v>
      </c>
      <c r="AY18" s="92">
        <f>BA18/AZ18</f>
        <v>6.1660898073883263</v>
      </c>
      <c r="AZ18" s="69">
        <v>17081</v>
      </c>
      <c r="BA18" s="69">
        <v>105322.98</v>
      </c>
      <c r="BB18" s="128"/>
      <c r="BC18" s="403">
        <f>SUM(BA17:BA20)*1</f>
        <v>110808.9</v>
      </c>
      <c r="BD18" s="92">
        <f>BF18/BE18</f>
        <v>7.546620132829795</v>
      </c>
      <c r="BE18" s="69">
        <v>15358</v>
      </c>
      <c r="BF18" s="69">
        <f>1.2*96584.16</f>
        <v>115900.992</v>
      </c>
      <c r="BG18" s="128"/>
      <c r="BH18" s="403">
        <f>SUM(BF17:BF20)*1</f>
        <v>121618.178</v>
      </c>
      <c r="BI18" s="92">
        <f>BK18/BJ18</f>
        <v>7.6667398483869063</v>
      </c>
      <c r="BJ18" s="69">
        <v>17017</v>
      </c>
      <c r="BK18" s="69">
        <f>1.2*108720.76</f>
        <v>130464.91199999998</v>
      </c>
      <c r="BL18" s="128"/>
      <c r="BM18" s="403">
        <f>SUM(BK17:BK20)*1</f>
        <v>137135.052</v>
      </c>
      <c r="BN18" s="92">
        <f>BP18/BO18</f>
        <v>7.5466199587061258</v>
      </c>
      <c r="BO18" s="69">
        <v>14530</v>
      </c>
      <c r="BP18" s="69">
        <f>1.2*91376.99</f>
        <v>109652.38800000001</v>
      </c>
      <c r="BQ18" s="128"/>
      <c r="BR18" s="403">
        <f>SUM(BP17:BP20)*1</f>
        <v>116523.21200000001</v>
      </c>
      <c r="BS18" s="92">
        <f>BU18/BT18</f>
        <v>7.2362637920101456</v>
      </c>
      <c r="BT18" s="69">
        <v>14193</v>
      </c>
      <c r="BU18" s="69">
        <f>1.2*85586.91</f>
        <v>102704.292</v>
      </c>
      <c r="BV18" s="128"/>
      <c r="BW18" s="403">
        <f>SUM(BU17:BU20)*1</f>
        <v>110705.522</v>
      </c>
      <c r="BX18" s="92">
        <f>BZ18/BY18</f>
        <v>2.1620029592052417</v>
      </c>
      <c r="BY18" s="58">
        <v>14193</v>
      </c>
      <c r="BZ18" s="58">
        <f>1.2*25571.09</f>
        <v>30685.307999999997</v>
      </c>
      <c r="CA18" s="56"/>
      <c r="CB18" s="403">
        <f>SUM(BZ17:BZ20)*1</f>
        <v>32363.617999999999</v>
      </c>
      <c r="CC18" s="92">
        <f>CE18/CD18</f>
        <v>5.7995290115290112</v>
      </c>
      <c r="CD18" s="58">
        <v>5291</v>
      </c>
      <c r="CE18" s="58">
        <f>1.2*25571.09</f>
        <v>30685.307999999997</v>
      </c>
      <c r="CF18" s="56"/>
      <c r="CG18" s="403">
        <f>SUM(CE17:CE20)*1</f>
        <v>32363.617999999999</v>
      </c>
      <c r="CH18" s="92">
        <f>CJ18/CI18</f>
        <v>5.7995290115290112</v>
      </c>
      <c r="CI18" s="58">
        <v>5291</v>
      </c>
      <c r="CJ18" s="58">
        <f>1.2*25571.09</f>
        <v>30685.307999999997</v>
      </c>
      <c r="CK18" s="56"/>
      <c r="CL18" s="403">
        <f>SUM(CJ17:CJ20)*1</f>
        <v>32363.617999999999</v>
      </c>
      <c r="CM18" s="92">
        <f>CO18/CN18</f>
        <v>5.7995290115290112</v>
      </c>
      <c r="CN18" s="58">
        <v>5291</v>
      </c>
      <c r="CO18" s="58">
        <f>1.2*25571.09</f>
        <v>30685.307999999997</v>
      </c>
      <c r="CP18" s="56"/>
      <c r="CQ18" s="403">
        <f>SUM(CO17:CO20)*1</f>
        <v>32363.617999999999</v>
      </c>
      <c r="CR18" s="92">
        <f>CT18/CS18</f>
        <v>5.7995290115290112</v>
      </c>
      <c r="CS18" s="58">
        <v>5291</v>
      </c>
      <c r="CT18" s="58">
        <f>1.2*25571.09</f>
        <v>30685.307999999997</v>
      </c>
      <c r="CU18" s="56"/>
      <c r="CV18" s="403">
        <f>SUM(CT17:CT20)*1</f>
        <v>32363.617999999999</v>
      </c>
      <c r="CW18" s="92">
        <f>CY18/CX18</f>
        <v>5.7995290115290112</v>
      </c>
      <c r="CX18" s="58">
        <v>5291</v>
      </c>
      <c r="CY18" s="58">
        <f>1.2*25571.09</f>
        <v>30685.307999999997</v>
      </c>
      <c r="CZ18" s="56"/>
      <c r="DA18" s="403">
        <f>SUM(CY17:CY20)*1</f>
        <v>32363.617999999999</v>
      </c>
    </row>
    <row r="19" spans="1:105" ht="15" customHeight="1">
      <c r="A19" s="256"/>
      <c r="B19" s="215" t="s">
        <v>203</v>
      </c>
      <c r="C19" s="45" t="s">
        <v>26</v>
      </c>
      <c r="D19" s="216" t="s">
        <v>15</v>
      </c>
      <c r="E19" s="22"/>
      <c r="F19" s="103"/>
      <c r="G19" s="69">
        <v>1</v>
      </c>
      <c r="H19" s="69">
        <f>1.2*1286.88</f>
        <v>1544.2560000000001</v>
      </c>
      <c r="I19" s="128"/>
      <c r="J19" s="136"/>
      <c r="K19" s="103"/>
      <c r="L19" s="69">
        <v>6670</v>
      </c>
      <c r="M19" s="69">
        <f>1.2*1776.61</f>
        <v>2131.9319999999998</v>
      </c>
      <c r="N19" s="128"/>
      <c r="O19" s="136"/>
      <c r="P19" s="103"/>
      <c r="Q19" s="69">
        <v>7112</v>
      </c>
      <c r="R19" s="69">
        <f>1.2*2008.74</f>
        <v>2410.4879999999998</v>
      </c>
      <c r="S19" s="128"/>
      <c r="T19" s="136"/>
      <c r="U19" s="47"/>
      <c r="V19" s="69">
        <v>1</v>
      </c>
      <c r="W19" s="69">
        <f>1.2*2516.66</f>
        <v>3019.9919999999997</v>
      </c>
      <c r="X19" s="128"/>
      <c r="Y19" s="128"/>
      <c r="Z19" s="46"/>
      <c r="AA19" s="69">
        <v>1</v>
      </c>
      <c r="AB19" s="69">
        <f>1.2*2950.58</f>
        <v>3540.6959999999999</v>
      </c>
      <c r="AC19" s="128"/>
      <c r="AD19" s="128"/>
      <c r="AE19" s="46"/>
      <c r="AF19" s="69">
        <v>1</v>
      </c>
      <c r="AG19" s="69">
        <f>1.2*2967.75</f>
        <v>3561.2999999999997</v>
      </c>
      <c r="AH19" s="128"/>
      <c r="AI19" s="128"/>
      <c r="AJ19" s="46"/>
      <c r="AK19" s="128">
        <v>1</v>
      </c>
      <c r="AL19" s="74">
        <f>1.2*2936.71</f>
        <v>3524.0520000000001</v>
      </c>
      <c r="AM19" s="128"/>
      <c r="AN19" s="128"/>
      <c r="AO19" s="46"/>
      <c r="AP19" s="69">
        <v>1</v>
      </c>
      <c r="AQ19" s="69">
        <f>1.2*3326.2</f>
        <v>3991.4399999999996</v>
      </c>
      <c r="AR19" s="128"/>
      <c r="AS19" s="128"/>
      <c r="AT19" s="46"/>
      <c r="AU19" s="69">
        <v>1</v>
      </c>
      <c r="AV19" s="69">
        <f>1.2*4238.22</f>
        <v>5085.8640000000005</v>
      </c>
      <c r="AW19" s="128"/>
      <c r="AX19" s="128"/>
      <c r="AY19" s="46"/>
      <c r="AZ19" s="69">
        <v>1</v>
      </c>
      <c r="BA19" s="69">
        <v>4517.72</v>
      </c>
      <c r="BB19" s="128"/>
      <c r="BC19" s="128"/>
      <c r="BD19" s="46"/>
      <c r="BE19" s="69">
        <v>1</v>
      </c>
      <c r="BF19" s="69">
        <f>1.2*3837.93</f>
        <v>4605.5159999999996</v>
      </c>
      <c r="BG19" s="128"/>
      <c r="BH19" s="128"/>
      <c r="BI19" s="46"/>
      <c r="BJ19" s="69">
        <v>1</v>
      </c>
      <c r="BK19" s="69">
        <f>1.2*4691.8</f>
        <v>5630.16</v>
      </c>
      <c r="BL19" s="128"/>
      <c r="BM19" s="128"/>
      <c r="BN19" s="46"/>
      <c r="BO19" s="69">
        <v>1</v>
      </c>
      <c r="BP19" s="69">
        <f>1.2*4829.17</f>
        <v>5795.0039999999999</v>
      </c>
      <c r="BQ19" s="128"/>
      <c r="BR19" s="128"/>
      <c r="BS19" s="46"/>
      <c r="BT19" s="69">
        <v>1</v>
      </c>
      <c r="BU19" s="69">
        <f>1.2*4874.65</f>
        <v>5849.579999999999</v>
      </c>
      <c r="BV19" s="128"/>
      <c r="BW19" s="128"/>
      <c r="BX19" s="46"/>
      <c r="BY19" s="58">
        <v>1</v>
      </c>
      <c r="BZ19" s="58">
        <v>1283.8800000000001</v>
      </c>
      <c r="CA19" s="56"/>
      <c r="CB19" s="128"/>
      <c r="CC19" s="46"/>
      <c r="CD19" s="58">
        <v>1</v>
      </c>
      <c r="CE19" s="58">
        <v>1283.8800000000001</v>
      </c>
      <c r="CF19" s="56"/>
      <c r="CG19" s="128"/>
      <c r="CH19" s="46"/>
      <c r="CI19" s="58">
        <v>1</v>
      </c>
      <c r="CJ19" s="58">
        <v>1283.8800000000001</v>
      </c>
      <c r="CK19" s="56"/>
      <c r="CL19" s="128"/>
      <c r="CM19" s="46"/>
      <c r="CN19" s="58">
        <v>1</v>
      </c>
      <c r="CO19" s="58">
        <v>1283.8800000000001</v>
      </c>
      <c r="CP19" s="56"/>
      <c r="CQ19" s="128"/>
      <c r="CR19" s="46"/>
      <c r="CS19" s="58">
        <v>1</v>
      </c>
      <c r="CT19" s="58">
        <v>1283.8800000000001</v>
      </c>
      <c r="CU19" s="56"/>
      <c r="CV19" s="128"/>
      <c r="CW19" s="46"/>
      <c r="CX19" s="58">
        <v>1</v>
      </c>
      <c r="CY19" s="58">
        <v>1283.8800000000001</v>
      </c>
      <c r="CZ19" s="56"/>
      <c r="DA19" s="128"/>
    </row>
    <row r="20" spans="1:105" s="264" customFormat="1" ht="15" customHeight="1" thickBot="1">
      <c r="A20" s="257"/>
      <c r="B20" s="258"/>
      <c r="C20" s="20" t="s">
        <v>26</v>
      </c>
      <c r="D20" s="259" t="s">
        <v>17</v>
      </c>
      <c r="E20" s="23"/>
      <c r="F20" s="168">
        <f>H20/G20</f>
        <v>35.857272727272729</v>
      </c>
      <c r="G20" s="183">
        <v>11</v>
      </c>
      <c r="H20" s="183">
        <v>394.43</v>
      </c>
      <c r="I20" s="172"/>
      <c r="J20" s="18"/>
      <c r="K20" s="168">
        <f>M20/L20</f>
        <v>35.86</v>
      </c>
      <c r="L20" s="183">
        <v>24</v>
      </c>
      <c r="M20" s="183">
        <v>860.64</v>
      </c>
      <c r="N20" s="172"/>
      <c r="O20" s="18"/>
      <c r="P20" s="168">
        <f>R20/Q20</f>
        <v>35.860606060606067</v>
      </c>
      <c r="Q20" s="183">
        <v>33</v>
      </c>
      <c r="R20" s="183">
        <v>1183.4000000000001</v>
      </c>
      <c r="S20" s="172"/>
      <c r="T20" s="18"/>
      <c r="U20" s="209">
        <f>W20/V20</f>
        <v>35.8590625</v>
      </c>
      <c r="V20" s="183">
        <v>32</v>
      </c>
      <c r="W20" s="183">
        <v>1147.49</v>
      </c>
      <c r="X20" s="172"/>
      <c r="Y20" s="172"/>
      <c r="Z20" s="3">
        <f>AB20/AA20</f>
        <v>35.86</v>
      </c>
      <c r="AA20" s="183">
        <v>27</v>
      </c>
      <c r="AB20" s="183">
        <v>968.22</v>
      </c>
      <c r="AC20" s="172"/>
      <c r="AD20" s="172"/>
      <c r="AE20" s="3">
        <f>AG20/AF20</f>
        <v>35.861071428571428</v>
      </c>
      <c r="AF20" s="183">
        <v>28</v>
      </c>
      <c r="AG20" s="183">
        <v>1004.11</v>
      </c>
      <c r="AH20" s="172"/>
      <c r="AI20" s="172"/>
      <c r="AJ20" s="3">
        <f>AL20/AK20</f>
        <v>35.860967741935482</v>
      </c>
      <c r="AK20" s="183">
        <v>31</v>
      </c>
      <c r="AL20" s="183">
        <v>1111.69</v>
      </c>
      <c r="AM20" s="172"/>
      <c r="AN20" s="172"/>
      <c r="AO20" s="3">
        <f>AQ20/AP20</f>
        <v>35.858695652173914</v>
      </c>
      <c r="AP20" s="183">
        <v>23</v>
      </c>
      <c r="AQ20" s="183">
        <v>824.75</v>
      </c>
      <c r="AR20" s="172"/>
      <c r="AS20" s="172"/>
      <c r="AT20" s="3">
        <f>AV20/AU20</f>
        <v>35.861249999999998</v>
      </c>
      <c r="AU20" s="183">
        <v>32</v>
      </c>
      <c r="AV20" s="183">
        <v>1147.56</v>
      </c>
      <c r="AW20" s="172"/>
      <c r="AX20" s="172"/>
      <c r="AY20" s="3">
        <f>BA20/AZ20</f>
        <v>35.859259259259261</v>
      </c>
      <c r="AZ20" s="183">
        <v>27</v>
      </c>
      <c r="BA20" s="183">
        <v>968.2</v>
      </c>
      <c r="BB20" s="172"/>
      <c r="BC20" s="172"/>
      <c r="BD20" s="3">
        <f>BF20/BE20</f>
        <v>35.86032258064516</v>
      </c>
      <c r="BE20" s="183">
        <v>31</v>
      </c>
      <c r="BF20" s="183">
        <v>1111.67</v>
      </c>
      <c r="BG20" s="172"/>
      <c r="BH20" s="172"/>
      <c r="BI20" s="3">
        <f>BK20/BJ20</f>
        <v>35.86137931034483</v>
      </c>
      <c r="BJ20" s="183">
        <v>29</v>
      </c>
      <c r="BK20" s="183">
        <v>1039.98</v>
      </c>
      <c r="BL20" s="172"/>
      <c r="BM20" s="172"/>
      <c r="BN20" s="3">
        <f>BP20/BO20</f>
        <v>35.860666666666667</v>
      </c>
      <c r="BO20" s="183">
        <v>30</v>
      </c>
      <c r="BP20" s="183">
        <v>1075.82</v>
      </c>
      <c r="BQ20" s="172"/>
      <c r="BR20" s="172"/>
      <c r="BS20" s="3">
        <f>BU20/BT20</f>
        <v>35.860833333333332</v>
      </c>
      <c r="BT20" s="183">
        <v>60</v>
      </c>
      <c r="BU20" s="183">
        <v>2151.65</v>
      </c>
      <c r="BV20" s="172"/>
      <c r="BW20" s="172"/>
      <c r="BX20" s="3">
        <f>BZ20/BY20</f>
        <v>35.857272727272729</v>
      </c>
      <c r="BY20" s="185">
        <v>11</v>
      </c>
      <c r="BZ20" s="185">
        <v>394.43</v>
      </c>
      <c r="CA20" s="177"/>
      <c r="CB20" s="172"/>
      <c r="CC20" s="3">
        <f>CE20/CD20</f>
        <v>35.857272727272729</v>
      </c>
      <c r="CD20" s="185">
        <v>11</v>
      </c>
      <c r="CE20" s="185">
        <v>394.43</v>
      </c>
      <c r="CF20" s="177"/>
      <c r="CG20" s="172"/>
      <c r="CH20" s="3">
        <f>CJ20/CI20</f>
        <v>35.857272727272729</v>
      </c>
      <c r="CI20" s="185">
        <v>11</v>
      </c>
      <c r="CJ20" s="185">
        <v>394.43</v>
      </c>
      <c r="CK20" s="177"/>
      <c r="CL20" s="172"/>
      <c r="CM20" s="3">
        <f>CO20/CN20</f>
        <v>35.857272727272729</v>
      </c>
      <c r="CN20" s="185">
        <v>11</v>
      </c>
      <c r="CO20" s="185">
        <v>394.43</v>
      </c>
      <c r="CP20" s="177"/>
      <c r="CQ20" s="172"/>
      <c r="CR20" s="3">
        <f>CT20/CS20</f>
        <v>35.857272727272729</v>
      </c>
      <c r="CS20" s="185">
        <v>11</v>
      </c>
      <c r="CT20" s="185">
        <v>394.43</v>
      </c>
      <c r="CU20" s="177"/>
      <c r="CV20" s="172"/>
      <c r="CW20" s="3">
        <f>CY20/CX20</f>
        <v>35.857272727272729</v>
      </c>
      <c r="CX20" s="185">
        <v>11</v>
      </c>
      <c r="CY20" s="185">
        <v>394.43</v>
      </c>
      <c r="CZ20" s="177"/>
      <c r="DA20" s="172"/>
    </row>
    <row r="21" spans="1:105" s="249" customFormat="1" ht="15" customHeight="1">
      <c r="A21" s="265" t="s">
        <v>299</v>
      </c>
      <c r="B21" s="5" t="s">
        <v>27</v>
      </c>
      <c r="C21" s="6" t="s">
        <v>19</v>
      </c>
      <c r="D21" s="7" t="s">
        <v>10</v>
      </c>
      <c r="E21" s="4"/>
      <c r="F21" s="196"/>
      <c r="G21" s="197"/>
      <c r="H21" s="197"/>
      <c r="I21" s="197"/>
      <c r="J21" s="325"/>
      <c r="K21" s="196"/>
      <c r="L21" s="197"/>
      <c r="M21" s="197"/>
      <c r="N21" s="197"/>
      <c r="O21" s="325"/>
      <c r="P21" s="196"/>
      <c r="Q21" s="197"/>
      <c r="R21" s="197"/>
      <c r="S21" s="197"/>
      <c r="T21" s="325"/>
      <c r="U21" s="207"/>
      <c r="V21" s="197"/>
      <c r="W21" s="204">
        <v>1990</v>
      </c>
      <c r="X21" s="197"/>
      <c r="Y21" s="383">
        <f>SUM(W21:W24)*1.1</f>
        <v>98311.93240000002</v>
      </c>
      <c r="Z21" s="36"/>
      <c r="AA21" s="197"/>
      <c r="AB21" s="204">
        <v>1769</v>
      </c>
      <c r="AC21" s="197"/>
      <c r="AD21" s="383">
        <f>SUM(AB21:AB24)*1.1</f>
        <v>82767.282399999996</v>
      </c>
      <c r="AE21" s="36"/>
      <c r="AF21" s="197"/>
      <c r="AG21" s="204">
        <v>1548</v>
      </c>
      <c r="AH21" s="197"/>
      <c r="AI21" s="383">
        <f>AI22*1.1</f>
        <v>141098.166</v>
      </c>
      <c r="AJ21" s="36"/>
      <c r="AK21" s="197"/>
      <c r="AL21" s="204">
        <v>1990</v>
      </c>
      <c r="AM21" s="197"/>
      <c r="AN21" s="383">
        <f>AN22*1.2</f>
        <v>57402.213599999988</v>
      </c>
      <c r="AO21" s="36"/>
      <c r="AP21" s="197"/>
      <c r="AQ21" s="204">
        <v>1769</v>
      </c>
      <c r="AR21" s="197"/>
      <c r="AS21" s="383">
        <f>SUM(AQ21:AQ24)*1.2</f>
        <v>242190.38399999999</v>
      </c>
      <c r="AT21" s="36"/>
      <c r="AU21" s="197"/>
      <c r="AV21" s="197"/>
      <c r="AW21" s="197"/>
      <c r="AX21" s="383">
        <f>SUM(AV21:AV24)*1.1</f>
        <v>170273.43080000003</v>
      </c>
      <c r="AY21" s="36"/>
      <c r="AZ21" s="197"/>
      <c r="BA21" s="197"/>
      <c r="BB21" s="197"/>
      <c r="BC21" s="383">
        <f>SUM(BA21:BA24)*1.1</f>
        <v>152385.60700000002</v>
      </c>
      <c r="BD21" s="36"/>
      <c r="BE21" s="197"/>
      <c r="BF21" s="197"/>
      <c r="BG21" s="197"/>
      <c r="BH21" s="383">
        <f>SUM(BF21:BF24)*1.1</f>
        <v>144901.70199999999</v>
      </c>
      <c r="BI21" s="36"/>
      <c r="BJ21" s="197"/>
      <c r="BK21" s="197"/>
      <c r="BL21" s="197"/>
      <c r="BM21" s="383">
        <f>SUM(BK21:BK24)*1.1</f>
        <v>135790.02800000002</v>
      </c>
      <c r="BN21" s="36"/>
      <c r="BO21" s="197"/>
      <c r="BP21" s="197"/>
      <c r="BQ21" s="197"/>
      <c r="BR21" s="383">
        <f>SUM(BP21:BP24)*1.1</f>
        <v>122838.33320000002</v>
      </c>
      <c r="BS21" s="36"/>
      <c r="BT21" s="197"/>
      <c r="BU21" s="197"/>
      <c r="BV21" s="197"/>
      <c r="BW21" s="383">
        <f>SUM(BU21:BU24)*1.1</f>
        <v>129876.04520000001</v>
      </c>
      <c r="BX21" s="36"/>
      <c r="BY21" s="197"/>
      <c r="BZ21" s="197"/>
      <c r="CA21" s="197"/>
      <c r="CB21" s="383">
        <f>SUM(BZ21:BZ24)*1.1</f>
        <v>78943.396400000012</v>
      </c>
      <c r="CC21" s="36"/>
      <c r="CD21" s="197"/>
      <c r="CE21" s="197"/>
      <c r="CF21" s="197"/>
      <c r="CG21" s="383">
        <f>SUM(CE21:CE24)*1.1</f>
        <v>78943.396400000012</v>
      </c>
      <c r="CH21" s="36"/>
      <c r="CI21" s="197"/>
      <c r="CJ21" s="197"/>
      <c r="CK21" s="197"/>
      <c r="CL21" s="383">
        <f>SUM(CJ21:CJ24)*1.1</f>
        <v>78943.396400000012</v>
      </c>
      <c r="CM21" s="36"/>
      <c r="CN21" s="197"/>
      <c r="CO21" s="197"/>
      <c r="CP21" s="197"/>
      <c r="CQ21" s="383">
        <f>SUM(CO21:CO24)*1.1</f>
        <v>78943.396400000012</v>
      </c>
      <c r="CR21" s="36"/>
      <c r="CS21" s="197"/>
      <c r="CT21" s="197"/>
      <c r="CU21" s="197"/>
      <c r="CV21" s="383">
        <f>SUM(CT21:CT24)*1.1</f>
        <v>78943.396400000012</v>
      </c>
      <c r="CW21" s="36"/>
      <c r="CX21" s="197"/>
      <c r="CY21" s="197"/>
      <c r="CZ21" s="197"/>
      <c r="DA21" s="383">
        <f>SUM(CY21:CY24)*1.1</f>
        <v>78943.396400000012</v>
      </c>
    </row>
    <row r="22" spans="1:105" ht="15" customHeight="1">
      <c r="A22" s="256"/>
      <c r="B22" s="215">
        <v>41916045</v>
      </c>
      <c r="C22" s="45" t="s">
        <v>195</v>
      </c>
      <c r="D22" s="216" t="s">
        <v>13</v>
      </c>
      <c r="E22" s="22"/>
      <c r="F22" s="104">
        <f>H22/G22</f>
        <v>5.3077195968645015</v>
      </c>
      <c r="G22" s="69">
        <v>13395</v>
      </c>
      <c r="H22" s="138">
        <v>71096.903999999995</v>
      </c>
      <c r="I22" s="128">
        <v>49372.85</v>
      </c>
      <c r="J22" s="136"/>
      <c r="K22" s="104">
        <f>M22/L22</f>
        <v>5.3685478260869557</v>
      </c>
      <c r="L22" s="69">
        <v>14950</v>
      </c>
      <c r="M22" s="138">
        <v>80259.789999999994</v>
      </c>
      <c r="N22" s="138" t="s">
        <v>194</v>
      </c>
      <c r="O22" s="136"/>
      <c r="P22" s="104">
        <f>R22/Q22</f>
        <v>4.9663925066904548</v>
      </c>
      <c r="Q22" s="69">
        <v>13452</v>
      </c>
      <c r="R22" s="138">
        <v>66807.911999999997</v>
      </c>
      <c r="S22" s="128">
        <v>66807.911999999997</v>
      </c>
      <c r="T22" s="136"/>
      <c r="U22" s="115">
        <f>W22/V22</f>
        <v>5.2077239522789851</v>
      </c>
      <c r="V22" s="69">
        <v>16345</v>
      </c>
      <c r="W22" s="138">
        <v>85120.248000000007</v>
      </c>
      <c r="X22" s="128">
        <v>85120.248000000007</v>
      </c>
      <c r="Y22" s="403">
        <f>SUM(W21:W24)*1</f>
        <v>89374.484000000011</v>
      </c>
      <c r="Z22" s="92">
        <f>AB22/AA22</f>
        <v>4.5706784956605588</v>
      </c>
      <c r="AA22" s="69">
        <v>15555</v>
      </c>
      <c r="AB22" s="138">
        <v>71096.903999999995</v>
      </c>
      <c r="AC22" s="128">
        <v>72843.312000000005</v>
      </c>
      <c r="AD22" s="403">
        <f>SUM(AB21:AB24)*1</f>
        <v>75242.983999999997</v>
      </c>
      <c r="AE22" s="92">
        <f>AG22/AF22</f>
        <v>4.8199439378588309</v>
      </c>
      <c r="AF22" s="410">
        <v>17766</v>
      </c>
      <c r="AG22" s="411">
        <v>85631.123999999996</v>
      </c>
      <c r="AH22" s="137">
        <f>38338.59+87714.65</f>
        <v>126053.23999999999</v>
      </c>
      <c r="AI22" s="403">
        <f>SUM(AG23:AG24)+AH22+AG21*1</f>
        <v>128271.06</v>
      </c>
      <c r="AJ22" s="92">
        <f>AL22/AK22</f>
        <v>4.9792194434660093</v>
      </c>
      <c r="AK22" s="410">
        <v>8517</v>
      </c>
      <c r="AL22" s="411">
        <v>42408.012000000002</v>
      </c>
      <c r="AM22" s="128">
        <v>44466.707999999991</v>
      </c>
      <c r="AN22" s="403">
        <f>SUM(AL23:AL24)+AM22+AL21*1</f>
        <v>47835.177999999993</v>
      </c>
      <c r="AO22" s="92">
        <f>AQ22/AP22</f>
        <v>5.9466961526810058</v>
      </c>
      <c r="AP22" s="410">
        <v>33010</v>
      </c>
      <c r="AQ22" s="411">
        <v>196300.44</v>
      </c>
      <c r="AR22" s="128">
        <v>221372.05200000003</v>
      </c>
      <c r="AS22" s="403">
        <f>SUM(AQ21:AQ24)*1</f>
        <v>201825.32</v>
      </c>
      <c r="AT22" s="92">
        <f>AV22/AU22</f>
        <v>6.6107534365756049</v>
      </c>
      <c r="AU22" s="410">
        <v>22988</v>
      </c>
      <c r="AV22" s="411">
        <v>151968</v>
      </c>
      <c r="AW22" s="56">
        <v>49372.85</v>
      </c>
      <c r="AX22" s="403">
        <f>SUM(AV21:AV24)*1</f>
        <v>154794.02800000002</v>
      </c>
      <c r="AY22" s="92">
        <f>BA22/AZ22</f>
        <v>6.3494521898324168</v>
      </c>
      <c r="AZ22" s="410">
        <v>21303</v>
      </c>
      <c r="BA22" s="411">
        <v>135262.37999999998</v>
      </c>
      <c r="BB22" s="128">
        <v>112718.65</v>
      </c>
      <c r="BC22" s="403">
        <f>SUM(BA21:BA24)*1</f>
        <v>138532.37</v>
      </c>
      <c r="BD22" s="92">
        <f>BF22/BE22</f>
        <v>6.3628441365660562</v>
      </c>
      <c r="BE22" s="410">
        <v>20210</v>
      </c>
      <c r="BF22" s="411">
        <v>128593.07999999999</v>
      </c>
      <c r="BG22" s="128">
        <v>112718.65</v>
      </c>
      <c r="BH22" s="403">
        <f>SUM(BF21:BF24)*1</f>
        <v>131728.81999999998</v>
      </c>
      <c r="BI22" s="92">
        <f>BK22/BJ22</f>
        <v>6.7715878881473719</v>
      </c>
      <c r="BJ22" s="410">
        <v>18131</v>
      </c>
      <c r="BK22" s="411">
        <v>122775.66</v>
      </c>
      <c r="BL22" s="537">
        <v>101802.855</v>
      </c>
      <c r="BM22" s="403">
        <f>SUM(BK21:BK24)*1</f>
        <v>123445.48000000001</v>
      </c>
      <c r="BN22" s="92">
        <f>BP22/BO22</f>
        <v>6.374627691954287</v>
      </c>
      <c r="BO22" s="410">
        <v>17413</v>
      </c>
      <c r="BP22" s="411">
        <v>111001.39200000001</v>
      </c>
      <c r="BQ22" s="56">
        <v>49372.85</v>
      </c>
      <c r="BR22" s="403">
        <f>SUM(BP21:BP24)*1</f>
        <v>111671.21200000001</v>
      </c>
      <c r="BS22" s="92">
        <f>BU22/BT22</f>
        <v>6.0268797488226058</v>
      </c>
      <c r="BT22" s="410">
        <v>19110</v>
      </c>
      <c r="BU22" s="411">
        <v>115173.67199999999</v>
      </c>
      <c r="BV22" s="128" t="s">
        <v>427</v>
      </c>
      <c r="BW22" s="403">
        <f>SUM(BU21:BU24)*1</f>
        <v>118069.132</v>
      </c>
      <c r="BX22" s="92">
        <f>BZ22/BY22</f>
        <v>5.3077195968645015</v>
      </c>
      <c r="BY22" s="58">
        <v>13395</v>
      </c>
      <c r="BZ22" s="60">
        <v>71096.903999999995</v>
      </c>
      <c r="CA22" s="372" t="s">
        <v>438</v>
      </c>
      <c r="CB22" s="403">
        <f>SUM(BZ21:BZ24)*1</f>
        <v>71766.724000000002</v>
      </c>
      <c r="CC22" s="92">
        <f>CE22/CD22</f>
        <v>5.3077195968645015</v>
      </c>
      <c r="CD22" s="58">
        <v>13395</v>
      </c>
      <c r="CE22" s="60">
        <v>71096.903999999995</v>
      </c>
      <c r="CF22" s="56">
        <v>49372.85</v>
      </c>
      <c r="CG22" s="403">
        <f>SUM(CE21:CE24)*1</f>
        <v>71766.724000000002</v>
      </c>
      <c r="CH22" s="92">
        <f>CJ22/CI22</f>
        <v>5.3077195968645015</v>
      </c>
      <c r="CI22" s="58">
        <v>13395</v>
      </c>
      <c r="CJ22" s="60">
        <v>71096.903999999995</v>
      </c>
      <c r="CK22" s="56">
        <v>49372.85</v>
      </c>
      <c r="CL22" s="403">
        <f>SUM(CJ21:CJ24)*1</f>
        <v>71766.724000000002</v>
      </c>
      <c r="CM22" s="92">
        <f>CO22/CN22</f>
        <v>5.3077195968645015</v>
      </c>
      <c r="CN22" s="58">
        <v>13395</v>
      </c>
      <c r="CO22" s="60">
        <v>71096.903999999995</v>
      </c>
      <c r="CP22" s="56">
        <v>49372.85</v>
      </c>
      <c r="CQ22" s="403">
        <f>SUM(CO21:CO24)*1</f>
        <v>71766.724000000002</v>
      </c>
      <c r="CR22" s="92">
        <f>CT22/CS22</f>
        <v>5.3077195968645015</v>
      </c>
      <c r="CS22" s="58">
        <v>13395</v>
      </c>
      <c r="CT22" s="60">
        <v>71096.903999999995</v>
      </c>
      <c r="CU22" s="56">
        <v>49372.85</v>
      </c>
      <c r="CV22" s="403">
        <f>SUM(CT21:CT24)*1</f>
        <v>71766.724000000002</v>
      </c>
      <c r="CW22" s="92">
        <f>CY22/CX22</f>
        <v>5.3077195968645015</v>
      </c>
      <c r="CX22" s="58">
        <v>13395</v>
      </c>
      <c r="CY22" s="60">
        <v>71096.903999999995</v>
      </c>
      <c r="CZ22" s="56">
        <v>49372.85</v>
      </c>
      <c r="DA22" s="403">
        <f>SUM(CY21:CY24)*1</f>
        <v>71766.724000000002</v>
      </c>
    </row>
    <row r="23" spans="1:105" ht="15" customHeight="1">
      <c r="A23" s="256"/>
      <c r="B23" s="215">
        <v>41946011</v>
      </c>
      <c r="C23" s="45" t="s">
        <v>200</v>
      </c>
      <c r="D23" s="216" t="s">
        <v>15</v>
      </c>
      <c r="E23" s="22"/>
      <c r="F23" s="103"/>
      <c r="G23" s="128"/>
      <c r="H23" s="129" t="s">
        <v>182</v>
      </c>
      <c r="I23" s="128"/>
      <c r="J23" s="136"/>
      <c r="K23" s="103"/>
      <c r="L23" s="128"/>
      <c r="M23" s="129">
        <v>1352.6</v>
      </c>
      <c r="N23" s="128"/>
      <c r="O23" s="136"/>
      <c r="P23" s="103"/>
      <c r="Q23" s="128"/>
      <c r="R23" s="129" t="s">
        <v>207</v>
      </c>
      <c r="S23" s="128"/>
      <c r="T23" s="136"/>
      <c r="U23" s="47"/>
      <c r="V23" s="128"/>
      <c r="W23" s="129">
        <v>1594.4159999999999</v>
      </c>
      <c r="X23" s="128"/>
      <c r="Y23" s="128"/>
      <c r="Z23" s="46"/>
      <c r="AA23" s="56"/>
      <c r="AB23" s="129">
        <v>1707.26</v>
      </c>
      <c r="AC23" s="128"/>
      <c r="AD23" s="128"/>
      <c r="AE23" s="46"/>
      <c r="AF23" s="128"/>
      <c r="AG23" s="129" t="s">
        <v>233</v>
      </c>
      <c r="AH23" s="128"/>
      <c r="AI23" s="128"/>
      <c r="AJ23" s="46"/>
      <c r="AK23" s="56"/>
      <c r="AL23" s="507">
        <v>708.65</v>
      </c>
      <c r="AM23" s="56"/>
      <c r="AN23" s="128"/>
      <c r="AO23" s="46"/>
      <c r="AP23" s="408"/>
      <c r="AQ23" s="507">
        <v>3086.06</v>
      </c>
      <c r="AR23" s="408"/>
      <c r="AS23" s="128"/>
      <c r="AT23" s="46"/>
      <c r="AU23" s="408"/>
      <c r="AV23" s="507">
        <v>2156.2080000000001</v>
      </c>
      <c r="AW23" s="408"/>
      <c r="AX23" s="128"/>
      <c r="AY23" s="46"/>
      <c r="AZ23" s="408"/>
      <c r="BA23" s="507">
        <v>2600.17</v>
      </c>
      <c r="BB23" s="408"/>
      <c r="BC23" s="128"/>
      <c r="BD23" s="46"/>
      <c r="BE23" s="408"/>
      <c r="BF23" s="507">
        <v>2465.92</v>
      </c>
      <c r="BG23" s="408"/>
      <c r="BH23" s="128"/>
      <c r="BI23" s="46"/>
      <c r="BJ23" s="408"/>
      <c r="BK23" s="507" t="s">
        <v>372</v>
      </c>
      <c r="BL23" s="408"/>
      <c r="BM23" s="128"/>
      <c r="BN23" s="46"/>
      <c r="BO23" s="408"/>
      <c r="BP23" s="507" t="s">
        <v>380</v>
      </c>
      <c r="BQ23" s="56"/>
      <c r="BR23" s="128"/>
      <c r="BS23" s="46"/>
      <c r="BT23" s="408">
        <v>1</v>
      </c>
      <c r="BU23" s="507">
        <v>2225.64</v>
      </c>
      <c r="BV23" s="56"/>
      <c r="BW23" s="128"/>
      <c r="BX23" s="46"/>
      <c r="BY23" s="56"/>
      <c r="BZ23" s="61" t="s">
        <v>182</v>
      </c>
      <c r="CA23" s="56"/>
      <c r="CB23" s="128"/>
      <c r="CC23" s="46"/>
      <c r="CD23" s="56"/>
      <c r="CE23" s="61" t="s">
        <v>182</v>
      </c>
      <c r="CF23" s="56"/>
      <c r="CG23" s="128"/>
      <c r="CH23" s="46"/>
      <c r="CI23" s="56"/>
      <c r="CJ23" s="61" t="s">
        <v>182</v>
      </c>
      <c r="CK23" s="56"/>
      <c r="CL23" s="128"/>
      <c r="CM23" s="46"/>
      <c r="CN23" s="56"/>
      <c r="CO23" s="61" t="s">
        <v>182</v>
      </c>
      <c r="CP23" s="56"/>
      <c r="CQ23" s="128"/>
      <c r="CR23" s="46"/>
      <c r="CS23" s="56"/>
      <c r="CT23" s="61" t="s">
        <v>182</v>
      </c>
      <c r="CU23" s="56"/>
      <c r="CV23" s="128"/>
      <c r="CW23" s="46"/>
      <c r="CX23" s="56"/>
      <c r="CY23" s="61" t="s">
        <v>182</v>
      </c>
      <c r="CZ23" s="56"/>
      <c r="DA23" s="128"/>
    </row>
    <row r="24" spans="1:105" s="350" customFormat="1" ht="15" customHeight="1" thickBot="1">
      <c r="A24" s="297"/>
      <c r="B24" s="298"/>
      <c r="C24" s="366" t="s">
        <v>187</v>
      </c>
      <c r="D24" s="367" t="s">
        <v>17</v>
      </c>
      <c r="E24" s="31"/>
      <c r="F24" s="178">
        <f>H24/G24</f>
        <v>31.724137931034484</v>
      </c>
      <c r="G24" s="177">
        <v>29</v>
      </c>
      <c r="H24" s="177">
        <v>920</v>
      </c>
      <c r="I24" s="177"/>
      <c r="J24" s="10"/>
      <c r="K24" s="178">
        <f>M24/L24</f>
        <v>30.446363636363639</v>
      </c>
      <c r="L24" s="177">
        <v>22</v>
      </c>
      <c r="M24" s="177">
        <v>669.82</v>
      </c>
      <c r="N24" s="177"/>
      <c r="O24" s="10"/>
      <c r="P24" s="178">
        <f>R24/Q24</f>
        <v>30.446363636363639</v>
      </c>
      <c r="Q24" s="177">
        <v>22</v>
      </c>
      <c r="R24" s="177">
        <v>669.82</v>
      </c>
      <c r="S24" s="177"/>
      <c r="T24" s="10"/>
      <c r="U24" s="318">
        <f>W24/V24</f>
        <v>30.446363636363639</v>
      </c>
      <c r="V24" s="177">
        <v>22</v>
      </c>
      <c r="W24" s="177">
        <v>669.82</v>
      </c>
      <c r="X24" s="177"/>
      <c r="Y24" s="177"/>
      <c r="Z24" s="285">
        <f>AB24/AA24</f>
        <v>30.446363636363639</v>
      </c>
      <c r="AA24" s="177">
        <v>22</v>
      </c>
      <c r="AB24" s="177">
        <v>669.82</v>
      </c>
      <c r="AC24" s="177"/>
      <c r="AD24" s="177"/>
      <c r="AE24" s="285">
        <f>AG24/AF24</f>
        <v>30.446363636363639</v>
      </c>
      <c r="AF24" s="177">
        <v>22</v>
      </c>
      <c r="AG24" s="177">
        <v>669.82</v>
      </c>
      <c r="AH24" s="177"/>
      <c r="AI24" s="177"/>
      <c r="AJ24" s="285">
        <f>AL24/AK24</f>
        <v>18.103243243243245</v>
      </c>
      <c r="AK24" s="172">
        <v>37</v>
      </c>
      <c r="AL24" s="177">
        <v>669.82</v>
      </c>
      <c r="AM24" s="177"/>
      <c r="AN24" s="177"/>
      <c r="AO24" s="285">
        <f>AQ24/AP24</f>
        <v>30.446363636363639</v>
      </c>
      <c r="AP24" s="177">
        <v>22</v>
      </c>
      <c r="AQ24" s="177">
        <v>669.82</v>
      </c>
      <c r="AR24" s="177"/>
      <c r="AS24" s="177"/>
      <c r="AT24" s="285">
        <f>AV24/AU24</f>
        <v>30.446363636363639</v>
      </c>
      <c r="AU24" s="177">
        <v>22</v>
      </c>
      <c r="AV24" s="177">
        <v>669.82</v>
      </c>
      <c r="AW24" s="172"/>
      <c r="AX24" s="177"/>
      <c r="AY24" s="285">
        <f>BA24/AZ24</f>
        <v>30.446363636363639</v>
      </c>
      <c r="AZ24" s="177">
        <v>22</v>
      </c>
      <c r="BA24" s="177">
        <v>669.82</v>
      </c>
      <c r="BB24" s="177"/>
      <c r="BC24" s="177"/>
      <c r="BD24" s="285">
        <f>BF24/BE24</f>
        <v>30.446363636363639</v>
      </c>
      <c r="BE24" s="177">
        <v>22</v>
      </c>
      <c r="BF24" s="177">
        <v>669.82</v>
      </c>
      <c r="BG24" s="177"/>
      <c r="BH24" s="177"/>
      <c r="BI24" s="285">
        <f>BK24/BJ24</f>
        <v>30.446363636363639</v>
      </c>
      <c r="BJ24" s="177">
        <v>22</v>
      </c>
      <c r="BK24" s="177">
        <v>669.82</v>
      </c>
      <c r="BL24" s="177"/>
      <c r="BM24" s="177"/>
      <c r="BN24" s="285">
        <f>BP24/BO24</f>
        <v>30.446363636363639</v>
      </c>
      <c r="BO24" s="177">
        <v>22</v>
      </c>
      <c r="BP24" s="177">
        <v>669.82</v>
      </c>
      <c r="BQ24" s="177"/>
      <c r="BR24" s="177"/>
      <c r="BS24" s="285">
        <f>BU24/BT24</f>
        <v>30.446363636363639</v>
      </c>
      <c r="BT24" s="177">
        <v>22</v>
      </c>
      <c r="BU24" s="177">
        <v>669.82</v>
      </c>
      <c r="BV24" s="177"/>
      <c r="BW24" s="177"/>
      <c r="BX24" s="285">
        <f>BZ24/BY24</f>
        <v>30.446363636363639</v>
      </c>
      <c r="BY24" s="177">
        <v>22</v>
      </c>
      <c r="BZ24" s="177">
        <v>669.82</v>
      </c>
      <c r="CA24" s="177"/>
      <c r="CB24" s="177"/>
      <c r="CC24" s="285">
        <f>CE24/CD24</f>
        <v>30.446363636363639</v>
      </c>
      <c r="CD24" s="177">
        <v>22</v>
      </c>
      <c r="CE24" s="177">
        <v>669.82</v>
      </c>
      <c r="CF24" s="177"/>
      <c r="CG24" s="177"/>
      <c r="CH24" s="285">
        <f>CJ24/CI24</f>
        <v>30.446363636363639</v>
      </c>
      <c r="CI24" s="177">
        <v>22</v>
      </c>
      <c r="CJ24" s="177">
        <v>669.82</v>
      </c>
      <c r="CK24" s="177"/>
      <c r="CL24" s="177"/>
      <c r="CM24" s="285">
        <f>CO24/CN24</f>
        <v>30.446363636363639</v>
      </c>
      <c r="CN24" s="177">
        <v>22</v>
      </c>
      <c r="CO24" s="177">
        <v>669.82</v>
      </c>
      <c r="CP24" s="177"/>
      <c r="CQ24" s="177"/>
      <c r="CR24" s="285">
        <f>CT24/CS24</f>
        <v>30.446363636363639</v>
      </c>
      <c r="CS24" s="177">
        <v>22</v>
      </c>
      <c r="CT24" s="177">
        <v>669.82</v>
      </c>
      <c r="CU24" s="177"/>
      <c r="CV24" s="177"/>
      <c r="CW24" s="285">
        <f>CY24/CX24</f>
        <v>30.446363636363639</v>
      </c>
      <c r="CX24" s="177">
        <v>22</v>
      </c>
      <c r="CY24" s="177">
        <v>669.82</v>
      </c>
      <c r="CZ24" s="177"/>
      <c r="DA24" s="177"/>
    </row>
    <row r="25" spans="1:105" s="255" customFormat="1" ht="15" customHeight="1">
      <c r="A25" s="250" t="s">
        <v>128</v>
      </c>
      <c r="B25" s="251" t="s">
        <v>28</v>
      </c>
      <c r="C25" s="26" t="s">
        <v>19</v>
      </c>
      <c r="D25" s="253" t="s">
        <v>10</v>
      </c>
      <c r="E25" s="21"/>
      <c r="F25" s="164"/>
      <c r="G25" s="165"/>
      <c r="H25" s="165"/>
      <c r="I25" s="165"/>
      <c r="J25" s="17"/>
      <c r="K25" s="164"/>
      <c r="L25" s="165"/>
      <c r="M25" s="165"/>
      <c r="N25" s="165"/>
      <c r="O25" s="17"/>
      <c r="P25" s="164"/>
      <c r="Q25" s="165"/>
      <c r="R25" s="165"/>
      <c r="S25" s="165"/>
      <c r="T25" s="17"/>
      <c r="U25" s="208"/>
      <c r="V25" s="165"/>
      <c r="W25" s="373">
        <v>5085</v>
      </c>
      <c r="X25" s="165"/>
      <c r="Y25" s="383">
        <f>SUM(W25:W30)*1.1</f>
        <v>259503.06580000001</v>
      </c>
      <c r="Z25" s="2"/>
      <c r="AA25" s="165"/>
      <c r="AB25" s="373">
        <v>5306</v>
      </c>
      <c r="AC25" s="165"/>
      <c r="AD25" s="383">
        <f>SUM(AB25:AB30)*1.1</f>
        <v>245493.75180000003</v>
      </c>
      <c r="AE25" s="2"/>
      <c r="AF25" s="165"/>
      <c r="AG25" s="373">
        <v>5085</v>
      </c>
      <c r="AH25" s="165"/>
      <c r="AI25" s="383">
        <f>AI26*1.1</f>
        <v>373563.24500000005</v>
      </c>
      <c r="AJ25" s="2"/>
      <c r="AK25" s="165"/>
      <c r="AL25" s="373">
        <v>4643</v>
      </c>
      <c r="AM25" s="165"/>
      <c r="AN25" s="383">
        <f>AN26*1.2</f>
        <v>288508.89359999995</v>
      </c>
      <c r="AO25" s="2"/>
      <c r="AP25" s="165"/>
      <c r="AQ25" s="373">
        <v>4422</v>
      </c>
      <c r="AR25" s="165"/>
      <c r="AS25" s="383">
        <f>SUM(AQ25:AQ30)*1.2</f>
        <v>402263.0615999999</v>
      </c>
      <c r="AT25" s="2"/>
      <c r="AU25" s="165"/>
      <c r="AV25" s="165"/>
      <c r="AW25" s="165"/>
      <c r="AX25" s="383">
        <f>SUM(AV25:AV30)*1.1</f>
        <v>374248.29200000002</v>
      </c>
      <c r="AY25" s="2"/>
      <c r="AZ25" s="165"/>
      <c r="BA25" s="165"/>
      <c r="BB25" s="165"/>
      <c r="BC25" s="383">
        <f>SUM(BA25:BA30)*1.1</f>
        <v>348933.9216</v>
      </c>
      <c r="BD25" s="2"/>
      <c r="BE25" s="165"/>
      <c r="BF25" s="165"/>
      <c r="BG25" s="165"/>
      <c r="BH25" s="383">
        <f>SUM(BF25:BF30)*1.1</f>
        <v>318419.31660000002</v>
      </c>
      <c r="BI25" s="2"/>
      <c r="BJ25" s="165"/>
      <c r="BK25" s="165"/>
      <c r="BL25" s="165"/>
      <c r="BM25" s="383">
        <f>SUM(BK25:BK30)*1.1</f>
        <v>348625.39140000002</v>
      </c>
      <c r="BN25" s="2"/>
      <c r="BO25" s="165"/>
      <c r="BP25" s="165"/>
      <c r="BQ25" s="165"/>
      <c r="BR25" s="383">
        <f>SUM(BP25:BP30)*1.1</f>
        <v>331844.83860000002</v>
      </c>
      <c r="BS25" s="2"/>
      <c r="BT25" s="165"/>
      <c r="BU25" s="165"/>
      <c r="BV25" s="165"/>
      <c r="BW25" s="383">
        <f>SUM(BU25:BU30)*1.1</f>
        <v>365511.685</v>
      </c>
      <c r="BX25" s="2"/>
      <c r="BY25" s="165"/>
      <c r="BZ25" s="165"/>
      <c r="CA25" s="165"/>
      <c r="CB25" s="383">
        <f>SUM(BZ25:BZ30)*1.1</f>
        <v>172379.60300000003</v>
      </c>
      <c r="CC25" s="2"/>
      <c r="CD25" s="165"/>
      <c r="CE25" s="165"/>
      <c r="CF25" s="165"/>
      <c r="CG25" s="383">
        <f>SUM(CE25:CE30)*1.1</f>
        <v>172379.60300000003</v>
      </c>
      <c r="CH25" s="2"/>
      <c r="CI25" s="165"/>
      <c r="CJ25" s="165"/>
      <c r="CK25" s="165"/>
      <c r="CL25" s="383">
        <f>SUM(CJ25:CJ30)*1.1</f>
        <v>172379.60300000003</v>
      </c>
      <c r="CM25" s="2"/>
      <c r="CN25" s="165"/>
      <c r="CO25" s="165"/>
      <c r="CP25" s="165"/>
      <c r="CQ25" s="383">
        <f>SUM(CO25:CO30)*1.1</f>
        <v>172379.60300000003</v>
      </c>
      <c r="CR25" s="2"/>
      <c r="CS25" s="165"/>
      <c r="CT25" s="165"/>
      <c r="CU25" s="165"/>
      <c r="CV25" s="383">
        <f>SUM(CT25:CT30)*1.1</f>
        <v>172379.60300000003</v>
      </c>
      <c r="CW25" s="2"/>
      <c r="CX25" s="165"/>
      <c r="CY25" s="165"/>
      <c r="CZ25" s="165"/>
      <c r="DA25" s="383">
        <f>SUM(CY25:CY30)*1.1</f>
        <v>172379.60300000003</v>
      </c>
    </row>
    <row r="26" spans="1:105" ht="15" customHeight="1">
      <c r="A26" s="256"/>
      <c r="B26" s="215">
        <v>32912720</v>
      </c>
      <c r="C26" s="45" t="s">
        <v>29</v>
      </c>
      <c r="D26" s="218" t="s">
        <v>11</v>
      </c>
      <c r="E26" s="24"/>
      <c r="F26" s="103"/>
      <c r="G26" s="70">
        <v>696.6</v>
      </c>
      <c r="H26" s="131">
        <v>7280.87</v>
      </c>
      <c r="I26" s="128"/>
      <c r="J26" s="136"/>
      <c r="K26" s="103"/>
      <c r="L26" s="70">
        <v>696.6</v>
      </c>
      <c r="M26" s="131">
        <v>7280.87</v>
      </c>
      <c r="N26" s="156">
        <v>2940</v>
      </c>
      <c r="O26" s="136"/>
      <c r="P26" s="103"/>
      <c r="Q26" s="70">
        <v>696.6</v>
      </c>
      <c r="R26" s="131">
        <v>7280.87</v>
      </c>
      <c r="S26" s="128"/>
      <c r="T26" s="136"/>
      <c r="U26" s="47"/>
      <c r="V26" s="70">
        <v>696.6</v>
      </c>
      <c r="W26" s="131">
        <v>7280.87</v>
      </c>
      <c r="X26" s="128"/>
      <c r="Y26" s="403">
        <f>SUM(W25:W30)*1</f>
        <v>235911.878</v>
      </c>
      <c r="Z26" s="46"/>
      <c r="AA26" s="70">
        <v>696.6</v>
      </c>
      <c r="AB26" s="131">
        <v>7280.87</v>
      </c>
      <c r="AC26" s="128"/>
      <c r="AD26" s="403">
        <f>SUM(AB25:AB30)*1</f>
        <v>223176.13800000001</v>
      </c>
      <c r="AE26" s="46"/>
      <c r="AF26" s="70">
        <v>696.6</v>
      </c>
      <c r="AG26" s="131">
        <v>7280.87</v>
      </c>
      <c r="AH26" s="128"/>
      <c r="AI26" s="403">
        <f>SUM(AG29:AG30)+AH28+AG27+AG26+AG25*1</f>
        <v>339602.95</v>
      </c>
      <c r="AJ26" s="46"/>
      <c r="AK26" s="70">
        <v>696.6</v>
      </c>
      <c r="AL26" s="131">
        <v>7280.87</v>
      </c>
      <c r="AM26" s="128"/>
      <c r="AN26" s="403">
        <f>SUM(AL29:AL30)+AM28+AL27+AL26+AL25*1</f>
        <v>240424.07799999998</v>
      </c>
      <c r="AO26" s="46"/>
      <c r="AP26" s="70">
        <v>696.6</v>
      </c>
      <c r="AQ26" s="131">
        <v>7280.87</v>
      </c>
      <c r="AR26" s="128"/>
      <c r="AS26" s="403">
        <f>SUM(AQ25:AQ30)*1</f>
        <v>335219.21799999994</v>
      </c>
      <c r="AT26" s="46"/>
      <c r="AU26" s="70">
        <v>696.6</v>
      </c>
      <c r="AV26" s="131" t="s">
        <v>342</v>
      </c>
      <c r="AW26" s="128"/>
      <c r="AX26" s="403">
        <f>SUM(AV25:AV30)*1</f>
        <v>340225.72</v>
      </c>
      <c r="AY26" s="46"/>
      <c r="AZ26" s="70">
        <v>696.6</v>
      </c>
      <c r="BA26" s="131" t="s">
        <v>342</v>
      </c>
      <c r="BB26" s="128"/>
      <c r="BC26" s="403">
        <f>SUM(BA25:BA30)*1</f>
        <v>317212.65599999996</v>
      </c>
      <c r="BD26" s="46"/>
      <c r="BE26" s="538">
        <v>696.6</v>
      </c>
      <c r="BF26" s="540">
        <v>7789.39</v>
      </c>
      <c r="BG26" s="128"/>
      <c r="BH26" s="403">
        <f>SUM(BF25:BF30)*1</f>
        <v>289472.10599999997</v>
      </c>
      <c r="BI26" s="46"/>
      <c r="BJ26" s="70">
        <v>696.6</v>
      </c>
      <c r="BK26" s="540">
        <v>7789.39</v>
      </c>
      <c r="BL26" s="128"/>
      <c r="BM26" s="403">
        <f>SUM(BK25:BK30)*1</f>
        <v>316932.174</v>
      </c>
      <c r="BN26" s="46"/>
      <c r="BO26" s="70">
        <v>696.6</v>
      </c>
      <c r="BP26" s="131">
        <v>7789.39</v>
      </c>
      <c r="BQ26" s="128"/>
      <c r="BR26" s="403">
        <f>SUM(BP25:BP30)*1</f>
        <v>301677.12599999999</v>
      </c>
      <c r="BS26" s="46"/>
      <c r="BT26" s="70">
        <v>696.6</v>
      </c>
      <c r="BU26" s="131">
        <v>7789.39</v>
      </c>
      <c r="BV26" s="128"/>
      <c r="BW26" s="403">
        <f>SUM(BU25:BU30)*1</f>
        <v>332283.34999999998</v>
      </c>
      <c r="BX26" s="46"/>
      <c r="BY26" s="62">
        <v>696.6</v>
      </c>
      <c r="BZ26" s="63">
        <v>7280.87</v>
      </c>
      <c r="CA26" s="56"/>
      <c r="CB26" s="403">
        <f>SUM(BZ25:BZ30)*1</f>
        <v>156708.73000000001</v>
      </c>
      <c r="CC26" s="46"/>
      <c r="CD26" s="62">
        <v>696.6</v>
      </c>
      <c r="CE26" s="63">
        <v>7280.87</v>
      </c>
      <c r="CF26" s="56"/>
      <c r="CG26" s="403">
        <f>SUM(CE25:CE30)*1</f>
        <v>156708.73000000001</v>
      </c>
      <c r="CH26" s="46"/>
      <c r="CI26" s="62">
        <v>696.6</v>
      </c>
      <c r="CJ26" s="63">
        <v>7280.87</v>
      </c>
      <c r="CK26" s="56"/>
      <c r="CL26" s="403">
        <f>SUM(CJ25:CJ30)*1</f>
        <v>156708.73000000001</v>
      </c>
      <c r="CM26" s="46"/>
      <c r="CN26" s="62">
        <v>696.6</v>
      </c>
      <c r="CO26" s="63">
        <v>7280.87</v>
      </c>
      <c r="CP26" s="56"/>
      <c r="CQ26" s="403">
        <f>SUM(CO25:CO30)*1</f>
        <v>156708.73000000001</v>
      </c>
      <c r="CR26" s="46"/>
      <c r="CS26" s="62">
        <v>696.6</v>
      </c>
      <c r="CT26" s="63">
        <v>7280.87</v>
      </c>
      <c r="CU26" s="56"/>
      <c r="CV26" s="403">
        <f>SUM(CT25:CT30)*1</f>
        <v>156708.73000000001</v>
      </c>
      <c r="CW26" s="46"/>
      <c r="CX26" s="62">
        <v>696.6</v>
      </c>
      <c r="CY26" s="63">
        <v>7280.87</v>
      </c>
      <c r="CZ26" s="56"/>
      <c r="DA26" s="403">
        <f>SUM(CY25:CY30)*1</f>
        <v>156708.73000000001</v>
      </c>
    </row>
    <row r="27" spans="1:105" ht="15" customHeight="1">
      <c r="A27" s="256"/>
      <c r="B27" s="215">
        <v>32912720</v>
      </c>
      <c r="C27" s="45" t="s">
        <v>29</v>
      </c>
      <c r="D27" s="218" t="s">
        <v>11</v>
      </c>
      <c r="E27" s="24"/>
      <c r="F27" s="103"/>
      <c r="G27" s="70">
        <v>465.4</v>
      </c>
      <c r="H27" s="131">
        <v>4864.3599999999997</v>
      </c>
      <c r="I27" s="128"/>
      <c r="J27" s="136"/>
      <c r="K27" s="103"/>
      <c r="L27" s="70">
        <v>465.4</v>
      </c>
      <c r="M27" s="131">
        <v>4864.3599999999997</v>
      </c>
      <c r="N27" s="128"/>
      <c r="O27" s="136"/>
      <c r="P27" s="103"/>
      <c r="Q27" s="70">
        <v>465.4</v>
      </c>
      <c r="R27" s="131">
        <v>4864.3599999999997</v>
      </c>
      <c r="S27" s="128"/>
      <c r="T27" s="136"/>
      <c r="U27" s="47"/>
      <c r="V27" s="70">
        <v>465.4</v>
      </c>
      <c r="W27" s="131">
        <v>4864.3599999999997</v>
      </c>
      <c r="X27" s="128"/>
      <c r="Y27" s="128"/>
      <c r="Z27" s="46"/>
      <c r="AA27" s="70">
        <v>465.4</v>
      </c>
      <c r="AB27" s="131">
        <v>4864.3599999999997</v>
      </c>
      <c r="AC27" s="128"/>
      <c r="AD27" s="128"/>
      <c r="AE27" s="46"/>
      <c r="AF27" s="70">
        <v>465.4</v>
      </c>
      <c r="AG27" s="131">
        <v>4864.3599999999997</v>
      </c>
      <c r="AH27" s="128"/>
      <c r="AI27" s="128"/>
      <c r="AJ27" s="46"/>
      <c r="AK27" s="70">
        <v>465.4</v>
      </c>
      <c r="AL27" s="131">
        <v>4864.3599999999997</v>
      </c>
      <c r="AM27" s="128"/>
      <c r="AN27" s="128"/>
      <c r="AO27" s="46"/>
      <c r="AP27" s="70">
        <v>465.4</v>
      </c>
      <c r="AQ27" s="131">
        <v>4864.3599999999997</v>
      </c>
      <c r="AR27" s="128"/>
      <c r="AS27" s="128"/>
      <c r="AT27" s="46"/>
      <c r="AU27" s="70">
        <v>465.4</v>
      </c>
      <c r="AV27" s="131" t="s">
        <v>343</v>
      </c>
      <c r="AW27" s="128"/>
      <c r="AX27" s="128"/>
      <c r="AY27" s="46"/>
      <c r="AZ27" s="70">
        <v>465.4</v>
      </c>
      <c r="BA27" s="131" t="s">
        <v>343</v>
      </c>
      <c r="BB27" s="128"/>
      <c r="BC27" s="128"/>
      <c r="BD27" s="46"/>
      <c r="BE27" s="538">
        <v>465.4</v>
      </c>
      <c r="BF27" s="539">
        <v>5204.1000000000004</v>
      </c>
      <c r="BG27" s="128"/>
      <c r="BH27" s="128"/>
      <c r="BI27" s="46"/>
      <c r="BJ27" s="70">
        <v>465.4</v>
      </c>
      <c r="BK27" s="539">
        <v>5204.1000000000004</v>
      </c>
      <c r="BL27" s="128"/>
      <c r="BM27" s="128"/>
      <c r="BN27" s="46"/>
      <c r="BO27" s="70">
        <v>465.4</v>
      </c>
      <c r="BP27" s="131" t="s">
        <v>343</v>
      </c>
      <c r="BQ27" s="128"/>
      <c r="BR27" s="128"/>
      <c r="BS27" s="46"/>
      <c r="BT27" s="70">
        <v>465.4</v>
      </c>
      <c r="BU27" s="131" t="s">
        <v>343</v>
      </c>
      <c r="BV27" s="128"/>
      <c r="BW27" s="128"/>
      <c r="BX27" s="46"/>
      <c r="BY27" s="62">
        <v>465.4</v>
      </c>
      <c r="BZ27" s="63">
        <v>4864.3599999999997</v>
      </c>
      <c r="CA27" s="56"/>
      <c r="CB27" s="128"/>
      <c r="CC27" s="46"/>
      <c r="CD27" s="62">
        <v>465.4</v>
      </c>
      <c r="CE27" s="63">
        <v>4864.3599999999997</v>
      </c>
      <c r="CF27" s="56"/>
      <c r="CG27" s="128"/>
      <c r="CH27" s="46"/>
      <c r="CI27" s="62">
        <v>465.4</v>
      </c>
      <c r="CJ27" s="63">
        <v>4864.3599999999997</v>
      </c>
      <c r="CK27" s="56"/>
      <c r="CL27" s="128"/>
      <c r="CM27" s="46"/>
      <c r="CN27" s="62">
        <v>465.4</v>
      </c>
      <c r="CO27" s="63">
        <v>4864.3599999999997</v>
      </c>
      <c r="CP27" s="56"/>
      <c r="CQ27" s="128"/>
      <c r="CR27" s="46"/>
      <c r="CS27" s="62">
        <v>465.4</v>
      </c>
      <c r="CT27" s="63">
        <v>4864.3599999999997</v>
      </c>
      <c r="CU27" s="56"/>
      <c r="CV27" s="128"/>
      <c r="CW27" s="46"/>
      <c r="CX27" s="62">
        <v>465.4</v>
      </c>
      <c r="CY27" s="63">
        <v>4864.3599999999997</v>
      </c>
      <c r="CZ27" s="56"/>
      <c r="DA27" s="128"/>
    </row>
    <row r="28" spans="1:105" ht="15" customHeight="1">
      <c r="A28" s="256"/>
      <c r="B28" s="215">
        <v>41916045</v>
      </c>
      <c r="C28" s="45" t="s">
        <v>195</v>
      </c>
      <c r="D28" s="216" t="s">
        <v>13</v>
      </c>
      <c r="E28" s="22"/>
      <c r="F28" s="104">
        <f>H28/G28</f>
        <v>5.3077194940476193</v>
      </c>
      <c r="G28" s="69">
        <v>26880</v>
      </c>
      <c r="H28" s="69">
        <v>142671.5</v>
      </c>
      <c r="I28" s="128">
        <v>99077.440000000002</v>
      </c>
      <c r="J28" s="136"/>
      <c r="K28" s="104">
        <f>M28/L28</f>
        <v>5.3685477378387567</v>
      </c>
      <c r="L28" s="69">
        <v>35276</v>
      </c>
      <c r="M28" s="69">
        <f>132566.62+56814.27</f>
        <v>189380.88999999998</v>
      </c>
      <c r="N28" s="128">
        <v>189380.89</v>
      </c>
      <c r="O28" s="136"/>
      <c r="P28" s="104">
        <f>R28/Q28</f>
        <v>4.9663920364795988</v>
      </c>
      <c r="Q28" s="69">
        <v>33553</v>
      </c>
      <c r="R28" s="69">
        <v>166637.35199999998</v>
      </c>
      <c r="S28" s="128">
        <v>166637.35199999998</v>
      </c>
      <c r="T28" s="136"/>
      <c r="U28" s="115">
        <f>W28/V28</f>
        <v>5.2077238876388181</v>
      </c>
      <c r="V28" s="69">
        <v>41331</v>
      </c>
      <c r="W28" s="69">
        <v>215240.43599999999</v>
      </c>
      <c r="X28" s="128">
        <v>215240.43599999999</v>
      </c>
      <c r="Y28" s="128"/>
      <c r="Z28" s="92">
        <f>AB28/AA28</f>
        <v>4.6829521008403363</v>
      </c>
      <c r="AA28" s="69">
        <v>42840</v>
      </c>
      <c r="AB28" s="69">
        <v>200617.66800000001</v>
      </c>
      <c r="AC28" s="128">
        <v>200617.66800000001</v>
      </c>
      <c r="AD28" s="128"/>
      <c r="AE28" s="92">
        <f>AG28/AF28</f>
        <v>4.8199441240666285</v>
      </c>
      <c r="AF28" s="410">
        <v>43525</v>
      </c>
      <c r="AG28" s="410">
        <v>209788.068</v>
      </c>
      <c r="AH28" s="128">
        <f>73911.77+31676.47+139680.1+75212.38</f>
        <v>320480.72000000003</v>
      </c>
      <c r="AI28" s="128"/>
      <c r="AJ28" s="92">
        <f>AL28/AK28</f>
        <v>4.9792201133144474</v>
      </c>
      <c r="AK28" s="410">
        <v>42360</v>
      </c>
      <c r="AL28" s="410">
        <v>210919.764</v>
      </c>
      <c r="AM28" s="128">
        <v>221158.848</v>
      </c>
      <c r="AN28" s="128"/>
      <c r="AO28" s="92">
        <f>AQ28/AP28</f>
        <v>5.9466959981809913</v>
      </c>
      <c r="AP28" s="410">
        <v>52776</v>
      </c>
      <c r="AQ28" s="410">
        <v>313842.82799999998</v>
      </c>
      <c r="AR28" s="128">
        <v>353927.04</v>
      </c>
      <c r="AS28" s="128"/>
      <c r="AT28" s="92">
        <f>AV28/AU28</f>
        <v>6.6107622432859401</v>
      </c>
      <c r="AU28" s="410">
        <v>50640</v>
      </c>
      <c r="AV28" s="410">
        <v>334769</v>
      </c>
      <c r="AW28" s="56">
        <v>99077.440000000002</v>
      </c>
      <c r="AX28" s="128"/>
      <c r="AY28" s="92">
        <f>BA28/AZ28</f>
        <v>6.3494520068387192</v>
      </c>
      <c r="AZ28" s="410">
        <v>49132</v>
      </c>
      <c r="BA28" s="410">
        <v>311961.27599999995</v>
      </c>
      <c r="BB28" s="128">
        <v>259967.72999999998</v>
      </c>
      <c r="BC28" s="128"/>
      <c r="BD28" s="92">
        <f>BF28/BE28</f>
        <v>6.3628442368328848</v>
      </c>
      <c r="BE28" s="410">
        <v>42815</v>
      </c>
      <c r="BF28" s="410">
        <v>272425.17599999998</v>
      </c>
      <c r="BG28" s="128">
        <v>259967.72999999998</v>
      </c>
      <c r="BH28" s="128"/>
      <c r="BI28" s="92">
        <f>BK28/BJ28</f>
        <v>6.7715880282479546</v>
      </c>
      <c r="BJ28" s="410">
        <v>44605</v>
      </c>
      <c r="BK28" s="410">
        <v>302046.68400000001</v>
      </c>
      <c r="BL28" s="128">
        <v>215669.93100000001</v>
      </c>
      <c r="BM28" s="128"/>
      <c r="BN28" s="92">
        <f>BP28/BO28</f>
        <v>6.374627962716378</v>
      </c>
      <c r="BO28" s="410">
        <v>45060</v>
      </c>
      <c r="BP28" s="410">
        <v>287240.73599999998</v>
      </c>
      <c r="BQ28" s="56">
        <v>99077.440000000002</v>
      </c>
      <c r="BR28" s="128"/>
      <c r="BS28" s="92">
        <f>BU28/BT28</f>
        <v>6.0268800904977367</v>
      </c>
      <c r="BT28" s="410">
        <v>53040</v>
      </c>
      <c r="BU28" s="410">
        <v>319665.71999999997</v>
      </c>
      <c r="BV28" s="128" t="s">
        <v>428</v>
      </c>
      <c r="BW28" s="128"/>
      <c r="BX28" s="92">
        <f>BZ28/BY28</f>
        <v>5.3077194940476193</v>
      </c>
      <c r="BY28" s="58">
        <v>26880</v>
      </c>
      <c r="BZ28" s="58">
        <v>142671.5</v>
      </c>
      <c r="CA28" s="128">
        <v>345590.5</v>
      </c>
      <c r="CB28" s="128"/>
      <c r="CC28" s="92">
        <f>CE28/CD28</f>
        <v>5.3077194940476193</v>
      </c>
      <c r="CD28" s="58">
        <v>26880</v>
      </c>
      <c r="CE28" s="58">
        <v>142671.5</v>
      </c>
      <c r="CF28" s="56">
        <v>99077.440000000002</v>
      </c>
      <c r="CG28" s="128"/>
      <c r="CH28" s="92">
        <f>CJ28/CI28</f>
        <v>5.3077194940476193</v>
      </c>
      <c r="CI28" s="58">
        <v>26880</v>
      </c>
      <c r="CJ28" s="58">
        <v>142671.5</v>
      </c>
      <c r="CK28" s="56">
        <v>99077.440000000002</v>
      </c>
      <c r="CL28" s="128"/>
      <c r="CM28" s="92">
        <f>CO28/CN28</f>
        <v>5.3077194940476193</v>
      </c>
      <c r="CN28" s="58">
        <v>26880</v>
      </c>
      <c r="CO28" s="58">
        <v>142671.5</v>
      </c>
      <c r="CP28" s="56">
        <v>99077.440000000002</v>
      </c>
      <c r="CQ28" s="128"/>
      <c r="CR28" s="92">
        <f>CT28/CS28</f>
        <v>5.3077194940476193</v>
      </c>
      <c r="CS28" s="58">
        <v>26880</v>
      </c>
      <c r="CT28" s="58">
        <v>142671.5</v>
      </c>
      <c r="CU28" s="56">
        <v>99077.440000000002</v>
      </c>
      <c r="CV28" s="128"/>
      <c r="CW28" s="92">
        <f>CY28/CX28</f>
        <v>5.3077194940476193</v>
      </c>
      <c r="CX28" s="58">
        <v>26880</v>
      </c>
      <c r="CY28" s="58">
        <v>142671.5</v>
      </c>
      <c r="CZ28" s="56">
        <v>99077.440000000002</v>
      </c>
      <c r="DA28" s="128"/>
    </row>
    <row r="29" spans="1:105" ht="15" customHeight="1">
      <c r="A29" s="256"/>
      <c r="B29" s="215">
        <v>41946011</v>
      </c>
      <c r="C29" s="45" t="s">
        <v>200</v>
      </c>
      <c r="D29" s="216" t="s">
        <v>15</v>
      </c>
      <c r="E29" s="22"/>
      <c r="F29" s="103"/>
      <c r="G29" s="128"/>
      <c r="H29" s="69" t="s">
        <v>183</v>
      </c>
      <c r="I29" s="128"/>
      <c r="J29" s="136"/>
      <c r="K29" s="103"/>
      <c r="L29" s="128"/>
      <c r="M29" s="69">
        <v>1608.624</v>
      </c>
      <c r="N29" s="128"/>
      <c r="O29" s="136"/>
      <c r="P29" s="103"/>
      <c r="Q29" s="128"/>
      <c r="R29" s="69" t="s">
        <v>208</v>
      </c>
      <c r="S29" s="128"/>
      <c r="T29" s="136"/>
      <c r="U29" s="47"/>
      <c r="V29" s="128"/>
      <c r="W29" s="69">
        <v>1705.212</v>
      </c>
      <c r="X29" s="128"/>
      <c r="Y29" s="128"/>
      <c r="Z29" s="46"/>
      <c r="AA29" s="56"/>
      <c r="AB29" s="58">
        <v>2015.24</v>
      </c>
      <c r="AC29" s="56"/>
      <c r="AD29" s="128"/>
      <c r="AE29" s="46"/>
      <c r="AF29" s="128"/>
      <c r="AG29" s="69" t="s">
        <v>234</v>
      </c>
      <c r="AH29" s="128"/>
      <c r="AI29" s="128"/>
      <c r="AJ29" s="46"/>
      <c r="AK29" s="56"/>
      <c r="AL29" s="410" t="s">
        <v>291</v>
      </c>
      <c r="AM29" s="56"/>
      <c r="AN29" s="128"/>
      <c r="AO29" s="46"/>
      <c r="AP29" s="408"/>
      <c r="AQ29" s="410">
        <v>2431.16</v>
      </c>
      <c r="AR29" s="408"/>
      <c r="AS29" s="128"/>
      <c r="AT29" s="46"/>
      <c r="AU29" s="408"/>
      <c r="AV29" s="410">
        <v>2940.72</v>
      </c>
      <c r="AW29" s="408"/>
      <c r="AX29" s="128"/>
      <c r="AY29" s="46"/>
      <c r="AZ29" s="408"/>
      <c r="BA29" s="410">
        <v>3359.38</v>
      </c>
      <c r="BB29" s="408"/>
      <c r="BC29" s="128"/>
      <c r="BD29" s="46"/>
      <c r="BE29" s="408"/>
      <c r="BF29" s="410">
        <v>2161.44</v>
      </c>
      <c r="BG29" s="408"/>
      <c r="BH29" s="128"/>
      <c r="BI29" s="46"/>
      <c r="BJ29" s="408"/>
      <c r="BK29" s="410" t="s">
        <v>373</v>
      </c>
      <c r="BL29" s="408"/>
      <c r="BM29" s="128"/>
      <c r="BN29" s="46"/>
      <c r="BO29" s="408"/>
      <c r="BP29" s="410" t="s">
        <v>381</v>
      </c>
      <c r="BQ29" s="408"/>
      <c r="BR29" s="128"/>
      <c r="BS29" s="46"/>
      <c r="BT29" s="408">
        <v>1</v>
      </c>
      <c r="BU29" s="410">
        <v>2431.86</v>
      </c>
      <c r="BV29" s="408"/>
      <c r="BW29" s="128"/>
      <c r="BX29" s="46"/>
      <c r="BY29" s="56"/>
      <c r="BZ29" s="58" t="s">
        <v>183</v>
      </c>
      <c r="CA29" s="56"/>
      <c r="CB29" s="128"/>
      <c r="CC29" s="46"/>
      <c r="CD29" s="56"/>
      <c r="CE29" s="58" t="s">
        <v>183</v>
      </c>
      <c r="CF29" s="56"/>
      <c r="CG29" s="128"/>
      <c r="CH29" s="46"/>
      <c r="CI29" s="56"/>
      <c r="CJ29" s="58" t="s">
        <v>183</v>
      </c>
      <c r="CK29" s="56"/>
      <c r="CL29" s="128"/>
      <c r="CM29" s="46"/>
      <c r="CN29" s="56"/>
      <c r="CO29" s="58" t="s">
        <v>183</v>
      </c>
      <c r="CP29" s="56"/>
      <c r="CQ29" s="128"/>
      <c r="CR29" s="46"/>
      <c r="CS29" s="56"/>
      <c r="CT29" s="58" t="s">
        <v>183</v>
      </c>
      <c r="CU29" s="56"/>
      <c r="CV29" s="128"/>
      <c r="CW29" s="46"/>
      <c r="CX29" s="56"/>
      <c r="CY29" s="58" t="s">
        <v>183</v>
      </c>
      <c r="CZ29" s="56"/>
      <c r="DA29" s="128"/>
    </row>
    <row r="30" spans="1:105" s="264" customFormat="1" ht="15" customHeight="1" thickBot="1">
      <c r="A30" s="257"/>
      <c r="B30" s="258">
        <v>2839404073</v>
      </c>
      <c r="C30" s="20" t="s">
        <v>30</v>
      </c>
      <c r="D30" s="259" t="s">
        <v>17</v>
      </c>
      <c r="E30" s="23"/>
      <c r="F30" s="168">
        <f>H30/G30</f>
        <v>32.446666666666665</v>
      </c>
      <c r="G30" s="172">
        <v>57</v>
      </c>
      <c r="H30" s="172">
        <v>1849.46</v>
      </c>
      <c r="I30" s="172"/>
      <c r="J30" s="18"/>
      <c r="K30" s="168">
        <f>M30/L30</f>
        <v>33.254545454545458</v>
      </c>
      <c r="L30" s="172">
        <v>55</v>
      </c>
      <c r="M30" s="172">
        <v>1829</v>
      </c>
      <c r="N30" s="172"/>
      <c r="O30" s="18"/>
      <c r="P30" s="168">
        <f>R30/Q30</f>
        <v>32.343666666666664</v>
      </c>
      <c r="Q30" s="172">
        <v>60</v>
      </c>
      <c r="R30" s="172">
        <v>1940.62</v>
      </c>
      <c r="S30" s="172"/>
      <c r="T30" s="18"/>
      <c r="U30" s="209">
        <f>W30/V30</f>
        <v>33.384615384615387</v>
      </c>
      <c r="V30" s="172">
        <v>52</v>
      </c>
      <c r="W30" s="172">
        <v>1736</v>
      </c>
      <c r="X30" s="172"/>
      <c r="Y30" s="172"/>
      <c r="Z30" s="3">
        <f>AB30/AA30</f>
        <v>33.247311827956992</v>
      </c>
      <c r="AA30" s="172">
        <v>93</v>
      </c>
      <c r="AB30" s="172">
        <v>3092</v>
      </c>
      <c r="AC30" s="172"/>
      <c r="AD30" s="172"/>
      <c r="AE30" s="3">
        <f>AG30/AF30</f>
        <v>1892</v>
      </c>
      <c r="AF30" s="177">
        <v>1</v>
      </c>
      <c r="AG30" s="177">
        <v>1892</v>
      </c>
      <c r="AH30" s="177"/>
      <c r="AI30" s="172"/>
      <c r="AJ30" s="3">
        <f>AL30/AK30</f>
        <v>33.472972972972975</v>
      </c>
      <c r="AK30" s="172">
        <v>74</v>
      </c>
      <c r="AL30" s="172">
        <v>2477</v>
      </c>
      <c r="AM30" s="172"/>
      <c r="AN30" s="172"/>
      <c r="AO30" s="3">
        <f>AQ30/AP30</f>
        <v>32.135135135135137</v>
      </c>
      <c r="AP30" s="172">
        <v>74</v>
      </c>
      <c r="AQ30" s="172">
        <v>2378</v>
      </c>
      <c r="AR30" s="172"/>
      <c r="AS30" s="172"/>
      <c r="AT30" s="3">
        <f>AV30/AU30</f>
        <v>35.436619718309856</v>
      </c>
      <c r="AU30" s="172">
        <v>71</v>
      </c>
      <c r="AV30" s="172">
        <v>2516</v>
      </c>
      <c r="AW30" s="172"/>
      <c r="AX30" s="172"/>
      <c r="AY30" s="3">
        <f>BA30/AZ30</f>
        <v>1892</v>
      </c>
      <c r="AZ30" s="177">
        <v>1</v>
      </c>
      <c r="BA30" s="177">
        <v>1892</v>
      </c>
      <c r="BB30" s="177"/>
      <c r="BC30" s="172"/>
      <c r="BD30" s="3">
        <f>BF30/BE30</f>
        <v>1892</v>
      </c>
      <c r="BE30" s="177">
        <v>1</v>
      </c>
      <c r="BF30" s="177">
        <v>1892</v>
      </c>
      <c r="BG30" s="177"/>
      <c r="BH30" s="172"/>
      <c r="BI30" s="3">
        <f>BK30/BJ30</f>
        <v>35.037037037037038</v>
      </c>
      <c r="BJ30" s="172">
        <v>54</v>
      </c>
      <c r="BK30" s="172">
        <v>1892</v>
      </c>
      <c r="BL30" s="172"/>
      <c r="BM30" s="172"/>
      <c r="BN30" s="3">
        <f>BP30/BO30</f>
        <v>48.518248175182485</v>
      </c>
      <c r="BO30" s="172">
        <v>137</v>
      </c>
      <c r="BP30" s="172">
        <v>6647</v>
      </c>
      <c r="BQ30" s="172"/>
      <c r="BR30" s="172"/>
      <c r="BS30" s="3">
        <f>BU30/BT30</f>
        <v>31.951733333333333</v>
      </c>
      <c r="BT30" s="172">
        <v>75</v>
      </c>
      <c r="BU30" s="172">
        <v>2396.38</v>
      </c>
      <c r="BV30" s="172"/>
      <c r="BW30" s="172"/>
      <c r="BX30" s="3">
        <f>BZ30/BY30</f>
        <v>1892</v>
      </c>
      <c r="BY30" s="177">
        <v>1</v>
      </c>
      <c r="BZ30" s="177">
        <v>1892</v>
      </c>
      <c r="CA30" s="177"/>
      <c r="CB30" s="172"/>
      <c r="CC30" s="3">
        <f>CE30/CD30</f>
        <v>1892</v>
      </c>
      <c r="CD30" s="177">
        <v>1</v>
      </c>
      <c r="CE30" s="177">
        <v>1892</v>
      </c>
      <c r="CF30" s="177"/>
      <c r="CG30" s="172"/>
      <c r="CH30" s="3">
        <f>CJ30/CI30</f>
        <v>1892</v>
      </c>
      <c r="CI30" s="177">
        <v>1</v>
      </c>
      <c r="CJ30" s="177">
        <v>1892</v>
      </c>
      <c r="CK30" s="177"/>
      <c r="CL30" s="172"/>
      <c r="CM30" s="3">
        <f>CO30/CN30</f>
        <v>1892</v>
      </c>
      <c r="CN30" s="177">
        <v>1</v>
      </c>
      <c r="CO30" s="177">
        <v>1892</v>
      </c>
      <c r="CP30" s="177"/>
      <c r="CQ30" s="172"/>
      <c r="CR30" s="3">
        <f>CT30/CS30</f>
        <v>1892</v>
      </c>
      <c r="CS30" s="177">
        <v>1</v>
      </c>
      <c r="CT30" s="177">
        <v>1892</v>
      </c>
      <c r="CU30" s="177"/>
      <c r="CV30" s="172"/>
      <c r="CW30" s="3">
        <f>CY30/CX30</f>
        <v>1892</v>
      </c>
      <c r="CX30" s="177">
        <v>1</v>
      </c>
      <c r="CY30" s="177">
        <v>1892</v>
      </c>
      <c r="CZ30" s="177"/>
      <c r="DA30" s="172"/>
    </row>
    <row r="31" spans="1:105" s="255" customFormat="1" ht="15" customHeight="1">
      <c r="A31" s="250" t="s">
        <v>300</v>
      </c>
      <c r="B31" s="251" t="s">
        <v>31</v>
      </c>
      <c r="C31" s="26" t="s">
        <v>19</v>
      </c>
      <c r="D31" s="253" t="s">
        <v>10</v>
      </c>
      <c r="E31" s="253"/>
      <c r="F31" s="375"/>
      <c r="G31" s="165"/>
      <c r="H31" s="165"/>
      <c r="I31" s="166"/>
      <c r="J31" s="167"/>
      <c r="K31" s="375"/>
      <c r="L31" s="373"/>
      <c r="M31" s="373"/>
      <c r="N31" s="373"/>
      <c r="O31" s="376"/>
      <c r="P31" s="375"/>
      <c r="Q31" s="373"/>
      <c r="R31" s="373"/>
      <c r="S31" s="373"/>
      <c r="T31" s="376"/>
      <c r="U31" s="377"/>
      <c r="V31" s="373"/>
      <c r="W31" s="373">
        <v>1769</v>
      </c>
      <c r="X31" s="373"/>
      <c r="Y31" s="383">
        <f>SUM(W31:W37)*1.1</f>
        <v>128568.9284</v>
      </c>
      <c r="Z31" s="378"/>
      <c r="AA31" s="165"/>
      <c r="AB31" s="373">
        <v>1327</v>
      </c>
      <c r="AC31" s="165"/>
      <c r="AD31" s="383">
        <f>SUM(AB31:AB37)*1.1</f>
        <v>145940.861</v>
      </c>
      <c r="AE31" s="378"/>
      <c r="AF31" s="165"/>
      <c r="AG31" s="373">
        <v>1769</v>
      </c>
      <c r="AH31" s="165"/>
      <c r="AI31" s="383">
        <f>AI32*1.1</f>
        <v>167258.29559999998</v>
      </c>
      <c r="AJ31" s="378"/>
      <c r="AK31" s="165"/>
      <c r="AL31" s="373">
        <v>1106</v>
      </c>
      <c r="AM31" s="165"/>
      <c r="AN31" s="383">
        <f>AN32*1.2</f>
        <v>243742.01519999997</v>
      </c>
      <c r="AO31" s="378"/>
      <c r="AP31" s="165"/>
      <c r="AQ31" s="373">
        <v>1990</v>
      </c>
      <c r="AR31" s="165"/>
      <c r="AS31" s="383">
        <f>SUM(AQ31:AQ37)*1.2</f>
        <v>249696.67679999996</v>
      </c>
      <c r="AT31" s="378"/>
      <c r="AU31" s="165"/>
      <c r="AV31" s="165"/>
      <c r="AW31" s="165"/>
      <c r="AX31" s="383">
        <f>SUM(AV31:AV37)*1.1</f>
        <v>335982.68219999998</v>
      </c>
      <c r="AY31" s="378"/>
      <c r="AZ31" s="165"/>
      <c r="BA31" s="165"/>
      <c r="BB31" s="165"/>
      <c r="BC31" s="383">
        <f>SUM(BA31:BA37)*1.1</f>
        <v>249573.09960000002</v>
      </c>
      <c r="BD31" s="378"/>
      <c r="BE31" s="165"/>
      <c r="BF31" s="165"/>
      <c r="BG31" s="165"/>
      <c r="BH31" s="383">
        <f>SUM(BF31:BF37)*1.1</f>
        <v>240436.78779999999</v>
      </c>
      <c r="BI31" s="378"/>
      <c r="BJ31" s="165"/>
      <c r="BK31" s="165"/>
      <c r="BL31" s="165"/>
      <c r="BM31" s="383">
        <f>SUM(BK31:BK37)*1.1</f>
        <v>250447.46980000002</v>
      </c>
      <c r="BN31" s="378"/>
      <c r="BO31" s="165"/>
      <c r="BP31" s="165"/>
      <c r="BQ31" s="165"/>
      <c r="BR31" s="383">
        <f>SUM(BP31:BP37)*1.1</f>
        <v>228835.35399999999</v>
      </c>
      <c r="BS31" s="378"/>
      <c r="BT31" s="165"/>
      <c r="BU31" s="165"/>
      <c r="BV31" s="165"/>
      <c r="BW31" s="383">
        <f>SUM(BU31:BU37)*1.1</f>
        <v>181035.97160000005</v>
      </c>
      <c r="BX31" s="378"/>
      <c r="BY31" s="165"/>
      <c r="BZ31" s="165"/>
      <c r="CA31" s="165"/>
      <c r="CB31" s="383">
        <f>SUM(BZ31:BZ37)*1.1</f>
        <v>106588.73279999998</v>
      </c>
      <c r="CC31" s="378"/>
      <c r="CD31" s="165"/>
      <c r="CE31" s="165"/>
      <c r="CF31" s="165"/>
      <c r="CG31" s="383">
        <f>SUM(CE31:CE37)*1.1</f>
        <v>106588.73279999998</v>
      </c>
      <c r="CH31" s="378"/>
      <c r="CI31" s="165"/>
      <c r="CJ31" s="165"/>
      <c r="CK31" s="165"/>
      <c r="CL31" s="383">
        <f>SUM(CJ31:CJ37)*1.1</f>
        <v>106588.73279999998</v>
      </c>
      <c r="CM31" s="378"/>
      <c r="CN31" s="165"/>
      <c r="CO31" s="165"/>
      <c r="CP31" s="165"/>
      <c r="CQ31" s="383">
        <f>SUM(CO31:CO37)*1.1</f>
        <v>106588.73279999998</v>
      </c>
      <c r="CR31" s="378"/>
      <c r="CS31" s="165"/>
      <c r="CT31" s="165"/>
      <c r="CU31" s="165"/>
      <c r="CV31" s="383">
        <f>SUM(CT31:CT37)*1.1</f>
        <v>106588.73279999998</v>
      </c>
      <c r="CW31" s="378"/>
      <c r="CX31" s="165"/>
      <c r="CY31" s="165"/>
      <c r="CZ31" s="165"/>
      <c r="DA31" s="383">
        <f>SUM(CY31:CY37)*1.1</f>
        <v>106588.73279999998</v>
      </c>
    </row>
    <row r="32" spans="1:105" s="249" customFormat="1" ht="15" customHeight="1">
      <c r="A32" s="374"/>
      <c r="B32" s="5"/>
      <c r="C32" s="6" t="s">
        <v>32</v>
      </c>
      <c r="D32" s="7" t="s">
        <v>213</v>
      </c>
      <c r="E32" s="4"/>
      <c r="F32" s="196"/>
      <c r="G32" s="197"/>
      <c r="H32" s="197"/>
      <c r="I32" s="197"/>
      <c r="J32" s="325"/>
      <c r="K32" s="196"/>
      <c r="L32" s="197"/>
      <c r="M32" s="197"/>
      <c r="N32" s="197"/>
      <c r="O32" s="325"/>
      <c r="P32" s="196"/>
      <c r="Q32" s="197"/>
      <c r="R32" s="197"/>
      <c r="S32" s="197"/>
      <c r="T32" s="325"/>
      <c r="U32" s="207"/>
      <c r="V32" s="204">
        <v>1</v>
      </c>
      <c r="W32" s="204" t="s">
        <v>214</v>
      </c>
      <c r="X32" s="204"/>
      <c r="Y32" s="403">
        <f>SUM(W31:W37)*1</f>
        <v>116880.844</v>
      </c>
      <c r="Z32" s="36"/>
      <c r="AA32" s="204">
        <v>1</v>
      </c>
      <c r="AB32" s="204">
        <v>9974.36</v>
      </c>
      <c r="AC32" s="204"/>
      <c r="AD32" s="403">
        <f>SUM(AB31:AB37)*1</f>
        <v>132673.50999999998</v>
      </c>
      <c r="AE32" s="36"/>
      <c r="AF32" s="204"/>
      <c r="AG32" s="204">
        <v>11967.32</v>
      </c>
      <c r="AH32" s="204"/>
      <c r="AI32" s="403">
        <f>SUM(AG31:AG37)*1</f>
        <v>152052.99599999998</v>
      </c>
      <c r="AJ32" s="36"/>
      <c r="AK32" s="204"/>
      <c r="AL32" s="204">
        <v>16764.099999999999</v>
      </c>
      <c r="AM32" s="204"/>
      <c r="AN32" s="403">
        <f>SUM(AL31:AL37)*1</f>
        <v>203118.34599999999</v>
      </c>
      <c r="AO32" s="36"/>
      <c r="AP32" s="204"/>
      <c r="AQ32" s="204" t="s">
        <v>329</v>
      </c>
      <c r="AR32" s="204"/>
      <c r="AS32" s="403">
        <f>SUM(AQ31:AQ37)*1</f>
        <v>208080.56399999998</v>
      </c>
      <c r="AT32" s="36"/>
      <c r="AU32" s="204"/>
      <c r="AV32" s="204">
        <v>26166.5</v>
      </c>
      <c r="AW32" s="204"/>
      <c r="AX32" s="403">
        <f>SUM(AV31:AV37)*1</f>
        <v>305438.80199999997</v>
      </c>
      <c r="AY32" s="36"/>
      <c r="AZ32" s="204"/>
      <c r="BA32" s="204">
        <v>18885.72</v>
      </c>
      <c r="BB32" s="204"/>
      <c r="BC32" s="403">
        <f>SUM(BA31:BA37)*1</f>
        <v>226884.636</v>
      </c>
      <c r="BD32" s="36"/>
      <c r="BE32" s="204"/>
      <c r="BF32" s="204">
        <v>17254.72</v>
      </c>
      <c r="BG32" s="204"/>
      <c r="BH32" s="403">
        <f>SUM(BF31:BF37)*1</f>
        <v>218578.89799999999</v>
      </c>
      <c r="BI32" s="36"/>
      <c r="BJ32" s="204"/>
      <c r="BK32" s="204">
        <f>17675.04+94.188+286.76</f>
        <v>18055.987999999998</v>
      </c>
      <c r="BL32" s="204"/>
      <c r="BM32" s="403">
        <f>SUM(BK31:BK37)*1</f>
        <v>227679.51800000001</v>
      </c>
      <c r="BN32" s="36"/>
      <c r="BO32" s="204"/>
      <c r="BP32" s="204" t="s">
        <v>449</v>
      </c>
      <c r="BQ32" s="204"/>
      <c r="BR32" s="403">
        <f>SUM(BP31:BP37)*1</f>
        <v>208032.13999999998</v>
      </c>
      <c r="BS32" s="36"/>
      <c r="BT32" s="204"/>
      <c r="BU32" s="204">
        <v>15130.36</v>
      </c>
      <c r="BV32" s="204"/>
      <c r="BW32" s="403">
        <f>SUM(BU31:BU37)*1</f>
        <v>164578.15600000002</v>
      </c>
      <c r="BX32" s="36"/>
      <c r="BY32" s="197"/>
      <c r="BZ32" s="197"/>
      <c r="CA32" s="197"/>
      <c r="CB32" s="403">
        <f>SUM(BZ31:BZ37)*1</f>
        <v>96898.847999999984</v>
      </c>
      <c r="CC32" s="36"/>
      <c r="CD32" s="197"/>
      <c r="CE32" s="197"/>
      <c r="CF32" s="197"/>
      <c r="CG32" s="403">
        <f>SUM(CE31:CE37)*1</f>
        <v>96898.847999999984</v>
      </c>
      <c r="CH32" s="36"/>
      <c r="CI32" s="197"/>
      <c r="CJ32" s="197"/>
      <c r="CK32" s="197"/>
      <c r="CL32" s="403">
        <f>SUM(CJ31:CJ37)*1</f>
        <v>96898.847999999984</v>
      </c>
      <c r="CM32" s="36"/>
      <c r="CN32" s="197"/>
      <c r="CO32" s="197"/>
      <c r="CP32" s="197"/>
      <c r="CQ32" s="403">
        <f>SUM(CO31:CO37)*1</f>
        <v>96898.847999999984</v>
      </c>
      <c r="CR32" s="36"/>
      <c r="CS32" s="197"/>
      <c r="CT32" s="197"/>
      <c r="CU32" s="197"/>
      <c r="CV32" s="403">
        <f>SUM(CT31:CT37)*1</f>
        <v>96898.847999999984</v>
      </c>
      <c r="CW32" s="36"/>
      <c r="CX32" s="197"/>
      <c r="CY32" s="197"/>
      <c r="CZ32" s="197"/>
      <c r="DA32" s="403">
        <f>SUM(CY31:CY37)*1</f>
        <v>96898.847999999984</v>
      </c>
    </row>
    <row r="33" spans="1:105" ht="15" customHeight="1">
      <c r="A33" s="256"/>
      <c r="B33" s="215">
        <v>39397773</v>
      </c>
      <c r="C33" s="45" t="s">
        <v>32</v>
      </c>
      <c r="D33" s="216" t="s">
        <v>11</v>
      </c>
      <c r="E33" s="22"/>
      <c r="F33" s="103"/>
      <c r="G33" s="128">
        <v>1</v>
      </c>
      <c r="H33" s="69">
        <f>17607.25+1534.43</f>
        <v>19141.68</v>
      </c>
      <c r="I33" s="128"/>
      <c r="J33" s="136"/>
      <c r="K33" s="103"/>
      <c r="L33" s="128">
        <v>1</v>
      </c>
      <c r="M33" s="69">
        <f>17607.25+1534.43</f>
        <v>19141.68</v>
      </c>
      <c r="N33" s="128"/>
      <c r="O33" s="136"/>
      <c r="P33" s="103"/>
      <c r="Q33" s="128">
        <v>1</v>
      </c>
      <c r="R33" s="69">
        <f>17607.25+1534.43</f>
        <v>19141.68</v>
      </c>
      <c r="S33" s="128"/>
      <c r="T33" s="136"/>
      <c r="U33" s="47"/>
      <c r="V33" s="128">
        <v>1</v>
      </c>
      <c r="W33" s="69">
        <f>17607.25+1534.43</f>
        <v>19141.68</v>
      </c>
      <c r="X33" s="128"/>
      <c r="Y33" s="128"/>
      <c r="Z33" s="46"/>
      <c r="AA33" s="128">
        <v>1</v>
      </c>
      <c r="AB33" s="69">
        <f>17607.25+1534.43</f>
        <v>19141.68</v>
      </c>
      <c r="AC33" s="128"/>
      <c r="AD33" s="128"/>
      <c r="AE33" s="46"/>
      <c r="AF33" s="128">
        <v>1</v>
      </c>
      <c r="AG33" s="69">
        <v>17607.25</v>
      </c>
      <c r="AH33" s="128"/>
      <c r="AI33" s="128"/>
      <c r="AJ33" s="46"/>
      <c r="AK33" s="128">
        <v>1</v>
      </c>
      <c r="AL33" s="69">
        <v>17607.25</v>
      </c>
      <c r="AM33" s="128"/>
      <c r="AN33" s="128"/>
      <c r="AO33" s="46"/>
      <c r="AP33" s="128">
        <v>1</v>
      </c>
      <c r="AQ33" s="69">
        <v>17607.25</v>
      </c>
      <c r="AR33" s="128"/>
      <c r="AS33" s="128"/>
      <c r="AT33" s="46"/>
      <c r="AU33" s="128">
        <v>1</v>
      </c>
      <c r="AV33" s="69">
        <f>17607.25</f>
        <v>17607.25</v>
      </c>
      <c r="AW33" s="128"/>
      <c r="AX33" s="128"/>
      <c r="AY33" s="46"/>
      <c r="AZ33" s="128">
        <v>1</v>
      </c>
      <c r="BA33" s="69">
        <f>17607.25+1534.43</f>
        <v>19141.68</v>
      </c>
      <c r="BB33" s="128"/>
      <c r="BC33" s="128"/>
      <c r="BD33" s="46"/>
      <c r="BE33" s="128">
        <v>1</v>
      </c>
      <c r="BF33" s="372">
        <v>28776.97</v>
      </c>
      <c r="BG33" s="128"/>
      <c r="BH33" s="128"/>
      <c r="BI33" s="46"/>
      <c r="BJ33" s="128">
        <v>1</v>
      </c>
      <c r="BK33" s="372">
        <v>28776.97</v>
      </c>
      <c r="BL33" s="128"/>
      <c r="BM33" s="128"/>
      <c r="BN33" s="46"/>
      <c r="BO33" s="128">
        <v>1</v>
      </c>
      <c r="BP33" s="69">
        <v>28776.97</v>
      </c>
      <c r="BQ33" s="128"/>
      <c r="BR33" s="128"/>
      <c r="BS33" s="46"/>
      <c r="BT33" s="128">
        <v>1</v>
      </c>
      <c r="BU33" s="69" t="s">
        <v>448</v>
      </c>
      <c r="BV33" s="128"/>
      <c r="BW33" s="128"/>
      <c r="BX33" s="46"/>
      <c r="BY33" s="56">
        <v>1</v>
      </c>
      <c r="BZ33" s="58">
        <f>17607.25+1534.43</f>
        <v>19141.68</v>
      </c>
      <c r="CA33" s="56"/>
      <c r="CB33" s="128"/>
      <c r="CC33" s="46"/>
      <c r="CD33" s="56">
        <v>1</v>
      </c>
      <c r="CE33" s="58">
        <f>17607.25+1534.43</f>
        <v>19141.68</v>
      </c>
      <c r="CF33" s="56"/>
      <c r="CG33" s="128"/>
      <c r="CH33" s="46"/>
      <c r="CI33" s="56">
        <v>1</v>
      </c>
      <c r="CJ33" s="58">
        <f>17607.25+1534.43</f>
        <v>19141.68</v>
      </c>
      <c r="CK33" s="56"/>
      <c r="CL33" s="128"/>
      <c r="CM33" s="46"/>
      <c r="CN33" s="56">
        <v>1</v>
      </c>
      <c r="CO33" s="58">
        <f>17607.25+1534.43</f>
        <v>19141.68</v>
      </c>
      <c r="CP33" s="56"/>
      <c r="CQ33" s="128"/>
      <c r="CR33" s="46"/>
      <c r="CS33" s="56">
        <v>1</v>
      </c>
      <c r="CT33" s="58">
        <f>17607.25+1534.43</f>
        <v>19141.68</v>
      </c>
      <c r="CU33" s="56"/>
      <c r="CV33" s="128"/>
      <c r="CW33" s="46"/>
      <c r="CX33" s="56">
        <v>1</v>
      </c>
      <c r="CY33" s="58">
        <f>17607.25+1534.43</f>
        <v>19141.68</v>
      </c>
      <c r="CZ33" s="56"/>
      <c r="DA33" s="128"/>
    </row>
    <row r="34" spans="1:105" ht="15" customHeight="1">
      <c r="A34" s="256"/>
      <c r="B34" s="215"/>
      <c r="C34" s="45" t="s">
        <v>32</v>
      </c>
      <c r="D34" s="216" t="s">
        <v>15</v>
      </c>
      <c r="E34" s="22"/>
      <c r="F34" s="103"/>
      <c r="G34" s="69">
        <v>1</v>
      </c>
      <c r="H34" s="69">
        <f>1.2*639.79</f>
        <v>767.74799999999993</v>
      </c>
      <c r="I34" s="128"/>
      <c r="J34" s="136"/>
      <c r="K34" s="103"/>
      <c r="L34" s="69">
        <v>1</v>
      </c>
      <c r="M34" s="69">
        <f>1.2*639.79</f>
        <v>767.74799999999993</v>
      </c>
      <c r="N34" s="128"/>
      <c r="O34" s="136"/>
      <c r="P34" s="103"/>
      <c r="Q34" s="69">
        <v>5880</v>
      </c>
      <c r="R34" s="69">
        <f>1.2*712.83</f>
        <v>855.39600000000007</v>
      </c>
      <c r="S34" s="128"/>
      <c r="T34" s="136"/>
      <c r="U34" s="47"/>
      <c r="V34" s="69">
        <v>1</v>
      </c>
      <c r="W34" s="69">
        <f>1.2*943.49</f>
        <v>1132.1879999999999</v>
      </c>
      <c r="X34" s="128"/>
      <c r="Y34" s="128"/>
      <c r="Z34" s="46"/>
      <c r="AA34" s="69">
        <v>1</v>
      </c>
      <c r="AB34" s="69">
        <f>1.2*1096.02</f>
        <v>1315.2239999999999</v>
      </c>
      <c r="AC34" s="128"/>
      <c r="AD34" s="128"/>
      <c r="AE34" s="46"/>
      <c r="AF34" s="69">
        <v>1</v>
      </c>
      <c r="AG34" s="69">
        <f>1.2*1281.77</f>
        <v>1538.124</v>
      </c>
      <c r="AH34" s="128"/>
      <c r="AI34" s="128"/>
      <c r="AJ34" s="46"/>
      <c r="AK34" s="69">
        <v>1</v>
      </c>
      <c r="AL34" s="69">
        <f>1.2*1566.38</f>
        <v>1879.6559999999999</v>
      </c>
      <c r="AM34" s="128"/>
      <c r="AN34" s="128"/>
      <c r="AO34" s="46"/>
      <c r="AP34" s="69">
        <v>1</v>
      </c>
      <c r="AQ34" s="69">
        <f>1.2*1547.34</f>
        <v>1856.8079999999998</v>
      </c>
      <c r="AR34" s="128"/>
      <c r="AS34" s="128"/>
      <c r="AT34" s="46"/>
      <c r="AU34" s="69">
        <v>1</v>
      </c>
      <c r="AV34" s="69">
        <f>1.2*2205.75</f>
        <v>2646.9</v>
      </c>
      <c r="AW34" s="128"/>
      <c r="AX34" s="128"/>
      <c r="AY34" s="46"/>
      <c r="AZ34" s="69">
        <v>1</v>
      </c>
      <c r="BA34" s="69">
        <f>1.2*1978.19</f>
        <v>2373.828</v>
      </c>
      <c r="BB34" s="128"/>
      <c r="BC34" s="128"/>
      <c r="BD34" s="46"/>
      <c r="BE34" s="69">
        <v>1</v>
      </c>
      <c r="BF34" s="69">
        <f>1.2*1724.34</f>
        <v>2069.2079999999996</v>
      </c>
      <c r="BG34" s="128"/>
      <c r="BH34" s="128"/>
      <c r="BI34" s="46"/>
      <c r="BJ34" s="69">
        <v>1</v>
      </c>
      <c r="BK34" s="69">
        <f>1.2*1652.95</f>
        <v>1983.54</v>
      </c>
      <c r="BL34" s="128"/>
      <c r="BM34" s="128"/>
      <c r="BN34" s="46"/>
      <c r="BO34" s="69">
        <v>1</v>
      </c>
      <c r="BP34" s="69">
        <f>1.2*1098.73</f>
        <v>1318.4759999999999</v>
      </c>
      <c r="BQ34" s="128"/>
      <c r="BR34" s="128"/>
      <c r="BS34" s="46"/>
      <c r="BT34" s="69">
        <v>1</v>
      </c>
      <c r="BU34" s="69" t="s">
        <v>435</v>
      </c>
      <c r="BV34" s="128"/>
      <c r="BW34" s="128"/>
      <c r="BX34" s="46"/>
      <c r="BY34" s="58">
        <v>1</v>
      </c>
      <c r="BZ34" s="58">
        <f>1.2*639.79</f>
        <v>767.74799999999993</v>
      </c>
      <c r="CA34" s="56"/>
      <c r="CB34" s="128"/>
      <c r="CC34" s="46"/>
      <c r="CD34" s="58">
        <v>1</v>
      </c>
      <c r="CE34" s="58">
        <f>1.2*639.79</f>
        <v>767.74799999999993</v>
      </c>
      <c r="CF34" s="56"/>
      <c r="CG34" s="128"/>
      <c r="CH34" s="46"/>
      <c r="CI34" s="58">
        <v>1</v>
      </c>
      <c r="CJ34" s="58">
        <f>1.2*639.79</f>
        <v>767.74799999999993</v>
      </c>
      <c r="CK34" s="56"/>
      <c r="CL34" s="128"/>
      <c r="CM34" s="46"/>
      <c r="CN34" s="58">
        <v>1</v>
      </c>
      <c r="CO34" s="58">
        <f>1.2*639.79</f>
        <v>767.74799999999993</v>
      </c>
      <c r="CP34" s="56"/>
      <c r="CQ34" s="128"/>
      <c r="CR34" s="46"/>
      <c r="CS34" s="58">
        <v>1</v>
      </c>
      <c r="CT34" s="58">
        <f>1.2*639.79</f>
        <v>767.74799999999993</v>
      </c>
      <c r="CU34" s="56"/>
      <c r="CV34" s="128"/>
      <c r="CW34" s="46"/>
      <c r="CX34" s="58">
        <v>1</v>
      </c>
      <c r="CY34" s="58">
        <f>1.2*639.79</f>
        <v>767.74799999999993</v>
      </c>
      <c r="CZ34" s="56"/>
      <c r="DA34" s="128"/>
    </row>
    <row r="35" spans="1:105" ht="15" customHeight="1">
      <c r="A35" s="256" t="s">
        <v>333</v>
      </c>
      <c r="B35" s="215"/>
      <c r="C35" s="45" t="s">
        <v>32</v>
      </c>
      <c r="D35" s="216" t="s">
        <v>13</v>
      </c>
      <c r="E35" s="22"/>
      <c r="F35" s="104">
        <f>H35/G35</f>
        <v>5.0962316633266527</v>
      </c>
      <c r="G35" s="70">
        <v>14970</v>
      </c>
      <c r="H35" s="70">
        <f>63575.49*1.2</f>
        <v>76290.587999999989</v>
      </c>
      <c r="I35" s="128"/>
      <c r="J35" s="136"/>
      <c r="K35" s="104">
        <f>M35/L35</f>
        <v>5.8753130493576746</v>
      </c>
      <c r="L35" s="70">
        <v>14790</v>
      </c>
      <c r="M35" s="70">
        <v>86895.88</v>
      </c>
      <c r="N35" s="128"/>
      <c r="O35" s="136"/>
      <c r="P35" s="104">
        <f>R35/Q35</f>
        <v>5.5478990755845565</v>
      </c>
      <c r="Q35" s="70">
        <v>18390</v>
      </c>
      <c r="R35" s="70">
        <f>9352.84+77227.52*1.2</f>
        <v>102025.864</v>
      </c>
      <c r="S35" s="128"/>
      <c r="T35" s="136"/>
      <c r="U35" s="115">
        <f>W35/V35</f>
        <v>5.0893920000000001</v>
      </c>
      <c r="V35" s="70">
        <v>18000</v>
      </c>
      <c r="W35" s="70">
        <f>1.2*76340.88</f>
        <v>91609.055999999997</v>
      </c>
      <c r="X35" s="128"/>
      <c r="Y35" s="128"/>
      <c r="Z35" s="92">
        <f>AB35/AA35</f>
        <v>4.7757601164483257</v>
      </c>
      <c r="AA35" s="70">
        <v>20610</v>
      </c>
      <c r="AB35" s="70">
        <f>82023.68*1.2</f>
        <v>98428.415999999983</v>
      </c>
      <c r="AC35" s="128"/>
      <c r="AD35" s="128"/>
      <c r="AE35" s="92">
        <f>AG35/AF35</f>
        <v>4.7047077658303458</v>
      </c>
      <c r="AF35" s="70">
        <v>25110</v>
      </c>
      <c r="AG35" s="70">
        <f>98446.01*1.2</f>
        <v>118135.21199999998</v>
      </c>
      <c r="AH35" s="128"/>
      <c r="AI35" s="128"/>
      <c r="AJ35" s="92">
        <f>AL35/AK35</f>
        <v>4.9554959641255607</v>
      </c>
      <c r="AK35" s="70">
        <v>33450</v>
      </c>
      <c r="AL35" s="70">
        <f>1.2*138134.45</f>
        <v>165761.34</v>
      </c>
      <c r="AM35" s="128"/>
      <c r="AN35" s="128"/>
      <c r="AO35" s="92">
        <f>AQ35/AP35</f>
        <v>5.8670039810426546</v>
      </c>
      <c r="AP35" s="70">
        <v>31650</v>
      </c>
      <c r="AQ35" s="70">
        <f>154742.23*1.2</f>
        <v>185690.67600000001</v>
      </c>
      <c r="AR35" s="128"/>
      <c r="AS35" s="128"/>
      <c r="AT35" s="92">
        <f>AV35/AU35</f>
        <v>6.5161799245283012</v>
      </c>
      <c r="AU35" s="70">
        <v>39750</v>
      </c>
      <c r="AV35" s="70">
        <f>1.2*215848.46</f>
        <v>259018.15199999997</v>
      </c>
      <c r="AW35" s="128"/>
      <c r="AX35" s="128"/>
      <c r="AY35" s="92">
        <f>BA35/AZ35</f>
        <v>6.3494520939734418</v>
      </c>
      <c r="AZ35" s="70">
        <v>29370</v>
      </c>
      <c r="BA35" s="70">
        <f>1.2*155402.84</f>
        <v>186483.408</v>
      </c>
      <c r="BB35" s="128"/>
      <c r="BC35" s="128"/>
      <c r="BD35" s="92">
        <f>BF35/BE35</f>
        <v>6.6</v>
      </c>
      <c r="BE35" s="70">
        <v>25830</v>
      </c>
      <c r="BF35" s="70">
        <f>1.2*142065</f>
        <v>170478</v>
      </c>
      <c r="BG35" s="128"/>
      <c r="BH35" s="128"/>
      <c r="BI35" s="92">
        <f>BK35/BJ35</f>
        <v>6.8055598130841126</v>
      </c>
      <c r="BJ35" s="70">
        <v>25680</v>
      </c>
      <c r="BK35" s="70">
        <f>1.2*145638.98</f>
        <v>174766.77600000001</v>
      </c>
      <c r="BL35" s="128"/>
      <c r="BM35" s="128"/>
      <c r="BN35" s="92">
        <f>BP35/BO35</f>
        <v>6.7185121495327103</v>
      </c>
      <c r="BO35" s="70">
        <v>25680</v>
      </c>
      <c r="BP35" s="70">
        <f>1.2*143776.16</f>
        <v>172531.39199999999</v>
      </c>
      <c r="BQ35" s="128"/>
      <c r="BR35" s="128"/>
      <c r="BS35" s="92">
        <f>BU35/BT35</f>
        <v>5.9659798802395212</v>
      </c>
      <c r="BT35" s="70">
        <v>25050</v>
      </c>
      <c r="BU35" s="70">
        <f>124539.83*1.2</f>
        <v>149447.796</v>
      </c>
      <c r="BV35" s="128"/>
      <c r="BW35" s="128"/>
      <c r="BX35" s="92">
        <f>BZ35/BY35</f>
        <v>5.0962316633266527</v>
      </c>
      <c r="BY35" s="62">
        <v>14970</v>
      </c>
      <c r="BZ35" s="62">
        <f>63575.49*1.2</f>
        <v>76290.587999999989</v>
      </c>
      <c r="CA35" s="56"/>
      <c r="CB35" s="128"/>
      <c r="CC35" s="92">
        <f>CE35/CD35</f>
        <v>5.0962316633266527</v>
      </c>
      <c r="CD35" s="62">
        <v>14970</v>
      </c>
      <c r="CE35" s="62">
        <f>63575.49*1.2</f>
        <v>76290.587999999989</v>
      </c>
      <c r="CF35" s="56"/>
      <c r="CG35" s="128"/>
      <c r="CH35" s="92">
        <f>CJ35/CI35</f>
        <v>5.0962316633266527</v>
      </c>
      <c r="CI35" s="62">
        <v>14970</v>
      </c>
      <c r="CJ35" s="62">
        <f>63575.49*1.2</f>
        <v>76290.587999999989</v>
      </c>
      <c r="CK35" s="56"/>
      <c r="CL35" s="128"/>
      <c r="CM35" s="92">
        <f>CO35/CN35</f>
        <v>5.0962316633266527</v>
      </c>
      <c r="CN35" s="62">
        <v>14970</v>
      </c>
      <c r="CO35" s="62">
        <f>63575.49*1.2</f>
        <v>76290.587999999989</v>
      </c>
      <c r="CP35" s="56"/>
      <c r="CQ35" s="128"/>
      <c r="CR35" s="92">
        <f>CT35/CS35</f>
        <v>5.0962316633266527</v>
      </c>
      <c r="CS35" s="62">
        <v>14970</v>
      </c>
      <c r="CT35" s="62">
        <f>63575.49*1.2</f>
        <v>76290.587999999989</v>
      </c>
      <c r="CU35" s="56"/>
      <c r="CV35" s="128"/>
      <c r="CW35" s="92">
        <f>CY35/CX35</f>
        <v>5.0962316633266527</v>
      </c>
      <c r="CX35" s="62">
        <v>14970</v>
      </c>
      <c r="CY35" s="62">
        <f>63575.49*1.2</f>
        <v>76290.587999999989</v>
      </c>
      <c r="CZ35" s="56"/>
      <c r="DA35" s="128"/>
    </row>
    <row r="36" spans="1:105" ht="15" customHeight="1">
      <c r="A36" s="256"/>
      <c r="B36" s="215"/>
      <c r="C36" s="45" t="s">
        <v>32</v>
      </c>
      <c r="D36" s="216" t="s">
        <v>33</v>
      </c>
      <c r="E36" s="22"/>
      <c r="F36" s="103"/>
      <c r="G36" s="128">
        <v>0.41</v>
      </c>
      <c r="H36" s="128"/>
      <c r="I36" s="128"/>
      <c r="J36" s="136"/>
      <c r="K36" s="103"/>
      <c r="L36" s="128" t="s">
        <v>191</v>
      </c>
      <c r="M36" s="128" t="s">
        <v>190</v>
      </c>
      <c r="N36" s="128"/>
      <c r="O36" s="136"/>
      <c r="P36" s="103"/>
      <c r="Q36" s="128">
        <v>0.89</v>
      </c>
      <c r="R36" s="128">
        <v>2540.1799999999998</v>
      </c>
      <c r="S36" s="128"/>
      <c r="T36" s="136"/>
      <c r="U36" s="47"/>
      <c r="V36" s="128">
        <v>0.78</v>
      </c>
      <c r="W36" s="128">
        <v>2226.25</v>
      </c>
      <c r="X36" s="128"/>
      <c r="Y36" s="128"/>
      <c r="Z36" s="46"/>
      <c r="AA36" s="128">
        <v>0</v>
      </c>
      <c r="AB36" s="128">
        <v>1484.16</v>
      </c>
      <c r="AC36" s="128"/>
      <c r="AD36" s="128"/>
      <c r="AE36" s="46"/>
      <c r="AF36" s="128">
        <v>0</v>
      </c>
      <c r="AG36" s="128"/>
      <c r="AH36" s="128"/>
      <c r="AI36" s="128"/>
      <c r="AJ36" s="46"/>
      <c r="AK36" s="128">
        <v>0</v>
      </c>
      <c r="AL36" s="128"/>
      <c r="AM36" s="128"/>
      <c r="AN36" s="128"/>
      <c r="AO36" s="46"/>
      <c r="AP36" s="128">
        <v>0</v>
      </c>
      <c r="AQ36" s="128"/>
      <c r="AR36" s="128"/>
      <c r="AS36" s="128"/>
      <c r="AT36" s="46"/>
      <c r="AU36" s="128">
        <v>0</v>
      </c>
      <c r="AV36" s="128"/>
      <c r="AW36" s="128"/>
      <c r="AX36" s="128"/>
      <c r="AY36" s="46"/>
      <c r="AZ36" s="128">
        <v>0</v>
      </c>
      <c r="BA36" s="128"/>
      <c r="BB36" s="128"/>
      <c r="BC36" s="128"/>
      <c r="BD36" s="46"/>
      <c r="BE36" s="56">
        <v>0.41</v>
      </c>
      <c r="BF36" s="56"/>
      <c r="BG36" s="56"/>
      <c r="BH36" s="128"/>
      <c r="BI36" s="46"/>
      <c r="BJ36" s="128"/>
      <c r="BK36" s="552">
        <v>3154.34</v>
      </c>
      <c r="BL36" s="128"/>
      <c r="BM36" s="128"/>
      <c r="BN36" s="46"/>
      <c r="BO36" s="128">
        <v>0.94</v>
      </c>
      <c r="BP36" s="128">
        <v>4706.47</v>
      </c>
      <c r="BQ36" s="128"/>
      <c r="BR36" s="128"/>
      <c r="BS36" s="46"/>
      <c r="BT36" s="128">
        <v>0.41</v>
      </c>
      <c r="BU36" s="128" t="s">
        <v>446</v>
      </c>
      <c r="BV36" s="128"/>
      <c r="BW36" s="128"/>
      <c r="BX36" s="46"/>
      <c r="BY36" s="56">
        <v>0.41</v>
      </c>
      <c r="BZ36" s="56"/>
      <c r="CA36" s="56"/>
      <c r="CB36" s="128"/>
      <c r="CC36" s="46"/>
      <c r="CD36" s="56">
        <v>0.41</v>
      </c>
      <c r="CE36" s="56"/>
      <c r="CF36" s="56"/>
      <c r="CG36" s="128"/>
      <c r="CH36" s="46"/>
      <c r="CI36" s="56">
        <v>0.41</v>
      </c>
      <c r="CJ36" s="56"/>
      <c r="CK36" s="56"/>
      <c r="CL36" s="128"/>
      <c r="CM36" s="46"/>
      <c r="CN36" s="56">
        <v>0.41</v>
      </c>
      <c r="CO36" s="56"/>
      <c r="CP36" s="56"/>
      <c r="CQ36" s="128"/>
      <c r="CR36" s="46"/>
      <c r="CS36" s="56">
        <v>0.41</v>
      </c>
      <c r="CT36" s="56"/>
      <c r="CU36" s="56"/>
      <c r="CV36" s="128"/>
      <c r="CW36" s="46"/>
      <c r="CX36" s="56">
        <v>0.41</v>
      </c>
      <c r="CY36" s="56"/>
      <c r="CZ36" s="56"/>
      <c r="DA36" s="128"/>
    </row>
    <row r="37" spans="1:105" s="264" customFormat="1" ht="15" customHeight="1" thickBot="1">
      <c r="A37" s="257"/>
      <c r="B37" s="258"/>
      <c r="C37" s="20" t="s">
        <v>32</v>
      </c>
      <c r="D37" s="259" t="s">
        <v>17</v>
      </c>
      <c r="E37" s="23"/>
      <c r="F37" s="168"/>
      <c r="G37" s="183">
        <v>22</v>
      </c>
      <c r="H37" s="183">
        <f>1.2*(309.81+272.55)</f>
        <v>698.83199999999999</v>
      </c>
      <c r="I37" s="172"/>
      <c r="J37" s="18"/>
      <c r="K37" s="168"/>
      <c r="L37" s="183">
        <v>23</v>
      </c>
      <c r="M37" s="183" t="s">
        <v>189</v>
      </c>
      <c r="N37" s="172"/>
      <c r="O37" s="18"/>
      <c r="P37" s="168"/>
      <c r="Q37" s="183">
        <v>25</v>
      </c>
      <c r="R37" s="183" t="s">
        <v>204</v>
      </c>
      <c r="S37" s="172"/>
      <c r="T37" s="18"/>
      <c r="U37" s="209">
        <f>W37/V37</f>
        <v>33.422333333333334</v>
      </c>
      <c r="V37" s="183">
        <v>30</v>
      </c>
      <c r="W37" s="183">
        <v>1002.67</v>
      </c>
      <c r="X37" s="172"/>
      <c r="Y37" s="172"/>
      <c r="Z37" s="3">
        <f>AB37/AA37</f>
        <v>33.422333333333334</v>
      </c>
      <c r="AA37" s="183">
        <v>30</v>
      </c>
      <c r="AB37" s="183">
        <v>1002.67</v>
      </c>
      <c r="AC37" s="172"/>
      <c r="AD37" s="172"/>
      <c r="AE37" s="3"/>
      <c r="AF37" s="183">
        <v>31</v>
      </c>
      <c r="AG37" s="183">
        <v>1036.0899999999999</v>
      </c>
      <c r="AH37" s="172"/>
      <c r="AI37" s="172"/>
      <c r="AJ37" s="3"/>
      <c r="AK37" s="183">
        <v>33</v>
      </c>
      <c r="AL37" s="183" t="s">
        <v>286</v>
      </c>
      <c r="AM37" s="172"/>
      <c r="AN37" s="172"/>
      <c r="AO37" s="3"/>
      <c r="AP37" s="183">
        <v>28</v>
      </c>
      <c r="AQ37" s="183">
        <v>935.83</v>
      </c>
      <c r="AR37" s="172"/>
      <c r="AS37" s="172"/>
      <c r="AT37" s="3"/>
      <c r="AU37" s="183">
        <v>30</v>
      </c>
      <c r="AV37" s="183" t="s">
        <v>334</v>
      </c>
      <c r="AW37" s="172"/>
      <c r="AX37" s="172"/>
      <c r="AY37" s="3"/>
      <c r="AZ37" s="183">
        <v>30</v>
      </c>
      <c r="BA37" s="183" t="s">
        <v>334</v>
      </c>
      <c r="BB37" s="172"/>
      <c r="BC37" s="172"/>
      <c r="BD37" s="3"/>
      <c r="BE37" s="183">
        <v>26</v>
      </c>
      <c r="BF37" s="183" t="s">
        <v>363</v>
      </c>
      <c r="BG37" s="177"/>
      <c r="BH37" s="172"/>
      <c r="BI37" s="3">
        <f>BK37/BJ37</f>
        <v>30.383999999999997</v>
      </c>
      <c r="BJ37" s="183">
        <v>31</v>
      </c>
      <c r="BK37" s="548">
        <f>1.2*784.92</f>
        <v>941.90399999999988</v>
      </c>
      <c r="BL37" s="172"/>
      <c r="BM37" s="172"/>
      <c r="BN37" s="3"/>
      <c r="BO37" s="183">
        <v>23</v>
      </c>
      <c r="BP37" s="183">
        <f>1.2*(309.81+272.55)</f>
        <v>698.83199999999999</v>
      </c>
      <c r="BQ37" s="172"/>
      <c r="BR37" s="172"/>
      <c r="BS37" s="3"/>
      <c r="BT37" s="183">
        <v>31</v>
      </c>
      <c r="BU37" s="183" t="s">
        <v>447</v>
      </c>
      <c r="BV37" s="172"/>
      <c r="BW37" s="172"/>
      <c r="BX37" s="3"/>
      <c r="BY37" s="185">
        <v>23</v>
      </c>
      <c r="BZ37" s="185">
        <f>1.2*(309.81+272.55)</f>
        <v>698.83199999999999</v>
      </c>
      <c r="CA37" s="177"/>
      <c r="CB37" s="172"/>
      <c r="CC37" s="3"/>
      <c r="CD37" s="185">
        <v>23</v>
      </c>
      <c r="CE37" s="185">
        <f>1.2*(309.81+272.55)</f>
        <v>698.83199999999999</v>
      </c>
      <c r="CF37" s="177"/>
      <c r="CG37" s="172"/>
      <c r="CH37" s="3"/>
      <c r="CI37" s="185">
        <v>23</v>
      </c>
      <c r="CJ37" s="185">
        <f>1.2*(309.81+272.55)</f>
        <v>698.83199999999999</v>
      </c>
      <c r="CK37" s="177"/>
      <c r="CL37" s="172"/>
      <c r="CM37" s="3"/>
      <c r="CN37" s="185">
        <v>23</v>
      </c>
      <c r="CO37" s="185">
        <f>1.2*(309.81+272.55)</f>
        <v>698.83199999999999</v>
      </c>
      <c r="CP37" s="177"/>
      <c r="CQ37" s="172"/>
      <c r="CR37" s="3"/>
      <c r="CS37" s="185">
        <v>23</v>
      </c>
      <c r="CT37" s="185">
        <f>1.2*(309.81+272.55)</f>
        <v>698.83199999999999</v>
      </c>
      <c r="CU37" s="177"/>
      <c r="CV37" s="172"/>
      <c r="CW37" s="3"/>
      <c r="CX37" s="185">
        <v>23</v>
      </c>
      <c r="CY37" s="185">
        <f>1.2*(309.81+272.55)</f>
        <v>698.83199999999999</v>
      </c>
      <c r="CZ37" s="177"/>
      <c r="DA37" s="172"/>
    </row>
    <row r="38" spans="1:105" s="249" customFormat="1" ht="15" customHeight="1">
      <c r="A38" s="269" t="s">
        <v>130</v>
      </c>
      <c r="B38" s="266" t="s">
        <v>34</v>
      </c>
      <c r="C38" s="32" t="s">
        <v>25</v>
      </c>
      <c r="D38" s="267" t="s">
        <v>10</v>
      </c>
      <c r="E38" s="308"/>
      <c r="F38" s="198"/>
      <c r="G38" s="199"/>
      <c r="H38" s="199"/>
      <c r="I38" s="199"/>
      <c r="J38" s="326"/>
      <c r="K38" s="198"/>
      <c r="L38" s="199"/>
      <c r="M38" s="199"/>
      <c r="N38" s="199"/>
      <c r="O38" s="326"/>
      <c r="P38" s="198"/>
      <c r="Q38" s="199"/>
      <c r="R38" s="199"/>
      <c r="S38" s="199"/>
      <c r="T38" s="326"/>
      <c r="U38" s="316"/>
      <c r="V38" s="199"/>
      <c r="W38" s="379">
        <v>2277</v>
      </c>
      <c r="X38" s="199"/>
      <c r="Y38" s="383">
        <f>SUM(W38:W43)*1.1</f>
        <v>207970.84</v>
      </c>
      <c r="Z38" s="268"/>
      <c r="AA38" s="199"/>
      <c r="AB38" s="379">
        <v>2530</v>
      </c>
      <c r="AC38" s="199"/>
      <c r="AD38" s="383">
        <f>SUM(AB38:AB43)*1.1</f>
        <v>182839.66360000003</v>
      </c>
      <c r="AE38" s="268"/>
      <c r="AF38" s="199"/>
      <c r="AG38" s="379">
        <v>4301</v>
      </c>
      <c r="AH38" s="199"/>
      <c r="AI38" s="383">
        <f>AI39*1.1</f>
        <v>30482.903000000002</v>
      </c>
      <c r="AJ38" s="268"/>
      <c r="AK38" s="199"/>
      <c r="AL38" s="379">
        <v>4048</v>
      </c>
      <c r="AM38" s="199"/>
      <c r="AN38" s="383">
        <f>AN39*1.2</f>
        <v>213801.04800000001</v>
      </c>
      <c r="AO38" s="268"/>
      <c r="AP38" s="199"/>
      <c r="AQ38" s="199"/>
      <c r="AR38" s="199"/>
      <c r="AS38" s="383">
        <f>SUM(AQ38:AQ43)*1.2</f>
        <v>279236.06399999995</v>
      </c>
      <c r="AT38" s="268"/>
      <c r="AU38" s="199"/>
      <c r="AV38" s="199"/>
      <c r="AW38" s="199"/>
      <c r="AX38" s="383">
        <f>SUM(AV38:AV43)*1.1</f>
        <v>296544.54060000001</v>
      </c>
      <c r="AY38" s="268"/>
      <c r="AZ38" s="199"/>
      <c r="BA38" s="199"/>
      <c r="BB38" s="199"/>
      <c r="BC38" s="383">
        <f>SUM(BA38:BA43)*1.1</f>
        <v>120848.06140000001</v>
      </c>
      <c r="BD38" s="268"/>
      <c r="BE38" s="199"/>
      <c r="BF38" s="199"/>
      <c r="BG38" s="199"/>
      <c r="BH38" s="383">
        <f>SUM(BF38:BF43)*1.1</f>
        <v>237060.42360000001</v>
      </c>
      <c r="BI38" s="268"/>
      <c r="BJ38" s="199"/>
      <c r="BK38" s="199"/>
      <c r="BL38" s="199"/>
      <c r="BM38" s="383">
        <f>SUM(BK38:BK43)*1.1</f>
        <v>236698.59840000002</v>
      </c>
      <c r="BN38" s="268"/>
      <c r="BO38" s="199"/>
      <c r="BP38" s="199"/>
      <c r="BQ38" s="199"/>
      <c r="BR38" s="383">
        <f>SUM(BP38:BP43)*1.1</f>
        <v>279330.3898</v>
      </c>
      <c r="BS38" s="268"/>
      <c r="BT38" s="199"/>
      <c r="BU38" s="199"/>
      <c r="BV38" s="199"/>
      <c r="BW38" s="383">
        <f>SUM(BU38:BU43)*1.1</f>
        <v>269576.14199999999</v>
      </c>
      <c r="BX38" s="268"/>
      <c r="BY38" s="199"/>
      <c r="BZ38" s="199"/>
      <c r="CA38" s="199"/>
      <c r="CB38" s="383">
        <f>SUM(BZ38:BZ43)*1.1</f>
        <v>117959.86840000002</v>
      </c>
      <c r="CC38" s="268"/>
      <c r="CD38" s="199"/>
      <c r="CE38" s="199"/>
      <c r="CF38" s="199"/>
      <c r="CG38" s="383">
        <f>SUM(CE38:CE43)*1.1</f>
        <v>117959.86840000002</v>
      </c>
      <c r="CH38" s="268"/>
      <c r="CI38" s="199"/>
      <c r="CJ38" s="199"/>
      <c r="CK38" s="199"/>
      <c r="CL38" s="383">
        <f>SUM(CJ38:CJ43)*1.1</f>
        <v>117959.86840000002</v>
      </c>
      <c r="CM38" s="268"/>
      <c r="CN38" s="199"/>
      <c r="CO38" s="199"/>
      <c r="CP38" s="199"/>
      <c r="CQ38" s="383">
        <f>SUM(CO38:CO43)*1.1</f>
        <v>117959.86840000002</v>
      </c>
      <c r="CR38" s="268"/>
      <c r="CS38" s="199"/>
      <c r="CT38" s="199"/>
      <c r="CU38" s="199"/>
      <c r="CV38" s="383">
        <f>SUM(CT38:CT43)*1.1</f>
        <v>117959.86840000002</v>
      </c>
      <c r="CW38" s="268"/>
      <c r="CX38" s="199"/>
      <c r="CY38" s="199"/>
      <c r="CZ38" s="199"/>
      <c r="DA38" s="383">
        <f>SUM(CY38:CY43)*1.1</f>
        <v>117959.86840000002</v>
      </c>
    </row>
    <row r="39" spans="1:105" ht="15" customHeight="1">
      <c r="A39" s="270"/>
      <c r="B39" s="219">
        <v>40397750</v>
      </c>
      <c r="C39" s="222" t="s">
        <v>36</v>
      </c>
      <c r="D39" s="223" t="s">
        <v>11</v>
      </c>
      <c r="E39" s="33"/>
      <c r="F39" s="105"/>
      <c r="G39" s="130"/>
      <c r="H39" s="65">
        <v>17000</v>
      </c>
      <c r="I39" s="130"/>
      <c r="J39" s="41"/>
      <c r="K39" s="105"/>
      <c r="L39" s="130">
        <v>1</v>
      </c>
      <c r="M39" s="65">
        <v>17000</v>
      </c>
      <c r="N39" s="130"/>
      <c r="O39" s="41"/>
      <c r="P39" s="105"/>
      <c r="Q39" s="130">
        <v>1</v>
      </c>
      <c r="R39" s="65">
        <v>19000</v>
      </c>
      <c r="S39" s="130"/>
      <c r="T39" s="41"/>
      <c r="U39" s="116"/>
      <c r="V39" s="130">
        <v>1</v>
      </c>
      <c r="W39" s="65">
        <v>19000</v>
      </c>
      <c r="X39" s="130"/>
      <c r="Y39" s="403">
        <f>SUM(W38:W43)*1</f>
        <v>189064.4</v>
      </c>
      <c r="Z39" s="93"/>
      <c r="AA39" s="130">
        <v>1</v>
      </c>
      <c r="AB39" s="65">
        <v>19000</v>
      </c>
      <c r="AC39" s="130"/>
      <c r="AD39" s="403">
        <f>SUM(AB38:AB42)*1</f>
        <v>164925.20000000001</v>
      </c>
      <c r="AE39" s="93"/>
      <c r="AF39" s="130">
        <v>1</v>
      </c>
      <c r="AG39" s="65">
        <v>19000</v>
      </c>
      <c r="AH39" s="130"/>
      <c r="AI39" s="403">
        <f>SUM(AG42:AG43)+AH41+AG40+AG39+AG38*1</f>
        <v>27711.73</v>
      </c>
      <c r="AJ39" s="93"/>
      <c r="AK39" s="130">
        <v>1</v>
      </c>
      <c r="AL39" s="65">
        <v>19000</v>
      </c>
      <c r="AM39" s="130"/>
      <c r="AN39" s="403">
        <f>SUM(AL43)+AM41+AL40+AL39+AL38+AM42*1</f>
        <v>178167.54</v>
      </c>
      <c r="AO39" s="93"/>
      <c r="AP39" s="130">
        <v>1</v>
      </c>
      <c r="AQ39" s="65">
        <v>19000</v>
      </c>
      <c r="AR39" s="130"/>
      <c r="AS39" s="403">
        <f>SUM(AQ38:AQ43)*1</f>
        <v>232696.71999999997</v>
      </c>
      <c r="AT39" s="93"/>
      <c r="AU39" s="130">
        <v>1</v>
      </c>
      <c r="AV39" s="65">
        <v>19000</v>
      </c>
      <c r="AW39" s="130"/>
      <c r="AX39" s="403">
        <f>SUM(AV38:AV43)*1</f>
        <v>269585.946</v>
      </c>
      <c r="AY39" s="93"/>
      <c r="AZ39" s="130">
        <v>1</v>
      </c>
      <c r="BA39" s="65">
        <v>19000</v>
      </c>
      <c r="BB39" s="130"/>
      <c r="BC39" s="403">
        <f>SUM(BA38:BA43)*1</f>
        <v>109861.874</v>
      </c>
      <c r="BD39" s="93"/>
      <c r="BE39" s="130">
        <v>1</v>
      </c>
      <c r="BF39" s="65">
        <v>19000</v>
      </c>
      <c r="BG39" s="130"/>
      <c r="BH39" s="403">
        <f>SUM(BF38:BF43)*1</f>
        <v>215509.476</v>
      </c>
      <c r="BI39" s="93"/>
      <c r="BJ39" s="130">
        <v>1</v>
      </c>
      <c r="BK39" s="65">
        <v>19000</v>
      </c>
      <c r="BL39" s="130"/>
      <c r="BM39" s="403">
        <f>SUM(BK38:BK43)*1</f>
        <v>215180.54399999999</v>
      </c>
      <c r="BN39" s="93"/>
      <c r="BO39" s="130">
        <v>1</v>
      </c>
      <c r="BP39" s="65">
        <v>19000</v>
      </c>
      <c r="BQ39" s="130"/>
      <c r="BR39" s="403">
        <f>SUM(BP38:BP43)*1</f>
        <v>253936.71799999999</v>
      </c>
      <c r="BS39" s="93"/>
      <c r="BT39" s="130">
        <v>1</v>
      </c>
      <c r="BU39" s="65" t="s">
        <v>386</v>
      </c>
      <c r="BV39" s="130"/>
      <c r="BW39" s="403">
        <f>SUM(BU38:BU43)*1</f>
        <v>245069.21999999997</v>
      </c>
      <c r="BX39" s="93"/>
      <c r="BY39" s="64">
        <v>1</v>
      </c>
      <c r="BZ39" s="65">
        <v>21000</v>
      </c>
      <c r="CA39" s="64"/>
      <c r="CB39" s="403">
        <f>SUM(BZ38:BZ43)*1</f>
        <v>107236.24400000001</v>
      </c>
      <c r="CC39" s="93"/>
      <c r="CD39" s="64">
        <v>1</v>
      </c>
      <c r="CE39" s="559">
        <v>21000</v>
      </c>
      <c r="CF39" s="64"/>
      <c r="CG39" s="403">
        <f>SUM(CE38:CE43)*1</f>
        <v>107236.24400000001</v>
      </c>
      <c r="CH39" s="93"/>
      <c r="CI39" s="64">
        <v>1</v>
      </c>
      <c r="CJ39" s="559">
        <v>21000</v>
      </c>
      <c r="CK39" s="64"/>
      <c r="CL39" s="403">
        <f>SUM(CJ38:CJ43)*1</f>
        <v>107236.24400000001</v>
      </c>
      <c r="CM39" s="93"/>
      <c r="CN39" s="64">
        <v>1</v>
      </c>
      <c r="CO39" s="559">
        <v>21000</v>
      </c>
      <c r="CP39" s="64"/>
      <c r="CQ39" s="403">
        <f>SUM(CO38:CO43)*1</f>
        <v>107236.24400000001</v>
      </c>
      <c r="CR39" s="93"/>
      <c r="CS39" s="64">
        <v>1</v>
      </c>
      <c r="CT39" s="559">
        <v>21000</v>
      </c>
      <c r="CU39" s="64"/>
      <c r="CV39" s="403">
        <f>SUM(CT38:CT43)*1</f>
        <v>107236.24400000001</v>
      </c>
      <c r="CW39" s="93"/>
      <c r="CX39" s="64">
        <v>1</v>
      </c>
      <c r="CY39" s="559">
        <v>21000</v>
      </c>
      <c r="CZ39" s="64"/>
      <c r="DA39" s="403">
        <f>SUM(CY38:CY43)*1</f>
        <v>107236.24400000001</v>
      </c>
    </row>
    <row r="40" spans="1:105" ht="15" customHeight="1">
      <c r="A40" s="270"/>
      <c r="B40" s="219">
        <v>40397750</v>
      </c>
      <c r="C40" s="224" t="s">
        <v>36</v>
      </c>
      <c r="D40" s="221" t="s">
        <v>188</v>
      </c>
      <c r="E40" s="34"/>
      <c r="F40" s="106"/>
      <c r="G40" s="130">
        <v>2</v>
      </c>
      <c r="H40" s="130">
        <v>67.430000000000007</v>
      </c>
      <c r="I40" s="130"/>
      <c r="J40" s="41"/>
      <c r="K40" s="106"/>
      <c r="L40" s="65">
        <v>4</v>
      </c>
      <c r="M40" s="65">
        <v>134.86000000000001</v>
      </c>
      <c r="N40" s="130"/>
      <c r="O40" s="41"/>
      <c r="P40" s="105"/>
      <c r="Q40" s="130"/>
      <c r="R40" s="130"/>
      <c r="S40" s="130"/>
      <c r="T40" s="41"/>
      <c r="U40" s="116"/>
      <c r="V40" s="130">
        <v>1</v>
      </c>
      <c r="W40" s="130">
        <v>33.72</v>
      </c>
      <c r="X40" s="130"/>
      <c r="Y40" s="130"/>
      <c r="Z40" s="93"/>
      <c r="AA40" s="130">
        <v>1</v>
      </c>
      <c r="AB40" s="130">
        <v>303.44</v>
      </c>
      <c r="AC40" s="130"/>
      <c r="AD40" s="130"/>
      <c r="AE40" s="93"/>
      <c r="AF40" s="130">
        <v>7</v>
      </c>
      <c r="AG40" s="130">
        <v>236.01</v>
      </c>
      <c r="AH40" s="130"/>
      <c r="AI40" s="421">
        <f>AG38+AG39+AG40+AG41+AG42+AG43</f>
        <v>170318.36000000002</v>
      </c>
      <c r="AJ40" s="93"/>
      <c r="AK40" s="130">
        <v>5</v>
      </c>
      <c r="AL40" s="130">
        <v>185.38</v>
      </c>
      <c r="AM40" s="130"/>
      <c r="AN40" s="421">
        <f>AL38+AL39+AL40+AM42+AM41</f>
        <v>178167.54</v>
      </c>
      <c r="AO40" s="93"/>
      <c r="AP40" s="130">
        <v>6</v>
      </c>
      <c r="AQ40" s="130">
        <v>219.09</v>
      </c>
      <c r="AR40" s="130"/>
      <c r="AS40" s="130"/>
      <c r="AT40" s="93"/>
      <c r="AU40" s="130">
        <v>6</v>
      </c>
      <c r="AV40" s="130">
        <v>219.64</v>
      </c>
      <c r="AW40" s="130"/>
      <c r="AX40" s="130"/>
      <c r="AY40" s="93"/>
      <c r="AZ40" s="130">
        <v>7</v>
      </c>
      <c r="BA40" s="130">
        <v>253.44</v>
      </c>
      <c r="BB40" s="130"/>
      <c r="BC40" s="130"/>
      <c r="BD40" s="93"/>
      <c r="BE40" s="130">
        <v>7</v>
      </c>
      <c r="BF40" s="372">
        <v>253.44</v>
      </c>
      <c r="BG40" s="130"/>
      <c r="BH40" s="130"/>
      <c r="BI40" s="93"/>
      <c r="BJ40" s="130">
        <v>7</v>
      </c>
      <c r="BK40" s="130">
        <v>253.44</v>
      </c>
      <c r="BL40" s="130"/>
      <c r="BM40" s="130"/>
      <c r="BN40" s="93"/>
      <c r="BO40" s="130">
        <v>7</v>
      </c>
      <c r="BP40" s="130">
        <v>253.44</v>
      </c>
      <c r="BQ40" s="130"/>
      <c r="BR40" s="130"/>
      <c r="BS40" s="93"/>
      <c r="BT40" s="130">
        <v>8</v>
      </c>
      <c r="BU40" s="130">
        <v>287.24</v>
      </c>
      <c r="BV40" s="130"/>
      <c r="BW40" s="130"/>
      <c r="BX40" s="93"/>
      <c r="BY40" s="64"/>
      <c r="BZ40" s="64"/>
      <c r="CA40" s="64"/>
      <c r="CB40" s="130"/>
      <c r="CC40" s="93"/>
      <c r="CD40" s="64"/>
      <c r="CE40" s="64"/>
      <c r="CF40" s="64"/>
      <c r="CG40" s="130"/>
      <c r="CH40" s="93"/>
      <c r="CI40" s="64"/>
      <c r="CJ40" s="64"/>
      <c r="CK40" s="64"/>
      <c r="CL40" s="130"/>
      <c r="CM40" s="93"/>
      <c r="CN40" s="64"/>
      <c r="CO40" s="64"/>
      <c r="CP40" s="64"/>
      <c r="CQ40" s="130"/>
      <c r="CR40" s="93"/>
      <c r="CS40" s="64"/>
      <c r="CT40" s="64"/>
      <c r="CU40" s="64"/>
      <c r="CV40" s="130"/>
      <c r="CW40" s="93"/>
      <c r="CX40" s="64"/>
      <c r="CY40" s="64"/>
      <c r="CZ40" s="64"/>
      <c r="DA40" s="130"/>
    </row>
    <row r="41" spans="1:105" ht="15" customHeight="1">
      <c r="A41" s="256"/>
      <c r="B41" s="215">
        <v>44878589</v>
      </c>
      <c r="C41" s="222" t="s">
        <v>378</v>
      </c>
      <c r="D41" s="221" t="s">
        <v>13</v>
      </c>
      <c r="E41" s="34"/>
      <c r="F41" s="106">
        <f>H41/G41</f>
        <v>5.8344719622976573</v>
      </c>
      <c r="G41" s="130">
        <v>14641</v>
      </c>
      <c r="H41" s="130">
        <v>85422.504000000001</v>
      </c>
      <c r="I41" s="130">
        <v>59321.18</v>
      </c>
      <c r="J41" s="41"/>
      <c r="K41" s="106">
        <f>M41/L41</f>
        <v>0</v>
      </c>
      <c r="L41" s="130">
        <v>21940</v>
      </c>
      <c r="M41" s="345">
        <v>0</v>
      </c>
      <c r="N41" s="345"/>
      <c r="O41" s="346"/>
      <c r="P41" s="106">
        <f>R41/Q41</f>
        <v>5.4634919899990741</v>
      </c>
      <c r="Q41" s="130">
        <v>21598</v>
      </c>
      <c r="R41" s="130">
        <v>118000.5</v>
      </c>
      <c r="S41" s="130">
        <v>118000.5</v>
      </c>
      <c r="T41" s="41"/>
      <c r="U41" s="117">
        <f>W41/V41</f>
        <v>5.6633997981696069</v>
      </c>
      <c r="V41" s="130">
        <v>28737</v>
      </c>
      <c r="W41" s="130">
        <v>162749.12</v>
      </c>
      <c r="X41" s="130">
        <v>118000.5</v>
      </c>
      <c r="Y41" s="130"/>
      <c r="Z41" s="94">
        <f>AB41/AA41</f>
        <v>5.2304759425894254</v>
      </c>
      <c r="AA41" s="130">
        <v>26894</v>
      </c>
      <c r="AB41" s="130">
        <v>140668.42000000001</v>
      </c>
      <c r="AC41" s="398">
        <v>0</v>
      </c>
      <c r="AD41" s="130"/>
      <c r="AE41" s="94">
        <f>AG41/AF41</f>
        <v>5.3864638338054771</v>
      </c>
      <c r="AF41" s="420">
        <v>26475</v>
      </c>
      <c r="AG41" s="420">
        <v>142606.63</v>
      </c>
      <c r="AH41" s="398">
        <v>0</v>
      </c>
      <c r="AI41" s="130"/>
      <c r="AJ41" s="94">
        <f>AL41/AK41</f>
        <v>5.6518919723234884</v>
      </c>
      <c r="AK41" s="420">
        <v>26882</v>
      </c>
      <c r="AL41" s="420">
        <v>151934.16</v>
      </c>
      <c r="AM41" s="130">
        <v>151934.16</v>
      </c>
      <c r="AN41" s="130"/>
      <c r="AO41" s="94">
        <f>AQ41/AP41</f>
        <v>6.8216520439331898</v>
      </c>
      <c r="AP41" s="420">
        <v>30774</v>
      </c>
      <c r="AQ41" s="420">
        <v>209929.52</v>
      </c>
      <c r="AR41" s="130">
        <v>230791.33634399998</v>
      </c>
      <c r="AS41" s="130"/>
      <c r="AT41" s="94">
        <f>AV41/AU41</f>
        <v>7.5147961771733138</v>
      </c>
      <c r="AU41" s="420">
        <v>32646</v>
      </c>
      <c r="AV41" s="518">
        <f>1.2*204440.03</f>
        <v>245328.03599999999</v>
      </c>
      <c r="AW41" s="64">
        <v>59321.18</v>
      </c>
      <c r="AX41" s="130"/>
      <c r="AY41" s="94">
        <f>BA41/AZ41</f>
        <v>2.9535476108152965</v>
      </c>
      <c r="AZ41" s="420">
        <v>28922</v>
      </c>
      <c r="BA41" s="64">
        <v>85422.504000000001</v>
      </c>
      <c r="BB41" s="64">
        <v>59321.18</v>
      </c>
      <c r="BC41" s="130"/>
      <c r="BD41" s="94">
        <f>BF41/BE41</f>
        <v>7.2173641322749331</v>
      </c>
      <c r="BE41" s="420">
        <v>26581</v>
      </c>
      <c r="BF41" s="420">
        <v>191844.75599999999</v>
      </c>
      <c r="BG41" s="130">
        <v>0</v>
      </c>
      <c r="BH41" s="130"/>
      <c r="BI41" s="94">
        <f>BK41/BJ41</f>
        <v>7.5240960820895522</v>
      </c>
      <c r="BJ41" s="420">
        <v>25728</v>
      </c>
      <c r="BK41" s="420">
        <f>1.2*161316.62</f>
        <v>193579.94399999999</v>
      </c>
      <c r="BL41" s="130">
        <v>151877.09849999999</v>
      </c>
      <c r="BM41" s="130"/>
      <c r="BN41" s="94">
        <f>BP41/BO41</f>
        <v>7.0861201448423135</v>
      </c>
      <c r="BO41" s="420">
        <v>32311</v>
      </c>
      <c r="BP41" s="420">
        <f>1.2*190799.69</f>
        <v>228959.628</v>
      </c>
      <c r="BQ41" s="64">
        <v>0</v>
      </c>
      <c r="BR41" s="130"/>
      <c r="BS41" s="94">
        <f>BU41/BT41</f>
        <v>7.0129998850178223</v>
      </c>
      <c r="BT41" s="420">
        <v>34788</v>
      </c>
      <c r="BU41" s="420">
        <v>243968.24</v>
      </c>
      <c r="BV41" s="130">
        <f>157195.68+86772.56</f>
        <v>243968.24</v>
      </c>
      <c r="BW41" s="130"/>
      <c r="BX41" s="94">
        <f>BZ41/BY41</f>
        <v>4.2711252000000002</v>
      </c>
      <c r="BY41" s="64">
        <v>20000</v>
      </c>
      <c r="BZ41" s="64">
        <v>85422.504000000001</v>
      </c>
      <c r="CA41" s="130">
        <v>105341.6</v>
      </c>
      <c r="CB41" s="130"/>
      <c r="CC41" s="94">
        <f>CE41/CD41</f>
        <v>5.8344719622976573</v>
      </c>
      <c r="CD41" s="64">
        <v>14641</v>
      </c>
      <c r="CE41" s="64">
        <v>85422.504000000001</v>
      </c>
      <c r="CF41" s="64">
        <v>0</v>
      </c>
      <c r="CG41" s="130"/>
      <c r="CH41" s="94">
        <f>CJ41/CI41</f>
        <v>5.8344719622976573</v>
      </c>
      <c r="CI41" s="64">
        <v>14641</v>
      </c>
      <c r="CJ41" s="64">
        <v>85422.504000000001</v>
      </c>
      <c r="CK41" s="64">
        <v>0</v>
      </c>
      <c r="CL41" s="130"/>
      <c r="CM41" s="94">
        <f>CO41/CN41</f>
        <v>5.8344719622976573</v>
      </c>
      <c r="CN41" s="64">
        <v>14641</v>
      </c>
      <c r="CO41" s="64">
        <v>85422.504000000001</v>
      </c>
      <c r="CP41" s="64">
        <v>0</v>
      </c>
      <c r="CQ41" s="130"/>
      <c r="CR41" s="94">
        <f>CT41/CS41</f>
        <v>5.8344719622976573</v>
      </c>
      <c r="CS41" s="64">
        <v>14641</v>
      </c>
      <c r="CT41" s="64">
        <v>85422.504000000001</v>
      </c>
      <c r="CU41" s="64">
        <v>0</v>
      </c>
      <c r="CV41" s="130"/>
      <c r="CW41" s="94">
        <f>CY41/CX41</f>
        <v>5.8344719622976573</v>
      </c>
      <c r="CX41" s="64">
        <v>14641</v>
      </c>
      <c r="CY41" s="64">
        <v>85422.504000000001</v>
      </c>
      <c r="CZ41" s="64">
        <v>0</v>
      </c>
      <c r="DA41" s="130"/>
    </row>
    <row r="42" spans="1:105" ht="15" customHeight="1">
      <c r="A42" s="269"/>
      <c r="B42" s="219">
        <v>23243188</v>
      </c>
      <c r="C42" s="222" t="s">
        <v>38</v>
      </c>
      <c r="D42" s="221" t="s">
        <v>15</v>
      </c>
      <c r="E42" s="34"/>
      <c r="F42" s="105"/>
      <c r="G42" s="130">
        <v>1</v>
      </c>
      <c r="H42" s="130">
        <v>813.74</v>
      </c>
      <c r="I42" s="130"/>
      <c r="J42" s="41"/>
      <c r="K42" s="105"/>
      <c r="L42" s="130">
        <v>4855</v>
      </c>
      <c r="M42" s="130">
        <v>1239.67</v>
      </c>
      <c r="N42" s="130">
        <v>1239.67</v>
      </c>
      <c r="O42" s="41"/>
      <c r="P42" s="105"/>
      <c r="Q42" s="130">
        <v>5746</v>
      </c>
      <c r="R42" s="130">
        <v>1540</v>
      </c>
      <c r="S42" s="130">
        <v>1540.42</v>
      </c>
      <c r="T42" s="41"/>
      <c r="U42" s="116"/>
      <c r="V42" s="130">
        <v>1</v>
      </c>
      <c r="W42" s="130">
        <v>2020.87</v>
      </c>
      <c r="X42" s="130">
        <v>2020.87</v>
      </c>
      <c r="Y42" s="130"/>
      <c r="Z42" s="93"/>
      <c r="AA42" s="130">
        <v>1</v>
      </c>
      <c r="AB42" s="130">
        <v>2423.34</v>
      </c>
      <c r="AC42" s="130">
        <v>2423.34</v>
      </c>
      <c r="AD42" s="130"/>
      <c r="AE42" s="93"/>
      <c r="AF42" s="130">
        <v>1</v>
      </c>
      <c r="AG42" s="130">
        <f>2386.75+319.53</f>
        <v>2706.2799999999997</v>
      </c>
      <c r="AH42" s="130"/>
      <c r="AI42" s="130"/>
      <c r="AJ42" s="93"/>
      <c r="AK42" s="420">
        <v>1</v>
      </c>
      <c r="AL42" s="420">
        <v>2516.4499999999998</v>
      </c>
      <c r="AM42" s="130">
        <v>3000</v>
      </c>
      <c r="AN42" s="130"/>
      <c r="AO42" s="93"/>
      <c r="AP42" s="130">
        <v>1</v>
      </c>
      <c r="AQ42" s="130">
        <v>3548.11</v>
      </c>
      <c r="AR42" s="130"/>
      <c r="AS42" s="130"/>
      <c r="AT42" s="93"/>
      <c r="AU42" s="130">
        <v>1</v>
      </c>
      <c r="AV42" s="130">
        <f>3777.36+1260.91</f>
        <v>5038.2700000000004</v>
      </c>
      <c r="AW42" s="130"/>
      <c r="AX42" s="130"/>
      <c r="AY42" s="93"/>
      <c r="AZ42" s="420">
        <v>1</v>
      </c>
      <c r="BA42" s="420">
        <v>3748.4</v>
      </c>
      <c r="BB42" s="130">
        <f>3748.4+585.75</f>
        <v>4334.1499999999996</v>
      </c>
      <c r="BC42" s="130"/>
      <c r="BD42" s="93"/>
      <c r="BE42" s="420">
        <v>1</v>
      </c>
      <c r="BF42" s="524">
        <v>2877.42</v>
      </c>
      <c r="BG42" s="130">
        <v>2877.42</v>
      </c>
      <c r="BH42" s="130"/>
      <c r="BI42" s="93"/>
      <c r="BJ42" s="420">
        <v>1</v>
      </c>
      <c r="BK42" s="420">
        <v>2347.16</v>
      </c>
      <c r="BL42" s="130" t="s">
        <v>376</v>
      </c>
      <c r="BM42" s="130"/>
      <c r="BN42" s="93"/>
      <c r="BO42" s="420">
        <v>1</v>
      </c>
      <c r="BP42" s="420">
        <v>2616.3000000000002</v>
      </c>
      <c r="BQ42" s="64"/>
      <c r="BR42" s="130"/>
      <c r="BS42" s="93"/>
      <c r="BT42" s="64">
        <v>1</v>
      </c>
      <c r="BU42" s="64">
        <v>813.74</v>
      </c>
      <c r="BV42" s="130" t="s">
        <v>450</v>
      </c>
      <c r="BW42" s="130"/>
      <c r="BX42" s="93"/>
      <c r="BY42" s="64">
        <v>1</v>
      </c>
      <c r="BZ42" s="64">
        <v>813.74</v>
      </c>
      <c r="CA42" s="64"/>
      <c r="CB42" s="130"/>
      <c r="CC42" s="93"/>
      <c r="CD42" s="64">
        <v>1</v>
      </c>
      <c r="CE42" s="64">
        <v>813.74</v>
      </c>
      <c r="CF42" s="64"/>
      <c r="CG42" s="130"/>
      <c r="CH42" s="93"/>
      <c r="CI42" s="64">
        <v>1</v>
      </c>
      <c r="CJ42" s="64">
        <v>813.74</v>
      </c>
      <c r="CK42" s="64"/>
      <c r="CL42" s="130"/>
      <c r="CM42" s="93"/>
      <c r="CN42" s="64">
        <v>1</v>
      </c>
      <c r="CO42" s="64">
        <v>813.74</v>
      </c>
      <c r="CP42" s="64"/>
      <c r="CQ42" s="130"/>
      <c r="CR42" s="93"/>
      <c r="CS42" s="64">
        <v>1</v>
      </c>
      <c r="CT42" s="64">
        <v>813.74</v>
      </c>
      <c r="CU42" s="64"/>
      <c r="CV42" s="130"/>
      <c r="CW42" s="93"/>
      <c r="CX42" s="64">
        <v>1</v>
      </c>
      <c r="CY42" s="64">
        <v>813.74</v>
      </c>
      <c r="CZ42" s="64"/>
      <c r="DA42" s="130"/>
    </row>
    <row r="43" spans="1:105" s="264" customFormat="1" ht="15" customHeight="1" thickBot="1">
      <c r="A43" s="271"/>
      <c r="B43" s="400" t="s">
        <v>228</v>
      </c>
      <c r="C43" s="351" t="s">
        <v>39</v>
      </c>
      <c r="D43" s="352" t="s">
        <v>17</v>
      </c>
      <c r="E43" s="309"/>
      <c r="F43" s="187"/>
      <c r="G43" s="174">
        <v>2</v>
      </c>
      <c r="H43" s="174">
        <v>67.430000000000007</v>
      </c>
      <c r="I43" s="174"/>
      <c r="J43" s="176"/>
      <c r="K43" s="187"/>
      <c r="L43" s="343">
        <v>182</v>
      </c>
      <c r="M43" s="343">
        <v>4883.6499999999996</v>
      </c>
      <c r="N43" s="340"/>
      <c r="O43" s="342"/>
      <c r="P43" s="187"/>
      <c r="Q43" s="174"/>
      <c r="R43" s="174"/>
      <c r="S43" s="340"/>
      <c r="T43" s="342"/>
      <c r="U43" s="317">
        <f>W43/V43</f>
        <v>26.880090090090089</v>
      </c>
      <c r="V43" s="340">
        <v>111</v>
      </c>
      <c r="W43" s="340">
        <v>2983.69</v>
      </c>
      <c r="X43" s="340"/>
      <c r="Y43" s="340"/>
      <c r="Z43" s="272">
        <f>AB43/AA43</f>
        <v>32.316899999999997</v>
      </c>
      <c r="AA43" s="340">
        <v>40</v>
      </c>
      <c r="AB43" s="340">
        <f>1.2*(413.6+656.8+6.83)</f>
        <v>1292.6759999999999</v>
      </c>
      <c r="AC43" s="340"/>
      <c r="AD43" s="340"/>
      <c r="AE43" s="272">
        <f>AG43/AF43</f>
        <v>32.631999999999998</v>
      </c>
      <c r="AF43" s="340">
        <v>45</v>
      </c>
      <c r="AG43" s="340">
        <v>1468.44</v>
      </c>
      <c r="AH43" s="340"/>
      <c r="AI43" s="340"/>
      <c r="AJ43" s="272" t="e">
        <f>AL43/AK43</f>
        <v>#DIV/0!</v>
      </c>
      <c r="AK43" s="174"/>
      <c r="AL43" s="174"/>
      <c r="AM43" s="174"/>
      <c r="AN43" s="340"/>
      <c r="AO43" s="272" t="e">
        <f>AQ43/AP43</f>
        <v>#DIV/0!</v>
      </c>
      <c r="AP43" s="174"/>
      <c r="AQ43" s="174"/>
      <c r="AR43" s="174"/>
      <c r="AS43" s="340"/>
      <c r="AT43" s="272" t="e">
        <f>AV43/AU43</f>
        <v>#DIV/0!</v>
      </c>
      <c r="AU43" s="174"/>
      <c r="AV43" s="174"/>
      <c r="AW43" s="174"/>
      <c r="AX43" s="340"/>
      <c r="AY43" s="272">
        <f>BA43/AZ43</f>
        <v>32.671136363636364</v>
      </c>
      <c r="AZ43" s="340">
        <v>44</v>
      </c>
      <c r="BA43" s="340">
        <v>1437.53</v>
      </c>
      <c r="BB43" s="340"/>
      <c r="BC43" s="340"/>
      <c r="BD43" s="272">
        <f>BF43/BE43</f>
        <v>32.635319148936169</v>
      </c>
      <c r="BE43" s="340">
        <v>47</v>
      </c>
      <c r="BF43" s="340">
        <v>1533.86</v>
      </c>
      <c r="BG43" s="174"/>
      <c r="BH43" s="340"/>
      <c r="BI43" s="272"/>
      <c r="BJ43" s="340"/>
      <c r="BK43" s="340"/>
      <c r="BL43" s="340"/>
      <c r="BM43" s="340"/>
      <c r="BN43" s="272">
        <f>BP43/BO43</f>
        <v>32.368229166666666</v>
      </c>
      <c r="BO43" s="340">
        <v>96</v>
      </c>
      <c r="BP43" s="340">
        <v>3107.35</v>
      </c>
      <c r="BQ43" s="340"/>
      <c r="BR43" s="340"/>
      <c r="BS43" s="272" t="e">
        <f>BU43/BT43</f>
        <v>#DIV/0!</v>
      </c>
      <c r="BT43" s="174"/>
      <c r="BU43" s="174"/>
      <c r="BV43" s="340"/>
      <c r="BW43" s="340"/>
      <c r="BX43" s="272" t="e">
        <f>BZ43/BY43</f>
        <v>#DIV/0!</v>
      </c>
      <c r="BY43" s="174"/>
      <c r="BZ43" s="174"/>
      <c r="CA43" s="174"/>
      <c r="CB43" s="340"/>
      <c r="CC43" s="272" t="e">
        <f>CE43/CD43</f>
        <v>#DIV/0!</v>
      </c>
      <c r="CD43" s="174"/>
      <c r="CE43" s="174"/>
      <c r="CF43" s="174"/>
      <c r="CG43" s="340"/>
      <c r="CH43" s="272" t="e">
        <f>CJ43/CI43</f>
        <v>#DIV/0!</v>
      </c>
      <c r="CI43" s="174"/>
      <c r="CJ43" s="174"/>
      <c r="CK43" s="174"/>
      <c r="CL43" s="340"/>
      <c r="CM43" s="272" t="e">
        <f>CO43/CN43</f>
        <v>#DIV/0!</v>
      </c>
      <c r="CN43" s="174"/>
      <c r="CO43" s="174"/>
      <c r="CP43" s="174"/>
      <c r="CQ43" s="340"/>
      <c r="CR43" s="272" t="e">
        <f>CT43/CS43</f>
        <v>#DIV/0!</v>
      </c>
      <c r="CS43" s="174"/>
      <c r="CT43" s="174"/>
      <c r="CU43" s="174"/>
      <c r="CV43" s="340"/>
      <c r="CW43" s="272" t="e">
        <f>CY43/CX43</f>
        <v>#DIV/0!</v>
      </c>
      <c r="CX43" s="174"/>
      <c r="CY43" s="174"/>
      <c r="CZ43" s="174"/>
      <c r="DA43" s="340"/>
    </row>
    <row r="44" spans="1:105" s="249" customFormat="1" ht="15" customHeight="1">
      <c r="A44" s="265" t="s">
        <v>301</v>
      </c>
      <c r="B44" s="5" t="s">
        <v>40</v>
      </c>
      <c r="C44" s="6" t="s">
        <v>25</v>
      </c>
      <c r="D44" s="7" t="s">
        <v>10</v>
      </c>
      <c r="E44" s="4"/>
      <c r="F44" s="196"/>
      <c r="G44" s="200"/>
      <c r="H44" s="197"/>
      <c r="I44" s="197"/>
      <c r="J44" s="325"/>
      <c r="K44" s="196"/>
      <c r="L44" s="200"/>
      <c r="M44" s="197"/>
      <c r="N44" s="197"/>
      <c r="O44" s="325"/>
      <c r="P44" s="196"/>
      <c r="Q44" s="200"/>
      <c r="R44" s="197"/>
      <c r="S44" s="197"/>
      <c r="T44" s="325"/>
      <c r="U44" s="207"/>
      <c r="V44" s="200"/>
      <c r="W44" s="204">
        <v>2024</v>
      </c>
      <c r="X44" s="197"/>
      <c r="Y44" s="383">
        <f>SUM(W44:W47)*1.1</f>
        <v>121511.302</v>
      </c>
      <c r="Z44" s="36"/>
      <c r="AA44" s="200"/>
      <c r="AB44" s="204">
        <v>1012</v>
      </c>
      <c r="AC44" s="197"/>
      <c r="AD44" s="383">
        <f>SUM(AB44:AB47)*1.1</f>
        <v>85408.917000000001</v>
      </c>
      <c r="AE44" s="36"/>
      <c r="AF44" s="200"/>
      <c r="AG44" s="204">
        <v>1012</v>
      </c>
      <c r="AH44" s="197"/>
      <c r="AI44" s="383">
        <f>AI45*1.1</f>
        <v>111330.637</v>
      </c>
      <c r="AJ44" s="36"/>
      <c r="AK44" s="200"/>
      <c r="AL44" s="204">
        <v>1518</v>
      </c>
      <c r="AM44" s="197"/>
      <c r="AN44" s="383">
        <f>AN45*1.2</f>
        <v>132606.432</v>
      </c>
      <c r="AO44" s="36"/>
      <c r="AP44" s="200"/>
      <c r="AQ44" s="197"/>
      <c r="AR44" s="197"/>
      <c r="AS44" s="383">
        <f>SUM(AQ44:AQ47)*1.2</f>
        <v>176431.82399999999</v>
      </c>
      <c r="AT44" s="36"/>
      <c r="AU44" s="200"/>
      <c r="AV44" s="197"/>
      <c r="AW44" s="197"/>
      <c r="AX44" s="383">
        <f>SUM(AV44:AV47)*1.1</f>
        <v>212285.557</v>
      </c>
      <c r="AY44" s="36"/>
      <c r="AZ44" s="200"/>
      <c r="BA44" s="197"/>
      <c r="BB44" s="197"/>
      <c r="BC44" s="383">
        <f>SUM(BA44:BA47)*1.1</f>
        <v>139916.51300000001</v>
      </c>
      <c r="BD44" s="36"/>
      <c r="BE44" s="200"/>
      <c r="BF44" s="197"/>
      <c r="BG44" s="197"/>
      <c r="BH44" s="383">
        <f>SUM(BF44:BF47)*1.1</f>
        <v>121380.58899999999</v>
      </c>
      <c r="BI44" s="36"/>
      <c r="BJ44" s="200"/>
      <c r="BK44" s="197"/>
      <c r="BL44" s="197"/>
      <c r="BM44" s="383">
        <f>SUM(BK44:BK47)*1.1</f>
        <v>150350.12299999999</v>
      </c>
      <c r="BN44" s="36"/>
      <c r="BO44" s="200"/>
      <c r="BP44" s="197"/>
      <c r="BQ44" s="197"/>
      <c r="BR44" s="383">
        <f>SUM(BP44:BP47)*1.1</f>
        <v>124480.939</v>
      </c>
      <c r="BS44" s="36"/>
      <c r="BT44" s="200"/>
      <c r="BU44" s="197"/>
      <c r="BV44" s="197"/>
      <c r="BW44" s="383">
        <f>SUM(BU44:BU47)*1.1</f>
        <v>184602.01100000003</v>
      </c>
      <c r="BX44" s="36"/>
      <c r="BY44" s="200"/>
      <c r="BZ44" s="197"/>
      <c r="CA44" s="197"/>
      <c r="CB44" s="383">
        <f>SUM(BZ44:BZ47)*1.1</f>
        <v>80707.49500000001</v>
      </c>
      <c r="CC44" s="36"/>
      <c r="CD44" s="200"/>
      <c r="CE44" s="197"/>
      <c r="CF44" s="197"/>
      <c r="CG44" s="383">
        <f>SUM(CE44:CE47)*1.1</f>
        <v>80707.49500000001</v>
      </c>
      <c r="CH44" s="36"/>
      <c r="CI44" s="200"/>
      <c r="CJ44" s="197"/>
      <c r="CK44" s="197"/>
      <c r="CL44" s="383">
        <f>SUM(CJ44:CJ47)*1.1</f>
        <v>80707.49500000001</v>
      </c>
      <c r="CM44" s="36"/>
      <c r="CN44" s="200"/>
      <c r="CO44" s="197"/>
      <c r="CP44" s="197"/>
      <c r="CQ44" s="383">
        <f>SUM(CO44:CO47)*1.1</f>
        <v>80707.49500000001</v>
      </c>
      <c r="CR44" s="36"/>
      <c r="CS44" s="200"/>
      <c r="CT44" s="197"/>
      <c r="CU44" s="197"/>
      <c r="CV44" s="383">
        <f>SUM(CT44:CT47)*1.1</f>
        <v>80707.49500000001</v>
      </c>
      <c r="CW44" s="36"/>
      <c r="CX44" s="200"/>
      <c r="CY44" s="197"/>
      <c r="CZ44" s="197"/>
      <c r="DA44" s="383">
        <f>SUM(CY44:CY47)*1.1</f>
        <v>80707.49500000001</v>
      </c>
    </row>
    <row r="45" spans="1:105" ht="15" customHeight="1">
      <c r="A45" s="256" t="s">
        <v>338</v>
      </c>
      <c r="B45" s="215">
        <v>35116016</v>
      </c>
      <c r="C45" s="45" t="s">
        <v>41</v>
      </c>
      <c r="D45" s="218" t="s">
        <v>13</v>
      </c>
      <c r="E45" s="24"/>
      <c r="F45" s="104">
        <f>H45/G45</f>
        <v>5.5227719568567029</v>
      </c>
      <c r="G45" s="69">
        <v>12980</v>
      </c>
      <c r="H45" s="70">
        <v>71685.58</v>
      </c>
      <c r="I45" s="128"/>
      <c r="J45" s="136"/>
      <c r="K45" s="104">
        <f>M45/L45</f>
        <v>5.6584567162947996</v>
      </c>
      <c r="L45" s="69">
        <v>9698.7999999999993</v>
      </c>
      <c r="M45" s="70">
        <v>54880.24</v>
      </c>
      <c r="N45" s="128"/>
      <c r="O45" s="136"/>
      <c r="P45" s="104">
        <f>R45/Q45</f>
        <v>5.3252043481415194</v>
      </c>
      <c r="Q45" s="69">
        <v>16540.400000000001</v>
      </c>
      <c r="R45" s="70">
        <v>88081.01</v>
      </c>
      <c r="S45" s="128"/>
      <c r="T45" s="136"/>
      <c r="U45" s="115">
        <f>W45/V45</f>
        <v>5.524211615222252</v>
      </c>
      <c r="V45" s="69">
        <v>19140.400000000001</v>
      </c>
      <c r="W45" s="70">
        <v>105735.62</v>
      </c>
      <c r="X45" s="128"/>
      <c r="Y45" s="403">
        <f>SUM(W44:W47)*1</f>
        <v>110464.81999999999</v>
      </c>
      <c r="Z45" s="92">
        <f>AB45/AA45</f>
        <v>5.1137162906998626</v>
      </c>
      <c r="AA45" s="69">
        <v>14877.2</v>
      </c>
      <c r="AB45" s="70">
        <v>76077.78</v>
      </c>
      <c r="AC45" s="128"/>
      <c r="AD45" s="403">
        <f>SUM(AB44:AB47)*1</f>
        <v>77644.47</v>
      </c>
      <c r="AE45" s="92">
        <f>AG45/AF45</f>
        <v>5.1882184847366482</v>
      </c>
      <c r="AF45" s="69">
        <v>18967</v>
      </c>
      <c r="AG45" s="70">
        <v>98404.94</v>
      </c>
      <c r="AH45" s="128"/>
      <c r="AI45" s="403">
        <f>SUM(AG44:AG47)*1</f>
        <v>101209.67</v>
      </c>
      <c r="AJ45" s="92">
        <f>AL45/AK45</f>
        <v>5.4686756501763885</v>
      </c>
      <c r="AK45" s="69">
        <v>19502.400000000001</v>
      </c>
      <c r="AL45" s="70">
        <v>106652.3</v>
      </c>
      <c r="AM45" s="128"/>
      <c r="AN45" s="403">
        <f>SUM(AL44:AL47)*1</f>
        <v>110505.36</v>
      </c>
      <c r="AO45" s="92">
        <f>AQ45/AP45</f>
        <v>6.5835123273171892</v>
      </c>
      <c r="AP45" s="69">
        <v>21918.799999999999</v>
      </c>
      <c r="AQ45" s="70">
        <v>144302.69</v>
      </c>
      <c r="AR45" s="128"/>
      <c r="AS45" s="403">
        <f>SUM(AQ44:AQ47)*1</f>
        <v>147026.51999999999</v>
      </c>
      <c r="AT45" s="92">
        <f>AV45/AU45</f>
        <v>7.2405599376318444</v>
      </c>
      <c r="AU45" s="69">
        <v>26167.200000000001</v>
      </c>
      <c r="AV45" s="70">
        <v>189465.18</v>
      </c>
      <c r="AW45" s="128"/>
      <c r="AX45" s="403">
        <f>SUM(AV44:AV47)*1</f>
        <v>192986.87</v>
      </c>
      <c r="AY45" s="92">
        <f>BA45/AZ45</f>
        <v>6.9380998596306531</v>
      </c>
      <c r="AZ45" s="69">
        <v>18237.599999999999</v>
      </c>
      <c r="BA45" s="70">
        <v>126534.29</v>
      </c>
      <c r="BB45" s="128"/>
      <c r="BC45" s="403">
        <f>SUM(BA44:BA47)*1</f>
        <v>127196.82999999999</v>
      </c>
      <c r="BD45" s="92">
        <f>BF45/BE45</f>
        <v>7.0001637413275333</v>
      </c>
      <c r="BE45" s="69">
        <v>15451.2</v>
      </c>
      <c r="BF45" s="70">
        <v>108160.93</v>
      </c>
      <c r="BG45" s="128"/>
      <c r="BH45" s="403">
        <f>SUM(BF44:BF47)*1</f>
        <v>110345.98999999999</v>
      </c>
      <c r="BI45" s="92">
        <f>BK45/BJ45</f>
        <v>7.3157642481415461</v>
      </c>
      <c r="BJ45" s="69">
        <v>18402.400000000001</v>
      </c>
      <c r="BK45" s="70">
        <v>134627.62</v>
      </c>
      <c r="BL45" s="128"/>
      <c r="BM45" s="403">
        <f>SUM(BK44:BK47)*1</f>
        <v>136681.93</v>
      </c>
      <c r="BN45" s="92">
        <f>BP45/BO45</f>
        <v>6.842243981447397</v>
      </c>
      <c r="BO45" s="69">
        <v>16299.6</v>
      </c>
      <c r="BP45" s="70">
        <v>111525.84</v>
      </c>
      <c r="BQ45" s="128"/>
      <c r="BR45" s="403">
        <f>SUM(BP44:BP47)*1</f>
        <v>113164.48999999999</v>
      </c>
      <c r="BS45" s="92">
        <f>BU45/BT45</f>
        <v>6.6790681032403318</v>
      </c>
      <c r="BT45" s="69">
        <v>24874</v>
      </c>
      <c r="BU45" s="70">
        <v>166135.14000000001</v>
      </c>
      <c r="BV45" s="128"/>
      <c r="BW45" s="403">
        <f>SUM(BU44:BU47)*1</f>
        <v>167820.01</v>
      </c>
      <c r="BX45" s="92">
        <f>BZ45/BY45</f>
        <v>5.5227719568567029</v>
      </c>
      <c r="BY45" s="58">
        <v>12980</v>
      </c>
      <c r="BZ45" s="62">
        <v>71685.58</v>
      </c>
      <c r="CA45" s="56"/>
      <c r="CB45" s="403">
        <f>SUM(BZ44:BZ47)*1</f>
        <v>73370.45</v>
      </c>
      <c r="CC45" s="92">
        <f>CE45/CD45</f>
        <v>5.5227719568567029</v>
      </c>
      <c r="CD45" s="58">
        <v>12980</v>
      </c>
      <c r="CE45" s="62">
        <v>71685.58</v>
      </c>
      <c r="CF45" s="56"/>
      <c r="CG45" s="403">
        <f>SUM(CE44:CE47)*1</f>
        <v>73370.45</v>
      </c>
      <c r="CH45" s="92">
        <f>CJ45/CI45</f>
        <v>5.5227719568567029</v>
      </c>
      <c r="CI45" s="58">
        <v>12980</v>
      </c>
      <c r="CJ45" s="62">
        <v>71685.58</v>
      </c>
      <c r="CK45" s="56"/>
      <c r="CL45" s="403">
        <f>SUM(CJ44:CJ47)*1</f>
        <v>73370.45</v>
      </c>
      <c r="CM45" s="92">
        <f>CO45/CN45</f>
        <v>5.5227719568567029</v>
      </c>
      <c r="CN45" s="58">
        <v>12980</v>
      </c>
      <c r="CO45" s="62">
        <v>71685.58</v>
      </c>
      <c r="CP45" s="56"/>
      <c r="CQ45" s="403">
        <f>SUM(CO44:CO47)*1</f>
        <v>73370.45</v>
      </c>
      <c r="CR45" s="92">
        <f>CT45/CS45</f>
        <v>5.5227719568567029</v>
      </c>
      <c r="CS45" s="58">
        <v>12980</v>
      </c>
      <c r="CT45" s="62">
        <v>71685.58</v>
      </c>
      <c r="CU45" s="56"/>
      <c r="CV45" s="403">
        <f>SUM(CT44:CT47)*1</f>
        <v>73370.45</v>
      </c>
      <c r="CW45" s="92">
        <f>CY45/CX45</f>
        <v>5.5227719568567029</v>
      </c>
      <c r="CX45" s="58">
        <v>12980</v>
      </c>
      <c r="CY45" s="62">
        <v>71685.58</v>
      </c>
      <c r="CZ45" s="56"/>
      <c r="DA45" s="403">
        <f>SUM(CY44:CY47)*1</f>
        <v>73370.45</v>
      </c>
    </row>
    <row r="46" spans="1:105" ht="15" customHeight="1">
      <c r="A46" s="256"/>
      <c r="B46" s="215"/>
      <c r="C46" s="45"/>
      <c r="D46" s="216" t="s">
        <v>15</v>
      </c>
      <c r="E46" s="22"/>
      <c r="F46" s="103"/>
      <c r="G46" s="139">
        <v>1</v>
      </c>
      <c r="H46" s="139">
        <v>1099.3699999999999</v>
      </c>
      <c r="I46" s="128"/>
      <c r="J46" s="136"/>
      <c r="K46" s="103"/>
      <c r="L46" s="139">
        <v>1</v>
      </c>
      <c r="M46" s="139">
        <v>893.9</v>
      </c>
      <c r="N46" s="128"/>
      <c r="O46" s="136"/>
      <c r="P46" s="103"/>
      <c r="Q46" s="139">
        <v>1</v>
      </c>
      <c r="R46" s="139">
        <v>1673.39</v>
      </c>
      <c r="S46" s="128"/>
      <c r="T46" s="136"/>
      <c r="U46" s="47"/>
      <c r="V46" s="139">
        <v>1</v>
      </c>
      <c r="W46" s="139">
        <v>1857.76</v>
      </c>
      <c r="X46" s="128"/>
      <c r="Y46" s="128"/>
      <c r="Z46" s="46"/>
      <c r="AA46" s="139">
        <v>1</v>
      </c>
      <c r="AB46" s="139" t="s">
        <v>223</v>
      </c>
      <c r="AC46" s="128"/>
      <c r="AD46" s="128"/>
      <c r="AE46" s="46"/>
      <c r="AF46" s="139">
        <v>1</v>
      </c>
      <c r="AG46" s="139">
        <v>1099.3699999999999</v>
      </c>
      <c r="AH46" s="128"/>
      <c r="AI46" s="128"/>
      <c r="AJ46" s="46"/>
      <c r="AK46" s="139">
        <v>1</v>
      </c>
      <c r="AL46" s="139">
        <v>1641.7</v>
      </c>
      <c r="AM46" s="128"/>
      <c r="AN46" s="128"/>
      <c r="AO46" s="46"/>
      <c r="AP46" s="139">
        <v>1</v>
      </c>
      <c r="AQ46" s="139">
        <v>1968.84</v>
      </c>
      <c r="AR46" s="128"/>
      <c r="AS46" s="128"/>
      <c r="AT46" s="46"/>
      <c r="AU46" s="139">
        <v>1</v>
      </c>
      <c r="AV46" s="139">
        <v>2720.47</v>
      </c>
      <c r="AW46" s="128"/>
      <c r="AX46" s="128"/>
      <c r="AY46" s="46"/>
      <c r="AZ46" s="139">
        <v>1</v>
      </c>
      <c r="BA46" s="139" t="s">
        <v>346</v>
      </c>
      <c r="BB46" s="128"/>
      <c r="BC46" s="128"/>
      <c r="BD46" s="46"/>
      <c r="BE46" s="139">
        <v>1</v>
      </c>
      <c r="BF46" s="139">
        <v>1460.88</v>
      </c>
      <c r="BG46" s="128"/>
      <c r="BH46" s="128"/>
      <c r="BI46" s="46"/>
      <c r="BJ46" s="139">
        <v>1</v>
      </c>
      <c r="BK46" s="139">
        <v>1607.48</v>
      </c>
      <c r="BL46" s="128"/>
      <c r="BM46" s="128"/>
      <c r="BN46" s="46"/>
      <c r="BO46" s="66">
        <v>1</v>
      </c>
      <c r="BP46" s="66">
        <v>1099.3699999999999</v>
      </c>
      <c r="BQ46" s="56"/>
      <c r="BR46" s="128"/>
      <c r="BS46" s="46"/>
      <c r="BT46" s="66">
        <v>1</v>
      </c>
      <c r="BU46" s="66">
        <v>1099.3699999999999</v>
      </c>
      <c r="BV46" s="56"/>
      <c r="BW46" s="128"/>
      <c r="BX46" s="46"/>
      <c r="BY46" s="66">
        <v>1</v>
      </c>
      <c r="BZ46" s="66">
        <v>1099.3699999999999</v>
      </c>
      <c r="CA46" s="56"/>
      <c r="CB46" s="128"/>
      <c r="CC46" s="46"/>
      <c r="CD46" s="66">
        <v>1</v>
      </c>
      <c r="CE46" s="66">
        <v>1099.3699999999999</v>
      </c>
      <c r="CF46" s="56"/>
      <c r="CG46" s="128"/>
      <c r="CH46" s="46"/>
      <c r="CI46" s="66">
        <v>1</v>
      </c>
      <c r="CJ46" s="66">
        <v>1099.3699999999999</v>
      </c>
      <c r="CK46" s="56"/>
      <c r="CL46" s="128"/>
      <c r="CM46" s="46"/>
      <c r="CN46" s="66">
        <v>1</v>
      </c>
      <c r="CO46" s="66">
        <v>1099.3699999999999</v>
      </c>
      <c r="CP46" s="56"/>
      <c r="CQ46" s="128"/>
      <c r="CR46" s="46"/>
      <c r="CS46" s="66">
        <v>1</v>
      </c>
      <c r="CT46" s="66">
        <v>1099.3699999999999</v>
      </c>
      <c r="CU46" s="56"/>
      <c r="CV46" s="128"/>
      <c r="CW46" s="46"/>
      <c r="CX46" s="66">
        <v>1</v>
      </c>
      <c r="CY46" s="66">
        <v>1099.3699999999999</v>
      </c>
      <c r="CZ46" s="56"/>
      <c r="DA46" s="128"/>
    </row>
    <row r="47" spans="1:105" s="264" customFormat="1" ht="15" customHeight="1" thickBot="1">
      <c r="A47" s="257"/>
      <c r="B47" s="258"/>
      <c r="C47" s="20"/>
      <c r="D47" s="259" t="s">
        <v>17</v>
      </c>
      <c r="E47" s="23"/>
      <c r="F47" s="168">
        <f>H47/G47</f>
        <v>15.407894736842104</v>
      </c>
      <c r="G47" s="183">
        <v>38</v>
      </c>
      <c r="H47" s="201">
        <v>585.5</v>
      </c>
      <c r="I47" s="172"/>
      <c r="J47" s="18"/>
      <c r="K47" s="168">
        <f>M47/L47</f>
        <v>15.407878787878786</v>
      </c>
      <c r="L47" s="183">
        <v>33</v>
      </c>
      <c r="M47" s="201">
        <v>508.46</v>
      </c>
      <c r="N47" s="172"/>
      <c r="O47" s="18"/>
      <c r="P47" s="168">
        <f>R47/Q47</f>
        <v>15.407906976744185</v>
      </c>
      <c r="Q47" s="183">
        <v>43</v>
      </c>
      <c r="R47" s="201">
        <v>662.54</v>
      </c>
      <c r="S47" s="172"/>
      <c r="T47" s="18"/>
      <c r="U47" s="209">
        <f>W47/V47</f>
        <v>15.408000000000001</v>
      </c>
      <c r="V47" s="183">
        <v>55</v>
      </c>
      <c r="W47" s="201">
        <v>847.44</v>
      </c>
      <c r="X47" s="172"/>
      <c r="Y47" s="172"/>
      <c r="Z47" s="3">
        <f>AB47/AA47</f>
        <v>15.408055555555556</v>
      </c>
      <c r="AA47" s="183">
        <v>36</v>
      </c>
      <c r="AB47" s="201">
        <v>554.69000000000005</v>
      </c>
      <c r="AC47" s="172"/>
      <c r="AD47" s="172"/>
      <c r="AE47" s="3">
        <f>AG47/AF47</f>
        <v>15.407999999999999</v>
      </c>
      <c r="AF47" s="183">
        <v>45</v>
      </c>
      <c r="AG47" s="201">
        <v>693.36</v>
      </c>
      <c r="AH47" s="172"/>
      <c r="AI47" s="172"/>
      <c r="AJ47" s="3">
        <f>AL47/AK47</f>
        <v>15.407999999999999</v>
      </c>
      <c r="AK47" s="183">
        <v>45</v>
      </c>
      <c r="AL47" s="201">
        <v>693.36</v>
      </c>
      <c r="AM47" s="172"/>
      <c r="AN47" s="172"/>
      <c r="AO47" s="3">
        <f>AQ47/AP47</f>
        <v>15.407959183673469</v>
      </c>
      <c r="AP47" s="183">
        <v>49</v>
      </c>
      <c r="AQ47" s="201">
        <v>754.99</v>
      </c>
      <c r="AR47" s="172"/>
      <c r="AS47" s="172"/>
      <c r="AT47" s="3">
        <f>AV47/AU47</f>
        <v>15.408076923076923</v>
      </c>
      <c r="AU47" s="183">
        <v>52</v>
      </c>
      <c r="AV47" s="201">
        <v>801.22</v>
      </c>
      <c r="AW47" s="172"/>
      <c r="AX47" s="172"/>
      <c r="AY47" s="3">
        <f>BA47/AZ47</f>
        <v>15.407906976744185</v>
      </c>
      <c r="AZ47" s="183">
        <v>43</v>
      </c>
      <c r="BA47" s="201">
        <v>662.54</v>
      </c>
      <c r="BB47" s="172"/>
      <c r="BC47" s="172"/>
      <c r="BD47" s="3">
        <f>BF47/BE47</f>
        <v>15.408085106382977</v>
      </c>
      <c r="BE47" s="183">
        <v>47</v>
      </c>
      <c r="BF47" s="201">
        <v>724.18</v>
      </c>
      <c r="BG47" s="172"/>
      <c r="BH47" s="172"/>
      <c r="BI47" s="3">
        <f>BK47/BJ47</f>
        <v>15.407931034482758</v>
      </c>
      <c r="BJ47" s="183">
        <v>29</v>
      </c>
      <c r="BK47" s="201">
        <v>446.83</v>
      </c>
      <c r="BL47" s="172"/>
      <c r="BM47" s="172"/>
      <c r="BN47" s="3">
        <f>BP47/BO47</f>
        <v>15.407999999999999</v>
      </c>
      <c r="BO47" s="183">
        <v>35</v>
      </c>
      <c r="BP47" s="201">
        <v>539.28</v>
      </c>
      <c r="BQ47" s="172"/>
      <c r="BR47" s="172"/>
      <c r="BS47" s="3">
        <f>BU47/BT47</f>
        <v>15.407894736842104</v>
      </c>
      <c r="BT47" s="185">
        <v>38</v>
      </c>
      <c r="BU47" s="186">
        <v>585.5</v>
      </c>
      <c r="BV47" s="177"/>
      <c r="BW47" s="172"/>
      <c r="BX47" s="3">
        <f>BZ47/BY47</f>
        <v>15.407894736842104</v>
      </c>
      <c r="BY47" s="185">
        <v>38</v>
      </c>
      <c r="BZ47" s="186">
        <v>585.5</v>
      </c>
      <c r="CA47" s="177"/>
      <c r="CB47" s="172"/>
      <c r="CC47" s="3">
        <f>CE47/CD47</f>
        <v>15.407894736842104</v>
      </c>
      <c r="CD47" s="185">
        <v>38</v>
      </c>
      <c r="CE47" s="186">
        <v>585.5</v>
      </c>
      <c r="CF47" s="177"/>
      <c r="CG47" s="172"/>
      <c r="CH47" s="3">
        <f>CJ47/CI47</f>
        <v>15.407894736842104</v>
      </c>
      <c r="CI47" s="185">
        <v>38</v>
      </c>
      <c r="CJ47" s="186">
        <v>585.5</v>
      </c>
      <c r="CK47" s="177"/>
      <c r="CL47" s="172"/>
      <c r="CM47" s="3">
        <f>CO47/CN47</f>
        <v>15.407894736842104</v>
      </c>
      <c r="CN47" s="185">
        <v>38</v>
      </c>
      <c r="CO47" s="186">
        <v>585.5</v>
      </c>
      <c r="CP47" s="177"/>
      <c r="CQ47" s="172"/>
      <c r="CR47" s="3">
        <f>CT47/CS47</f>
        <v>15.407894736842104</v>
      </c>
      <c r="CS47" s="185">
        <v>38</v>
      </c>
      <c r="CT47" s="186">
        <v>585.5</v>
      </c>
      <c r="CU47" s="177"/>
      <c r="CV47" s="172"/>
      <c r="CW47" s="3">
        <f>CY47/CX47</f>
        <v>15.407894736842104</v>
      </c>
      <c r="CX47" s="185">
        <v>38</v>
      </c>
      <c r="CY47" s="186">
        <v>585.5</v>
      </c>
      <c r="CZ47" s="177"/>
      <c r="DA47" s="172"/>
    </row>
    <row r="48" spans="1:105" s="249" customFormat="1" ht="15" customHeight="1">
      <c r="A48" s="265" t="s">
        <v>132</v>
      </c>
      <c r="B48" s="5" t="s">
        <v>42</v>
      </c>
      <c r="C48" s="6" t="s">
        <v>19</v>
      </c>
      <c r="D48" s="7" t="s">
        <v>10</v>
      </c>
      <c r="E48" s="4"/>
      <c r="F48" s="196"/>
      <c r="G48" s="197"/>
      <c r="H48" s="197"/>
      <c r="I48" s="197"/>
      <c r="J48" s="325"/>
      <c r="K48" s="196"/>
      <c r="L48" s="197"/>
      <c r="M48" s="197"/>
      <c r="N48" s="197"/>
      <c r="O48" s="325"/>
      <c r="P48" s="196"/>
      <c r="Q48" s="197"/>
      <c r="R48" s="197"/>
      <c r="S48" s="197"/>
      <c r="T48" s="325"/>
      <c r="U48" s="207"/>
      <c r="V48" s="197"/>
      <c r="W48" s="204">
        <v>1990</v>
      </c>
      <c r="X48" s="197"/>
      <c r="Y48" s="383">
        <f>SUM(W48:W52)*1.1</f>
        <v>100305.7858</v>
      </c>
      <c r="Z48" s="36"/>
      <c r="AA48" s="197"/>
      <c r="AB48" s="204">
        <v>1769</v>
      </c>
      <c r="AC48" s="197"/>
      <c r="AD48" s="383">
        <f>SUM(AB48:AB52)*1.1</f>
        <v>74879.439799999993</v>
      </c>
      <c r="AE48" s="36"/>
      <c r="AF48" s="197"/>
      <c r="AG48" s="204">
        <v>1990</v>
      </c>
      <c r="AH48" s="197"/>
      <c r="AI48" s="383">
        <f>AI49*1.1</f>
        <v>127966.27800000001</v>
      </c>
      <c r="AJ48" s="36"/>
      <c r="AK48" s="197"/>
      <c r="AL48" s="204">
        <v>1769</v>
      </c>
      <c r="AM48" s="197"/>
      <c r="AN48" s="383">
        <f>AN49*1.2</f>
        <v>45928.231199999995</v>
      </c>
      <c r="AO48" s="36"/>
      <c r="AP48" s="197"/>
      <c r="AQ48" s="204">
        <v>1548</v>
      </c>
      <c r="AR48" s="197"/>
      <c r="AS48" s="383">
        <f>SUM(AQ48:AQ52)*1.1</f>
        <v>180831.55200000003</v>
      </c>
      <c r="AT48" s="36"/>
      <c r="AU48" s="197"/>
      <c r="AV48" s="197"/>
      <c r="AW48" s="197"/>
      <c r="AX48" s="383">
        <f>SUM(AV48:AV52)*1.1</f>
        <v>154779.07500000001</v>
      </c>
      <c r="AY48" s="36"/>
      <c r="AZ48" s="197"/>
      <c r="BA48" s="197"/>
      <c r="BB48" s="197"/>
      <c r="BC48" s="383">
        <f>SUM(BA48:BA52)*1.1</f>
        <v>120349.82739999998</v>
      </c>
      <c r="BD48" s="36"/>
      <c r="BE48" s="197"/>
      <c r="BF48" s="197"/>
      <c r="BG48" s="197"/>
      <c r="BH48" s="383">
        <f>SUM(BF48:BF52)*1.1</f>
        <v>111317.50080000001</v>
      </c>
      <c r="BI48" s="36"/>
      <c r="BJ48" s="197"/>
      <c r="BK48" s="197"/>
      <c r="BL48" s="197"/>
      <c r="BM48" s="383">
        <f>SUM(BK48:BK52)*1.1</f>
        <v>135062.38680000004</v>
      </c>
      <c r="BN48" s="36"/>
      <c r="BO48" s="197"/>
      <c r="BP48" s="197"/>
      <c r="BQ48" s="197"/>
      <c r="BR48" s="383">
        <f>SUM(BP48:BP52)*1.1</f>
        <v>141526.08800000002</v>
      </c>
      <c r="BS48" s="36"/>
      <c r="BT48" s="197"/>
      <c r="BU48" s="197"/>
      <c r="BV48" s="197"/>
      <c r="BW48" s="383">
        <f>SUM(BU48:BU52)*1.1</f>
        <v>174851.22820000001</v>
      </c>
      <c r="BX48" s="36"/>
      <c r="BY48" s="197"/>
      <c r="BZ48" s="197"/>
      <c r="CA48" s="197"/>
      <c r="CB48" s="383">
        <f>SUM(BZ48:BZ52)*1.1</f>
        <v>55866.859400000001</v>
      </c>
      <c r="CC48" s="36"/>
      <c r="CD48" s="197"/>
      <c r="CE48" s="197"/>
      <c r="CF48" s="197"/>
      <c r="CG48" s="383">
        <f>SUM(CE48:CE52)*1.1</f>
        <v>55866.859400000001</v>
      </c>
      <c r="CH48" s="36"/>
      <c r="CI48" s="197"/>
      <c r="CJ48" s="197"/>
      <c r="CK48" s="197"/>
      <c r="CL48" s="383">
        <f>SUM(CJ48:CJ52)*1.1</f>
        <v>55866.859400000001</v>
      </c>
      <c r="CM48" s="36"/>
      <c r="CN48" s="197"/>
      <c r="CO48" s="197"/>
      <c r="CP48" s="197"/>
      <c r="CQ48" s="383">
        <f>SUM(CO48:CO52)*1.1</f>
        <v>55866.859400000001</v>
      </c>
      <c r="CR48" s="36"/>
      <c r="CS48" s="197"/>
      <c r="CT48" s="197"/>
      <c r="CU48" s="197"/>
      <c r="CV48" s="383">
        <f>SUM(CT48:CT52)*1.1</f>
        <v>55866.859400000001</v>
      </c>
      <c r="CW48" s="36"/>
      <c r="CX48" s="197"/>
      <c r="CY48" s="197"/>
      <c r="CZ48" s="197"/>
      <c r="DA48" s="383">
        <f>SUM(CY48:CY52)*1.1</f>
        <v>55866.859400000001</v>
      </c>
    </row>
    <row r="49" spans="1:105" s="227" customFormat="1" ht="15" customHeight="1">
      <c r="A49" s="275"/>
      <c r="B49" s="225"/>
      <c r="C49" s="217" t="s">
        <v>43</v>
      </c>
      <c r="D49" s="226" t="s">
        <v>11</v>
      </c>
      <c r="E49" s="39"/>
      <c r="F49" s="107"/>
      <c r="G49" s="67">
        <v>1</v>
      </c>
      <c r="H49" s="67">
        <v>6000</v>
      </c>
      <c r="I49" s="67"/>
      <c r="J49" s="67">
        <v>6000</v>
      </c>
      <c r="K49" s="107"/>
      <c r="L49" s="67">
        <v>1</v>
      </c>
      <c r="M49" s="67">
        <v>6000</v>
      </c>
      <c r="N49" s="67"/>
      <c r="O49" s="67">
        <v>6000</v>
      </c>
      <c r="P49" s="107"/>
      <c r="Q49" s="67">
        <v>1</v>
      </c>
      <c r="R49" s="67">
        <v>6000</v>
      </c>
      <c r="S49" s="67">
        <v>6000</v>
      </c>
      <c r="T49" s="40"/>
      <c r="U49" s="118"/>
      <c r="V49" s="67">
        <v>1</v>
      </c>
      <c r="W49" s="67">
        <v>6000</v>
      </c>
      <c r="X49" s="67"/>
      <c r="Y49" s="403">
        <f>SUM(W48:W52)*1</f>
        <v>91187.077999999994</v>
      </c>
      <c r="Z49" s="95"/>
      <c r="AA49" s="67">
        <v>1</v>
      </c>
      <c r="AB49" s="67">
        <v>6000</v>
      </c>
      <c r="AC49" s="67"/>
      <c r="AD49" s="403">
        <f>SUM(AB48:AB52)*1</f>
        <v>68072.217999999993</v>
      </c>
      <c r="AE49" s="95"/>
      <c r="AF49" s="67">
        <v>0</v>
      </c>
      <c r="AG49" s="67">
        <v>0</v>
      </c>
      <c r="AH49" s="67"/>
      <c r="AI49" s="403">
        <f>SUM(AG51:AG52)+AH50+AG48*1</f>
        <v>116332.98</v>
      </c>
      <c r="AJ49" s="95"/>
      <c r="AK49" s="67">
        <v>1</v>
      </c>
      <c r="AL49" s="67">
        <v>0</v>
      </c>
      <c r="AM49" s="67"/>
      <c r="AN49" s="403">
        <f>SUM(AL51:AL52)+AM50+AL48*1</f>
        <v>38273.525999999998</v>
      </c>
      <c r="AO49" s="95"/>
      <c r="AP49" s="67">
        <v>1</v>
      </c>
      <c r="AQ49" s="67">
        <v>0</v>
      </c>
      <c r="AR49" s="67"/>
      <c r="AS49" s="403">
        <f>SUM(AQ48:AQ52)*1</f>
        <v>164392.32000000001</v>
      </c>
      <c r="AT49" s="95"/>
      <c r="AU49" s="67">
        <v>1</v>
      </c>
      <c r="AV49" s="67">
        <v>6000</v>
      </c>
      <c r="AW49" s="67"/>
      <c r="AX49" s="403">
        <f>SUM(AV48:AV52)*1</f>
        <v>140708.25</v>
      </c>
      <c r="AY49" s="95"/>
      <c r="AZ49" s="67">
        <v>1</v>
      </c>
      <c r="BA49" s="67">
        <v>6000</v>
      </c>
      <c r="BB49" s="67"/>
      <c r="BC49" s="403">
        <f>SUM(BA48:BA52)*1</f>
        <v>109408.93399999998</v>
      </c>
      <c r="BD49" s="95"/>
      <c r="BE49" s="67">
        <v>1</v>
      </c>
      <c r="BF49" s="67">
        <v>6000</v>
      </c>
      <c r="BG49" s="67"/>
      <c r="BH49" s="403">
        <f>SUM(BF48:BF52)*1</f>
        <v>101197.728</v>
      </c>
      <c r="BI49" s="95"/>
      <c r="BJ49" s="67">
        <v>1</v>
      </c>
      <c r="BK49" s="67">
        <v>6000</v>
      </c>
      <c r="BL49" s="67"/>
      <c r="BM49" s="403">
        <f>SUM(BK48:BK52)*1</f>
        <v>122783.98800000001</v>
      </c>
      <c r="BN49" s="95"/>
      <c r="BO49" s="67">
        <v>1</v>
      </c>
      <c r="BP49" s="67">
        <v>6000</v>
      </c>
      <c r="BQ49" s="67"/>
      <c r="BR49" s="403">
        <f>SUM(BP48:BP52)*1</f>
        <v>128660.08</v>
      </c>
      <c r="BS49" s="95"/>
      <c r="BT49" s="67">
        <v>1</v>
      </c>
      <c r="BU49" s="67">
        <v>6000</v>
      </c>
      <c r="BV49" s="67"/>
      <c r="BW49" s="403">
        <f>SUM(BU48:BU52)*1</f>
        <v>158955.66200000001</v>
      </c>
      <c r="BX49" s="95"/>
      <c r="BY49" s="67">
        <v>1</v>
      </c>
      <c r="BZ49" s="67">
        <v>6000</v>
      </c>
      <c r="CA49" s="67"/>
      <c r="CB49" s="403">
        <f>SUM(BZ48:BZ52)*1</f>
        <v>50788.053999999996</v>
      </c>
      <c r="CC49" s="95"/>
      <c r="CD49" s="67">
        <v>1</v>
      </c>
      <c r="CE49" s="67">
        <v>6000</v>
      </c>
      <c r="CF49" s="67"/>
      <c r="CG49" s="403">
        <f>SUM(CE48:CE52)*1</f>
        <v>50788.053999999996</v>
      </c>
      <c r="CH49" s="95"/>
      <c r="CI49" s="67">
        <v>1</v>
      </c>
      <c r="CJ49" s="67">
        <v>6000</v>
      </c>
      <c r="CK49" s="67"/>
      <c r="CL49" s="403">
        <f>SUM(CJ48:CJ52)*1</f>
        <v>50788.053999999996</v>
      </c>
      <c r="CM49" s="95"/>
      <c r="CN49" s="67">
        <v>1</v>
      </c>
      <c r="CO49" s="67">
        <v>6000</v>
      </c>
      <c r="CP49" s="67"/>
      <c r="CQ49" s="403">
        <f>SUM(CO48:CO52)*1</f>
        <v>50788.053999999996</v>
      </c>
      <c r="CR49" s="95"/>
      <c r="CS49" s="67">
        <v>1</v>
      </c>
      <c r="CT49" s="67">
        <v>6000</v>
      </c>
      <c r="CU49" s="67"/>
      <c r="CV49" s="403">
        <f>SUM(CT48:CT52)*1</f>
        <v>50788.053999999996</v>
      </c>
      <c r="CW49" s="95"/>
      <c r="CX49" s="67">
        <v>1</v>
      </c>
      <c r="CY49" s="67">
        <v>6000</v>
      </c>
      <c r="CZ49" s="67"/>
      <c r="DA49" s="403">
        <f>SUM(CY48:CY52)*1</f>
        <v>50788.053999999996</v>
      </c>
    </row>
    <row r="50" spans="1:105" ht="15" customHeight="1">
      <c r="A50" s="256"/>
      <c r="B50" s="215">
        <v>41916045</v>
      </c>
      <c r="C50" s="45" t="s">
        <v>195</v>
      </c>
      <c r="D50" s="216" t="s">
        <v>13</v>
      </c>
      <c r="E50" s="22"/>
      <c r="F50" s="104">
        <f>H50/G50</f>
        <v>5.3077197390674069</v>
      </c>
      <c r="G50" s="69">
        <v>8278</v>
      </c>
      <c r="H50" s="69">
        <v>43937.303999999996</v>
      </c>
      <c r="I50" s="128">
        <v>30512.02</v>
      </c>
      <c r="J50" s="136"/>
      <c r="K50" s="104">
        <f>M50/L50</f>
        <v>5.3685483584738236</v>
      </c>
      <c r="L50" s="69">
        <v>13524</v>
      </c>
      <c r="M50" s="69">
        <v>72604.247999999992</v>
      </c>
      <c r="N50" s="128">
        <v>72604.25</v>
      </c>
      <c r="O50" s="136"/>
      <c r="P50" s="104">
        <f>R50/Q50</f>
        <v>4.9663922688337356</v>
      </c>
      <c r="Q50" s="69">
        <v>13659</v>
      </c>
      <c r="R50" s="69">
        <v>67835.95199999999</v>
      </c>
      <c r="S50" s="128">
        <v>67835.95199999999</v>
      </c>
      <c r="T50" s="136"/>
      <c r="U50" s="115">
        <f>W50/V50</f>
        <v>5.2077242605052687</v>
      </c>
      <c r="V50" s="69">
        <v>15754</v>
      </c>
      <c r="W50" s="69">
        <v>82042.487999999998</v>
      </c>
      <c r="X50" s="128">
        <v>82042.487999999998</v>
      </c>
      <c r="Y50" s="128"/>
      <c r="Z50" s="92">
        <f>AB50/AA50</f>
        <v>4.6829513462446855</v>
      </c>
      <c r="AA50" s="69">
        <v>12702</v>
      </c>
      <c r="AB50" s="69">
        <v>59482.847999999998</v>
      </c>
      <c r="AC50" s="128">
        <v>65912.543999999994</v>
      </c>
      <c r="AD50" s="128"/>
      <c r="AE50" s="92">
        <f>AG50/AF50</f>
        <v>4.0166201978671463</v>
      </c>
      <c r="AF50" s="410">
        <v>15566</v>
      </c>
      <c r="AG50" s="410">
        <v>62522.71</v>
      </c>
      <c r="AH50" s="128">
        <f>34690.81+79652.17</f>
        <v>114342.98</v>
      </c>
      <c r="AI50" s="128"/>
      <c r="AJ50" s="92">
        <f>AL50/AK50</f>
        <v>4.9792216114339558</v>
      </c>
      <c r="AK50" s="410">
        <v>6367</v>
      </c>
      <c r="AL50" s="410">
        <v>31702.703999999998</v>
      </c>
      <c r="AM50" s="128">
        <v>35653.775999999998</v>
      </c>
      <c r="AN50" s="128"/>
      <c r="AO50" s="92">
        <f>AQ50/AP50</f>
        <v>5.9466958808063106</v>
      </c>
      <c r="AP50" s="410">
        <v>27384</v>
      </c>
      <c r="AQ50" s="410">
        <v>162844.32</v>
      </c>
      <c r="AR50" s="128">
        <v>183193.59600000002</v>
      </c>
      <c r="AS50" s="56"/>
      <c r="AT50" s="92">
        <f>AV50/AU50</f>
        <v>6.6107614914184252</v>
      </c>
      <c r="AU50" s="410">
        <v>20276</v>
      </c>
      <c r="AV50" s="410">
        <v>134039.79999999999</v>
      </c>
      <c r="AW50" s="56">
        <v>30512.02</v>
      </c>
      <c r="AX50" s="128"/>
      <c r="AY50" s="92">
        <f>BA50/AZ50</f>
        <v>6.3494520734194415</v>
      </c>
      <c r="AZ50" s="410">
        <v>16181</v>
      </c>
      <c r="BA50" s="410">
        <v>102740.48399999998</v>
      </c>
      <c r="BB50" s="128" t="s">
        <v>349</v>
      </c>
      <c r="BC50" s="128"/>
      <c r="BD50" s="92">
        <f>BF50/BE50</f>
        <v>6.362844611866004</v>
      </c>
      <c r="BE50" s="410">
        <v>14866</v>
      </c>
      <c r="BF50" s="410">
        <v>94590.04800000001</v>
      </c>
      <c r="BG50" s="128" t="s">
        <v>349</v>
      </c>
      <c r="BH50" s="128"/>
      <c r="BI50" s="92">
        <f>BK50/BJ50</f>
        <v>6.7715879537761179</v>
      </c>
      <c r="BJ50" s="410">
        <f>14445+2689</f>
        <v>17134</v>
      </c>
      <c r="BK50" s="410">
        <v>116024.38800000001</v>
      </c>
      <c r="BL50" s="128">
        <v>79855.555999999997</v>
      </c>
      <c r="BM50" s="128"/>
      <c r="BN50" s="92">
        <f>BP50/BO50</f>
        <v>6.3746260069044887</v>
      </c>
      <c r="BO50" s="410">
        <v>19118</v>
      </c>
      <c r="BP50" s="410">
        <v>121870.1</v>
      </c>
      <c r="BQ50" s="56">
        <v>30512.02</v>
      </c>
      <c r="BR50" s="128"/>
      <c r="BS50" s="92">
        <f>BU50/BT50</f>
        <v>6.0268803229381032</v>
      </c>
      <c r="BT50" s="410">
        <v>25268</v>
      </c>
      <c r="BU50" s="410">
        <v>152287.212</v>
      </c>
      <c r="BV50" s="128" t="s">
        <v>429</v>
      </c>
      <c r="BW50" s="128"/>
      <c r="BX50" s="92">
        <f>BZ50/BY50</f>
        <v>5.3077197390674069</v>
      </c>
      <c r="BY50" s="58">
        <v>8278</v>
      </c>
      <c r="BZ50" s="58">
        <v>43937.303999999996</v>
      </c>
      <c r="CA50" s="128" t="s">
        <v>437</v>
      </c>
      <c r="CB50" s="128"/>
      <c r="CC50" s="92">
        <f>CE50/CD50</f>
        <v>5.3077197390674069</v>
      </c>
      <c r="CD50" s="58">
        <v>8278</v>
      </c>
      <c r="CE50" s="58">
        <v>43937.303999999996</v>
      </c>
      <c r="CF50" s="56">
        <v>30512.02</v>
      </c>
      <c r="CG50" s="128"/>
      <c r="CH50" s="92">
        <f>CJ50/CI50</f>
        <v>5.3077197390674069</v>
      </c>
      <c r="CI50" s="58">
        <v>8278</v>
      </c>
      <c r="CJ50" s="58">
        <v>43937.303999999996</v>
      </c>
      <c r="CK50" s="56">
        <v>30512.02</v>
      </c>
      <c r="CL50" s="128"/>
      <c r="CM50" s="92">
        <f>CO50/CN50</f>
        <v>5.3077197390674069</v>
      </c>
      <c r="CN50" s="58">
        <v>8278</v>
      </c>
      <c r="CO50" s="58">
        <v>43937.303999999996</v>
      </c>
      <c r="CP50" s="56">
        <v>30512.02</v>
      </c>
      <c r="CQ50" s="128"/>
      <c r="CR50" s="92">
        <f>CT50/CS50</f>
        <v>5.3077197390674069</v>
      </c>
      <c r="CS50" s="58">
        <v>8278</v>
      </c>
      <c r="CT50" s="58">
        <v>43937.303999999996</v>
      </c>
      <c r="CU50" s="56">
        <v>30512.02</v>
      </c>
      <c r="CV50" s="128"/>
      <c r="CW50" s="92">
        <f>CY50/CX50</f>
        <v>5.3077197390674069</v>
      </c>
      <c r="CX50" s="58">
        <v>8278</v>
      </c>
      <c r="CY50" s="58">
        <v>43937.303999999996</v>
      </c>
      <c r="CZ50" s="56">
        <v>30512.02</v>
      </c>
      <c r="DA50" s="128"/>
    </row>
    <row r="51" spans="1:105" s="336" customFormat="1" ht="15" customHeight="1">
      <c r="A51" s="296"/>
      <c r="B51" s="234">
        <v>41946011</v>
      </c>
      <c r="C51" s="220" t="s">
        <v>200</v>
      </c>
      <c r="D51" s="231" t="s">
        <v>15</v>
      </c>
      <c r="E51" s="29"/>
      <c r="F51" s="109"/>
      <c r="G51" s="56">
        <v>0</v>
      </c>
      <c r="H51" s="58">
        <v>0</v>
      </c>
      <c r="I51" s="56"/>
      <c r="J51" s="9"/>
      <c r="K51" s="109"/>
      <c r="L51" s="56"/>
      <c r="M51" s="58"/>
      <c r="N51" s="56"/>
      <c r="O51" s="9"/>
      <c r="P51" s="109"/>
      <c r="Q51" s="56"/>
      <c r="R51" s="58"/>
      <c r="S51" s="56"/>
      <c r="T51" s="9"/>
      <c r="U51" s="120"/>
      <c r="V51" s="56"/>
      <c r="W51" s="58"/>
      <c r="X51" s="56"/>
      <c r="Y51" s="56"/>
      <c r="Z51" s="97"/>
      <c r="AA51" s="56"/>
      <c r="AB51" s="58"/>
      <c r="AC51" s="56"/>
      <c r="AD51" s="56"/>
      <c r="AE51" s="97"/>
      <c r="AF51" s="56"/>
      <c r="AG51" s="58"/>
      <c r="AH51" s="56"/>
      <c r="AI51" s="56"/>
      <c r="AJ51" s="97"/>
      <c r="AK51" s="56"/>
      <c r="AL51" s="58"/>
      <c r="AM51" s="56"/>
      <c r="AN51" s="56"/>
      <c r="AO51" s="97"/>
      <c r="AP51" s="56"/>
      <c r="AQ51" s="58"/>
      <c r="AR51" s="56"/>
      <c r="AS51" s="56"/>
      <c r="AT51" s="97"/>
      <c r="AU51" s="56"/>
      <c r="AV51" s="58"/>
      <c r="AW51" s="56"/>
      <c r="AX51" s="56"/>
      <c r="AY51" s="97"/>
      <c r="AZ51" s="56"/>
      <c r="BA51" s="58"/>
      <c r="BB51" s="56"/>
      <c r="BC51" s="56"/>
      <c r="BD51" s="97"/>
      <c r="BE51" s="56"/>
      <c r="BF51" s="58"/>
      <c r="BG51" s="56"/>
      <c r="BH51" s="56"/>
      <c r="BI51" s="97"/>
      <c r="BJ51" s="56"/>
      <c r="BK51" s="58"/>
      <c r="BL51" s="56"/>
      <c r="BM51" s="56"/>
      <c r="BN51" s="97"/>
      <c r="BO51" s="56"/>
      <c r="BP51" s="58"/>
      <c r="BQ51" s="56"/>
      <c r="BR51" s="56"/>
      <c r="BS51" s="97"/>
      <c r="BT51" s="56"/>
      <c r="BU51" s="58"/>
      <c r="BV51" s="56"/>
      <c r="BW51" s="56"/>
      <c r="BX51" s="97"/>
      <c r="BY51" s="56"/>
      <c r="BZ51" s="58"/>
      <c r="CA51" s="56"/>
      <c r="CB51" s="56"/>
      <c r="CC51" s="97"/>
      <c r="CD51" s="56"/>
      <c r="CE51" s="58"/>
      <c r="CF51" s="56"/>
      <c r="CG51" s="56"/>
      <c r="CH51" s="97"/>
      <c r="CI51" s="56"/>
      <c r="CJ51" s="58"/>
      <c r="CK51" s="56"/>
      <c r="CL51" s="56"/>
      <c r="CM51" s="97"/>
      <c r="CN51" s="56"/>
      <c r="CO51" s="58"/>
      <c r="CP51" s="56"/>
      <c r="CQ51" s="56"/>
      <c r="CR51" s="97"/>
      <c r="CS51" s="56"/>
      <c r="CT51" s="58"/>
      <c r="CU51" s="56"/>
      <c r="CV51" s="56"/>
      <c r="CW51" s="97"/>
      <c r="CX51" s="56"/>
      <c r="CY51" s="58"/>
      <c r="CZ51" s="56"/>
      <c r="DA51" s="56"/>
    </row>
    <row r="52" spans="1:105" s="264" customFormat="1" ht="29.25" customHeight="1" thickBot="1">
      <c r="A52" s="257" t="s">
        <v>357</v>
      </c>
      <c r="B52" s="365" t="s">
        <v>219</v>
      </c>
      <c r="C52" s="20" t="s">
        <v>176</v>
      </c>
      <c r="D52" s="259" t="s">
        <v>17</v>
      </c>
      <c r="E52" s="23"/>
      <c r="F52" s="168">
        <f>H52/G52</f>
        <v>30.383928571428573</v>
      </c>
      <c r="G52" s="391">
        <v>28</v>
      </c>
      <c r="H52" s="172">
        <v>850.75</v>
      </c>
      <c r="I52" s="172"/>
      <c r="J52" s="18"/>
      <c r="K52" s="168">
        <f>M52/L52</f>
        <v>30.384090909090911</v>
      </c>
      <c r="L52" s="391">
        <v>22</v>
      </c>
      <c r="M52" s="172">
        <v>668.45</v>
      </c>
      <c r="N52" s="172"/>
      <c r="O52" s="18"/>
      <c r="P52" s="168">
        <f>R52/Q52</f>
        <v>30.383928571428573</v>
      </c>
      <c r="Q52" s="184">
        <v>28</v>
      </c>
      <c r="R52" s="177">
        <v>850.75</v>
      </c>
      <c r="S52" s="177"/>
      <c r="T52" s="10"/>
      <c r="U52" s="209">
        <f>W52/V52</f>
        <v>30.383947368421051</v>
      </c>
      <c r="V52" s="391">
        <v>38</v>
      </c>
      <c r="W52" s="392">
        <v>1154.5899999999999</v>
      </c>
      <c r="X52" s="172"/>
      <c r="Y52" s="172"/>
      <c r="Z52" s="3">
        <f>AB52/AA52</f>
        <v>30.384074074074075</v>
      </c>
      <c r="AA52" s="391">
        <v>27</v>
      </c>
      <c r="AB52" s="172">
        <v>820.37</v>
      </c>
      <c r="AC52" s="172"/>
      <c r="AD52" s="172"/>
      <c r="AE52" s="3" t="e">
        <f>AG52/AF52</f>
        <v>#VALUE!</v>
      </c>
      <c r="AF52" s="391">
        <v>33</v>
      </c>
      <c r="AG52" s="172" t="s">
        <v>238</v>
      </c>
      <c r="AH52" s="172"/>
      <c r="AI52" s="172"/>
      <c r="AJ52" s="3">
        <f>AL52/AK52</f>
        <v>30.383928571428573</v>
      </c>
      <c r="AK52" s="184">
        <v>28</v>
      </c>
      <c r="AL52" s="177">
        <v>850.75</v>
      </c>
      <c r="AM52" s="177"/>
      <c r="AN52" s="172"/>
      <c r="AO52" s="3" t="e">
        <f>AQ52/AP52</f>
        <v>#VALUE!</v>
      </c>
      <c r="AP52" s="391">
        <v>45</v>
      </c>
      <c r="AQ52" s="506" t="s">
        <v>326</v>
      </c>
      <c r="AR52" s="172"/>
      <c r="AS52" s="172"/>
      <c r="AT52" s="3">
        <f>AV52/AU52</f>
        <v>30.384090909090911</v>
      </c>
      <c r="AU52" s="391">
        <v>22</v>
      </c>
      <c r="AV52" s="172">
        <v>668.45</v>
      </c>
      <c r="AW52" s="172"/>
      <c r="AX52" s="172"/>
      <c r="AY52" s="3">
        <f>BA52/AZ52</f>
        <v>30.384090909090911</v>
      </c>
      <c r="AZ52" s="391">
        <v>22</v>
      </c>
      <c r="BA52" s="172">
        <v>668.45</v>
      </c>
      <c r="BB52" s="172"/>
      <c r="BC52" s="172"/>
      <c r="BD52" s="3">
        <f>BF52/BE52</f>
        <v>30.383999999999997</v>
      </c>
      <c r="BE52" s="391">
        <v>20</v>
      </c>
      <c r="BF52" s="172">
        <v>607.67999999999995</v>
      </c>
      <c r="BG52" s="172"/>
      <c r="BH52" s="172"/>
      <c r="BI52" s="3">
        <f>BK52/BJ52</f>
        <v>30.384</v>
      </c>
      <c r="BJ52" s="391">
        <v>25</v>
      </c>
      <c r="BK52" s="392">
        <v>759.6</v>
      </c>
      <c r="BL52" s="172"/>
      <c r="BM52" s="172"/>
      <c r="BN52" s="3">
        <f>BP52/BO52</f>
        <v>30.383846153846154</v>
      </c>
      <c r="BO52" s="391">
        <v>26</v>
      </c>
      <c r="BP52" s="172">
        <v>789.98</v>
      </c>
      <c r="BQ52" s="172"/>
      <c r="BR52" s="172"/>
      <c r="BS52" s="3">
        <f>BU52/BT52</f>
        <v>30.384090909090911</v>
      </c>
      <c r="BT52" s="391">
        <v>22</v>
      </c>
      <c r="BU52" s="172">
        <v>668.45</v>
      </c>
      <c r="BV52" s="172"/>
      <c r="BW52" s="172"/>
      <c r="BX52" s="3">
        <f>BZ52/BY52</f>
        <v>30.383928571428573</v>
      </c>
      <c r="BY52" s="184">
        <v>28</v>
      </c>
      <c r="BZ52" s="177">
        <v>850.75</v>
      </c>
      <c r="CA52" s="177"/>
      <c r="CB52" s="172"/>
      <c r="CC52" s="3">
        <f>CE52/CD52</f>
        <v>30.383928571428573</v>
      </c>
      <c r="CD52" s="184">
        <v>28</v>
      </c>
      <c r="CE52" s="177">
        <v>850.75</v>
      </c>
      <c r="CF52" s="177"/>
      <c r="CG52" s="172"/>
      <c r="CH52" s="3">
        <f>CJ52/CI52</f>
        <v>30.383928571428573</v>
      </c>
      <c r="CI52" s="184">
        <v>28</v>
      </c>
      <c r="CJ52" s="177">
        <v>850.75</v>
      </c>
      <c r="CK52" s="177"/>
      <c r="CL52" s="172"/>
      <c r="CM52" s="3">
        <f>CO52/CN52</f>
        <v>30.383928571428573</v>
      </c>
      <c r="CN52" s="184">
        <v>28</v>
      </c>
      <c r="CO52" s="177">
        <v>850.75</v>
      </c>
      <c r="CP52" s="177"/>
      <c r="CQ52" s="172"/>
      <c r="CR52" s="3">
        <f>CT52/CS52</f>
        <v>30.383928571428573</v>
      </c>
      <c r="CS52" s="184">
        <v>28</v>
      </c>
      <c r="CT52" s="177">
        <v>850.75</v>
      </c>
      <c r="CU52" s="177"/>
      <c r="CV52" s="172"/>
      <c r="CW52" s="3">
        <f>CY52/CX52</f>
        <v>30.383928571428573</v>
      </c>
      <c r="CX52" s="184">
        <v>28</v>
      </c>
      <c r="CY52" s="177">
        <v>850.75</v>
      </c>
      <c r="CZ52" s="177"/>
      <c r="DA52" s="172"/>
    </row>
    <row r="53" spans="1:105" s="390" customFormat="1" ht="15" customHeight="1">
      <c r="A53" s="295" t="s">
        <v>302</v>
      </c>
      <c r="B53" s="294" t="s">
        <v>224</v>
      </c>
      <c r="C53" s="6" t="s">
        <v>25</v>
      </c>
      <c r="D53" s="7" t="s">
        <v>10</v>
      </c>
      <c r="E53" s="279"/>
      <c r="F53" s="386"/>
      <c r="G53" s="200"/>
      <c r="H53" s="197"/>
      <c r="I53" s="38"/>
      <c r="J53" s="38"/>
      <c r="K53" s="386"/>
      <c r="L53" s="387"/>
      <c r="M53" s="197"/>
      <c r="N53" s="197"/>
      <c r="O53" s="197"/>
      <c r="P53" s="386"/>
      <c r="Q53" s="387"/>
      <c r="R53" s="197"/>
      <c r="S53" s="197"/>
      <c r="T53" s="197"/>
      <c r="U53" s="386"/>
      <c r="V53" s="387"/>
      <c r="W53" s="204">
        <v>506</v>
      </c>
      <c r="X53" s="197"/>
      <c r="Y53" s="388">
        <f>SUM(W53+W55)*1.1</f>
        <v>115524.2</v>
      </c>
      <c r="Z53" s="386"/>
      <c r="AA53" s="387"/>
      <c r="AB53" s="204">
        <v>1012</v>
      </c>
      <c r="AC53" s="197"/>
      <c r="AD53" s="388">
        <f>SUM(AB53+AB54)*1.1</f>
        <v>77490.736400000009</v>
      </c>
      <c r="AE53" s="386"/>
      <c r="AF53" s="387"/>
      <c r="AG53" s="204">
        <v>2277</v>
      </c>
      <c r="AH53" s="197"/>
      <c r="AI53" s="388">
        <f>AI54*1.1</f>
        <v>86390.248999999996</v>
      </c>
      <c r="AJ53" s="386"/>
      <c r="AK53" s="387"/>
      <c r="AL53" s="204">
        <v>1771</v>
      </c>
      <c r="AM53" s="197"/>
      <c r="AN53" s="388">
        <f>AN54*1.2</f>
        <v>98743.595999999976</v>
      </c>
      <c r="AO53" s="386"/>
      <c r="AP53" s="387"/>
      <c r="AQ53" s="197">
        <v>2277</v>
      </c>
      <c r="AR53" s="197"/>
      <c r="AS53" s="388">
        <f>AS54*1.2</f>
        <v>147933.94799999997</v>
      </c>
      <c r="AT53" s="386"/>
      <c r="AU53" s="387"/>
      <c r="AV53" s="197"/>
      <c r="AW53" s="197"/>
      <c r="AX53" s="388">
        <f>SUM(AV53+AV55)*1.1</f>
        <v>0</v>
      </c>
      <c r="AY53" s="386"/>
      <c r="AZ53" s="387"/>
      <c r="BA53" s="197"/>
      <c r="BB53" s="197"/>
      <c r="BC53" s="388">
        <f>SUM(BA53+BA55)*1.1</f>
        <v>0</v>
      </c>
      <c r="BD53" s="386"/>
      <c r="BE53" s="387"/>
      <c r="BF53" s="197"/>
      <c r="BG53" s="197"/>
      <c r="BH53" s="388">
        <f>SUM(BF53+BF55)*1.1</f>
        <v>0</v>
      </c>
      <c r="BI53" s="386"/>
      <c r="BJ53" s="387"/>
      <c r="BK53" s="197"/>
      <c r="BL53" s="197"/>
      <c r="BM53" s="388">
        <f>SUM(BK53+BK55)*1.1</f>
        <v>0</v>
      </c>
      <c r="BN53" s="386"/>
      <c r="BO53" s="387"/>
      <c r="BP53" s="197"/>
      <c r="BQ53" s="197"/>
      <c r="BR53" s="388">
        <f>SUM(BP53+BP55)*1.1</f>
        <v>0</v>
      </c>
      <c r="BS53" s="386"/>
      <c r="BT53" s="387"/>
      <c r="BU53" s="197"/>
      <c r="BV53" s="197"/>
      <c r="BW53" s="388">
        <f>SUM(BU53+BU55)*1.1</f>
        <v>0</v>
      </c>
      <c r="BX53" s="386"/>
      <c r="BY53" s="387"/>
      <c r="BZ53" s="197"/>
      <c r="CA53" s="197"/>
      <c r="CB53" s="388">
        <f>SUM(BZ53+BZ55)*1.1</f>
        <v>0</v>
      </c>
      <c r="CC53" s="386"/>
      <c r="CD53" s="387"/>
      <c r="CE53" s="197"/>
      <c r="CF53" s="197"/>
      <c r="CG53" s="388">
        <f>SUM(CE53+CE55)*1.1</f>
        <v>0</v>
      </c>
      <c r="CH53" s="386"/>
      <c r="CI53" s="387"/>
      <c r="CJ53" s="197"/>
      <c r="CK53" s="197"/>
      <c r="CL53" s="388">
        <f>SUM(CJ53+CJ55)*1.1</f>
        <v>0</v>
      </c>
      <c r="CM53" s="386"/>
      <c r="CN53" s="387"/>
      <c r="CO53" s="197"/>
      <c r="CP53" s="197"/>
      <c r="CQ53" s="388">
        <f>SUM(CO53+CO55)*1.1</f>
        <v>0</v>
      </c>
      <c r="CR53" s="386"/>
      <c r="CS53" s="387"/>
      <c r="CT53" s="197"/>
      <c r="CU53" s="197"/>
      <c r="CV53" s="388">
        <f>SUM(CT53+CT55)*1.1</f>
        <v>0</v>
      </c>
      <c r="CW53" s="386"/>
      <c r="CX53" s="387"/>
      <c r="CY53" s="197"/>
      <c r="CZ53" s="197"/>
      <c r="DA53" s="388">
        <f>SUM(CY53+CY55)*1.1</f>
        <v>0</v>
      </c>
    </row>
    <row r="54" spans="1:105" s="336" customFormat="1" ht="15" customHeight="1">
      <c r="A54" s="256"/>
      <c r="B54" s="234">
        <v>41916045</v>
      </c>
      <c r="C54" s="220" t="s">
        <v>195</v>
      </c>
      <c r="D54" s="231" t="s">
        <v>13</v>
      </c>
      <c r="E54" s="231"/>
      <c r="F54" s="98"/>
      <c r="G54" s="57"/>
      <c r="H54" s="56"/>
      <c r="I54" s="44"/>
      <c r="J54" s="44"/>
      <c r="K54" s="98"/>
      <c r="L54" s="349"/>
      <c r="M54" s="56"/>
      <c r="N54" s="56"/>
      <c r="O54" s="56"/>
      <c r="P54" s="98">
        <f>R54/Q54</f>
        <v>5.0443882352941172</v>
      </c>
      <c r="Q54" s="370">
        <v>850</v>
      </c>
      <c r="R54" s="128">
        <v>4287.7299999999996</v>
      </c>
      <c r="S54" s="128"/>
      <c r="T54" s="128"/>
      <c r="U54" s="98">
        <f>W54/V54</f>
        <v>5.2257608318890814</v>
      </c>
      <c r="V54" s="370">
        <v>5770</v>
      </c>
      <c r="W54" s="128">
        <v>30152.639999999999</v>
      </c>
      <c r="X54" s="128">
        <f>154432.8+77216.4</f>
        <v>231649.19999999998</v>
      </c>
      <c r="Y54" s="403">
        <f>SUM(W53:W57)*1</f>
        <v>135174.63999999998</v>
      </c>
      <c r="Z54" s="98">
        <f>AB54/AA54</f>
        <v>4.6829516422742294</v>
      </c>
      <c r="AA54" s="370">
        <v>14827</v>
      </c>
      <c r="AB54" s="128">
        <v>69434.123999999996</v>
      </c>
      <c r="AC54" s="128" t="s">
        <v>225</v>
      </c>
      <c r="AD54" s="403">
        <f>SUM(AB53:AB57)*1</f>
        <v>72647.41399999999</v>
      </c>
      <c r="AE54" s="98">
        <f>AG54/AF54</f>
        <v>4.8199429784652708</v>
      </c>
      <c r="AF54" s="409">
        <v>32970</v>
      </c>
      <c r="AG54" s="408">
        <v>158913.51999999999</v>
      </c>
      <c r="AH54" s="128">
        <v>74058.3</v>
      </c>
      <c r="AI54" s="403">
        <f>SUM(AG55:AG57)+AH54+AG53*1</f>
        <v>78536.59</v>
      </c>
      <c r="AJ54" s="98">
        <f>AL54/AK54</f>
        <v>4.9792201691199498</v>
      </c>
      <c r="AK54" s="409">
        <v>31930</v>
      </c>
      <c r="AL54" s="408">
        <f>1.2*132488.75</f>
        <v>158986.5</v>
      </c>
      <c r="AM54" s="128">
        <f>1.2*65261.7</f>
        <v>78314.039999999994</v>
      </c>
      <c r="AN54" s="403">
        <f>SUM(AL55:AL57)+AM54+AL53*1</f>
        <v>82286.329999999987</v>
      </c>
      <c r="AO54" s="98">
        <f>AQ54/AP54</f>
        <v>5.94</v>
      </c>
      <c r="AP54" s="349">
        <v>20000</v>
      </c>
      <c r="AQ54" s="56">
        <v>118800</v>
      </c>
      <c r="AR54" s="128" t="s">
        <v>331</v>
      </c>
      <c r="AS54" s="403">
        <f>SUM(AQ55:AQ57)+AQ54+AQ53*1</f>
        <v>123278.29</v>
      </c>
      <c r="AT54" s="98">
        <f>AV54/AU54</f>
        <v>6.6757121052631581</v>
      </c>
      <c r="AU54" s="519">
        <v>22800</v>
      </c>
      <c r="AV54" s="408">
        <f>1.2*(125604.52+1234.01)</f>
        <v>152206.236</v>
      </c>
      <c r="AW54" s="56"/>
      <c r="AX54" s="403">
        <f>SUM(AV53:AV57)*1</f>
        <v>152206.236</v>
      </c>
      <c r="AY54" s="98">
        <f>BA54/AZ54</f>
        <v>6.2413444856255627</v>
      </c>
      <c r="AZ54" s="519">
        <f>19800+166</f>
        <v>19966</v>
      </c>
      <c r="BA54" s="408">
        <f>(102982.18+863.39)*1.2</f>
        <v>124614.68399999998</v>
      </c>
      <c r="BB54" s="128" t="s">
        <v>347</v>
      </c>
      <c r="BC54" s="403">
        <f>SUM(BA53:BA57)*1</f>
        <v>127114.68399999998</v>
      </c>
      <c r="BD54" s="98">
        <f>BF54/BE54</f>
        <v>6.3628438627606876</v>
      </c>
      <c r="BE54" s="519">
        <f>16041+310</f>
        <v>16351</v>
      </c>
      <c r="BF54" s="408">
        <f>1.2*(85055.32+1643.73)</f>
        <v>104038.86</v>
      </c>
      <c r="BG54" s="128" t="s">
        <v>347</v>
      </c>
      <c r="BH54" s="403">
        <f>SUM(BF53:BF57)*1</f>
        <v>104038.86</v>
      </c>
      <c r="BI54" s="98">
        <f>BK54/BJ54</f>
        <v>6.7715883171070921</v>
      </c>
      <c r="BJ54" s="519">
        <f>15518+300</f>
        <v>15818</v>
      </c>
      <c r="BK54" s="408">
        <f>1.2*(87567.92+1692.9)</f>
        <v>107112.98399999998</v>
      </c>
      <c r="BL54" s="372">
        <v>99699.41</v>
      </c>
      <c r="BM54" s="403">
        <f>SUM(BK53:BK57)*1</f>
        <v>107112.98399999998</v>
      </c>
      <c r="BN54" s="92">
        <f>BP54/BO54</f>
        <v>6.3746283932780772</v>
      </c>
      <c r="BO54" s="408">
        <v>26302</v>
      </c>
      <c r="BP54" s="408">
        <v>167665.476</v>
      </c>
      <c r="BQ54" s="372" t="s">
        <v>389</v>
      </c>
      <c r="BR54" s="403">
        <f>SUM(BP53:BP57)*1</f>
        <v>167665.476</v>
      </c>
      <c r="BS54" s="98"/>
      <c r="BT54" s="349"/>
      <c r="BU54" s="56"/>
      <c r="BV54" s="128">
        <v>170119.12</v>
      </c>
      <c r="BW54" s="403">
        <f>SUM(BU53:BU57)*1</f>
        <v>2200</v>
      </c>
      <c r="BX54" s="98"/>
      <c r="BY54" s="349"/>
      <c r="BZ54" s="56"/>
      <c r="CA54" s="56"/>
      <c r="CB54" s="403">
        <f>SUM(BZ53:BZ57)*1</f>
        <v>0</v>
      </c>
      <c r="CC54" s="98"/>
      <c r="CD54" s="349"/>
      <c r="CE54" s="56"/>
      <c r="CF54" s="56"/>
      <c r="CG54" s="403">
        <f>SUM(CE53:CE57)*1</f>
        <v>0</v>
      </c>
      <c r="CH54" s="98"/>
      <c r="CI54" s="349"/>
      <c r="CJ54" s="56"/>
      <c r="CK54" s="56"/>
      <c r="CL54" s="403">
        <f>SUM(CJ53:CJ57)*1</f>
        <v>0</v>
      </c>
      <c r="CM54" s="98"/>
      <c r="CN54" s="349"/>
      <c r="CO54" s="56"/>
      <c r="CP54" s="56"/>
      <c r="CQ54" s="403">
        <f>SUM(CO53:CO57)*1</f>
        <v>0</v>
      </c>
      <c r="CR54" s="98"/>
      <c r="CS54" s="349"/>
      <c r="CT54" s="56"/>
      <c r="CU54" s="56"/>
      <c r="CV54" s="403">
        <f>SUM(CT53:CT57)*1</f>
        <v>0</v>
      </c>
      <c r="CW54" s="98"/>
      <c r="CX54" s="349"/>
      <c r="CY54" s="56"/>
      <c r="CZ54" s="56"/>
      <c r="DA54" s="403">
        <f>SUM(CY53:CY57)*1</f>
        <v>0</v>
      </c>
    </row>
    <row r="55" spans="1:105" s="336" customFormat="1" ht="15" customHeight="1">
      <c r="A55" s="296"/>
      <c r="B55" s="234">
        <v>41946011</v>
      </c>
      <c r="C55" s="220" t="s">
        <v>200</v>
      </c>
      <c r="D55" s="231" t="s">
        <v>15</v>
      </c>
      <c r="E55" s="231"/>
      <c r="F55" s="98"/>
      <c r="G55" s="57"/>
      <c r="H55" s="56"/>
      <c r="I55" s="44"/>
      <c r="J55" s="44"/>
      <c r="K55" s="98"/>
      <c r="L55" s="349"/>
      <c r="M55" s="56"/>
      <c r="N55" s="56"/>
      <c r="O55" s="56"/>
      <c r="P55" s="98"/>
      <c r="Q55" s="349"/>
      <c r="R55" s="56"/>
      <c r="S55" s="56"/>
      <c r="T55" s="56"/>
      <c r="U55" s="98">
        <v>5.2257999999999996</v>
      </c>
      <c r="V55" s="349">
        <v>20000</v>
      </c>
      <c r="W55" s="56">
        <f>V55*U55</f>
        <v>104515.99999999999</v>
      </c>
      <c r="X55" s="56"/>
      <c r="Y55" s="56"/>
      <c r="Z55" s="98"/>
      <c r="AA55" s="349"/>
      <c r="AB55" s="56"/>
      <c r="AC55" s="56"/>
      <c r="AD55" s="56"/>
      <c r="AE55" s="98"/>
      <c r="AF55" s="349"/>
      <c r="AG55" s="56"/>
      <c r="AH55" s="56"/>
      <c r="AI55" s="56"/>
      <c r="AJ55" s="98"/>
      <c r="AK55" s="349"/>
      <c r="AL55" s="56"/>
      <c r="AM55" s="56"/>
      <c r="AN55" s="56"/>
      <c r="AO55" s="98"/>
      <c r="AP55" s="349"/>
      <c r="AQ55" s="56"/>
      <c r="AR55" s="56"/>
      <c r="AS55" s="56"/>
      <c r="AT55" s="98"/>
      <c r="AU55" s="349"/>
      <c r="AV55" s="56"/>
      <c r="AW55" s="56"/>
      <c r="AX55" s="56"/>
      <c r="AY55" s="98"/>
      <c r="AZ55" s="349"/>
      <c r="BA55" s="56"/>
      <c r="BB55" s="56"/>
      <c r="BC55" s="56"/>
      <c r="BD55" s="98"/>
      <c r="BE55" s="349"/>
      <c r="BF55" s="56"/>
      <c r="BG55" s="56"/>
      <c r="BH55" s="56"/>
      <c r="BI55" s="98"/>
      <c r="BJ55" s="349"/>
      <c r="BK55" s="56"/>
      <c r="BL55" s="56"/>
      <c r="BM55" s="56"/>
      <c r="BN55" s="98"/>
      <c r="BO55" s="349"/>
      <c r="BP55" s="56"/>
      <c r="BQ55" s="56"/>
      <c r="BR55" s="56"/>
      <c r="BS55" s="98"/>
      <c r="BT55" s="349"/>
      <c r="BU55" s="56"/>
      <c r="BV55" s="56"/>
      <c r="BW55" s="56"/>
      <c r="BX55" s="98"/>
      <c r="BY55" s="349"/>
      <c r="BZ55" s="56"/>
      <c r="CA55" s="56"/>
      <c r="CB55" s="56"/>
      <c r="CC55" s="98"/>
      <c r="CD55" s="349"/>
      <c r="CE55" s="56"/>
      <c r="CF55" s="56"/>
      <c r="CG55" s="56"/>
      <c r="CH55" s="98"/>
      <c r="CI55" s="349"/>
      <c r="CJ55" s="56"/>
      <c r="CK55" s="56"/>
      <c r="CL55" s="56"/>
      <c r="CM55" s="98"/>
      <c r="CN55" s="349"/>
      <c r="CO55" s="56"/>
      <c r="CP55" s="56"/>
      <c r="CQ55" s="56"/>
      <c r="CR55" s="98"/>
      <c r="CS55" s="349"/>
      <c r="CT55" s="56"/>
      <c r="CU55" s="56"/>
      <c r="CV55" s="56"/>
      <c r="CW55" s="98"/>
      <c r="CX55" s="349"/>
      <c r="CY55" s="56"/>
      <c r="CZ55" s="56"/>
      <c r="DA55" s="56"/>
    </row>
    <row r="56" spans="1:105" s="336" customFormat="1" ht="15" customHeight="1">
      <c r="A56" s="296"/>
      <c r="B56" s="234">
        <v>3160204992</v>
      </c>
      <c r="C56" s="220" t="s">
        <v>231</v>
      </c>
      <c r="D56" s="231" t="s">
        <v>17</v>
      </c>
      <c r="E56" s="231"/>
      <c r="F56" s="98"/>
      <c r="G56" s="57"/>
      <c r="H56" s="56"/>
      <c r="I56" s="44"/>
      <c r="J56" s="44"/>
      <c r="K56" s="98"/>
      <c r="L56" s="349"/>
      <c r="M56" s="56"/>
      <c r="N56" s="56"/>
      <c r="O56" s="56"/>
      <c r="P56" s="98"/>
      <c r="Q56" s="349"/>
      <c r="R56" s="56"/>
      <c r="S56" s="56"/>
      <c r="T56" s="56"/>
      <c r="U56" s="98"/>
      <c r="V56" s="349"/>
      <c r="W56" s="56"/>
      <c r="X56" s="56"/>
      <c r="Y56" s="56"/>
      <c r="Z56" s="98"/>
      <c r="AA56" s="128">
        <v>156.75</v>
      </c>
      <c r="AB56" s="128">
        <v>2201.29</v>
      </c>
      <c r="AC56" s="128"/>
      <c r="AD56" s="128"/>
      <c r="AE56" s="405">
        <f>AG56/AF56</f>
        <v>33.352878787878787</v>
      </c>
      <c r="AF56" s="370">
        <v>66</v>
      </c>
      <c r="AG56" s="128">
        <v>2201.29</v>
      </c>
      <c r="AH56" s="128"/>
      <c r="AI56" s="128"/>
      <c r="AJ56" s="98">
        <f>AL56/AK56</f>
        <v>33.352878787878787</v>
      </c>
      <c r="AK56" s="349">
        <v>66</v>
      </c>
      <c r="AL56" s="56">
        <v>2201.29</v>
      </c>
      <c r="AM56" s="56"/>
      <c r="AN56" s="56"/>
      <c r="AO56" s="98">
        <f>AQ56/AP56</f>
        <v>33.352878787878787</v>
      </c>
      <c r="AP56" s="349">
        <v>66</v>
      </c>
      <c r="AQ56" s="56">
        <v>2201.29</v>
      </c>
      <c r="AR56" s="56"/>
      <c r="AS56" s="56"/>
      <c r="AT56" s="98"/>
      <c r="AU56" s="349"/>
      <c r="AV56" s="56"/>
      <c r="AW56" s="56"/>
      <c r="AX56" s="56"/>
      <c r="AY56" s="98"/>
      <c r="AZ56" s="370"/>
      <c r="BA56" s="128">
        <v>2500</v>
      </c>
      <c r="BB56" s="128"/>
      <c r="BC56" s="56"/>
      <c r="BD56" s="98"/>
      <c r="BE56" s="349"/>
      <c r="BF56" s="56"/>
      <c r="BG56" s="56"/>
      <c r="BH56" s="56"/>
      <c r="BI56" s="98"/>
      <c r="BJ56" s="349"/>
      <c r="BK56" s="372" t="s">
        <v>434</v>
      </c>
      <c r="BL56" s="56"/>
      <c r="BM56" s="56"/>
      <c r="BN56" s="98"/>
      <c r="BO56" s="349"/>
      <c r="BP56" s="372" t="s">
        <v>433</v>
      </c>
      <c r="BQ56" s="56"/>
      <c r="BR56" s="56"/>
      <c r="BS56" s="98"/>
      <c r="BT56" s="349">
        <v>1</v>
      </c>
      <c r="BU56" s="128">
        <v>2200</v>
      </c>
      <c r="BV56" s="56"/>
      <c r="BW56" s="56"/>
      <c r="BX56" s="98"/>
      <c r="BY56" s="349"/>
      <c r="BZ56" s="56"/>
      <c r="CA56" s="56"/>
      <c r="CB56" s="56"/>
      <c r="CC56" s="98"/>
      <c r="CD56" s="349"/>
      <c r="CE56" s="56"/>
      <c r="CF56" s="56"/>
      <c r="CG56" s="56"/>
      <c r="CH56" s="98"/>
      <c r="CI56" s="349"/>
      <c r="CJ56" s="56"/>
      <c r="CK56" s="56"/>
      <c r="CL56" s="56"/>
      <c r="CM56" s="98"/>
      <c r="CN56" s="349"/>
      <c r="CO56" s="56"/>
      <c r="CP56" s="56"/>
      <c r="CQ56" s="56"/>
      <c r="CR56" s="98"/>
      <c r="CS56" s="349"/>
      <c r="CT56" s="56"/>
      <c r="CU56" s="56"/>
      <c r="CV56" s="56"/>
      <c r="CW56" s="98"/>
      <c r="CX56" s="349"/>
      <c r="CY56" s="56"/>
      <c r="CZ56" s="56"/>
      <c r="DA56" s="56"/>
    </row>
    <row r="57" spans="1:105" s="350" customFormat="1" ht="15" customHeight="1" thickBot="1">
      <c r="A57" s="297"/>
      <c r="B57" s="298"/>
      <c r="C57" s="43"/>
      <c r="D57" s="284"/>
      <c r="E57" s="284"/>
      <c r="F57" s="285"/>
      <c r="G57" s="169"/>
      <c r="H57" s="177"/>
      <c r="I57" s="48"/>
      <c r="J57" s="48"/>
      <c r="K57" s="285"/>
      <c r="L57" s="184"/>
      <c r="M57" s="177"/>
      <c r="N57" s="177"/>
      <c r="O57" s="177"/>
      <c r="P57" s="285"/>
      <c r="Q57" s="184"/>
      <c r="R57" s="177"/>
      <c r="S57" s="177"/>
      <c r="T57" s="177"/>
      <c r="U57" s="285"/>
      <c r="V57" s="184"/>
      <c r="W57" s="177"/>
      <c r="X57" s="177"/>
      <c r="Y57" s="177"/>
      <c r="Z57" s="285"/>
      <c r="AA57" s="184"/>
      <c r="AB57" s="177"/>
      <c r="AC57" s="177"/>
      <c r="AD57" s="177"/>
      <c r="AE57" s="285"/>
      <c r="AF57" s="184"/>
      <c r="AG57" s="177"/>
      <c r="AH57" s="177"/>
      <c r="AI57" s="177"/>
      <c r="AJ57" s="285"/>
      <c r="AK57" s="184"/>
      <c r="AL57" s="177"/>
      <c r="AM57" s="177"/>
      <c r="AN57" s="177"/>
      <c r="AO57" s="285"/>
      <c r="AP57" s="184"/>
      <c r="AQ57" s="177"/>
      <c r="AR57" s="177"/>
      <c r="AS57" s="177"/>
      <c r="AT57" s="285"/>
      <c r="AU57" s="184"/>
      <c r="AV57" s="177"/>
      <c r="AW57" s="177"/>
      <c r="AX57" s="177"/>
      <c r="AY57" s="285"/>
      <c r="AZ57" s="184"/>
      <c r="BA57" s="177"/>
      <c r="BB57" s="177"/>
      <c r="BC57" s="177"/>
      <c r="BD57" s="285"/>
      <c r="BE57" s="184"/>
      <c r="BF57" s="177"/>
      <c r="BG57" s="177"/>
      <c r="BH57" s="177"/>
      <c r="BI57" s="285"/>
      <c r="BJ57" s="184"/>
      <c r="BK57" s="177"/>
      <c r="BL57" s="177"/>
      <c r="BM57" s="177"/>
      <c r="BN57" s="285"/>
      <c r="BO57" s="184"/>
      <c r="BP57" s="177"/>
      <c r="BQ57" s="177"/>
      <c r="BR57" s="177"/>
      <c r="BS57" s="285"/>
      <c r="BT57" s="184"/>
      <c r="BU57" s="177"/>
      <c r="BV57" s="177"/>
      <c r="BW57" s="177"/>
      <c r="BX57" s="285"/>
      <c r="BY57" s="184"/>
      <c r="BZ57" s="177"/>
      <c r="CA57" s="177"/>
      <c r="CB57" s="177"/>
      <c r="CC57" s="285"/>
      <c r="CD57" s="184"/>
      <c r="CE57" s="177"/>
      <c r="CF57" s="177"/>
      <c r="CG57" s="177"/>
      <c r="CH57" s="285"/>
      <c r="CI57" s="184"/>
      <c r="CJ57" s="177"/>
      <c r="CK57" s="177"/>
      <c r="CL57" s="177"/>
      <c r="CM57" s="285"/>
      <c r="CN57" s="184"/>
      <c r="CO57" s="177"/>
      <c r="CP57" s="177"/>
      <c r="CQ57" s="177"/>
      <c r="CR57" s="285"/>
      <c r="CS57" s="184"/>
      <c r="CT57" s="177"/>
      <c r="CU57" s="177"/>
      <c r="CV57" s="177"/>
      <c r="CW57" s="285"/>
      <c r="CX57" s="184"/>
      <c r="CY57" s="177"/>
      <c r="CZ57" s="177"/>
      <c r="DA57" s="177"/>
    </row>
    <row r="58" spans="1:105" s="249" customFormat="1" ht="15" customHeight="1">
      <c r="A58" s="265" t="s">
        <v>303</v>
      </c>
      <c r="B58" s="5" t="s">
        <v>44</v>
      </c>
      <c r="C58" s="6" t="s">
        <v>45</v>
      </c>
      <c r="D58" s="7" t="s">
        <v>10</v>
      </c>
      <c r="E58" s="4"/>
      <c r="F58" s="196"/>
      <c r="G58" s="202">
        <v>37</v>
      </c>
      <c r="H58" s="203">
        <v>6921.07</v>
      </c>
      <c r="I58" s="204"/>
      <c r="J58" s="327"/>
      <c r="K58" s="196"/>
      <c r="L58" s="202">
        <v>38</v>
      </c>
      <c r="M58" s="203">
        <f>1.2*5923</f>
        <v>7107.5999999999995</v>
      </c>
      <c r="N58" s="204"/>
      <c r="O58" s="327"/>
      <c r="P58" s="196"/>
      <c r="Q58" s="202">
        <v>38</v>
      </c>
      <c r="R58" s="203">
        <v>7108.13</v>
      </c>
      <c r="S58" s="204"/>
      <c r="T58" s="327"/>
      <c r="U58" s="207"/>
      <c r="V58" s="202">
        <v>41</v>
      </c>
      <c r="W58" s="203">
        <v>7669.3</v>
      </c>
      <c r="X58" s="204"/>
      <c r="Y58" s="383">
        <f>SUM(W58:W64)*1.1</f>
        <v>236737.78920000003</v>
      </c>
      <c r="Z58" s="36"/>
      <c r="AA58" s="273">
        <v>40</v>
      </c>
      <c r="AB58" s="203">
        <v>7482.24</v>
      </c>
      <c r="AC58" s="197"/>
      <c r="AD58" s="383">
        <f>SUM(AB58:AB64)*1.1</f>
        <v>221437.65160000001</v>
      </c>
      <c r="AE58" s="36"/>
      <c r="AF58" s="273">
        <v>37</v>
      </c>
      <c r="AG58" s="203">
        <v>7856.35</v>
      </c>
      <c r="AH58" s="197"/>
      <c r="AI58" s="383">
        <f>AI59*1.1</f>
        <v>308203.92460000003</v>
      </c>
      <c r="AJ58" s="36"/>
      <c r="AK58" s="202">
        <v>40</v>
      </c>
      <c r="AL58" s="203">
        <v>7482.24</v>
      </c>
      <c r="AM58" s="204"/>
      <c r="AN58" s="383">
        <f>AN59*1.2</f>
        <v>538476.48719999997</v>
      </c>
      <c r="AO58" s="36"/>
      <c r="AP58" s="202">
        <v>43</v>
      </c>
      <c r="AQ58" s="203">
        <v>8043.41</v>
      </c>
      <c r="AR58" s="204"/>
      <c r="AS58" s="383">
        <f>SUM(AQ58:AQ64)*1.1</f>
        <v>93424.243000000017</v>
      </c>
      <c r="AT58" s="36"/>
      <c r="AU58" s="202">
        <v>43</v>
      </c>
      <c r="AV58" s="203">
        <v>8043.41</v>
      </c>
      <c r="AW58" s="197"/>
      <c r="AX58" s="383">
        <f>SUM(AV58:AV64)*1.1</f>
        <v>327846.31660000002</v>
      </c>
      <c r="AY58" s="36"/>
      <c r="AZ58" s="202">
        <v>45</v>
      </c>
      <c r="BA58" s="203">
        <v>8417.52</v>
      </c>
      <c r="BB58" s="204"/>
      <c r="BC58" s="383">
        <f>SUM(BA58:BA64)*1.1</f>
        <v>288493.64940000005</v>
      </c>
      <c r="BD58" s="36"/>
      <c r="BE58" s="202">
        <v>52</v>
      </c>
      <c r="BF58" s="203">
        <v>9726.91</v>
      </c>
      <c r="BG58" s="204"/>
      <c r="BH58" s="383">
        <f>SUM(BF58:BF64)*1.1</f>
        <v>66187.391600000003</v>
      </c>
      <c r="BI58" s="36"/>
      <c r="BJ58" s="202">
        <v>45</v>
      </c>
      <c r="BK58" s="203">
        <v>8417.52</v>
      </c>
      <c r="BL58" s="204"/>
      <c r="BM58" s="383">
        <f>SUM(BK58:BK64)*1.1</f>
        <v>537334.3162</v>
      </c>
      <c r="BN58" s="36"/>
      <c r="BO58" s="202">
        <v>48</v>
      </c>
      <c r="BP58" s="203">
        <v>8978.69</v>
      </c>
      <c r="BQ58" s="204"/>
      <c r="BR58" s="383">
        <f>SUM(BP58:BP64)*1.1</f>
        <v>336321.73080000002</v>
      </c>
      <c r="BS58" s="36"/>
      <c r="BT58" s="202">
        <v>36</v>
      </c>
      <c r="BU58" s="203">
        <v>6734.02</v>
      </c>
      <c r="BV58" s="204"/>
      <c r="BW58" s="383">
        <f>SUM(BU58:BU64)*1.1</f>
        <v>347215.86459999997</v>
      </c>
      <c r="BX58" s="36"/>
      <c r="BY58" s="273">
        <v>37</v>
      </c>
      <c r="BZ58" s="274">
        <v>6921.07</v>
      </c>
      <c r="CA58" s="197"/>
      <c r="CB58" s="383">
        <f>SUM(BZ58:BZ64)*1.1</f>
        <v>220641.51560000001</v>
      </c>
      <c r="CC58" s="36"/>
      <c r="CD58" s="273">
        <v>37</v>
      </c>
      <c r="CE58" s="274">
        <v>6921.07</v>
      </c>
      <c r="CF58" s="197"/>
      <c r="CG58" s="383">
        <f>SUM(CE58:CE64)*1.1</f>
        <v>220641.51560000001</v>
      </c>
      <c r="CH58" s="36"/>
      <c r="CI58" s="273">
        <v>37</v>
      </c>
      <c r="CJ58" s="274">
        <v>6921.07</v>
      </c>
      <c r="CK58" s="197"/>
      <c r="CL58" s="383">
        <f>SUM(CJ58:CJ64)*1.1</f>
        <v>220641.51560000001</v>
      </c>
      <c r="CM58" s="36"/>
      <c r="CN58" s="273">
        <v>37</v>
      </c>
      <c r="CO58" s="274">
        <v>6921.07</v>
      </c>
      <c r="CP58" s="197"/>
      <c r="CQ58" s="383">
        <f>SUM(CO58:CO64)*1.1</f>
        <v>220641.51560000001</v>
      </c>
      <c r="CR58" s="36"/>
      <c r="CS58" s="273">
        <v>37</v>
      </c>
      <c r="CT58" s="274">
        <v>6921.07</v>
      </c>
      <c r="CU58" s="197"/>
      <c r="CV58" s="383">
        <f>SUM(CT58:CT64)*1.1</f>
        <v>220641.51560000001</v>
      </c>
      <c r="CW58" s="36"/>
      <c r="CX58" s="273">
        <v>37</v>
      </c>
      <c r="CY58" s="274">
        <v>6921.07</v>
      </c>
      <c r="CZ58" s="197"/>
      <c r="DA58" s="383">
        <f>SUM(CY58:CY64)*1.1</f>
        <v>220641.51560000001</v>
      </c>
    </row>
    <row r="59" spans="1:105" ht="15" customHeight="1">
      <c r="A59" s="256"/>
      <c r="B59" s="368" t="s">
        <v>217</v>
      </c>
      <c r="C59" s="6" t="s">
        <v>45</v>
      </c>
      <c r="D59" s="216" t="s">
        <v>11</v>
      </c>
      <c r="E59" s="22"/>
      <c r="F59" s="103"/>
      <c r="G59" s="128">
        <v>1</v>
      </c>
      <c r="H59" s="128">
        <f>1.2*14416.67</f>
        <v>17300.004000000001</v>
      </c>
      <c r="I59" s="128"/>
      <c r="J59" s="136"/>
      <c r="K59" s="103"/>
      <c r="L59" s="128">
        <v>1</v>
      </c>
      <c r="M59" s="128">
        <f>1.2*14416.67</f>
        <v>17300.004000000001</v>
      </c>
      <c r="N59" s="128"/>
      <c r="O59" s="136"/>
      <c r="P59" s="103"/>
      <c r="Q59" s="128">
        <v>1</v>
      </c>
      <c r="R59" s="128">
        <f>1.2*14416.67</f>
        <v>17300.004000000001</v>
      </c>
      <c r="S59" s="128"/>
      <c r="T59" s="136"/>
      <c r="U59" s="47"/>
      <c r="V59" s="128">
        <v>1</v>
      </c>
      <c r="W59" s="128">
        <f>1.2*14416.67</f>
        <v>17300.004000000001</v>
      </c>
      <c r="X59" s="128"/>
      <c r="Y59" s="403">
        <f>SUM(W58:W64)*1</f>
        <v>215216.17200000002</v>
      </c>
      <c r="Z59" s="46"/>
      <c r="AA59" s="128">
        <v>1</v>
      </c>
      <c r="AB59" s="128">
        <f>1.2*14416.67</f>
        <v>17300.004000000001</v>
      </c>
      <c r="AC59" s="128"/>
      <c r="AD59" s="403">
        <f>SUM(AB58:AB64)*1</f>
        <v>201306.95600000001</v>
      </c>
      <c r="AE59" s="46"/>
      <c r="AF59" s="128">
        <v>1</v>
      </c>
      <c r="AG59" s="128">
        <f>1.2*14416.67</f>
        <v>17300.004000000001</v>
      </c>
      <c r="AH59" s="128"/>
      <c r="AI59" s="403">
        <f>SUM(AG63:AG64)+AH62+AG61+AG60+AG59+AG58*1</f>
        <v>280185.386</v>
      </c>
      <c r="AJ59" s="46"/>
      <c r="AK59" s="128">
        <v>1</v>
      </c>
      <c r="AL59" s="128">
        <f>1.2*14416.67</f>
        <v>17300.004000000001</v>
      </c>
      <c r="AM59" s="128"/>
      <c r="AN59" s="403">
        <f>SUM(AL63:AL64)+AM62+AL61+AL60+AL59+AL58*1</f>
        <v>448730.40599999996</v>
      </c>
      <c r="AO59" s="46"/>
      <c r="AP59" s="128">
        <v>1</v>
      </c>
      <c r="AQ59" s="128">
        <f>1.2*14416.67</f>
        <v>17300.004000000001</v>
      </c>
      <c r="AR59" s="128"/>
      <c r="AS59" s="403">
        <f>SUM(AQ58:AQ64)*1</f>
        <v>84931.13</v>
      </c>
      <c r="AT59" s="46"/>
      <c r="AU59" s="128">
        <v>1</v>
      </c>
      <c r="AV59" s="128">
        <f>1.2*14416.67</f>
        <v>17300.004000000001</v>
      </c>
      <c r="AW59" s="128"/>
      <c r="AX59" s="403">
        <f>SUM(AV58:AV64)*1</f>
        <v>298042.10599999997</v>
      </c>
      <c r="AY59" s="46"/>
      <c r="AZ59" s="128">
        <v>1</v>
      </c>
      <c r="BA59" s="128">
        <f>1.2*14416.67</f>
        <v>17300.004000000001</v>
      </c>
      <c r="BB59" s="128"/>
      <c r="BC59" s="403">
        <f>SUM(BA58:BA64)*1</f>
        <v>262266.95400000003</v>
      </c>
      <c r="BD59" s="46"/>
      <c r="BE59" s="128">
        <v>1</v>
      </c>
      <c r="BF59" s="128">
        <f>1.2*14416.67</f>
        <v>17300.004000000001</v>
      </c>
      <c r="BG59" s="128"/>
      <c r="BH59" s="403">
        <f>SUM(BF58:BF64)*1</f>
        <v>60170.356</v>
      </c>
      <c r="BI59" s="46"/>
      <c r="BJ59" s="128">
        <v>1</v>
      </c>
      <c r="BK59" s="128">
        <f>1.2*14416.67</f>
        <v>17300.004000000001</v>
      </c>
      <c r="BL59" s="128"/>
      <c r="BM59" s="403">
        <f>SUM(BK58:BK64)*1</f>
        <v>488485.74199999997</v>
      </c>
      <c r="BN59" s="46"/>
      <c r="BO59" s="128">
        <v>1</v>
      </c>
      <c r="BP59" s="128">
        <f>1.2*14416.67</f>
        <v>17300.004000000001</v>
      </c>
      <c r="BQ59" s="128"/>
      <c r="BR59" s="403">
        <f>SUM(BP58:BP64)*1</f>
        <v>305747.02799999999</v>
      </c>
      <c r="BS59" s="46"/>
      <c r="BT59" s="128">
        <v>1</v>
      </c>
      <c r="BU59" s="128">
        <f>1.2*14416.67</f>
        <v>17300.004000000001</v>
      </c>
      <c r="BV59" s="128"/>
      <c r="BW59" s="403">
        <f>SUM(BU58:BU64)*1</f>
        <v>315650.78599999996</v>
      </c>
      <c r="BX59" s="46"/>
      <c r="BY59" s="56">
        <v>1</v>
      </c>
      <c r="BZ59" s="56">
        <f>1.2*14416.67</f>
        <v>17300.004000000001</v>
      </c>
      <c r="CA59" s="56"/>
      <c r="CB59" s="403">
        <f>SUM(BZ58:BZ64)*1</f>
        <v>200583.196</v>
      </c>
      <c r="CC59" s="46"/>
      <c r="CD59" s="56">
        <v>1</v>
      </c>
      <c r="CE59" s="56">
        <f>1.2*14416.67</f>
        <v>17300.004000000001</v>
      </c>
      <c r="CF59" s="56"/>
      <c r="CG59" s="403">
        <f>SUM(CE58:CE64)*1</f>
        <v>200583.196</v>
      </c>
      <c r="CH59" s="46"/>
      <c r="CI59" s="56">
        <v>1</v>
      </c>
      <c r="CJ59" s="56">
        <f>1.2*14416.67</f>
        <v>17300.004000000001</v>
      </c>
      <c r="CK59" s="56"/>
      <c r="CL59" s="403">
        <f>SUM(CJ58:CJ64)*1</f>
        <v>200583.196</v>
      </c>
      <c r="CM59" s="46"/>
      <c r="CN59" s="56">
        <v>1</v>
      </c>
      <c r="CO59" s="56">
        <f>1.2*14416.67</f>
        <v>17300.004000000001</v>
      </c>
      <c r="CP59" s="56"/>
      <c r="CQ59" s="403">
        <f>SUM(CO58:CO64)*1</f>
        <v>200583.196</v>
      </c>
      <c r="CR59" s="46"/>
      <c r="CS59" s="56">
        <v>1</v>
      </c>
      <c r="CT59" s="56">
        <f>1.2*14416.67</f>
        <v>17300.004000000001</v>
      </c>
      <c r="CU59" s="56"/>
      <c r="CV59" s="403">
        <f>SUM(CT58:CT64)*1</f>
        <v>200583.196</v>
      </c>
      <c r="CW59" s="46"/>
      <c r="CX59" s="56">
        <v>1</v>
      </c>
      <c r="CY59" s="56">
        <f>1.2*14416.67</f>
        <v>17300.004000000001</v>
      </c>
      <c r="CZ59" s="56"/>
      <c r="DA59" s="403">
        <f>SUM(CY58:CY64)*1</f>
        <v>200583.196</v>
      </c>
    </row>
    <row r="60" spans="1:105" ht="15" customHeight="1">
      <c r="A60" s="256"/>
      <c r="B60" s="215"/>
      <c r="C60" s="6" t="s">
        <v>45</v>
      </c>
      <c r="D60" s="216" t="s">
        <v>46</v>
      </c>
      <c r="E60" s="22"/>
      <c r="F60" s="103"/>
      <c r="G60" s="128">
        <v>1</v>
      </c>
      <c r="H60" s="128">
        <f>1.2*13333.33</f>
        <v>15999.995999999999</v>
      </c>
      <c r="I60" s="128"/>
      <c r="J60" s="136"/>
      <c r="K60" s="103"/>
      <c r="L60" s="128">
        <v>1</v>
      </c>
      <c r="M60" s="128">
        <f>1.2*13333.33</f>
        <v>15999.995999999999</v>
      </c>
      <c r="N60" s="128"/>
      <c r="O60" s="136"/>
      <c r="P60" s="103"/>
      <c r="Q60" s="128">
        <v>1</v>
      </c>
      <c r="R60" s="128">
        <f>1.2*13333.33</f>
        <v>15999.995999999999</v>
      </c>
      <c r="S60" s="128"/>
      <c r="T60" s="136"/>
      <c r="U60" s="47"/>
      <c r="V60" s="128">
        <v>1</v>
      </c>
      <c r="W60" s="128">
        <f>1.2*13333.33</f>
        <v>15999.995999999999</v>
      </c>
      <c r="X60" s="128"/>
      <c r="Y60" s="128"/>
      <c r="Z60" s="46"/>
      <c r="AA60" s="128">
        <v>1</v>
      </c>
      <c r="AB60" s="128">
        <f>1.2*13333.33</f>
        <v>15999.995999999999</v>
      </c>
      <c r="AC60" s="128"/>
      <c r="AD60" s="128"/>
      <c r="AE60" s="46"/>
      <c r="AF60" s="128">
        <v>1</v>
      </c>
      <c r="AG60" s="128">
        <f>1.2*13333.33</f>
        <v>15999.995999999999</v>
      </c>
      <c r="AH60" s="128"/>
      <c r="AI60" s="128"/>
      <c r="AJ60" s="46"/>
      <c r="AK60" s="128">
        <v>1</v>
      </c>
      <c r="AL60" s="128">
        <f>1.2*13333.33</f>
        <v>15999.995999999999</v>
      </c>
      <c r="AM60" s="128"/>
      <c r="AN60" s="128"/>
      <c r="AO60" s="46"/>
      <c r="AP60" s="128">
        <v>1</v>
      </c>
      <c r="AQ60" s="128">
        <f>1.2*13333.33</f>
        <v>15999.995999999999</v>
      </c>
      <c r="AR60" s="128"/>
      <c r="AS60" s="128"/>
      <c r="AT60" s="46"/>
      <c r="AU60" s="128">
        <v>1</v>
      </c>
      <c r="AV60" s="128">
        <f>1.2*13333.33</f>
        <v>15999.995999999999</v>
      </c>
      <c r="AW60" s="128"/>
      <c r="AX60" s="128"/>
      <c r="AY60" s="46"/>
      <c r="AZ60" s="128">
        <v>1</v>
      </c>
      <c r="BA60" s="128">
        <f>1.2*13333.33</f>
        <v>15999.995999999999</v>
      </c>
      <c r="BB60" s="128"/>
      <c r="BC60" s="128"/>
      <c r="BD60" s="46"/>
      <c r="BE60" s="128">
        <v>1</v>
      </c>
      <c r="BF60" s="128">
        <f>1.2*13333.33</f>
        <v>15999.995999999999</v>
      </c>
      <c r="BG60" s="128"/>
      <c r="BH60" s="128"/>
      <c r="BI60" s="46"/>
      <c r="BJ60" s="128">
        <v>1</v>
      </c>
      <c r="BK60" s="128">
        <f>1.2*13333.33</f>
        <v>15999.995999999999</v>
      </c>
      <c r="BL60" s="128"/>
      <c r="BM60" s="128"/>
      <c r="BN60" s="46"/>
      <c r="BO60" s="128">
        <v>1</v>
      </c>
      <c r="BP60" s="128">
        <f>1.2*13333.33</f>
        <v>15999.995999999999</v>
      </c>
      <c r="BQ60" s="128"/>
      <c r="BR60" s="128"/>
      <c r="BS60" s="46"/>
      <c r="BT60" s="128">
        <v>1</v>
      </c>
      <c r="BU60" s="128">
        <f>1.2*13333.33</f>
        <v>15999.995999999999</v>
      </c>
      <c r="BV60" s="128"/>
      <c r="BW60" s="128"/>
      <c r="BX60" s="46"/>
      <c r="BY60" s="56">
        <v>1</v>
      </c>
      <c r="BZ60" s="56">
        <f>1.2*13333.33</f>
        <v>15999.995999999999</v>
      </c>
      <c r="CA60" s="56"/>
      <c r="CB60" s="128"/>
      <c r="CC60" s="46"/>
      <c r="CD60" s="56">
        <v>1</v>
      </c>
      <c r="CE60" s="56">
        <f>1.2*13333.33</f>
        <v>15999.995999999999</v>
      </c>
      <c r="CF60" s="56"/>
      <c r="CG60" s="128"/>
      <c r="CH60" s="46"/>
      <c r="CI60" s="56">
        <v>1</v>
      </c>
      <c r="CJ60" s="56">
        <f>1.2*13333.33</f>
        <v>15999.995999999999</v>
      </c>
      <c r="CK60" s="56"/>
      <c r="CL60" s="128"/>
      <c r="CM60" s="46"/>
      <c r="CN60" s="56">
        <v>1</v>
      </c>
      <c r="CO60" s="56">
        <f>1.2*13333.33</f>
        <v>15999.995999999999</v>
      </c>
      <c r="CP60" s="56"/>
      <c r="CQ60" s="128"/>
      <c r="CR60" s="46"/>
      <c r="CS60" s="56">
        <v>1</v>
      </c>
      <c r="CT60" s="56">
        <f>1.2*13333.33</f>
        <v>15999.995999999999</v>
      </c>
      <c r="CU60" s="56"/>
      <c r="CV60" s="128"/>
      <c r="CW60" s="46"/>
      <c r="CX60" s="56">
        <v>1</v>
      </c>
      <c r="CY60" s="56">
        <f>1.2*13333.33</f>
        <v>15999.995999999999</v>
      </c>
      <c r="CZ60" s="56"/>
      <c r="DA60" s="128"/>
    </row>
    <row r="61" spans="1:105" ht="15" customHeight="1">
      <c r="A61" s="256"/>
      <c r="B61" s="215"/>
      <c r="C61" s="6" t="s">
        <v>45</v>
      </c>
      <c r="D61" s="216" t="s">
        <v>47</v>
      </c>
      <c r="E61" s="22"/>
      <c r="F61" s="103"/>
      <c r="G61" s="128">
        <v>1</v>
      </c>
      <c r="H61" s="128">
        <f>1.2*10833.33</f>
        <v>12999.995999999999</v>
      </c>
      <c r="I61" s="128"/>
      <c r="J61" s="136"/>
      <c r="K61" s="103"/>
      <c r="L61" s="128">
        <v>1</v>
      </c>
      <c r="M61" s="128">
        <f>1.2*10833.33</f>
        <v>12999.995999999999</v>
      </c>
      <c r="N61" s="128"/>
      <c r="O61" s="136"/>
      <c r="P61" s="103"/>
      <c r="Q61" s="128">
        <v>1</v>
      </c>
      <c r="R61" s="128">
        <f>1.2*10833.33</f>
        <v>12999.995999999999</v>
      </c>
      <c r="S61" s="128"/>
      <c r="T61" s="136"/>
      <c r="U61" s="47"/>
      <c r="V61" s="128">
        <v>1</v>
      </c>
      <c r="W61" s="128">
        <f>1.2*10833.33</f>
        <v>12999.995999999999</v>
      </c>
      <c r="X61" s="128"/>
      <c r="Y61" s="128"/>
      <c r="Z61" s="46"/>
      <c r="AA61" s="128">
        <v>1</v>
      </c>
      <c r="AB61" s="128">
        <f>1.2*10833.33</f>
        <v>12999.995999999999</v>
      </c>
      <c r="AC61" s="128"/>
      <c r="AD61" s="128"/>
      <c r="AE61" s="46"/>
      <c r="AF61" s="128">
        <v>1</v>
      </c>
      <c r="AG61" s="128">
        <f>1.2*10833.33</f>
        <v>12999.995999999999</v>
      </c>
      <c r="AH61" s="128"/>
      <c r="AI61" s="128"/>
      <c r="AJ61" s="46"/>
      <c r="AK61" s="128">
        <v>1</v>
      </c>
      <c r="AL61" s="128">
        <f>1.2*10833.33</f>
        <v>12999.995999999999</v>
      </c>
      <c r="AM61" s="128"/>
      <c r="AN61" s="128"/>
      <c r="AO61" s="46"/>
      <c r="AP61" s="128">
        <v>1</v>
      </c>
      <c r="AQ61" s="128">
        <f>1.2*10833.33</f>
        <v>12999.995999999999</v>
      </c>
      <c r="AR61" s="128"/>
      <c r="AS61" s="128"/>
      <c r="AT61" s="46"/>
      <c r="AU61" s="128">
        <v>1</v>
      </c>
      <c r="AV61" s="128">
        <f>1.2*10833.33</f>
        <v>12999.995999999999</v>
      </c>
      <c r="AW61" s="128"/>
      <c r="AX61" s="128"/>
      <c r="AY61" s="46"/>
      <c r="AZ61" s="128">
        <v>1</v>
      </c>
      <c r="BA61" s="128">
        <f>1.2*10833.33</f>
        <v>12999.995999999999</v>
      </c>
      <c r="BB61" s="128"/>
      <c r="BC61" s="128"/>
      <c r="BD61" s="46"/>
      <c r="BE61" s="128">
        <v>1</v>
      </c>
      <c r="BF61" s="128">
        <f>1.2*10833.33</f>
        <v>12999.995999999999</v>
      </c>
      <c r="BG61" s="128"/>
      <c r="BH61" s="128"/>
      <c r="BI61" s="46"/>
      <c r="BJ61" s="549">
        <v>1</v>
      </c>
      <c r="BK61" s="549">
        <f>1.2*10833.33</f>
        <v>12999.995999999999</v>
      </c>
      <c r="BL61" s="128"/>
      <c r="BM61" s="128"/>
      <c r="BN61" s="46"/>
      <c r="BO61" s="128">
        <v>1</v>
      </c>
      <c r="BP61" s="128">
        <f>1.2*10833.33</f>
        <v>12999.995999999999</v>
      </c>
      <c r="BQ61" s="128"/>
      <c r="BR61" s="128"/>
      <c r="BS61" s="46"/>
      <c r="BT61" s="128">
        <v>1</v>
      </c>
      <c r="BU61" s="128">
        <f>1.2*10833.33</f>
        <v>12999.995999999999</v>
      </c>
      <c r="BV61" s="128"/>
      <c r="BW61" s="128"/>
      <c r="BX61" s="46"/>
      <c r="BY61" s="56">
        <v>1</v>
      </c>
      <c r="BZ61" s="56">
        <f>1.2*10833.33</f>
        <v>12999.995999999999</v>
      </c>
      <c r="CA61" s="56"/>
      <c r="CB61" s="128"/>
      <c r="CC61" s="46"/>
      <c r="CD61" s="56">
        <v>1</v>
      </c>
      <c r="CE61" s="56">
        <f>1.2*10833.33</f>
        <v>12999.995999999999</v>
      </c>
      <c r="CF61" s="56"/>
      <c r="CG61" s="128"/>
      <c r="CH61" s="46"/>
      <c r="CI61" s="56">
        <v>1</v>
      </c>
      <c r="CJ61" s="56">
        <f>1.2*10833.33</f>
        <v>12999.995999999999</v>
      </c>
      <c r="CK61" s="56"/>
      <c r="CL61" s="128"/>
      <c r="CM61" s="46"/>
      <c r="CN61" s="56">
        <v>1</v>
      </c>
      <c r="CO61" s="56">
        <f>1.2*10833.33</f>
        <v>12999.995999999999</v>
      </c>
      <c r="CP61" s="56"/>
      <c r="CQ61" s="128"/>
      <c r="CR61" s="46"/>
      <c r="CS61" s="56">
        <v>1</v>
      </c>
      <c r="CT61" s="56">
        <f>1.2*10833.33</f>
        <v>12999.995999999999</v>
      </c>
      <c r="CU61" s="56"/>
      <c r="CV61" s="128"/>
      <c r="CW61" s="46"/>
      <c r="CX61" s="56">
        <v>1</v>
      </c>
      <c r="CY61" s="56">
        <f>1.2*10833.33</f>
        <v>12999.995999999999</v>
      </c>
      <c r="CZ61" s="56"/>
      <c r="DA61" s="128"/>
    </row>
    <row r="62" spans="1:105" ht="15" customHeight="1">
      <c r="A62" s="256"/>
      <c r="B62" s="215">
        <v>41916045</v>
      </c>
      <c r="C62" s="45" t="s">
        <v>195</v>
      </c>
      <c r="D62" s="216" t="s">
        <v>13</v>
      </c>
      <c r="E62" s="22"/>
      <c r="F62" s="104">
        <f>H62/G62</f>
        <v>5.244395798284847</v>
      </c>
      <c r="G62" s="69">
        <v>24371</v>
      </c>
      <c r="H62" s="69">
        <v>127811.17</v>
      </c>
      <c r="I62" s="128"/>
      <c r="J62" s="136"/>
      <c r="K62" s="104">
        <f>M62/L62</f>
        <v>5.3410318197007394</v>
      </c>
      <c r="L62" s="69">
        <v>26933</v>
      </c>
      <c r="M62" s="69">
        <v>143850.01</v>
      </c>
      <c r="N62" s="128"/>
      <c r="O62" s="136"/>
      <c r="P62" s="104">
        <f>R62/Q62</f>
        <v>4.9663920090463627</v>
      </c>
      <c r="Q62" s="69">
        <v>47754</v>
      </c>
      <c r="R62" s="69">
        <v>237165.084</v>
      </c>
      <c r="S62" s="128">
        <v>148991.76</v>
      </c>
      <c r="T62" s="128">
        <f>2*187067.16</f>
        <v>374134.32</v>
      </c>
      <c r="U62" s="121">
        <f>W62/V62</f>
        <v>5.2077239999999998</v>
      </c>
      <c r="V62" s="69">
        <v>30000</v>
      </c>
      <c r="W62" s="69">
        <v>156231.72</v>
      </c>
      <c r="X62" s="128">
        <v>156231.72</v>
      </c>
      <c r="Y62" s="128"/>
      <c r="Z62" s="98">
        <f>AB62/AA62</f>
        <v>5.3410318197007394</v>
      </c>
      <c r="AA62" s="395">
        <v>26933</v>
      </c>
      <c r="AB62" s="395">
        <v>143850.01</v>
      </c>
      <c r="AC62" s="128">
        <v>140488.56</v>
      </c>
      <c r="AD62" s="128"/>
      <c r="AE62" s="98">
        <f>AG62/AF62</f>
        <v>4.8199439456842672</v>
      </c>
      <c r="AF62" s="410">
        <v>66721</v>
      </c>
      <c r="AG62" s="410">
        <v>321591.48</v>
      </c>
      <c r="AH62" s="128">
        <f>73941.42+148116.6</f>
        <v>222058.02000000002</v>
      </c>
      <c r="AI62" s="128"/>
      <c r="AJ62" s="98">
        <f>AL62/AK62</f>
        <v>4.9792199851319534</v>
      </c>
      <c r="AK62" s="410">
        <v>64568</v>
      </c>
      <c r="AL62" s="410">
        <v>321498.27599999995</v>
      </c>
      <c r="AM62" s="128">
        <f>233669.91+156628.08</f>
        <v>390297.99</v>
      </c>
      <c r="AN62" s="128"/>
      <c r="AO62" s="98">
        <f>AQ62/AP62</f>
        <v>5.9466952908587256</v>
      </c>
      <c r="AP62" s="410">
        <v>4332</v>
      </c>
      <c r="AQ62" s="410">
        <v>25761.083999999999</v>
      </c>
      <c r="AR62" s="128">
        <v>201186.36</v>
      </c>
      <c r="AS62" s="128"/>
      <c r="AT62" s="98">
        <f>AV62/AU62</f>
        <v>6.6107641969831414</v>
      </c>
      <c r="AU62" s="410">
        <v>36064</v>
      </c>
      <c r="AV62" s="410">
        <v>238410.6</v>
      </c>
      <c r="AW62" s="56"/>
      <c r="AX62" s="128"/>
      <c r="AY62" s="98">
        <f>BA62/AZ62</f>
        <v>6.349452161181488</v>
      </c>
      <c r="AZ62" s="410">
        <v>31418</v>
      </c>
      <c r="BA62" s="410">
        <v>199487.08799999999</v>
      </c>
      <c r="BB62" s="128" t="s">
        <v>353</v>
      </c>
      <c r="BC62" s="128"/>
      <c r="BD62" s="98">
        <f>BF62/BE62</f>
        <v>0</v>
      </c>
      <c r="BE62" s="58">
        <v>31387.600000000093</v>
      </c>
      <c r="BF62" s="58">
        <v>0</v>
      </c>
      <c r="BG62" s="128">
        <v>176303.8</v>
      </c>
      <c r="BH62" s="128"/>
      <c r="BI62" s="98">
        <f>BK62/BJ62</f>
        <v>6.7715879454131915</v>
      </c>
      <c r="BJ62" s="546">
        <v>63312</v>
      </c>
      <c r="BK62" s="547">
        <v>428722.77599999995</v>
      </c>
      <c r="BL62" s="543">
        <v>176303.8</v>
      </c>
      <c r="BM62" s="128"/>
      <c r="BN62" s="98">
        <f>BP62/BO62</f>
        <v>6.3746279081871648</v>
      </c>
      <c r="BO62" s="410">
        <v>38426</v>
      </c>
      <c r="BP62" s="410">
        <v>244951.45199999999</v>
      </c>
      <c r="BQ62" s="56"/>
      <c r="BR62" s="128"/>
      <c r="BS62" s="98">
        <f>BU62/BT62</f>
        <v>6.0268799212598418</v>
      </c>
      <c r="BT62" s="410">
        <v>42672</v>
      </c>
      <c r="BU62" s="410">
        <v>257179.02</v>
      </c>
      <c r="BV62" s="128" t="s">
        <v>430</v>
      </c>
      <c r="BW62" s="128"/>
      <c r="BX62" s="98">
        <f>BZ62/BY62</f>
        <v>5.3410318197007394</v>
      </c>
      <c r="BY62" s="58">
        <v>26933</v>
      </c>
      <c r="BZ62" s="58">
        <v>143850.01</v>
      </c>
      <c r="CA62" s="128">
        <v>248728.57</v>
      </c>
      <c r="CB62" s="128"/>
      <c r="CC62" s="98">
        <f>CE62/CD62</f>
        <v>5.3410318197007394</v>
      </c>
      <c r="CD62" s="58">
        <v>26933</v>
      </c>
      <c r="CE62" s="58">
        <v>143850.01</v>
      </c>
      <c r="CF62" s="56"/>
      <c r="CG62" s="128"/>
      <c r="CH62" s="98">
        <f>CJ62/CI62</f>
        <v>5.3410318197007394</v>
      </c>
      <c r="CI62" s="58">
        <v>26933</v>
      </c>
      <c r="CJ62" s="58">
        <v>143850.01</v>
      </c>
      <c r="CK62" s="56"/>
      <c r="CL62" s="128"/>
      <c r="CM62" s="98">
        <f>CO62/CN62</f>
        <v>5.3410318197007394</v>
      </c>
      <c r="CN62" s="58">
        <v>26933</v>
      </c>
      <c r="CO62" s="58">
        <v>143850.01</v>
      </c>
      <c r="CP62" s="56"/>
      <c r="CQ62" s="128"/>
      <c r="CR62" s="98">
        <f>CT62/CS62</f>
        <v>5.3410318197007394</v>
      </c>
      <c r="CS62" s="58">
        <v>26933</v>
      </c>
      <c r="CT62" s="58">
        <v>143850.01</v>
      </c>
      <c r="CU62" s="56"/>
      <c r="CV62" s="128"/>
      <c r="CW62" s="98">
        <f>CY62/CX62</f>
        <v>5.3410318197007394</v>
      </c>
      <c r="CX62" s="58">
        <v>26933</v>
      </c>
      <c r="CY62" s="58">
        <v>143850.01</v>
      </c>
      <c r="CZ62" s="56"/>
      <c r="DA62" s="128"/>
    </row>
    <row r="63" spans="1:105" ht="15" customHeight="1">
      <c r="A63" s="256"/>
      <c r="B63" s="215"/>
      <c r="C63" s="45" t="s">
        <v>200</v>
      </c>
      <c r="D63" s="216" t="s">
        <v>15</v>
      </c>
      <c r="E63" s="22"/>
      <c r="F63" s="103"/>
      <c r="G63" s="128">
        <v>1</v>
      </c>
      <c r="H63" s="69">
        <v>1108</v>
      </c>
      <c r="I63" s="128"/>
      <c r="J63" s="136"/>
      <c r="K63" s="103"/>
      <c r="L63" s="128">
        <v>1</v>
      </c>
      <c r="M63" s="69" t="s">
        <v>186</v>
      </c>
      <c r="N63" s="128"/>
      <c r="O63" s="136"/>
      <c r="P63" s="103"/>
      <c r="Q63" s="128">
        <v>1</v>
      </c>
      <c r="R63" s="69" t="s">
        <v>206</v>
      </c>
      <c r="S63" s="128"/>
      <c r="T63" s="136"/>
      <c r="U63" s="120"/>
      <c r="V63" s="128">
        <v>1</v>
      </c>
      <c r="W63" s="69">
        <v>1454.4960000000001</v>
      </c>
      <c r="X63" s="128"/>
      <c r="Y63" s="128"/>
      <c r="Z63" s="97"/>
      <c r="AA63" s="396">
        <v>1</v>
      </c>
      <c r="AB63" s="395" t="s">
        <v>186</v>
      </c>
      <c r="AC63" s="56"/>
      <c r="AD63" s="128"/>
      <c r="AE63" s="97"/>
      <c r="AF63" s="128">
        <v>1</v>
      </c>
      <c r="AG63" s="69" t="s">
        <v>236</v>
      </c>
      <c r="AH63" s="128"/>
      <c r="AI63" s="128"/>
      <c r="AJ63" s="97"/>
      <c r="AK63" s="56">
        <v>1</v>
      </c>
      <c r="AL63" s="410" t="s">
        <v>290</v>
      </c>
      <c r="AM63" s="128"/>
      <c r="AN63" s="128"/>
      <c r="AO63" s="97"/>
      <c r="AP63" s="408">
        <v>1</v>
      </c>
      <c r="AQ63" s="513">
        <v>1361.26</v>
      </c>
      <c r="AR63" s="408"/>
      <c r="AS63" s="128"/>
      <c r="AT63" s="97"/>
      <c r="AU63" s="408">
        <v>1</v>
      </c>
      <c r="AV63" s="410">
        <v>1662.31</v>
      </c>
      <c r="AW63" s="408"/>
      <c r="AX63" s="128"/>
      <c r="AY63" s="97"/>
      <c r="AZ63" s="408">
        <v>1</v>
      </c>
      <c r="BA63" s="410">
        <v>1533.29</v>
      </c>
      <c r="BB63" s="408"/>
      <c r="BC63" s="128"/>
      <c r="BD63" s="97"/>
      <c r="BE63" s="56">
        <v>1</v>
      </c>
      <c r="BF63" s="58" t="s">
        <v>186</v>
      </c>
      <c r="BG63" s="56"/>
      <c r="BH63" s="128"/>
      <c r="BI63" s="97"/>
      <c r="BJ63" s="544">
        <v>1</v>
      </c>
      <c r="BK63" s="545" t="s">
        <v>370</v>
      </c>
      <c r="BL63" s="408"/>
      <c r="BM63" s="128"/>
      <c r="BN63" s="97"/>
      <c r="BO63" s="408">
        <v>1</v>
      </c>
      <c r="BP63" s="410" t="s">
        <v>382</v>
      </c>
      <c r="BQ63" s="408"/>
      <c r="BR63" s="128"/>
      <c r="BS63" s="97"/>
      <c r="BT63" s="408">
        <v>1</v>
      </c>
      <c r="BU63" s="410">
        <v>1925.63</v>
      </c>
      <c r="BV63" s="56"/>
      <c r="BW63" s="128"/>
      <c r="BX63" s="97"/>
      <c r="BY63" s="56">
        <v>1</v>
      </c>
      <c r="BZ63" s="58" t="s">
        <v>186</v>
      </c>
      <c r="CA63" s="56"/>
      <c r="CB63" s="128"/>
      <c r="CC63" s="97"/>
      <c r="CD63" s="56">
        <v>1</v>
      </c>
      <c r="CE63" s="58" t="s">
        <v>186</v>
      </c>
      <c r="CF63" s="56"/>
      <c r="CG63" s="128"/>
      <c r="CH63" s="97"/>
      <c r="CI63" s="56">
        <v>1</v>
      </c>
      <c r="CJ63" s="58" t="s">
        <v>186</v>
      </c>
      <c r="CK63" s="56"/>
      <c r="CL63" s="128"/>
      <c r="CM63" s="97"/>
      <c r="CN63" s="56">
        <v>1</v>
      </c>
      <c r="CO63" s="58" t="s">
        <v>186</v>
      </c>
      <c r="CP63" s="56"/>
      <c r="CQ63" s="128"/>
      <c r="CR63" s="97"/>
      <c r="CS63" s="56">
        <v>1</v>
      </c>
      <c r="CT63" s="58" t="s">
        <v>186</v>
      </c>
      <c r="CU63" s="56"/>
      <c r="CV63" s="128"/>
      <c r="CW63" s="97"/>
      <c r="CX63" s="56">
        <v>1</v>
      </c>
      <c r="CY63" s="58" t="s">
        <v>186</v>
      </c>
      <c r="CZ63" s="56"/>
      <c r="DA63" s="128"/>
    </row>
    <row r="64" spans="1:105" s="264" customFormat="1" ht="15" customHeight="1" thickBot="1">
      <c r="A64" s="257"/>
      <c r="B64" s="258">
        <v>16290738</v>
      </c>
      <c r="C64" s="20" t="s">
        <v>48</v>
      </c>
      <c r="D64" s="259" t="s">
        <v>17</v>
      </c>
      <c r="E64" s="23"/>
      <c r="F64" s="168">
        <f>H64/G64</f>
        <v>30.38</v>
      </c>
      <c r="G64" s="172">
        <f>H64/30.38</f>
        <v>115.60631994733377</v>
      </c>
      <c r="H64" s="172">
        <v>3512.12</v>
      </c>
      <c r="I64" s="172"/>
      <c r="J64" s="18"/>
      <c r="K64" s="168">
        <f>M64/L64</f>
        <v>31.062307692307691</v>
      </c>
      <c r="L64" s="172">
        <v>104</v>
      </c>
      <c r="M64" s="172">
        <v>3230.48</v>
      </c>
      <c r="N64" s="172"/>
      <c r="O64" s="18"/>
      <c r="P64" s="168">
        <f>R64/Q64</f>
        <v>30.38</v>
      </c>
      <c r="Q64" s="172">
        <f>R64/30.38</f>
        <v>104.78472679394339</v>
      </c>
      <c r="R64" s="172">
        <v>3183.36</v>
      </c>
      <c r="S64" s="172"/>
      <c r="T64" s="18"/>
      <c r="U64" s="209">
        <f>W64/V64</f>
        <v>30.17508474576271</v>
      </c>
      <c r="V64" s="172">
        <v>118</v>
      </c>
      <c r="W64" s="172">
        <v>3560.66</v>
      </c>
      <c r="X64" s="172"/>
      <c r="Y64" s="172"/>
      <c r="Z64" s="3">
        <f>AB64/AA64</f>
        <v>30.369504132231405</v>
      </c>
      <c r="AA64" s="172">
        <v>121</v>
      </c>
      <c r="AB64" s="172">
        <v>3674.71</v>
      </c>
      <c r="AC64" s="172"/>
      <c r="AD64" s="172"/>
      <c r="AE64" s="3">
        <f>AG64/AF64</f>
        <v>30.546307692307693</v>
      </c>
      <c r="AF64" s="172">
        <v>130</v>
      </c>
      <c r="AG64" s="172">
        <v>3971.02</v>
      </c>
      <c r="AH64" s="172"/>
      <c r="AI64" s="172"/>
      <c r="AJ64" s="3">
        <f>AL64/AK64</f>
        <v>30.380000000000003</v>
      </c>
      <c r="AK64" s="172">
        <f>AL64/30.38</f>
        <v>153.06714944042133</v>
      </c>
      <c r="AL64" s="172">
        <v>4650.18</v>
      </c>
      <c r="AM64" s="172"/>
      <c r="AN64" s="172"/>
      <c r="AO64" s="3">
        <f>AQ64/AP64</f>
        <v>31.503454545454545</v>
      </c>
      <c r="AP64" s="172">
        <v>110</v>
      </c>
      <c r="AQ64" s="172">
        <v>3465.38</v>
      </c>
      <c r="AR64" s="172"/>
      <c r="AS64" s="172"/>
      <c r="AT64" s="3">
        <f>AV64/AU64</f>
        <v>31.528608695652174</v>
      </c>
      <c r="AU64" s="172">
        <v>115</v>
      </c>
      <c r="AV64" s="172">
        <v>3625.79</v>
      </c>
      <c r="AW64" s="172"/>
      <c r="AX64" s="172"/>
      <c r="AY64" s="3">
        <f>BA64/AZ64</f>
        <v>30.38</v>
      </c>
      <c r="AZ64" s="172">
        <f>BA64/30.38</f>
        <v>214.91310072416064</v>
      </c>
      <c r="BA64" s="172">
        <v>6529.06</v>
      </c>
      <c r="BB64" s="172"/>
      <c r="BC64" s="172"/>
      <c r="BD64" s="3">
        <f>BF64/BE64</f>
        <v>30.379999999999995</v>
      </c>
      <c r="BE64" s="172">
        <f>BF64/30.38</f>
        <v>136.38742593811719</v>
      </c>
      <c r="BF64" s="172">
        <v>4143.45</v>
      </c>
      <c r="BG64" s="172"/>
      <c r="BH64" s="172"/>
      <c r="BI64" s="3">
        <f>BK64/BJ64</f>
        <v>30.38</v>
      </c>
      <c r="BJ64" s="172">
        <f>BK64/30.38</f>
        <v>166.07801184990126</v>
      </c>
      <c r="BK64" s="541">
        <v>5045.45</v>
      </c>
      <c r="BL64" s="542"/>
      <c r="BM64" s="172"/>
      <c r="BN64" s="3">
        <f>BP64/BO64</f>
        <v>30.379350220264321</v>
      </c>
      <c r="BO64" s="172">
        <v>181.6</v>
      </c>
      <c r="BP64" s="172">
        <v>5516.89</v>
      </c>
      <c r="BQ64" s="172"/>
      <c r="BR64" s="172"/>
      <c r="BS64" s="3">
        <f>BU64/BT64</f>
        <v>30.38</v>
      </c>
      <c r="BT64" s="177">
        <f>BU64/30.38</f>
        <v>115.60631994733377</v>
      </c>
      <c r="BU64" s="177">
        <v>3512.12</v>
      </c>
      <c r="BV64" s="177"/>
      <c r="BW64" s="172"/>
      <c r="BX64" s="3">
        <f>BZ64/BY64</f>
        <v>30.38</v>
      </c>
      <c r="BY64" s="177">
        <f>BZ64/30.38</f>
        <v>115.60631994733377</v>
      </c>
      <c r="BZ64" s="177">
        <v>3512.12</v>
      </c>
      <c r="CA64" s="177"/>
      <c r="CB64" s="172"/>
      <c r="CC64" s="3">
        <f>CE64/CD64</f>
        <v>30.38</v>
      </c>
      <c r="CD64" s="177">
        <f>CE64/30.38</f>
        <v>115.60631994733377</v>
      </c>
      <c r="CE64" s="177">
        <v>3512.12</v>
      </c>
      <c r="CF64" s="177"/>
      <c r="CG64" s="172"/>
      <c r="CH64" s="3">
        <f>CJ64/CI64</f>
        <v>30.38</v>
      </c>
      <c r="CI64" s="177">
        <f>CJ64/30.38</f>
        <v>115.60631994733377</v>
      </c>
      <c r="CJ64" s="177">
        <v>3512.12</v>
      </c>
      <c r="CK64" s="177"/>
      <c r="CL64" s="172"/>
      <c r="CM64" s="3">
        <f>CO64/CN64</f>
        <v>30.38</v>
      </c>
      <c r="CN64" s="177">
        <f>CO64/30.38</f>
        <v>115.60631994733377</v>
      </c>
      <c r="CO64" s="177">
        <v>3512.12</v>
      </c>
      <c r="CP64" s="177"/>
      <c r="CQ64" s="172"/>
      <c r="CR64" s="3">
        <f>CT64/CS64</f>
        <v>30.38</v>
      </c>
      <c r="CS64" s="177">
        <f>CT64/30.38</f>
        <v>115.60631994733377</v>
      </c>
      <c r="CT64" s="177">
        <v>3512.12</v>
      </c>
      <c r="CU64" s="177"/>
      <c r="CV64" s="172"/>
      <c r="CW64" s="3">
        <f>CY64/CX64</f>
        <v>30.38</v>
      </c>
      <c r="CX64" s="177">
        <f>CY64/30.38</f>
        <v>115.60631994733377</v>
      </c>
      <c r="CY64" s="177">
        <v>3512.12</v>
      </c>
      <c r="CZ64" s="177"/>
      <c r="DA64" s="172"/>
    </row>
    <row r="65" spans="1:105" s="249" customFormat="1" ht="15" customHeight="1">
      <c r="A65" s="609" t="s">
        <v>304</v>
      </c>
      <c r="B65" s="5" t="s">
        <v>49</v>
      </c>
      <c r="C65" s="6" t="s">
        <v>25</v>
      </c>
      <c r="D65" s="7" t="s">
        <v>10</v>
      </c>
      <c r="E65" s="4"/>
      <c r="F65" s="196"/>
      <c r="G65" s="197"/>
      <c r="H65" s="197"/>
      <c r="I65" s="38"/>
      <c r="J65" s="206"/>
      <c r="K65" s="196"/>
      <c r="L65" s="197"/>
      <c r="M65" s="197"/>
      <c r="N65" s="38"/>
      <c r="O65" s="206"/>
      <c r="P65" s="196"/>
      <c r="Q65" s="197"/>
      <c r="R65" s="197"/>
      <c r="S65" s="38"/>
      <c r="T65" s="206"/>
      <c r="U65" s="207"/>
      <c r="V65" s="197"/>
      <c r="W65" s="204">
        <v>3289</v>
      </c>
      <c r="X65" s="38"/>
      <c r="Y65" s="383">
        <f>SUM(W65:W67)*1.1</f>
        <v>123425.48900000002</v>
      </c>
      <c r="Z65" s="36"/>
      <c r="AA65" s="197"/>
      <c r="AB65" s="197"/>
      <c r="AC65" s="38"/>
      <c r="AD65" s="383">
        <f>SUM(AB65:AB67)*1.1</f>
        <v>108251.231</v>
      </c>
      <c r="AE65" s="36"/>
      <c r="AF65" s="197"/>
      <c r="AG65" s="204">
        <v>1771</v>
      </c>
      <c r="AH65" s="38"/>
      <c r="AI65" s="383">
        <f>SUM(AG65:AG67)*1.1</f>
        <v>107204.24219999999</v>
      </c>
      <c r="AJ65" s="36"/>
      <c r="AK65" s="197"/>
      <c r="AL65" s="204">
        <v>1771</v>
      </c>
      <c r="AM65" s="38"/>
      <c r="AN65" s="383">
        <f>AN66*1.2</f>
        <v>137687.74799999999</v>
      </c>
      <c r="AO65" s="36"/>
      <c r="AP65" s="197"/>
      <c r="AQ65" s="197"/>
      <c r="AR65" s="38"/>
      <c r="AS65" s="383">
        <f>SUM(AQ65:AQ67)*1.1</f>
        <v>146356.848</v>
      </c>
      <c r="AT65" s="36"/>
      <c r="AU65" s="197"/>
      <c r="AV65" s="197"/>
      <c r="AW65" s="38"/>
      <c r="AX65" s="383">
        <f>SUM(AV65:AV67)*1.1</f>
        <v>162764.57999999999</v>
      </c>
      <c r="AY65" s="36"/>
      <c r="AZ65" s="197"/>
      <c r="BA65" s="197"/>
      <c r="BB65" s="38"/>
      <c r="BC65" s="383">
        <f>SUM(BA65:BA67)*1.1</f>
        <v>149687.967</v>
      </c>
      <c r="BD65" s="36"/>
      <c r="BE65" s="197"/>
      <c r="BF65" s="197"/>
      <c r="BG65" s="38"/>
      <c r="BH65" s="383">
        <f>SUM(BF65:BF67)*1.1</f>
        <v>143502.9816</v>
      </c>
      <c r="BI65" s="36"/>
      <c r="BJ65" s="197"/>
      <c r="BK65" s="197"/>
      <c r="BL65" s="38"/>
      <c r="BM65" s="383">
        <f>SUM(BK65:BK67)*1.1</f>
        <v>151008.01100000003</v>
      </c>
      <c r="BN65" s="36"/>
      <c r="BO65" s="197"/>
      <c r="BP65" s="197"/>
      <c r="BQ65" s="38"/>
      <c r="BR65" s="383">
        <f>SUM(BP65:BP67)*1.1</f>
        <v>146654.44200000001</v>
      </c>
      <c r="BS65" s="36"/>
      <c r="BT65" s="197"/>
      <c r="BU65" s="197"/>
      <c r="BV65" s="38"/>
      <c r="BW65" s="383">
        <f>SUM(BU65:BU67)*1.1</f>
        <v>163767.16399999999</v>
      </c>
      <c r="BX65" s="36"/>
      <c r="BY65" s="197"/>
      <c r="BZ65" s="197"/>
      <c r="CA65" s="38"/>
      <c r="CB65" s="383">
        <f>SUM(BZ65:BZ67)*1.1</f>
        <v>99528.589600000007</v>
      </c>
      <c r="CC65" s="36"/>
      <c r="CD65" s="197"/>
      <c r="CE65" s="197"/>
      <c r="CF65" s="38"/>
      <c r="CG65" s="383">
        <f>SUM(CE65:CE67)*1.1</f>
        <v>99528.589600000007</v>
      </c>
      <c r="CH65" s="36"/>
      <c r="CI65" s="197"/>
      <c r="CJ65" s="197"/>
      <c r="CK65" s="38"/>
      <c r="CL65" s="383">
        <f>SUM(CJ65:CJ67)*1.1</f>
        <v>99528.589600000007</v>
      </c>
      <c r="CM65" s="36"/>
      <c r="CN65" s="197"/>
      <c r="CO65" s="197"/>
      <c r="CP65" s="38"/>
      <c r="CQ65" s="383">
        <f>SUM(CO65:CO67)*1.1</f>
        <v>99528.589600000007</v>
      </c>
      <c r="CR65" s="36"/>
      <c r="CS65" s="197"/>
      <c r="CT65" s="197"/>
      <c r="CU65" s="38"/>
      <c r="CV65" s="383">
        <f>SUM(CT65:CT67)*1.1</f>
        <v>99528.589600000007</v>
      </c>
      <c r="CW65" s="36"/>
      <c r="CX65" s="197"/>
      <c r="CY65" s="197"/>
      <c r="CZ65" s="38"/>
      <c r="DA65" s="383">
        <f>SUM(CY65:CY67)*1.1</f>
        <v>99528.589600000007</v>
      </c>
    </row>
    <row r="66" spans="1:105" ht="15" customHeight="1">
      <c r="A66" s="256" t="s">
        <v>337</v>
      </c>
      <c r="B66" s="215">
        <v>32212775</v>
      </c>
      <c r="C66" s="45" t="s">
        <v>50</v>
      </c>
      <c r="D66" s="216" t="s">
        <v>13</v>
      </c>
      <c r="E66" s="22"/>
      <c r="F66" s="104">
        <f>H66/G66</f>
        <v>5.842319773656083</v>
      </c>
      <c r="G66" s="70">
        <v>15905</v>
      </c>
      <c r="H66" s="70">
        <f>1.2*(63460.95+13974.13)</f>
        <v>92922.096000000005</v>
      </c>
      <c r="I66" s="81"/>
      <c r="J66" s="88"/>
      <c r="K66" s="104">
        <f>M66/L66</f>
        <v>6.0346078479161589</v>
      </c>
      <c r="L66" s="70">
        <v>12309</v>
      </c>
      <c r="M66" s="70">
        <f>1.2*(12048.54+49851.45)</f>
        <v>74279.987999999998</v>
      </c>
      <c r="N66" s="81"/>
      <c r="O66" s="88"/>
      <c r="P66" s="104">
        <f>R66/Q66</f>
        <v>5.722607765822362</v>
      </c>
      <c r="Q66" s="70">
        <v>14963</v>
      </c>
      <c r="R66" s="70">
        <v>85627.38</v>
      </c>
      <c r="S66" s="81"/>
      <c r="T66" s="88"/>
      <c r="U66" s="115">
        <f>W66/V66</f>
        <v>5.8906077036032984</v>
      </c>
      <c r="V66" s="70">
        <v>17706</v>
      </c>
      <c r="W66" s="70">
        <v>104299.1</v>
      </c>
      <c r="X66" s="81"/>
      <c r="Y66" s="403">
        <f>SUM(W65:W67)*1</f>
        <v>112204.99</v>
      </c>
      <c r="Z66" s="92">
        <f>AB66/AA66</f>
        <v>5.4826078833172609</v>
      </c>
      <c r="AA66" s="70">
        <v>16592</v>
      </c>
      <c r="AB66" s="70">
        <v>90967.43</v>
      </c>
      <c r="AC66" s="81"/>
      <c r="AD66" s="403">
        <f>SUM(AB65:AB67)*1</f>
        <v>98410.209999999992</v>
      </c>
      <c r="AE66" s="92">
        <f>AG66/AF66</f>
        <v>5.446608051606737</v>
      </c>
      <c r="AF66" s="70">
        <v>16742</v>
      </c>
      <c r="AG66" s="70">
        <f>1.2*(59601.52+16387.74)</f>
        <v>91187.111999999994</v>
      </c>
      <c r="AH66" s="81"/>
      <c r="AI66" s="403">
        <f>SUM(AG65:AG67)*1</f>
        <v>97458.401999999987</v>
      </c>
      <c r="AJ66" s="92">
        <f>AL66/AK66</f>
        <v>5.940624161073826</v>
      </c>
      <c r="AK66" s="70">
        <v>17880</v>
      </c>
      <c r="AL66" s="70">
        <v>106218.36</v>
      </c>
      <c r="AM66" s="81"/>
      <c r="AN66" s="403">
        <f>SUM(AL65:AL67)*1</f>
        <v>114739.79000000001</v>
      </c>
      <c r="AO66" s="92">
        <f>AQ66/AP66</f>
        <v>6.864612115343232</v>
      </c>
      <c r="AP66" s="70">
        <v>18588</v>
      </c>
      <c r="AQ66" s="70">
        <v>127599.41</v>
      </c>
      <c r="AR66" s="81"/>
      <c r="AS66" s="403">
        <f>SUM(AQ65:AQ67)*1</f>
        <v>133051.68</v>
      </c>
      <c r="AT66" s="92">
        <f>AV66/AU66</f>
        <v>7.4406121916879595</v>
      </c>
      <c r="AU66" s="70">
        <v>19177</v>
      </c>
      <c r="AV66" s="70">
        <v>142688.62</v>
      </c>
      <c r="AW66" s="81"/>
      <c r="AX66" s="403">
        <f>SUM(AV65:AV67)*1</f>
        <v>147967.79999999999</v>
      </c>
      <c r="AY66" s="92">
        <f>BA66/AZ66</f>
        <v>7.4286119094148759</v>
      </c>
      <c r="AZ66" s="70">
        <v>17398</v>
      </c>
      <c r="BA66" s="70">
        <v>129242.99</v>
      </c>
      <c r="BB66" s="81"/>
      <c r="BC66" s="403">
        <f>SUM(BA65:BA67)*1</f>
        <v>136079.97</v>
      </c>
      <c r="BD66" s="92">
        <f>BF66/BE66</f>
        <v>7.6086116878572261</v>
      </c>
      <c r="BE66" s="74">
        <v>17146</v>
      </c>
      <c r="BF66" s="74">
        <f>1.2*(83843.94+24870.44)</f>
        <v>130457.25599999999</v>
      </c>
      <c r="BG66" s="81"/>
      <c r="BH66" s="403">
        <f>SUM(BF65:BF67)*1</f>
        <v>130457.25599999999</v>
      </c>
      <c r="BI66" s="92">
        <f>BK66/BJ66</f>
        <v>7.8380158730158733</v>
      </c>
      <c r="BJ66" s="70">
        <v>17514</v>
      </c>
      <c r="BK66" s="70">
        <v>137275.01</v>
      </c>
      <c r="BL66" s="81"/>
      <c r="BM66" s="403">
        <f>SUM(BK65:BK67)*1</f>
        <v>137280.01</v>
      </c>
      <c r="BN66" s="92">
        <f>BP66/BO66</f>
        <v>7.2802924960826418</v>
      </c>
      <c r="BO66" s="70">
        <v>17231</v>
      </c>
      <c r="BP66" s="70">
        <v>125446.72</v>
      </c>
      <c r="BQ66" s="44"/>
      <c r="BR66" s="403">
        <f>SUM(BP65:BP67)*1</f>
        <v>133322.22</v>
      </c>
      <c r="BS66" s="92">
        <f>BU66/BT66</f>
        <v>7.6692004131108336</v>
      </c>
      <c r="BT66" s="70">
        <v>18397</v>
      </c>
      <c r="BU66" s="70">
        <v>141090.28</v>
      </c>
      <c r="BV66" s="81"/>
      <c r="BW66" s="403">
        <f>SUM(BU65:BU67)*1</f>
        <v>148879.24</v>
      </c>
      <c r="BX66" s="92">
        <f>BZ66/BY66</f>
        <v>5.1223198777104679</v>
      </c>
      <c r="BY66" s="62">
        <v>17663</v>
      </c>
      <c r="BZ66" s="62">
        <f>1.2*(59877.57+15518.71)</f>
        <v>90475.535999999993</v>
      </c>
      <c r="CA66" s="44"/>
      <c r="CB66" s="403">
        <f>SUM(BZ65:BZ67)*1</f>
        <v>90480.535999999993</v>
      </c>
      <c r="CC66" s="92">
        <f>CE66/CD66</f>
        <v>5.1223198777104679</v>
      </c>
      <c r="CD66" s="62">
        <v>17663</v>
      </c>
      <c r="CE66" s="62">
        <f>1.2*(59877.57+15518.71)</f>
        <v>90475.535999999993</v>
      </c>
      <c r="CF66" s="44"/>
      <c r="CG66" s="403">
        <f>SUM(CE65:CE67)*1</f>
        <v>90480.535999999993</v>
      </c>
      <c r="CH66" s="92">
        <f>CJ66/CI66</f>
        <v>5.1223198777104679</v>
      </c>
      <c r="CI66" s="62">
        <v>17663</v>
      </c>
      <c r="CJ66" s="62">
        <f>1.2*(59877.57+15518.71)</f>
        <v>90475.535999999993</v>
      </c>
      <c r="CK66" s="44"/>
      <c r="CL66" s="403">
        <f>SUM(CJ65:CJ67)*1</f>
        <v>90480.535999999993</v>
      </c>
      <c r="CM66" s="92">
        <f>CO66/CN66</f>
        <v>5.1223198777104679</v>
      </c>
      <c r="CN66" s="62">
        <v>17663</v>
      </c>
      <c r="CO66" s="62">
        <f>1.2*(59877.57+15518.71)</f>
        <v>90475.535999999993</v>
      </c>
      <c r="CP66" s="44"/>
      <c r="CQ66" s="403">
        <f>SUM(CO65:CO67)*1</f>
        <v>90480.535999999993</v>
      </c>
      <c r="CR66" s="92">
        <f>CT66/CS66</f>
        <v>5.1223198777104679</v>
      </c>
      <c r="CS66" s="62">
        <v>17663</v>
      </c>
      <c r="CT66" s="62">
        <f>1.2*(59877.57+15518.71)</f>
        <v>90475.535999999993</v>
      </c>
      <c r="CU66" s="44"/>
      <c r="CV66" s="403">
        <f>SUM(CT65:CT67)*1</f>
        <v>90480.535999999993</v>
      </c>
      <c r="CW66" s="92">
        <f>CY66/CX66</f>
        <v>5.1223198777104679</v>
      </c>
      <c r="CX66" s="62">
        <v>17663</v>
      </c>
      <c r="CY66" s="62">
        <f>1.2*(59877.57+15518.71)</f>
        <v>90475.535999999993</v>
      </c>
      <c r="CZ66" s="44"/>
      <c r="DA66" s="403">
        <f>SUM(CY65:CY67)*1</f>
        <v>90480.535999999993</v>
      </c>
    </row>
    <row r="67" spans="1:105" s="264" customFormat="1" ht="15" customHeight="1" thickBot="1">
      <c r="A67" s="257"/>
      <c r="B67" s="258">
        <v>30687118</v>
      </c>
      <c r="C67" s="20" t="s">
        <v>202</v>
      </c>
      <c r="D67" s="259" t="s">
        <v>17</v>
      </c>
      <c r="E67" s="23"/>
      <c r="F67" s="168">
        <f>H67/G67</f>
        <v>62.387941176470591</v>
      </c>
      <c r="G67" s="170">
        <v>68</v>
      </c>
      <c r="H67" s="170">
        <v>4242.38</v>
      </c>
      <c r="I67" s="179"/>
      <c r="J67" s="182"/>
      <c r="K67" s="168">
        <f>M67/L67</f>
        <v>62.388000000000005</v>
      </c>
      <c r="L67" s="170">
        <v>55</v>
      </c>
      <c r="M67" s="170">
        <v>3431.34</v>
      </c>
      <c r="N67" s="179"/>
      <c r="O67" s="182"/>
      <c r="P67" s="168"/>
      <c r="Q67" s="170">
        <v>31</v>
      </c>
      <c r="R67" s="170">
        <v>4616.8900000000003</v>
      </c>
      <c r="S67" s="179"/>
      <c r="T67" s="182"/>
      <c r="U67" s="209">
        <f>W67/V67</f>
        <v>74.465967741935486</v>
      </c>
      <c r="V67" s="170">
        <v>62</v>
      </c>
      <c r="W67" s="170">
        <v>4616.8900000000003</v>
      </c>
      <c r="X67" s="179"/>
      <c r="Y67" s="179"/>
      <c r="Z67" s="3">
        <f>AB67/AA67</f>
        <v>86.543953488372097</v>
      </c>
      <c r="AA67" s="170">
        <v>86</v>
      </c>
      <c r="AB67" s="170">
        <v>7442.78</v>
      </c>
      <c r="AC67" s="179"/>
      <c r="AD67" s="179"/>
      <c r="AE67" s="3">
        <f>AG67/AF67</f>
        <v>86.544038461538463</v>
      </c>
      <c r="AF67" s="170">
        <v>52</v>
      </c>
      <c r="AG67" s="170">
        <v>4500.29</v>
      </c>
      <c r="AH67" s="179"/>
      <c r="AI67" s="179"/>
      <c r="AJ67" s="3">
        <f>AL67/AK67</f>
        <v>86.543974358974367</v>
      </c>
      <c r="AK67" s="170">
        <v>78</v>
      </c>
      <c r="AL67" s="170">
        <v>6750.43</v>
      </c>
      <c r="AM67" s="179"/>
      <c r="AN67" s="179"/>
      <c r="AO67" s="3">
        <f>AQ67/AP67</f>
        <v>86.543968253968259</v>
      </c>
      <c r="AP67" s="170">
        <v>63</v>
      </c>
      <c r="AQ67" s="170">
        <v>5452.27</v>
      </c>
      <c r="AR67" s="179"/>
      <c r="AS67" s="179"/>
      <c r="AT67" s="3">
        <f>AV67/AU67</f>
        <v>86.543934426229512</v>
      </c>
      <c r="AU67" s="170">
        <v>61</v>
      </c>
      <c r="AV67" s="170">
        <v>5279.18</v>
      </c>
      <c r="AW67" s="179"/>
      <c r="AX67" s="179"/>
      <c r="AY67" s="3">
        <f>BA67/AZ67</f>
        <v>86.544050632911393</v>
      </c>
      <c r="AZ67" s="170">
        <v>79</v>
      </c>
      <c r="BA67" s="170">
        <v>6836.98</v>
      </c>
      <c r="BB67" s="179"/>
      <c r="BC67" s="179"/>
      <c r="BD67" s="3" t="e">
        <f>BF67/BE67</f>
        <v>#VALUE!</v>
      </c>
      <c r="BE67" s="170">
        <v>80</v>
      </c>
      <c r="BF67" s="506" t="s">
        <v>374</v>
      </c>
      <c r="BG67" s="179"/>
      <c r="BH67" s="179"/>
      <c r="BI67" s="3">
        <f>BK67/BJ67</f>
        <v>0.11627906976744186</v>
      </c>
      <c r="BJ67" s="169">
        <v>43</v>
      </c>
      <c r="BK67" s="169">
        <v>5</v>
      </c>
      <c r="BL67" s="48"/>
      <c r="BM67" s="179"/>
      <c r="BN67" s="3">
        <f>BP67/BO67</f>
        <v>86.543956043956044</v>
      </c>
      <c r="BO67" s="170">
        <v>91</v>
      </c>
      <c r="BP67" s="170">
        <v>7875.5</v>
      </c>
      <c r="BQ67" s="179"/>
      <c r="BR67" s="179"/>
      <c r="BS67" s="3">
        <f>BU67/BT67</f>
        <v>86.543999999999997</v>
      </c>
      <c r="BT67" s="170">
        <v>90</v>
      </c>
      <c r="BU67" s="170">
        <v>7788.96</v>
      </c>
      <c r="BV67" s="179"/>
      <c r="BW67" s="179"/>
      <c r="BX67" s="3">
        <f>BZ67/BY67</f>
        <v>0.11627906976744186</v>
      </c>
      <c r="BY67" s="169">
        <v>43</v>
      </c>
      <c r="BZ67" s="169">
        <v>5</v>
      </c>
      <c r="CA67" s="48"/>
      <c r="CB67" s="179"/>
      <c r="CC67" s="3">
        <f>CE67/CD67</f>
        <v>0.11627906976744186</v>
      </c>
      <c r="CD67" s="169">
        <v>43</v>
      </c>
      <c r="CE67" s="169">
        <v>5</v>
      </c>
      <c r="CF67" s="48"/>
      <c r="CG67" s="179"/>
      <c r="CH67" s="3">
        <f>CJ67/CI67</f>
        <v>0.11627906976744186</v>
      </c>
      <c r="CI67" s="169">
        <v>43</v>
      </c>
      <c r="CJ67" s="169">
        <v>5</v>
      </c>
      <c r="CK67" s="48"/>
      <c r="CL67" s="179"/>
      <c r="CM67" s="3">
        <f>CO67/CN67</f>
        <v>0.11627906976744186</v>
      </c>
      <c r="CN67" s="169">
        <v>43</v>
      </c>
      <c r="CO67" s="169">
        <v>5</v>
      </c>
      <c r="CP67" s="48"/>
      <c r="CQ67" s="179"/>
      <c r="CR67" s="3">
        <f>CT67/CS67</f>
        <v>0.11627906976744186</v>
      </c>
      <c r="CS67" s="169">
        <v>43</v>
      </c>
      <c r="CT67" s="169">
        <v>5</v>
      </c>
      <c r="CU67" s="48"/>
      <c r="CV67" s="179"/>
      <c r="CW67" s="3">
        <f>CY67/CX67</f>
        <v>0.11627906976744186</v>
      </c>
      <c r="CX67" s="169">
        <v>43</v>
      </c>
      <c r="CY67" s="169">
        <v>5</v>
      </c>
      <c r="CZ67" s="48"/>
      <c r="DA67" s="179"/>
    </row>
    <row r="68" spans="1:105" s="249" customFormat="1" ht="15" customHeight="1">
      <c r="A68" s="265" t="s">
        <v>305</v>
      </c>
      <c r="B68" s="5" t="s">
        <v>51</v>
      </c>
      <c r="C68" s="6" t="s">
        <v>19</v>
      </c>
      <c r="D68" s="7" t="s">
        <v>10</v>
      </c>
      <c r="E68" s="4"/>
      <c r="F68" s="196"/>
      <c r="G68" s="197"/>
      <c r="H68" s="197"/>
      <c r="I68" s="38"/>
      <c r="J68" s="206"/>
      <c r="K68" s="196"/>
      <c r="L68" s="197"/>
      <c r="M68" s="197"/>
      <c r="N68" s="38"/>
      <c r="O68" s="206"/>
      <c r="P68" s="196"/>
      <c r="Q68" s="197"/>
      <c r="R68" s="197"/>
      <c r="S68" s="38"/>
      <c r="T68" s="206"/>
      <c r="U68" s="207"/>
      <c r="V68" s="197"/>
      <c r="W68" s="204">
        <v>2211</v>
      </c>
      <c r="X68" s="38"/>
      <c r="Y68" s="383">
        <f>SUM(W68:W72)*1.1</f>
        <v>113247.20000000001</v>
      </c>
      <c r="Z68" s="36"/>
      <c r="AA68" s="197"/>
      <c r="AB68" s="197"/>
      <c r="AC68" s="38"/>
      <c r="AD68" s="383">
        <f>SUM(AB68:AB72)*1.1</f>
        <v>112196.018</v>
      </c>
      <c r="AE68" s="36"/>
      <c r="AF68" s="197"/>
      <c r="AG68" s="204">
        <v>2211</v>
      </c>
      <c r="AH68" s="38"/>
      <c r="AI68" s="383">
        <f>SUM(AG68:AG72)*1.1</f>
        <v>107102.40200000002</v>
      </c>
      <c r="AJ68" s="36"/>
      <c r="AK68" s="197"/>
      <c r="AL68" s="204">
        <v>1769</v>
      </c>
      <c r="AM68" s="38"/>
      <c r="AN68" s="383">
        <f>AN69*1.2</f>
        <v>133473.35999999999</v>
      </c>
      <c r="AO68" s="36"/>
      <c r="AP68" s="197"/>
      <c r="AQ68" s="204">
        <v>1769</v>
      </c>
      <c r="AR68" s="38"/>
      <c r="AS68" s="383">
        <f>SUM(AQ68:AQ72)*1.1</f>
        <v>142492.46</v>
      </c>
      <c r="AT68" s="36"/>
      <c r="AU68" s="197"/>
      <c r="AV68" s="197"/>
      <c r="AW68" s="38"/>
      <c r="AX68" s="383">
        <f>SUM(AV68:AV72)*1.1</f>
        <v>163428.595</v>
      </c>
      <c r="AY68" s="36"/>
      <c r="AZ68" s="197"/>
      <c r="BA68" s="197"/>
      <c r="BB68" s="38"/>
      <c r="BC68" s="383">
        <f>SUM(BA68:BA72)*1.1</f>
        <v>161806.139</v>
      </c>
      <c r="BD68" s="36"/>
      <c r="BE68" s="197"/>
      <c r="BF68" s="197"/>
      <c r="BG68" s="38"/>
      <c r="BH68" s="383">
        <f>SUM(BF68:BF72)*1.1</f>
        <v>147748.41399999999</v>
      </c>
      <c r="BI68" s="36"/>
      <c r="BJ68" s="197"/>
      <c r="BK68" s="197"/>
      <c r="BL68" s="38"/>
      <c r="BM68" s="383">
        <f>SUM(BK68:BK72)*1.1</f>
        <v>157973.55200000003</v>
      </c>
      <c r="BN68" s="36"/>
      <c r="BO68" s="197"/>
      <c r="BP68" s="197"/>
      <c r="BQ68" s="38"/>
      <c r="BR68" s="383">
        <f>SUM(BP68:BP72)*1.1</f>
        <v>167296.38200000001</v>
      </c>
      <c r="BS68" s="36"/>
      <c r="BT68" s="197"/>
      <c r="BU68" s="197"/>
      <c r="BV68" s="38"/>
      <c r="BW68" s="383">
        <f>SUM(BU68:BU72)*1.1</f>
        <v>178834.65600000002</v>
      </c>
      <c r="BX68" s="36"/>
      <c r="BY68" s="197"/>
      <c r="BZ68" s="197"/>
      <c r="CA68" s="38"/>
      <c r="CB68" s="383">
        <f>SUM(BZ68:BZ72)*1.1</f>
        <v>75968.321000000011</v>
      </c>
      <c r="CC68" s="36"/>
      <c r="CD68" s="197"/>
      <c r="CE68" s="197"/>
      <c r="CF68" s="38"/>
      <c r="CG68" s="383">
        <f>SUM(CE68:CE72)*1.1</f>
        <v>75968.321000000011</v>
      </c>
      <c r="CH68" s="36"/>
      <c r="CI68" s="197"/>
      <c r="CJ68" s="197"/>
      <c r="CK68" s="38"/>
      <c r="CL68" s="383">
        <f>SUM(CJ68:CJ72)*1.1</f>
        <v>75968.321000000011</v>
      </c>
      <c r="CM68" s="36"/>
      <c r="CN68" s="197"/>
      <c r="CO68" s="197"/>
      <c r="CP68" s="38"/>
      <c r="CQ68" s="383">
        <f>SUM(CO68:CO72)*1.1</f>
        <v>75968.321000000011</v>
      </c>
      <c r="CR68" s="36"/>
      <c r="CS68" s="197"/>
      <c r="CT68" s="197"/>
      <c r="CU68" s="38"/>
      <c r="CV68" s="383">
        <f>SUM(CT68:CT72)*1.1</f>
        <v>75968.321000000011</v>
      </c>
      <c r="CW68" s="36"/>
      <c r="CX68" s="197"/>
      <c r="CY68" s="197"/>
      <c r="CZ68" s="38"/>
      <c r="DA68" s="383">
        <f>SUM(CY68:CY72)*1.1</f>
        <v>75968.321000000011</v>
      </c>
    </row>
    <row r="69" spans="1:105" ht="15" customHeight="1">
      <c r="A69" s="256"/>
      <c r="B69" s="215">
        <v>41305755</v>
      </c>
      <c r="C69" s="45" t="s">
        <v>52</v>
      </c>
      <c r="D69" s="216" t="s">
        <v>11</v>
      </c>
      <c r="E69" s="22"/>
      <c r="F69" s="103">
        <f>H69/G69</f>
        <v>9.1199968384445143</v>
      </c>
      <c r="G69" s="69">
        <v>632.6</v>
      </c>
      <c r="H69" s="70">
        <v>5769.31</v>
      </c>
      <c r="I69" s="81"/>
      <c r="J69" s="88"/>
      <c r="K69" s="103">
        <f>M69/L69</f>
        <v>9.1600063231109701</v>
      </c>
      <c r="L69" s="69">
        <v>632.6</v>
      </c>
      <c r="M69" s="70">
        <v>5794.62</v>
      </c>
      <c r="N69" s="81"/>
      <c r="O69" s="88"/>
      <c r="P69" s="103">
        <f>R69/Q69</f>
        <v>9.0100063231109697</v>
      </c>
      <c r="Q69" s="69">
        <v>632.6</v>
      </c>
      <c r="R69" s="70">
        <v>5699.73</v>
      </c>
      <c r="S69" s="81"/>
      <c r="T69" s="88"/>
      <c r="U69" s="47">
        <f>W69/V69</f>
        <v>9.1199968384445143</v>
      </c>
      <c r="V69" s="69">
        <v>632.6</v>
      </c>
      <c r="W69" s="70">
        <v>5769.31</v>
      </c>
      <c r="X69" s="81"/>
      <c r="Y69" s="403">
        <f>SUM(W68:W72)*1</f>
        <v>102952</v>
      </c>
      <c r="Z69" s="46">
        <f>AB69/AA69</f>
        <v>9.419996838444515</v>
      </c>
      <c r="AA69" s="69">
        <v>632.6</v>
      </c>
      <c r="AB69" s="70">
        <v>5959.09</v>
      </c>
      <c r="AC69" s="81"/>
      <c r="AD69" s="403">
        <f>SUM(AB68:AB72)*1</f>
        <v>101996.37999999999</v>
      </c>
      <c r="AE69" s="46">
        <f>AG69/AF69</f>
        <v>9.2899936768890292</v>
      </c>
      <c r="AF69" s="69">
        <v>632.6</v>
      </c>
      <c r="AG69" s="70">
        <v>5876.85</v>
      </c>
      <c r="AH69" s="81"/>
      <c r="AI69" s="403">
        <f>SUM(AG68:AG72)*1</f>
        <v>97365.82</v>
      </c>
      <c r="AJ69" s="46">
        <f>AL69/AK69</f>
        <v>9.25</v>
      </c>
      <c r="AK69" s="69">
        <v>632.6</v>
      </c>
      <c r="AL69" s="70">
        <v>5851.55</v>
      </c>
      <c r="AM69" s="81"/>
      <c r="AN69" s="403">
        <f>SUM(AL68:AL72)*1</f>
        <v>111227.8</v>
      </c>
      <c r="AO69" s="46">
        <f>AQ69/AP69</f>
        <v>9.419996838444515</v>
      </c>
      <c r="AP69" s="69">
        <v>632.6</v>
      </c>
      <c r="AQ69" s="70">
        <v>5959.09</v>
      </c>
      <c r="AR69" s="81"/>
      <c r="AS69" s="403">
        <f>SUM(AQ68:AQ72)*1</f>
        <v>129538.59999999999</v>
      </c>
      <c r="AT69" s="46">
        <f>AV69/AU69</f>
        <v>8.830003161555485</v>
      </c>
      <c r="AU69" s="69">
        <v>632.6</v>
      </c>
      <c r="AV69" s="70">
        <v>5585.86</v>
      </c>
      <c r="AW69" s="81"/>
      <c r="AX69" s="403">
        <f>SUM(AV68:AV72)*1</f>
        <v>148571.44999999998</v>
      </c>
      <c r="AY69" s="46">
        <f>BA69/AZ69</f>
        <v>9.1100063231109694</v>
      </c>
      <c r="AZ69" s="69">
        <v>632.6</v>
      </c>
      <c r="BA69" s="70">
        <v>5762.99</v>
      </c>
      <c r="BB69" s="81"/>
      <c r="BC69" s="403">
        <f>SUM(BA68:BA72)*1</f>
        <v>147096.49</v>
      </c>
      <c r="BD69" s="46">
        <f>BF69/BE69</f>
        <v>9.9699968384445157</v>
      </c>
      <c r="BE69" s="69">
        <v>632.6</v>
      </c>
      <c r="BF69" s="70">
        <v>6307.02</v>
      </c>
      <c r="BG69" s="81"/>
      <c r="BH69" s="403">
        <f>SUM(BF68:BF72)*1</f>
        <v>134316.74</v>
      </c>
      <c r="BI69" s="46">
        <f>BK69/BJ69</f>
        <v>10.01000632311097</v>
      </c>
      <c r="BJ69" s="69">
        <v>632.6</v>
      </c>
      <c r="BK69" s="70">
        <v>6332.33</v>
      </c>
      <c r="BL69" s="81"/>
      <c r="BM69" s="403">
        <f>SUM(BK68:BK72)*1</f>
        <v>143612.32</v>
      </c>
      <c r="BN69" s="46">
        <f>BP69/BO69</f>
        <v>10.139993676889029</v>
      </c>
      <c r="BO69" s="69">
        <v>632.6</v>
      </c>
      <c r="BP69" s="70">
        <v>6414.56</v>
      </c>
      <c r="BQ69" s="81"/>
      <c r="BR69" s="403">
        <f>SUM(BP68:BP72)*1</f>
        <v>152087.62</v>
      </c>
      <c r="BS69" s="46">
        <f>BU69/BT69</f>
        <v>10.06000632311097</v>
      </c>
      <c r="BT69" s="69">
        <v>632.6</v>
      </c>
      <c r="BU69" s="70">
        <v>6363.96</v>
      </c>
      <c r="BV69" s="81"/>
      <c r="BW69" s="403">
        <f>SUM(BU68:BU72)*1</f>
        <v>162576.95999999999</v>
      </c>
      <c r="BX69" s="46">
        <f>BZ69/BY69</f>
        <v>9.1199968384445143</v>
      </c>
      <c r="BY69" s="58">
        <v>632.6</v>
      </c>
      <c r="BZ69" s="62">
        <v>5769.31</v>
      </c>
      <c r="CA69" s="44"/>
      <c r="CB69" s="403">
        <f>SUM(BZ68:BZ72)*1</f>
        <v>69062.11</v>
      </c>
      <c r="CC69" s="46">
        <f>CE69/CD69</f>
        <v>9.1199968384445143</v>
      </c>
      <c r="CD69" s="58">
        <v>632.6</v>
      </c>
      <c r="CE69" s="62">
        <v>5769.31</v>
      </c>
      <c r="CF69" s="44"/>
      <c r="CG69" s="403">
        <f>SUM(CE68:CE72)*1</f>
        <v>69062.11</v>
      </c>
      <c r="CH69" s="46">
        <f>CJ69/CI69</f>
        <v>9.1199968384445143</v>
      </c>
      <c r="CI69" s="58">
        <v>632.6</v>
      </c>
      <c r="CJ69" s="62">
        <v>5769.31</v>
      </c>
      <c r="CK69" s="44"/>
      <c r="CL69" s="403">
        <f>SUM(CJ68:CJ72)*1</f>
        <v>69062.11</v>
      </c>
      <c r="CM69" s="46">
        <f>CO69/CN69</f>
        <v>9.1199968384445143</v>
      </c>
      <c r="CN69" s="58">
        <v>632.6</v>
      </c>
      <c r="CO69" s="62">
        <v>5769.31</v>
      </c>
      <c r="CP69" s="44"/>
      <c r="CQ69" s="403">
        <f>SUM(CO68:CO72)*1</f>
        <v>69062.11</v>
      </c>
      <c r="CR69" s="46">
        <f>CT69/CS69</f>
        <v>9.1199968384445143</v>
      </c>
      <c r="CS69" s="58">
        <v>632.6</v>
      </c>
      <c r="CT69" s="62">
        <v>5769.31</v>
      </c>
      <c r="CU69" s="44"/>
      <c r="CV69" s="403">
        <f>SUM(CT68:CT72)*1</f>
        <v>69062.11</v>
      </c>
      <c r="CW69" s="46">
        <f>CY69/CX69</f>
        <v>9.1199968384445143</v>
      </c>
      <c r="CX69" s="58">
        <v>632.6</v>
      </c>
      <c r="CY69" s="62">
        <v>5769.31</v>
      </c>
      <c r="CZ69" s="44"/>
      <c r="DA69" s="403">
        <f>SUM(CY68:CY72)*1</f>
        <v>69062.11</v>
      </c>
    </row>
    <row r="70" spans="1:105" ht="15" customHeight="1">
      <c r="A70" s="256"/>
      <c r="B70" s="215"/>
      <c r="C70" s="45" t="s">
        <v>52</v>
      </c>
      <c r="D70" s="216" t="s">
        <v>53</v>
      </c>
      <c r="E70" s="22"/>
      <c r="F70" s="103"/>
      <c r="G70" s="56">
        <v>0</v>
      </c>
      <c r="H70" s="56">
        <v>0</v>
      </c>
      <c r="I70" s="44"/>
      <c r="J70" s="86"/>
      <c r="K70" s="103"/>
      <c r="L70" s="56">
        <v>0</v>
      </c>
      <c r="M70" s="56">
        <v>0</v>
      </c>
      <c r="N70" s="44"/>
      <c r="O70" s="86"/>
      <c r="P70" s="103"/>
      <c r="Q70" s="56">
        <v>0</v>
      </c>
      <c r="R70" s="56">
        <v>0</v>
      </c>
      <c r="S70" s="44"/>
      <c r="T70" s="86"/>
      <c r="U70" s="47"/>
      <c r="V70" s="56">
        <v>1</v>
      </c>
      <c r="W70" s="56">
        <v>0</v>
      </c>
      <c r="X70" s="44"/>
      <c r="Y70" s="44"/>
      <c r="Z70" s="46"/>
      <c r="AA70" s="56">
        <v>1</v>
      </c>
      <c r="AB70" s="56">
        <v>0</v>
      </c>
      <c r="AC70" s="44"/>
      <c r="AD70" s="44"/>
      <c r="AE70" s="46"/>
      <c r="AF70" s="56">
        <v>1</v>
      </c>
      <c r="AG70" s="56">
        <v>0</v>
      </c>
      <c r="AH70" s="44"/>
      <c r="AI70" s="44"/>
      <c r="AJ70" s="46"/>
      <c r="AK70" s="128">
        <v>1</v>
      </c>
      <c r="AL70" s="128">
        <v>0</v>
      </c>
      <c r="AM70" s="81"/>
      <c r="AN70" s="81"/>
      <c r="AO70" s="46"/>
      <c r="AP70" s="128">
        <v>0</v>
      </c>
      <c r="AQ70" s="128">
        <v>0</v>
      </c>
      <c r="AR70" s="81"/>
      <c r="AS70" s="44"/>
      <c r="AT70" s="46"/>
      <c r="AU70" s="128">
        <v>0</v>
      </c>
      <c r="AV70" s="128">
        <v>0</v>
      </c>
      <c r="AW70" s="81"/>
      <c r="AX70" s="44"/>
      <c r="AY70" s="46"/>
      <c r="AZ70" s="56">
        <v>1</v>
      </c>
      <c r="BA70" s="56">
        <v>0</v>
      </c>
      <c r="BB70" s="44"/>
      <c r="BC70" s="44"/>
      <c r="BD70" s="46"/>
      <c r="BE70" s="128">
        <v>1</v>
      </c>
      <c r="BF70" s="128">
        <v>0</v>
      </c>
      <c r="BG70" s="81"/>
      <c r="BH70" s="44"/>
      <c r="BI70" s="46"/>
      <c r="BJ70" s="128">
        <v>1</v>
      </c>
      <c r="BK70" s="128">
        <v>0</v>
      </c>
      <c r="BL70" s="81"/>
      <c r="BM70" s="44"/>
      <c r="BN70" s="46"/>
      <c r="BO70" s="128">
        <v>1</v>
      </c>
      <c r="BP70" s="128">
        <v>0</v>
      </c>
      <c r="BQ70" s="81"/>
      <c r="BR70" s="44"/>
      <c r="BS70" s="46"/>
      <c r="BT70" s="128">
        <v>1</v>
      </c>
      <c r="BU70" s="128">
        <v>0</v>
      </c>
      <c r="BV70" s="81"/>
      <c r="BW70" s="44"/>
      <c r="BX70" s="46"/>
      <c r="BY70" s="56">
        <v>1</v>
      </c>
      <c r="BZ70" s="56">
        <v>0</v>
      </c>
      <c r="CA70" s="44"/>
      <c r="CB70" s="44"/>
      <c r="CC70" s="46"/>
      <c r="CD70" s="56">
        <v>1</v>
      </c>
      <c r="CE70" s="56">
        <v>0</v>
      </c>
      <c r="CF70" s="44"/>
      <c r="CG70" s="44"/>
      <c r="CH70" s="46"/>
      <c r="CI70" s="56">
        <v>1</v>
      </c>
      <c r="CJ70" s="56">
        <v>0</v>
      </c>
      <c r="CK70" s="44"/>
      <c r="CL70" s="44"/>
      <c r="CM70" s="46"/>
      <c r="CN70" s="56">
        <v>1</v>
      </c>
      <c r="CO70" s="56">
        <v>0</v>
      </c>
      <c r="CP70" s="44"/>
      <c r="CQ70" s="44"/>
      <c r="CR70" s="46"/>
      <c r="CS70" s="56">
        <v>1</v>
      </c>
      <c r="CT70" s="56">
        <v>0</v>
      </c>
      <c r="CU70" s="44"/>
      <c r="CV70" s="44"/>
      <c r="CW70" s="46"/>
      <c r="CX70" s="56">
        <v>1</v>
      </c>
      <c r="CY70" s="56">
        <v>0</v>
      </c>
      <c r="CZ70" s="44"/>
      <c r="DA70" s="44"/>
    </row>
    <row r="71" spans="1:105" ht="15" customHeight="1">
      <c r="A71" s="256" t="s">
        <v>333</v>
      </c>
      <c r="B71" s="215"/>
      <c r="C71" s="45" t="s">
        <v>52</v>
      </c>
      <c r="D71" s="216" t="s">
        <v>13</v>
      </c>
      <c r="E71" s="22"/>
      <c r="F71" s="104">
        <f>H71/G71</f>
        <v>5.345604015230184</v>
      </c>
      <c r="G71" s="69">
        <v>11556</v>
      </c>
      <c r="H71" s="70">
        <v>61773.8</v>
      </c>
      <c r="I71" s="81"/>
      <c r="J71" s="88"/>
      <c r="K71" s="104">
        <f>M71/L71</f>
        <v>5.4421201582105834</v>
      </c>
      <c r="L71" s="69">
        <v>14664</v>
      </c>
      <c r="M71" s="70">
        <v>79803.25</v>
      </c>
      <c r="N71" s="81"/>
      <c r="O71" s="88"/>
      <c r="P71" s="104">
        <f>R71/Q71</f>
        <v>5.4227758924082456</v>
      </c>
      <c r="Q71" s="69">
        <v>15912</v>
      </c>
      <c r="R71" s="70">
        <v>86287.21</v>
      </c>
      <c r="S71" s="81"/>
      <c r="T71" s="88"/>
      <c r="U71" s="115">
        <f>W71/V71</f>
        <v>5.3173320659062107</v>
      </c>
      <c r="V71" s="69">
        <v>17358</v>
      </c>
      <c r="W71" s="70">
        <v>92298.25</v>
      </c>
      <c r="X71" s="81"/>
      <c r="Y71" s="81"/>
      <c r="Z71" s="92">
        <f>AB71/AA71</f>
        <v>5.1471121731487584</v>
      </c>
      <c r="AA71" s="69">
        <v>18204</v>
      </c>
      <c r="AB71" s="70">
        <v>93698.03</v>
      </c>
      <c r="AC71" s="81"/>
      <c r="AD71" s="81"/>
      <c r="AE71" s="92">
        <f>AG71/AF71</f>
        <v>4.9689001488606435</v>
      </c>
      <c r="AF71" s="69">
        <v>17466</v>
      </c>
      <c r="AG71" s="70">
        <v>86786.81</v>
      </c>
      <c r="AH71" s="81"/>
      <c r="AI71" s="81"/>
      <c r="AJ71" s="92">
        <f>AL71/AK71</f>
        <v>5.354195859872612</v>
      </c>
      <c r="AK71" s="69">
        <v>18840</v>
      </c>
      <c r="AL71" s="70">
        <v>100873.05</v>
      </c>
      <c r="AM71" s="81"/>
      <c r="AN71" s="81"/>
      <c r="AO71" s="92">
        <f>AQ71/AP71</f>
        <v>5.80934378969999</v>
      </c>
      <c r="AP71" s="69">
        <v>20466</v>
      </c>
      <c r="AQ71" s="70">
        <v>118894.03</v>
      </c>
      <c r="AR71" s="81"/>
      <c r="AS71" s="81"/>
      <c r="AT71" s="92">
        <f>AV71/AU71</f>
        <v>6.5771759259259257</v>
      </c>
      <c r="AU71" s="69">
        <v>21384</v>
      </c>
      <c r="AV71" s="70">
        <v>140646.32999999999</v>
      </c>
      <c r="AW71" s="81"/>
      <c r="AX71" s="81"/>
      <c r="AY71" s="92">
        <f>BA71/AZ71</f>
        <v>6.615647777141767</v>
      </c>
      <c r="AZ71" s="69">
        <v>20964</v>
      </c>
      <c r="BA71" s="70">
        <v>138690.44</v>
      </c>
      <c r="BB71" s="81"/>
      <c r="BC71" s="81"/>
      <c r="BD71" s="92">
        <f>BF71/BE71</f>
        <v>6.8845677391114029</v>
      </c>
      <c r="BE71" s="69">
        <v>18276</v>
      </c>
      <c r="BF71" s="70">
        <v>125822.36</v>
      </c>
      <c r="BG71" s="81"/>
      <c r="BH71" s="81"/>
      <c r="BI71" s="92">
        <f>BK71/BJ71</f>
        <v>7.0311478578892377</v>
      </c>
      <c r="BJ71" s="69">
        <v>19140</v>
      </c>
      <c r="BK71" s="70">
        <v>134576.17000000001</v>
      </c>
      <c r="BL71" s="81"/>
      <c r="BM71" s="81"/>
      <c r="BN71" s="92">
        <f>BP71/BO71</f>
        <v>7.1635918244664865</v>
      </c>
      <c r="BO71" s="69">
        <v>19962</v>
      </c>
      <c r="BP71" s="70">
        <v>142999.62</v>
      </c>
      <c r="BQ71" s="81"/>
      <c r="BR71" s="81"/>
      <c r="BS71" s="92">
        <f>BU71/BT71</f>
        <v>6.3568918245264205</v>
      </c>
      <c r="BT71" s="69">
        <v>24072</v>
      </c>
      <c r="BU71" s="70">
        <v>153023.1</v>
      </c>
      <c r="BV71" s="81"/>
      <c r="BW71" s="81"/>
      <c r="BX71" s="92">
        <f>BZ71/BY71</f>
        <v>5.345604015230184</v>
      </c>
      <c r="BY71" s="58">
        <v>11556</v>
      </c>
      <c r="BZ71" s="62">
        <v>61773.8</v>
      </c>
      <c r="CA71" s="44"/>
      <c r="CB71" s="81"/>
      <c r="CC71" s="92">
        <f>CE71/CD71</f>
        <v>5.345604015230184</v>
      </c>
      <c r="CD71" s="58">
        <v>11556</v>
      </c>
      <c r="CE71" s="62">
        <v>61773.8</v>
      </c>
      <c r="CF71" s="44"/>
      <c r="CG71" s="81"/>
      <c r="CH71" s="92">
        <f>CJ71/CI71</f>
        <v>5.345604015230184</v>
      </c>
      <c r="CI71" s="58">
        <v>11556</v>
      </c>
      <c r="CJ71" s="62">
        <v>61773.8</v>
      </c>
      <c r="CK71" s="44"/>
      <c r="CL71" s="81"/>
      <c r="CM71" s="92">
        <f>CO71/CN71</f>
        <v>5.345604015230184</v>
      </c>
      <c r="CN71" s="58">
        <v>11556</v>
      </c>
      <c r="CO71" s="62">
        <v>61773.8</v>
      </c>
      <c r="CP71" s="44"/>
      <c r="CQ71" s="81"/>
      <c r="CR71" s="92">
        <f>CT71/CS71</f>
        <v>5.345604015230184</v>
      </c>
      <c r="CS71" s="58">
        <v>11556</v>
      </c>
      <c r="CT71" s="62">
        <v>61773.8</v>
      </c>
      <c r="CU71" s="44"/>
      <c r="CV71" s="81"/>
      <c r="CW71" s="92">
        <f>CY71/CX71</f>
        <v>5.345604015230184</v>
      </c>
      <c r="CX71" s="58">
        <v>11556</v>
      </c>
      <c r="CY71" s="62">
        <v>61773.8</v>
      </c>
      <c r="CZ71" s="44"/>
      <c r="DA71" s="81"/>
    </row>
    <row r="72" spans="1:105" s="264" customFormat="1" ht="15" customHeight="1" thickBot="1">
      <c r="A72" s="257"/>
      <c r="B72" s="258"/>
      <c r="C72" s="20" t="s">
        <v>52</v>
      </c>
      <c r="D72" s="259" t="s">
        <v>17</v>
      </c>
      <c r="E72" s="23"/>
      <c r="F72" s="168">
        <f>H72/G72</f>
        <v>30.38</v>
      </c>
      <c r="G72" s="172">
        <v>50</v>
      </c>
      <c r="H72" s="170">
        <v>1519</v>
      </c>
      <c r="I72" s="179"/>
      <c r="J72" s="182"/>
      <c r="K72" s="168">
        <f>M72/L72</f>
        <v>30.379999999999995</v>
      </c>
      <c r="L72" s="172">
        <v>69</v>
      </c>
      <c r="M72" s="170">
        <f>1115.04+981.18</f>
        <v>2096.2199999999998</v>
      </c>
      <c r="N72" s="179"/>
      <c r="O72" s="182"/>
      <c r="P72" s="168">
        <f>R72/Q72</f>
        <v>30.38</v>
      </c>
      <c r="Q72" s="172">
        <v>67</v>
      </c>
      <c r="R72" s="170">
        <f>1082.72+952.74</f>
        <v>2035.46</v>
      </c>
      <c r="S72" s="179"/>
      <c r="T72" s="182"/>
      <c r="U72" s="209">
        <f>W72/V72</f>
        <v>30.38</v>
      </c>
      <c r="V72" s="172">
        <v>88</v>
      </c>
      <c r="W72" s="170">
        <v>2673.44</v>
      </c>
      <c r="X72" s="179"/>
      <c r="Y72" s="179"/>
      <c r="Z72" s="3">
        <f>AB72/AA72</f>
        <v>30.380000000000003</v>
      </c>
      <c r="AA72" s="172">
        <v>77</v>
      </c>
      <c r="AB72" s="170">
        <f>1244.32+1094.94</f>
        <v>2339.2600000000002</v>
      </c>
      <c r="AC72" s="179"/>
      <c r="AD72" s="179"/>
      <c r="AE72" s="3">
        <f>AG72/AF72</f>
        <v>30.38</v>
      </c>
      <c r="AF72" s="172">
        <v>82</v>
      </c>
      <c r="AG72" s="170">
        <f>1325.12+1166.04</f>
        <v>2491.16</v>
      </c>
      <c r="AH72" s="179"/>
      <c r="AI72" s="179"/>
      <c r="AJ72" s="3">
        <f>AL72/AK72</f>
        <v>30.38</v>
      </c>
      <c r="AK72" s="172">
        <v>90</v>
      </c>
      <c r="AL72" s="170">
        <f>1454.4+1279.8</f>
        <v>2734.2</v>
      </c>
      <c r="AM72" s="179"/>
      <c r="AN72" s="179"/>
      <c r="AO72" s="3">
        <f>AQ72/AP72</f>
        <v>30.379999999999995</v>
      </c>
      <c r="AP72" s="172">
        <v>96</v>
      </c>
      <c r="AQ72" s="170">
        <f>1551.36+1365.12</f>
        <v>2916.4799999999996</v>
      </c>
      <c r="AR72" s="179"/>
      <c r="AS72" s="179"/>
      <c r="AT72" s="3">
        <f>AV72/AU72</f>
        <v>30.380000000000003</v>
      </c>
      <c r="AU72" s="172">
        <v>77</v>
      </c>
      <c r="AV72" s="170">
        <f>(1244.32+1094.94)</f>
        <v>2339.2600000000002</v>
      </c>
      <c r="AW72" s="179"/>
      <c r="AX72" s="179"/>
      <c r="AY72" s="3">
        <f>BA72/AZ72</f>
        <v>30.380000000000006</v>
      </c>
      <c r="AZ72" s="172">
        <v>87</v>
      </c>
      <c r="BA72" s="170">
        <f>1405.92+1237.14</f>
        <v>2643.0600000000004</v>
      </c>
      <c r="BB72" s="179"/>
      <c r="BC72" s="179"/>
      <c r="BD72" s="3">
        <f>BF72/BE72</f>
        <v>30.380000000000003</v>
      </c>
      <c r="BE72" s="172">
        <v>72</v>
      </c>
      <c r="BF72" s="170">
        <f>1163.52+1023.84</f>
        <v>2187.36</v>
      </c>
      <c r="BG72" s="179"/>
      <c r="BH72" s="179"/>
      <c r="BI72" s="3">
        <f>BK72/BJ72</f>
        <v>30.379999999999995</v>
      </c>
      <c r="BJ72" s="172">
        <v>89</v>
      </c>
      <c r="BK72" s="170">
        <f>1438.24+1265.58</f>
        <v>2703.8199999999997</v>
      </c>
      <c r="BL72" s="179"/>
      <c r="BM72" s="179"/>
      <c r="BN72" s="3">
        <f>BP72/BO72</f>
        <v>30.379999999999995</v>
      </c>
      <c r="BO72" s="172">
        <v>88</v>
      </c>
      <c r="BP72" s="170">
        <f>1422.08+1251.36</f>
        <v>2673.4399999999996</v>
      </c>
      <c r="BQ72" s="179"/>
      <c r="BR72" s="179"/>
      <c r="BS72" s="3">
        <f>BU72/BT72</f>
        <v>30.379999999999995</v>
      </c>
      <c r="BT72" s="172">
        <v>105</v>
      </c>
      <c r="BU72" s="170">
        <f>1696.8+1493.1</f>
        <v>3189.8999999999996</v>
      </c>
      <c r="BV72" s="179"/>
      <c r="BW72" s="179"/>
      <c r="BX72" s="3">
        <f>BZ72/BY72</f>
        <v>30.38</v>
      </c>
      <c r="BY72" s="177">
        <v>50</v>
      </c>
      <c r="BZ72" s="169">
        <v>1519</v>
      </c>
      <c r="CA72" s="48"/>
      <c r="CB72" s="179"/>
      <c r="CC72" s="3">
        <f>CE72/CD72</f>
        <v>30.38</v>
      </c>
      <c r="CD72" s="177">
        <v>50</v>
      </c>
      <c r="CE72" s="169">
        <v>1519</v>
      </c>
      <c r="CF72" s="48"/>
      <c r="CG72" s="179"/>
      <c r="CH72" s="3">
        <f>CJ72/CI72</f>
        <v>30.38</v>
      </c>
      <c r="CI72" s="177">
        <v>50</v>
      </c>
      <c r="CJ72" s="169">
        <v>1519</v>
      </c>
      <c r="CK72" s="48"/>
      <c r="CL72" s="179"/>
      <c r="CM72" s="3">
        <f>CO72/CN72</f>
        <v>30.38</v>
      </c>
      <c r="CN72" s="177">
        <v>50</v>
      </c>
      <c r="CO72" s="169">
        <v>1519</v>
      </c>
      <c r="CP72" s="48"/>
      <c r="CQ72" s="179"/>
      <c r="CR72" s="3">
        <f>CT72/CS72</f>
        <v>30.38</v>
      </c>
      <c r="CS72" s="177">
        <v>50</v>
      </c>
      <c r="CT72" s="169">
        <v>1519</v>
      </c>
      <c r="CU72" s="48"/>
      <c r="CV72" s="179"/>
      <c r="CW72" s="3">
        <f>CY72/CX72</f>
        <v>30.38</v>
      </c>
      <c r="CX72" s="177">
        <v>50</v>
      </c>
      <c r="CY72" s="169">
        <v>1519</v>
      </c>
      <c r="CZ72" s="48"/>
      <c r="DA72" s="179"/>
    </row>
    <row r="73" spans="1:105" s="249" customFormat="1" ht="15" customHeight="1">
      <c r="A73" s="265"/>
      <c r="B73" s="5" t="s">
        <v>54</v>
      </c>
      <c r="C73" s="6" t="s">
        <v>19</v>
      </c>
      <c r="D73" s="7" t="s">
        <v>10</v>
      </c>
      <c r="E73" s="4"/>
      <c r="F73" s="196"/>
      <c r="G73" s="197"/>
      <c r="H73" s="197"/>
      <c r="I73" s="38"/>
      <c r="J73" s="206"/>
      <c r="K73" s="196"/>
      <c r="L73" s="197"/>
      <c r="M73" s="197"/>
      <c r="N73" s="38"/>
      <c r="O73" s="206"/>
      <c r="P73" s="196"/>
      <c r="Q73" s="197"/>
      <c r="R73" s="197"/>
      <c r="S73" s="38"/>
      <c r="T73" s="206"/>
      <c r="U73" s="207"/>
      <c r="V73" s="197"/>
      <c r="W73" s="204">
        <v>2211</v>
      </c>
      <c r="X73" s="38"/>
      <c r="Y73" s="384">
        <f>SUM(W73:W77)*1.1</f>
        <v>210001.924</v>
      </c>
      <c r="Z73" s="36"/>
      <c r="AA73" s="197"/>
      <c r="AB73" s="204">
        <v>1769</v>
      </c>
      <c r="AC73" s="38"/>
      <c r="AD73" s="384">
        <f>SUM(AB73:AB77)*1.1</f>
        <v>89267.510200000019</v>
      </c>
      <c r="AE73" s="36"/>
      <c r="AF73" s="197"/>
      <c r="AG73" s="204">
        <v>1769</v>
      </c>
      <c r="AH73" s="38"/>
      <c r="AI73" s="384">
        <f>AI74*1.1</f>
        <v>192016.27499999999</v>
      </c>
      <c r="AJ73" s="36"/>
      <c r="AK73" s="197"/>
      <c r="AL73" s="204">
        <v>1769</v>
      </c>
      <c r="AM73" s="38"/>
      <c r="AN73" s="384">
        <f>AN74*1.2</f>
        <v>352684.47120000003</v>
      </c>
      <c r="AO73" s="36"/>
      <c r="AP73" s="197"/>
      <c r="AQ73" s="204">
        <v>2211</v>
      </c>
      <c r="AR73" s="38"/>
      <c r="AS73" s="384">
        <f>SUM(AQ73:AQ77)*1.1</f>
        <v>234785.4388</v>
      </c>
      <c r="AT73" s="36"/>
      <c r="AU73" s="197"/>
      <c r="AV73" s="197"/>
      <c r="AW73" s="38"/>
      <c r="AX73" s="384">
        <f>SUM(AV73:AV77)*1.1</f>
        <v>270527.25700000004</v>
      </c>
      <c r="AY73" s="36"/>
      <c r="AZ73" s="197"/>
      <c r="BA73" s="197"/>
      <c r="BB73" s="38"/>
      <c r="BC73" s="384">
        <f>SUM(BA73:BA77)*1.1</f>
        <v>243299.25619999997</v>
      </c>
      <c r="BD73" s="36"/>
      <c r="BE73" s="197"/>
      <c r="BF73" s="197"/>
      <c r="BG73" s="38"/>
      <c r="BH73" s="384">
        <f>SUM(BF73:BF77)*1.1</f>
        <v>255604.02120000005</v>
      </c>
      <c r="BI73" s="36"/>
      <c r="BJ73" s="197"/>
      <c r="BK73" s="197"/>
      <c r="BL73" s="38"/>
      <c r="BM73" s="384">
        <f>SUM(BK73:BK77)*1.1</f>
        <v>294671.5662</v>
      </c>
      <c r="BN73" s="36"/>
      <c r="BO73" s="197"/>
      <c r="BP73" s="197"/>
      <c r="BQ73" s="38"/>
      <c r="BR73" s="384">
        <f>SUM(BP73:BP77)*1.1</f>
        <v>311357.82039999997</v>
      </c>
      <c r="BS73" s="36"/>
      <c r="BT73" s="197"/>
      <c r="BU73" s="197"/>
      <c r="BV73" s="38"/>
      <c r="BW73" s="384">
        <f>SUM(BU73:BU77)*1.1</f>
        <v>276504.81320000003</v>
      </c>
      <c r="BX73" s="36"/>
      <c r="BY73" s="197"/>
      <c r="BZ73" s="197"/>
      <c r="CA73" s="38"/>
      <c r="CB73" s="384">
        <f>SUM(BZ73:BZ77)*1.1</f>
        <v>139423.58980000002</v>
      </c>
      <c r="CC73" s="36"/>
      <c r="CD73" s="197"/>
      <c r="CE73" s="197"/>
      <c r="CF73" s="38"/>
      <c r="CG73" s="384">
        <f>SUM(CE73:CE77)*1.1</f>
        <v>139423.58980000002</v>
      </c>
      <c r="CH73" s="36"/>
      <c r="CI73" s="197"/>
      <c r="CJ73" s="197"/>
      <c r="CK73" s="38"/>
      <c r="CL73" s="384">
        <f>SUM(CJ73:CJ77)*1.1</f>
        <v>139423.58980000002</v>
      </c>
      <c r="CM73" s="36"/>
      <c r="CN73" s="197"/>
      <c r="CO73" s="197"/>
      <c r="CP73" s="38"/>
      <c r="CQ73" s="384">
        <f>SUM(CO73:CO77)*1.1</f>
        <v>139423.58980000002</v>
      </c>
      <c r="CR73" s="36"/>
      <c r="CS73" s="197"/>
      <c r="CT73" s="197"/>
      <c r="CU73" s="38"/>
      <c r="CV73" s="384">
        <f>SUM(CT73:CT77)*1.1</f>
        <v>139423.58980000002</v>
      </c>
      <c r="CW73" s="36"/>
      <c r="CX73" s="197"/>
      <c r="CY73" s="197"/>
      <c r="CZ73" s="38"/>
      <c r="DA73" s="384">
        <f>SUM(CY73:CY77)*1.1</f>
        <v>139423.58980000002</v>
      </c>
    </row>
    <row r="74" spans="1:105" ht="15" customHeight="1">
      <c r="A74" s="256" t="s">
        <v>306</v>
      </c>
      <c r="B74" s="215">
        <v>41916045</v>
      </c>
      <c r="C74" s="45" t="s">
        <v>195</v>
      </c>
      <c r="D74" s="216" t="s">
        <v>13</v>
      </c>
      <c r="E74" s="22"/>
      <c r="F74" s="104">
        <f>H74/G74</f>
        <v>5.3077198860202053</v>
      </c>
      <c r="G74" s="69">
        <v>23162</v>
      </c>
      <c r="H74" s="140">
        <v>122937.408</v>
      </c>
      <c r="I74" s="81">
        <v>85373.2</v>
      </c>
      <c r="J74" s="88"/>
      <c r="K74" s="104">
        <f>M74/L74</f>
        <v>5.3685481007596954</v>
      </c>
      <c r="L74" s="69">
        <v>25010</v>
      </c>
      <c r="M74" s="140">
        <v>134267.38799999998</v>
      </c>
      <c r="N74" s="81">
        <v>134267.38</v>
      </c>
      <c r="O74" s="88"/>
      <c r="P74" s="104">
        <f>R74/Q74</f>
        <v>4.9663921490086116</v>
      </c>
      <c r="Q74" s="69">
        <v>29958</v>
      </c>
      <c r="R74" s="140">
        <v>148783.17599999998</v>
      </c>
      <c r="S74" s="81">
        <v>148783.17599999998</v>
      </c>
      <c r="T74" s="88"/>
      <c r="U74" s="115">
        <f>W74/V74</f>
        <v>5.2077237774030358</v>
      </c>
      <c r="V74" s="69">
        <v>35580</v>
      </c>
      <c r="W74" s="140">
        <v>185290.81200000001</v>
      </c>
      <c r="X74" s="81">
        <v>185290.81200000001</v>
      </c>
      <c r="Y74" s="403">
        <f>SUM(W73:W77)*1</f>
        <v>190910.84</v>
      </c>
      <c r="Z74" s="92">
        <f>AB74/AA74</f>
        <v>4.6829521818656907</v>
      </c>
      <c r="AA74" s="69">
        <v>15308</v>
      </c>
      <c r="AB74" s="140">
        <v>71686.631999999998</v>
      </c>
      <c r="AC74" s="81">
        <v>71686.631999999998</v>
      </c>
      <c r="AD74" s="403">
        <f>SUM(AB73:AB77)*1</f>
        <v>81152.282000000007</v>
      </c>
      <c r="AE74" s="92">
        <f>AG74/AF74</f>
        <v>4.819944266448104</v>
      </c>
      <c r="AF74" s="410">
        <v>26842</v>
      </c>
      <c r="AG74" s="412">
        <v>129376.944</v>
      </c>
      <c r="AH74" s="81">
        <f>37729.81+132524.86</f>
        <v>170254.66999999998</v>
      </c>
      <c r="AI74" s="403">
        <f>SUM(AG75:AG77)+AH74+AG73*1</f>
        <v>174560.24999999997</v>
      </c>
      <c r="AJ74" s="92">
        <f>AL74/AK74</f>
        <v>4.9792202232115637</v>
      </c>
      <c r="AK74" s="410">
        <v>32794</v>
      </c>
      <c r="AL74" s="412">
        <v>163288.54800000001</v>
      </c>
      <c r="AM74" s="81">
        <f>118200.47+171215.376</f>
        <v>289415.84600000002</v>
      </c>
      <c r="AN74" s="403">
        <f>SUM(AL75:AL77)+AM74+AL73*1</f>
        <v>293903.72600000002</v>
      </c>
      <c r="AO74" s="92">
        <f>AQ74/AP74</f>
        <v>5.9466958976722744</v>
      </c>
      <c r="AP74" s="410">
        <v>34712</v>
      </c>
      <c r="AQ74" s="412">
        <v>206421.70799999998</v>
      </c>
      <c r="AR74" s="81">
        <v>232786.03199999998</v>
      </c>
      <c r="AS74" s="403">
        <f>SUM(AQ73:AQ77)*1</f>
        <v>213441.30799999999</v>
      </c>
      <c r="AT74" s="92">
        <f>AV74/AU74</f>
        <v>6.6107650977274597</v>
      </c>
      <c r="AU74" s="410">
        <v>36479</v>
      </c>
      <c r="AV74" s="412">
        <v>241154.1</v>
      </c>
      <c r="AW74" s="44">
        <v>85373.2</v>
      </c>
      <c r="AX74" s="403">
        <f>SUM(AV73:AV77)*1</f>
        <v>245933.87</v>
      </c>
      <c r="AY74" s="92">
        <f>BA74/AZ74</f>
        <v>6.3494519083969454</v>
      </c>
      <c r="AZ74" s="410">
        <v>34060</v>
      </c>
      <c r="BA74" s="412">
        <v>216262.33199999997</v>
      </c>
      <c r="BB74" s="81" t="s">
        <v>350</v>
      </c>
      <c r="BC74" s="403">
        <f>SUM(BA73:BA77)*1</f>
        <v>221181.14199999996</v>
      </c>
      <c r="BD74" s="92">
        <f>BF74/BE74</f>
        <v>6.2037238069266438</v>
      </c>
      <c r="BE74" s="410">
        <v>36670</v>
      </c>
      <c r="BF74" s="412">
        <v>227490.55200000003</v>
      </c>
      <c r="BG74" s="81">
        <v>180096.68700000001</v>
      </c>
      <c r="BH74" s="403">
        <f>SUM(BF73:BF77)*1</f>
        <v>232367.29200000002</v>
      </c>
      <c r="BI74" s="92">
        <f>BK74/BJ74</f>
        <v>6.6640677915410116</v>
      </c>
      <c r="BJ74" s="410">
        <v>40123</v>
      </c>
      <c r="BK74" s="412">
        <v>267382.39199999999</v>
      </c>
      <c r="BL74" s="81" t="s">
        <v>392</v>
      </c>
      <c r="BM74" s="403">
        <f>SUM(BK73:BK77)*1</f>
        <v>267883.24199999997</v>
      </c>
      <c r="BN74" s="92">
        <f>BP74/BO74</f>
        <v>6.2992920218628399</v>
      </c>
      <c r="BO74" s="410">
        <v>44459</v>
      </c>
      <c r="BP74" s="412">
        <v>280060.22399999999</v>
      </c>
      <c r="BQ74" s="44">
        <v>85373.2</v>
      </c>
      <c r="BR74" s="403">
        <f>SUM(BP73:BP77)*1</f>
        <v>283052.56399999995</v>
      </c>
      <c r="BS74" s="92">
        <f>BU74/BT74</f>
        <v>5.8837799040778824</v>
      </c>
      <c r="BT74" s="410">
        <v>41909</v>
      </c>
      <c r="BU74" s="412">
        <v>246583.33199999997</v>
      </c>
      <c r="BV74" s="81">
        <v>284207.71000000002</v>
      </c>
      <c r="BW74" s="403">
        <f>SUM(BU73:BU77)*1</f>
        <v>251368.01199999999</v>
      </c>
      <c r="BX74" s="92">
        <f>BZ74/BY74</f>
        <v>5.3077198860202053</v>
      </c>
      <c r="BY74" s="58">
        <v>23162</v>
      </c>
      <c r="BZ74" s="68">
        <v>122937.408</v>
      </c>
      <c r="CA74" s="81" t="s">
        <v>440</v>
      </c>
      <c r="CB74" s="403">
        <f>SUM(BZ73:BZ77)*1</f>
        <v>126748.71800000001</v>
      </c>
      <c r="CC74" s="92">
        <f>CE74/CD74</f>
        <v>5.3077198860202053</v>
      </c>
      <c r="CD74" s="58">
        <v>23162</v>
      </c>
      <c r="CE74" s="68">
        <v>122937.408</v>
      </c>
      <c r="CF74" s="44">
        <v>85373.2</v>
      </c>
      <c r="CG74" s="403">
        <f>SUM(CE73:CE77)*1</f>
        <v>126748.71800000001</v>
      </c>
      <c r="CH74" s="92">
        <f>CJ74/CI74</f>
        <v>5.3077198860202053</v>
      </c>
      <c r="CI74" s="58">
        <v>23162</v>
      </c>
      <c r="CJ74" s="68">
        <v>122937.408</v>
      </c>
      <c r="CK74" s="44">
        <v>85373.2</v>
      </c>
      <c r="CL74" s="403">
        <f>SUM(CJ73:CJ77)*1</f>
        <v>126748.71800000001</v>
      </c>
      <c r="CM74" s="92">
        <f>CO74/CN74</f>
        <v>5.3077198860202053</v>
      </c>
      <c r="CN74" s="58">
        <v>23162</v>
      </c>
      <c r="CO74" s="68">
        <v>122937.408</v>
      </c>
      <c r="CP74" s="44">
        <v>85373.2</v>
      </c>
      <c r="CQ74" s="403">
        <f>SUM(CO73:CO77)*1</f>
        <v>126748.71800000001</v>
      </c>
      <c r="CR74" s="92">
        <f>CT74/CS74</f>
        <v>5.3077198860202053</v>
      </c>
      <c r="CS74" s="58">
        <v>23162</v>
      </c>
      <c r="CT74" s="68">
        <v>122937.408</v>
      </c>
      <c r="CU74" s="44">
        <v>85373.2</v>
      </c>
      <c r="CV74" s="403">
        <f>SUM(CT73:CT77)*1</f>
        <v>126748.71800000001</v>
      </c>
      <c r="CW74" s="92">
        <f>CY74/CX74</f>
        <v>5.3077198860202053</v>
      </c>
      <c r="CX74" s="58">
        <v>23162</v>
      </c>
      <c r="CY74" s="68">
        <v>122937.408</v>
      </c>
      <c r="CZ74" s="44">
        <v>85373.2</v>
      </c>
      <c r="DA74" s="403">
        <f>SUM(CY73:CY77)*1</f>
        <v>126748.71800000001</v>
      </c>
    </row>
    <row r="75" spans="1:105" ht="15" customHeight="1">
      <c r="A75" s="256"/>
      <c r="B75" s="215">
        <v>41946011</v>
      </c>
      <c r="C75" s="45" t="s">
        <v>200</v>
      </c>
      <c r="D75" s="216" t="s">
        <v>15</v>
      </c>
      <c r="E75" s="22"/>
      <c r="F75" s="103"/>
      <c r="G75" s="128"/>
      <c r="H75" s="69">
        <v>818.97</v>
      </c>
      <c r="I75" s="81"/>
      <c r="J75" s="88"/>
      <c r="K75" s="103"/>
      <c r="L75" s="128"/>
      <c r="M75" s="69">
        <v>1142.6600000000001</v>
      </c>
      <c r="N75" s="81"/>
      <c r="O75" s="88"/>
      <c r="P75" s="103"/>
      <c r="Q75" s="128"/>
      <c r="R75" s="69" t="s">
        <v>210</v>
      </c>
      <c r="S75" s="81"/>
      <c r="T75" s="88"/>
      <c r="U75" s="47"/>
      <c r="V75" s="128"/>
      <c r="W75" s="69">
        <v>416.68799999999999</v>
      </c>
      <c r="X75" s="81"/>
      <c r="Y75" s="81"/>
      <c r="Z75" s="97"/>
      <c r="AA75" s="56"/>
      <c r="AB75" s="69">
        <v>2790.12</v>
      </c>
      <c r="AC75" s="81"/>
      <c r="AD75" s="81"/>
      <c r="AE75" s="97"/>
      <c r="AF75" s="128"/>
      <c r="AG75" s="69" t="s">
        <v>237</v>
      </c>
      <c r="AH75" s="81"/>
      <c r="AI75" s="81"/>
      <c r="AJ75" s="97"/>
      <c r="AK75" s="56"/>
      <c r="AL75" s="410" t="s">
        <v>287</v>
      </c>
      <c r="AM75" s="44"/>
      <c r="AN75" s="81"/>
      <c r="AO75" s="97"/>
      <c r="AP75" s="408"/>
      <c r="AQ75" s="410">
        <v>1968.18</v>
      </c>
      <c r="AR75" s="44"/>
      <c r="AS75" s="44"/>
      <c r="AT75" s="97"/>
      <c r="AU75" s="408"/>
      <c r="AV75" s="410">
        <v>2273.58</v>
      </c>
      <c r="AW75" s="511"/>
      <c r="AX75" s="81"/>
      <c r="AY75" s="97"/>
      <c r="AZ75" s="408">
        <v>1</v>
      </c>
      <c r="BA75" s="522">
        <v>2412.62</v>
      </c>
      <c r="BB75" s="511"/>
      <c r="BC75" s="81"/>
      <c r="BD75" s="97"/>
      <c r="BE75" s="408"/>
      <c r="BF75" s="410">
        <v>2157.86</v>
      </c>
      <c r="BG75" s="511"/>
      <c r="BH75" s="81"/>
      <c r="BI75" s="97"/>
      <c r="BJ75" s="408"/>
      <c r="BK75" s="410" t="s">
        <v>368</v>
      </c>
      <c r="BL75" s="511"/>
      <c r="BM75" s="81"/>
      <c r="BN75" s="556"/>
      <c r="BO75" s="408"/>
      <c r="BP75" s="410" t="s">
        <v>384</v>
      </c>
      <c r="BQ75" s="511"/>
      <c r="BR75" s="81"/>
      <c r="BS75" s="97"/>
      <c r="BT75" s="408"/>
      <c r="BU75" s="410">
        <v>1944.26</v>
      </c>
      <c r="BV75" s="44"/>
      <c r="BW75" s="81"/>
      <c r="BX75" s="97"/>
      <c r="BY75" s="56"/>
      <c r="BZ75" s="58">
        <v>818.97</v>
      </c>
      <c r="CA75" s="44"/>
      <c r="CB75" s="81"/>
      <c r="CC75" s="97"/>
      <c r="CD75" s="56"/>
      <c r="CE75" s="58">
        <v>818.97</v>
      </c>
      <c r="CF75" s="44"/>
      <c r="CG75" s="81"/>
      <c r="CH75" s="97"/>
      <c r="CI75" s="56"/>
      <c r="CJ75" s="58">
        <v>818.97</v>
      </c>
      <c r="CK75" s="44"/>
      <c r="CL75" s="81"/>
      <c r="CM75" s="97"/>
      <c r="CN75" s="56"/>
      <c r="CO75" s="58">
        <v>818.97</v>
      </c>
      <c r="CP75" s="44"/>
      <c r="CQ75" s="81"/>
      <c r="CR75" s="97"/>
      <c r="CS75" s="56"/>
      <c r="CT75" s="58">
        <v>818.97</v>
      </c>
      <c r="CU75" s="44"/>
      <c r="CV75" s="81"/>
      <c r="CW75" s="97"/>
      <c r="CX75" s="56"/>
      <c r="CY75" s="58">
        <v>818.97</v>
      </c>
      <c r="CZ75" s="44"/>
      <c r="DA75" s="81"/>
    </row>
    <row r="76" spans="1:105" ht="15" customHeight="1">
      <c r="A76" s="256"/>
      <c r="B76" s="215">
        <v>26112340</v>
      </c>
      <c r="C76" s="45" t="s">
        <v>177</v>
      </c>
      <c r="D76" s="216" t="s">
        <v>55</v>
      </c>
      <c r="E76" s="22"/>
      <c r="F76" s="103"/>
      <c r="G76" s="128">
        <v>1</v>
      </c>
      <c r="H76" s="74">
        <f>500.85</f>
        <v>500.85</v>
      </c>
      <c r="I76" s="81"/>
      <c r="J76" s="88"/>
      <c r="K76" s="103"/>
      <c r="L76" s="128">
        <v>1</v>
      </c>
      <c r="M76" s="74">
        <f>500.85</f>
        <v>500.85</v>
      </c>
      <c r="N76" s="81"/>
      <c r="O76" s="88"/>
      <c r="P76" s="103"/>
      <c r="Q76" s="128">
        <v>1</v>
      </c>
      <c r="R76" s="74">
        <f>500.85</f>
        <v>500.85</v>
      </c>
      <c r="S76" s="81"/>
      <c r="T76" s="88"/>
      <c r="U76" s="47"/>
      <c r="V76" s="128">
        <v>1</v>
      </c>
      <c r="W76" s="74">
        <f>500.85</f>
        <v>500.85</v>
      </c>
      <c r="X76" s="81"/>
      <c r="Y76" s="81"/>
      <c r="Z76" s="97"/>
      <c r="AA76" s="128">
        <v>1</v>
      </c>
      <c r="AB76" s="74">
        <f>500.85</f>
        <v>500.85</v>
      </c>
      <c r="AC76" s="81"/>
      <c r="AD76" s="81"/>
      <c r="AE76" s="97"/>
      <c r="AF76" s="128">
        <v>1</v>
      </c>
      <c r="AG76" s="74">
        <f>500.85</f>
        <v>500.85</v>
      </c>
      <c r="AH76" s="81"/>
      <c r="AI76" s="81"/>
      <c r="AJ76" s="97"/>
      <c r="AK76" s="128">
        <v>1</v>
      </c>
      <c r="AL76" s="74">
        <f>500.85</f>
        <v>500.85</v>
      </c>
      <c r="AM76" s="81"/>
      <c r="AN76" s="81"/>
      <c r="AO76" s="97"/>
      <c r="AP76" s="128">
        <v>1</v>
      </c>
      <c r="AQ76" s="74">
        <f>500.85</f>
        <v>500.85</v>
      </c>
      <c r="AR76" s="81"/>
      <c r="AS76" s="81"/>
      <c r="AT76" s="97"/>
      <c r="AU76" s="128">
        <v>1</v>
      </c>
      <c r="AV76" s="74">
        <f>500.85</f>
        <v>500.85</v>
      </c>
      <c r="AW76" s="81"/>
      <c r="AX76" s="81"/>
      <c r="AY76" s="97"/>
      <c r="AZ76" s="128">
        <v>1</v>
      </c>
      <c r="BA76" s="74">
        <f>500.85</f>
        <v>500.85</v>
      </c>
      <c r="BB76" s="81"/>
      <c r="BC76" s="81"/>
      <c r="BD76" s="97"/>
      <c r="BE76" s="128">
        <v>1</v>
      </c>
      <c r="BF76" s="74">
        <f>500.85</f>
        <v>500.85</v>
      </c>
      <c r="BG76" s="81"/>
      <c r="BH76" s="81"/>
      <c r="BI76" s="97"/>
      <c r="BJ76" s="128">
        <v>1</v>
      </c>
      <c r="BK76" s="74">
        <f>500.85</f>
        <v>500.85</v>
      </c>
      <c r="BL76" s="81"/>
      <c r="BM76" s="81"/>
      <c r="BN76" s="97"/>
      <c r="BO76" s="56">
        <v>1</v>
      </c>
      <c r="BP76" s="57">
        <f>500.85</f>
        <v>500.85</v>
      </c>
      <c r="BQ76" s="44"/>
      <c r="BR76" s="81"/>
      <c r="BS76" s="97"/>
      <c r="BT76" s="56">
        <v>1</v>
      </c>
      <c r="BU76" s="57">
        <f>500.85</f>
        <v>500.85</v>
      </c>
      <c r="BV76" s="44"/>
      <c r="BW76" s="81"/>
      <c r="BX76" s="97"/>
      <c r="BY76" s="56">
        <v>1</v>
      </c>
      <c r="BZ76" s="57">
        <f>500.85</f>
        <v>500.85</v>
      </c>
      <c r="CA76" s="44"/>
      <c r="CB76" s="81"/>
      <c r="CC76" s="97"/>
      <c r="CD76" s="56">
        <v>1</v>
      </c>
      <c r="CE76" s="57">
        <f>500.85</f>
        <v>500.85</v>
      </c>
      <c r="CF76" s="44"/>
      <c r="CG76" s="81"/>
      <c r="CH76" s="97"/>
      <c r="CI76" s="56">
        <v>1</v>
      </c>
      <c r="CJ76" s="57">
        <f>500.85</f>
        <v>500.85</v>
      </c>
      <c r="CK76" s="44"/>
      <c r="CL76" s="81"/>
      <c r="CM76" s="97"/>
      <c r="CN76" s="56">
        <v>1</v>
      </c>
      <c r="CO76" s="57">
        <f>500.85</f>
        <v>500.85</v>
      </c>
      <c r="CP76" s="44"/>
      <c r="CQ76" s="81"/>
      <c r="CR76" s="97"/>
      <c r="CS76" s="56">
        <v>1</v>
      </c>
      <c r="CT76" s="57">
        <f>500.85</f>
        <v>500.85</v>
      </c>
      <c r="CU76" s="44"/>
      <c r="CV76" s="81"/>
      <c r="CW76" s="97"/>
      <c r="CX76" s="56">
        <v>1</v>
      </c>
      <c r="CY76" s="57">
        <f>500.85</f>
        <v>500.85</v>
      </c>
      <c r="CZ76" s="44"/>
      <c r="DA76" s="81"/>
    </row>
    <row r="77" spans="1:105" s="264" customFormat="1" ht="15" customHeight="1" thickBot="1">
      <c r="A77" s="257" t="s">
        <v>358</v>
      </c>
      <c r="B77" s="365" t="s">
        <v>219</v>
      </c>
      <c r="C77" s="20" t="s">
        <v>177</v>
      </c>
      <c r="D77" s="259" t="s">
        <v>17</v>
      </c>
      <c r="E77" s="23"/>
      <c r="F77" s="168">
        <f>H77/G77</f>
        <v>32.607195121951221</v>
      </c>
      <c r="G77" s="183">
        <v>82</v>
      </c>
      <c r="H77" s="181">
        <v>2673.79</v>
      </c>
      <c r="I77" s="179"/>
      <c r="J77" s="182"/>
      <c r="K77" s="168">
        <f>M77/L77</f>
        <v>30.384024390243901</v>
      </c>
      <c r="L77" s="183">
        <v>82</v>
      </c>
      <c r="M77" s="180">
        <v>2491.4899999999998</v>
      </c>
      <c r="N77" s="179"/>
      <c r="O77" s="182"/>
      <c r="P77" s="168">
        <f>R77/Q77</f>
        <v>30.384024390243901</v>
      </c>
      <c r="Q77" s="185">
        <v>82</v>
      </c>
      <c r="R77" s="277">
        <v>2491.4899999999998</v>
      </c>
      <c r="S77" s="48"/>
      <c r="T77" s="49"/>
      <c r="U77" s="209">
        <f>W77/V77</f>
        <v>30.384024390243901</v>
      </c>
      <c r="V77" s="183">
        <v>82</v>
      </c>
      <c r="W77" s="180">
        <v>2491.4899999999998</v>
      </c>
      <c r="X77" s="179"/>
      <c r="Y77" s="179"/>
      <c r="Z77" s="285">
        <f>AB77/AA77</f>
        <v>30.384</v>
      </c>
      <c r="AA77" s="183">
        <v>145</v>
      </c>
      <c r="AB77" s="181">
        <v>4405.68</v>
      </c>
      <c r="AC77" s="179"/>
      <c r="AD77" s="179"/>
      <c r="AE77" s="285">
        <f>AG77/AF77</f>
        <v>30.38402985074627</v>
      </c>
      <c r="AF77" s="183">
        <v>67</v>
      </c>
      <c r="AG77" s="181">
        <v>2035.73</v>
      </c>
      <c r="AH77" s="179"/>
      <c r="AI77" s="179"/>
      <c r="AJ77" s="285">
        <f>AL77/AK77</f>
        <v>30.383972602739728</v>
      </c>
      <c r="AK77" s="183">
        <v>73</v>
      </c>
      <c r="AL77" s="181">
        <v>2218.0300000000002</v>
      </c>
      <c r="AM77" s="179"/>
      <c r="AN77" s="179"/>
      <c r="AO77" s="285">
        <f>AQ77/AP77</f>
        <v>30.384025974025977</v>
      </c>
      <c r="AP77" s="183">
        <v>77</v>
      </c>
      <c r="AQ77" s="181">
        <v>2339.5700000000002</v>
      </c>
      <c r="AR77" s="179"/>
      <c r="AS77" s="179"/>
      <c r="AT77" s="285">
        <f>AV77/AU77</f>
        <v>30.383939393939393</v>
      </c>
      <c r="AU77" s="183">
        <v>66</v>
      </c>
      <c r="AV77" s="181">
        <v>2005.34</v>
      </c>
      <c r="AW77" s="179"/>
      <c r="AX77" s="179"/>
      <c r="AY77" s="285">
        <f>BA77/AZ77</f>
        <v>30.383939393939393</v>
      </c>
      <c r="AZ77" s="183">
        <v>66</v>
      </c>
      <c r="BA77" s="180">
        <v>2005.34</v>
      </c>
      <c r="BB77" s="179" t="s">
        <v>356</v>
      </c>
      <c r="BC77" s="179"/>
      <c r="BD77" s="285">
        <f>BF77/BE77</f>
        <v>30.383972602739728</v>
      </c>
      <c r="BE77" s="183">
        <v>73</v>
      </c>
      <c r="BF77" s="181">
        <v>2218.0300000000002</v>
      </c>
      <c r="BG77" s="179"/>
      <c r="BH77" s="179"/>
      <c r="BI77" s="285" t="e">
        <f>BK77/BJ77</f>
        <v>#VALUE!</v>
      </c>
      <c r="BJ77" s="183">
        <v>147</v>
      </c>
      <c r="BK77" s="180" t="s">
        <v>375</v>
      </c>
      <c r="BL77" s="179"/>
      <c r="BM77" s="179"/>
      <c r="BN77" s="285">
        <f>BP77/BO77</f>
        <v>33.66878378378378</v>
      </c>
      <c r="BO77" s="183">
        <v>74</v>
      </c>
      <c r="BP77" s="277">
        <v>2491.4899999999998</v>
      </c>
      <c r="BQ77" s="48"/>
      <c r="BR77" s="179"/>
      <c r="BS77" s="285">
        <f>BU77/BT77</f>
        <v>30.384025974025977</v>
      </c>
      <c r="BT77" s="183">
        <v>77</v>
      </c>
      <c r="BU77" s="506">
        <v>2339.5700000000002</v>
      </c>
      <c r="BV77" s="179"/>
      <c r="BW77" s="179"/>
      <c r="BX77" s="285">
        <f>BZ77/BY77</f>
        <v>30.384024390243901</v>
      </c>
      <c r="BY77" s="185">
        <v>82</v>
      </c>
      <c r="BZ77" s="277">
        <v>2491.4899999999998</v>
      </c>
      <c r="CA77" s="48"/>
      <c r="CB77" s="179"/>
      <c r="CC77" s="285">
        <f>CE77/CD77</f>
        <v>30.384024390243901</v>
      </c>
      <c r="CD77" s="185">
        <v>82</v>
      </c>
      <c r="CE77" s="277">
        <v>2491.4899999999998</v>
      </c>
      <c r="CF77" s="48"/>
      <c r="CG77" s="179"/>
      <c r="CH77" s="285">
        <f>CJ77/CI77</f>
        <v>30.384024390243901</v>
      </c>
      <c r="CI77" s="185">
        <v>82</v>
      </c>
      <c r="CJ77" s="277">
        <v>2491.4899999999998</v>
      </c>
      <c r="CK77" s="48"/>
      <c r="CL77" s="179"/>
      <c r="CM77" s="285">
        <f>CO77/CN77</f>
        <v>30.384024390243901</v>
      </c>
      <c r="CN77" s="185">
        <v>82</v>
      </c>
      <c r="CO77" s="277">
        <v>2491.4899999999998</v>
      </c>
      <c r="CP77" s="48"/>
      <c r="CQ77" s="179"/>
      <c r="CR77" s="285">
        <f>CT77/CS77</f>
        <v>30.384024390243901</v>
      </c>
      <c r="CS77" s="185">
        <v>82</v>
      </c>
      <c r="CT77" s="277">
        <v>2491.4899999999998</v>
      </c>
      <c r="CU77" s="48"/>
      <c r="CV77" s="179"/>
      <c r="CW77" s="285">
        <f>CY77/CX77</f>
        <v>30.384024390243901</v>
      </c>
      <c r="CX77" s="185">
        <v>82</v>
      </c>
      <c r="CY77" s="277">
        <v>2491.4899999999998</v>
      </c>
      <c r="CZ77" s="48"/>
      <c r="DA77" s="179"/>
    </row>
    <row r="78" spans="1:105" s="249" customFormat="1" ht="15" customHeight="1">
      <c r="A78" s="265" t="s">
        <v>307</v>
      </c>
      <c r="B78" s="5" t="s">
        <v>56</v>
      </c>
      <c r="C78" s="6" t="s">
        <v>19</v>
      </c>
      <c r="D78" s="7" t="s">
        <v>10</v>
      </c>
      <c r="E78" s="4"/>
      <c r="F78" s="196"/>
      <c r="G78" s="197"/>
      <c r="H78" s="197"/>
      <c r="I78" s="38"/>
      <c r="J78" s="206"/>
      <c r="K78" s="196"/>
      <c r="L78" s="197"/>
      <c r="M78" s="197"/>
      <c r="N78" s="38"/>
      <c r="O78" s="206"/>
      <c r="P78" s="196"/>
      <c r="Q78" s="197"/>
      <c r="R78" s="197"/>
      <c r="S78" s="38"/>
      <c r="T78" s="206"/>
      <c r="U78" s="207"/>
      <c r="V78" s="197"/>
      <c r="W78" s="204">
        <v>1106</v>
      </c>
      <c r="X78" s="38"/>
      <c r="Y78" s="384">
        <f>SUM(W78:W82)*1.1</f>
        <v>72387.145600000003</v>
      </c>
      <c r="Z78" s="36"/>
      <c r="AA78" s="197"/>
      <c r="AB78" s="204">
        <v>442</v>
      </c>
      <c r="AC78" s="38"/>
      <c r="AD78" s="384">
        <f>SUM(AB78:AB82)*1.1</f>
        <v>65922.881200000003</v>
      </c>
      <c r="AE78" s="36"/>
      <c r="AF78" s="197"/>
      <c r="AG78" s="204">
        <v>1327</v>
      </c>
      <c r="AH78" s="38"/>
      <c r="AI78" s="384">
        <f>SUM(AG78:AG82)*1.1</f>
        <v>74654.929799999998</v>
      </c>
      <c r="AJ78" s="36"/>
      <c r="AK78" s="197"/>
      <c r="AL78" s="204">
        <v>442</v>
      </c>
      <c r="AM78" s="38"/>
      <c r="AN78" s="384">
        <f>AN79*1.2</f>
        <v>88780.732799999983</v>
      </c>
      <c r="AO78" s="36"/>
      <c r="AP78" s="197"/>
      <c r="AQ78" s="204">
        <v>663</v>
      </c>
      <c r="AR78" s="81"/>
      <c r="AS78" s="384">
        <f>SUM(AQ78:AQ82)*1.1</f>
        <v>88698.849800000011</v>
      </c>
      <c r="AT78" s="36"/>
      <c r="AU78" s="197"/>
      <c r="AV78" s="197"/>
      <c r="AW78" s="38"/>
      <c r="AX78" s="384">
        <f>SUM(AV78:AV82)*1.1</f>
        <v>114018.46720000001</v>
      </c>
      <c r="AY78" s="36"/>
      <c r="AZ78" s="197"/>
      <c r="BA78" s="197"/>
      <c r="BB78" s="38"/>
      <c r="BC78" s="384">
        <f>SUM(BA78:BA82)*1.1</f>
        <v>104214.11000000002</v>
      </c>
      <c r="BD78" s="36"/>
      <c r="BE78" s="197"/>
      <c r="BF78" s="197"/>
      <c r="BG78" s="38"/>
      <c r="BH78" s="384">
        <f>SUM(BF78:BF82)*1.1</f>
        <v>98438.538</v>
      </c>
      <c r="BI78" s="36"/>
      <c r="BJ78" s="197"/>
      <c r="BK78" s="197"/>
      <c r="BL78" s="38"/>
      <c r="BM78" s="384">
        <f>SUM(BK78:BK82)*1.1</f>
        <v>106565.7032</v>
      </c>
      <c r="BN78" s="36"/>
      <c r="BO78" s="197"/>
      <c r="BP78" s="197"/>
      <c r="BQ78" s="38"/>
      <c r="BR78" s="384">
        <f>SUM(BP78:BP82)*1.1</f>
        <v>101917.94360000001</v>
      </c>
      <c r="BS78" s="36"/>
      <c r="BT78" s="197"/>
      <c r="BU78" s="197"/>
      <c r="BV78" s="38"/>
      <c r="BW78" s="384">
        <f>SUM(BU78:BU82)*1.1</f>
        <v>121155.61040000002</v>
      </c>
      <c r="BX78" s="36"/>
      <c r="BY78" s="197"/>
      <c r="BZ78" s="197"/>
      <c r="CA78" s="38"/>
      <c r="CB78" s="384">
        <f>SUM(BZ78:BZ82)*1.1</f>
        <v>50789.457399999999</v>
      </c>
      <c r="CC78" s="36"/>
      <c r="CD78" s="197"/>
      <c r="CE78" s="197"/>
      <c r="CF78" s="38"/>
      <c r="CG78" s="384">
        <f>SUM(CE78:CE82)*1.1</f>
        <v>50789.457399999999</v>
      </c>
      <c r="CH78" s="36"/>
      <c r="CI78" s="197"/>
      <c r="CJ78" s="197"/>
      <c r="CK78" s="38"/>
      <c r="CL78" s="384">
        <f>SUM(CJ78:CJ82)*1.1</f>
        <v>50789.457399999999</v>
      </c>
      <c r="CM78" s="36"/>
      <c r="CN78" s="197"/>
      <c r="CO78" s="197"/>
      <c r="CP78" s="38"/>
      <c r="CQ78" s="384">
        <f>SUM(CO78:CO82)*1.1</f>
        <v>50789.457399999999</v>
      </c>
      <c r="CR78" s="36"/>
      <c r="CS78" s="197"/>
      <c r="CT78" s="197"/>
      <c r="CU78" s="38"/>
      <c r="CV78" s="384">
        <f>SUM(CT78:CT82)*1.1</f>
        <v>50789.457399999999</v>
      </c>
      <c r="CW78" s="36"/>
      <c r="CX78" s="197"/>
      <c r="CY78" s="197"/>
      <c r="CZ78" s="38"/>
      <c r="DA78" s="384">
        <f>SUM(CY78:CY82)*1.1</f>
        <v>50789.457399999999</v>
      </c>
    </row>
    <row r="79" spans="1:105" ht="15" customHeight="1">
      <c r="A79" s="256" t="s">
        <v>333</v>
      </c>
      <c r="B79" s="215">
        <v>37985767</v>
      </c>
      <c r="C79" s="45" t="s">
        <v>57</v>
      </c>
      <c r="D79" s="216" t="s">
        <v>11</v>
      </c>
      <c r="E79" s="22"/>
      <c r="F79" s="103"/>
      <c r="G79" s="69">
        <v>1</v>
      </c>
      <c r="H79" s="131">
        <v>4720</v>
      </c>
      <c r="I79" s="81"/>
      <c r="J79" s="88"/>
      <c r="K79" s="338"/>
      <c r="L79" s="69">
        <v>1</v>
      </c>
      <c r="M79" s="131">
        <f>3933.33*1.2</f>
        <v>4719.9960000000001</v>
      </c>
      <c r="N79" s="81"/>
      <c r="O79" s="88"/>
      <c r="P79" s="103"/>
      <c r="Q79" s="69">
        <v>1</v>
      </c>
      <c r="R79" s="131">
        <f>1.2*3933.33</f>
        <v>4719.9960000000001</v>
      </c>
      <c r="S79" s="81"/>
      <c r="T79" s="88"/>
      <c r="U79" s="47"/>
      <c r="V79" s="69">
        <v>1</v>
      </c>
      <c r="W79" s="131">
        <f>3933.33*1.2</f>
        <v>4719.9960000000001</v>
      </c>
      <c r="X79" s="81"/>
      <c r="Y79" s="403">
        <f>SUM(W78:W82)*1</f>
        <v>65806.495999999999</v>
      </c>
      <c r="Z79" s="46"/>
      <c r="AA79" s="69">
        <v>1</v>
      </c>
      <c r="AB79" s="131">
        <f>1.2*3933.33</f>
        <v>4719.9960000000001</v>
      </c>
      <c r="AC79" s="81"/>
      <c r="AD79" s="403">
        <f>SUM(AB78:AB82)*1</f>
        <v>59929.892</v>
      </c>
      <c r="AE79" s="46"/>
      <c r="AF79" s="69">
        <v>1</v>
      </c>
      <c r="AG79" s="131">
        <f>1.2*3933.33</f>
        <v>4719.9960000000001</v>
      </c>
      <c r="AH79" s="81"/>
      <c r="AI79" s="403">
        <f>SUM(AG78:AG82)*1</f>
        <v>67868.117999999988</v>
      </c>
      <c r="AJ79" s="46"/>
      <c r="AK79" s="69">
        <v>1</v>
      </c>
      <c r="AL79" s="131">
        <f>1.2*3933.33</f>
        <v>4719.9960000000001</v>
      </c>
      <c r="AM79" s="81"/>
      <c r="AN79" s="403">
        <f>SUM(AL78:AL82)*1</f>
        <v>73983.943999999989</v>
      </c>
      <c r="AO79" s="46"/>
      <c r="AP79" s="69">
        <v>1</v>
      </c>
      <c r="AQ79" s="131">
        <f>1.2*3933.33</f>
        <v>4719.9960000000001</v>
      </c>
      <c r="AR79" s="81"/>
      <c r="AS79" s="403">
        <f>SUM(AQ78:AQ82)*1</f>
        <v>80635.317999999999</v>
      </c>
      <c r="AT79" s="46"/>
      <c r="AU79" s="69">
        <v>1</v>
      </c>
      <c r="AV79" s="131">
        <f>1.2*4070.54</f>
        <v>4884.6480000000001</v>
      </c>
      <c r="AW79" s="81"/>
      <c r="AX79" s="403">
        <f>SUM(AV78:AV82)*1</f>
        <v>103653.152</v>
      </c>
      <c r="AY79" s="46"/>
      <c r="AZ79" s="69">
        <v>1</v>
      </c>
      <c r="BA79" s="131">
        <f>1.2*3933.33</f>
        <v>4719.9960000000001</v>
      </c>
      <c r="BB79" s="81"/>
      <c r="BC79" s="403">
        <f>SUM(BA78:BA82)*1</f>
        <v>94740.1</v>
      </c>
      <c r="BD79" s="46"/>
      <c r="BE79" s="69">
        <v>1</v>
      </c>
      <c r="BF79" s="131">
        <f>1.2*3933.33</f>
        <v>4719.9960000000001</v>
      </c>
      <c r="BG79" s="81"/>
      <c r="BH79" s="403">
        <f>SUM(BF78:BF82)*1</f>
        <v>89489.579999999987</v>
      </c>
      <c r="BI79" s="46"/>
      <c r="BJ79" s="69">
        <v>1</v>
      </c>
      <c r="BK79" s="131">
        <f>1.2*(3933.33+88.27+341.88+68.87)</f>
        <v>5318.8199999999988</v>
      </c>
      <c r="BL79" s="81"/>
      <c r="BM79" s="403">
        <f>SUM(BK78:BK82)*1</f>
        <v>96877.911999999997</v>
      </c>
      <c r="BN79" s="46"/>
      <c r="BO79" s="69">
        <v>1</v>
      </c>
      <c r="BP79" s="131">
        <f>1.2*(3933.33+108.83)</f>
        <v>4850.5919999999996</v>
      </c>
      <c r="BQ79" s="81"/>
      <c r="BR79" s="403">
        <f>SUM(BP78:BP82)*1</f>
        <v>92652.676000000007</v>
      </c>
      <c r="BS79" s="46"/>
      <c r="BT79" s="69">
        <v>1</v>
      </c>
      <c r="BU79" s="131">
        <f>1.2*(3933.33+108.83)</f>
        <v>4850.5919999999996</v>
      </c>
      <c r="BV79" s="81"/>
      <c r="BW79" s="403">
        <f>SUM(BU78:BU82)*1</f>
        <v>110141.46400000001</v>
      </c>
      <c r="BX79" s="46"/>
      <c r="BY79" s="58">
        <v>1</v>
      </c>
      <c r="BZ79" s="63">
        <v>4720</v>
      </c>
      <c r="CA79" s="44"/>
      <c r="CB79" s="403">
        <f>SUM(BZ78:BZ82)*1</f>
        <v>46172.233999999997</v>
      </c>
      <c r="CC79" s="46"/>
      <c r="CD79" s="58">
        <v>1</v>
      </c>
      <c r="CE79" s="63">
        <v>4720</v>
      </c>
      <c r="CF79" s="44"/>
      <c r="CG79" s="403">
        <f>SUM(CE78:CE82)*1</f>
        <v>46172.233999999997</v>
      </c>
      <c r="CH79" s="46"/>
      <c r="CI79" s="58">
        <v>1</v>
      </c>
      <c r="CJ79" s="63">
        <v>4720</v>
      </c>
      <c r="CK79" s="44"/>
      <c r="CL79" s="403">
        <f>SUM(CJ78:CJ82)*1</f>
        <v>46172.233999999997</v>
      </c>
      <c r="CM79" s="46"/>
      <c r="CN79" s="58">
        <v>1</v>
      </c>
      <c r="CO79" s="63">
        <v>4720</v>
      </c>
      <c r="CP79" s="44"/>
      <c r="CQ79" s="403">
        <f>SUM(CO78:CO82)*1</f>
        <v>46172.233999999997</v>
      </c>
      <c r="CR79" s="46"/>
      <c r="CS79" s="58">
        <v>1</v>
      </c>
      <c r="CT79" s="63">
        <v>4720</v>
      </c>
      <c r="CU79" s="44"/>
      <c r="CV79" s="403">
        <f>SUM(CT78:CT82)*1</f>
        <v>46172.233999999997</v>
      </c>
      <c r="CW79" s="46"/>
      <c r="CX79" s="58">
        <v>1</v>
      </c>
      <c r="CY79" s="63">
        <v>4720</v>
      </c>
      <c r="CZ79" s="44"/>
      <c r="DA79" s="403">
        <f>SUM(CY78:CY82)*1</f>
        <v>46172.233999999997</v>
      </c>
    </row>
    <row r="80" spans="1:105" ht="15" customHeight="1">
      <c r="A80" s="256" t="s">
        <v>333</v>
      </c>
      <c r="B80" s="520"/>
      <c r="C80" s="45"/>
      <c r="D80" s="216" t="s">
        <v>13</v>
      </c>
      <c r="E80" s="22"/>
      <c r="F80" s="104">
        <f>H80/G80</f>
        <v>5.2053481575603557</v>
      </c>
      <c r="G80" s="70">
        <v>7870</v>
      </c>
      <c r="H80" s="131">
        <v>40966.089999999997</v>
      </c>
      <c r="I80" s="81"/>
      <c r="J80" s="88"/>
      <c r="K80" s="339">
        <f>M80/L80</f>
        <v>5.3685476190476189</v>
      </c>
      <c r="L80" s="70">
        <v>10080</v>
      </c>
      <c r="M80" s="131">
        <v>54114.96</v>
      </c>
      <c r="N80" s="81"/>
      <c r="O80" s="88"/>
      <c r="P80" s="104">
        <f>R80/Q80</f>
        <v>4.9663919172932331</v>
      </c>
      <c r="Q80" s="70">
        <v>10640</v>
      </c>
      <c r="R80" s="131">
        <v>52842.41</v>
      </c>
      <c r="S80" s="81"/>
      <c r="T80" s="88"/>
      <c r="U80" s="115">
        <f>W80/V80</f>
        <v>5.1477604166666664</v>
      </c>
      <c r="V80" s="70">
        <v>11520</v>
      </c>
      <c r="W80" s="131">
        <v>59302.2</v>
      </c>
      <c r="X80" s="81"/>
      <c r="Y80" s="81"/>
      <c r="Z80" s="92">
        <f>AB80/AA80</f>
        <v>4.6829526606772633</v>
      </c>
      <c r="AA80" s="70">
        <v>11576</v>
      </c>
      <c r="AB80" s="131">
        <v>54209.86</v>
      </c>
      <c r="AC80" s="81"/>
      <c r="AD80" s="81"/>
      <c r="AE80" s="92">
        <f>AG80/AF80</f>
        <v>4.8199440063091483</v>
      </c>
      <c r="AF80" s="70">
        <v>12680</v>
      </c>
      <c r="AG80" s="131">
        <v>61116.89</v>
      </c>
      <c r="AH80" s="81"/>
      <c r="AI80" s="81"/>
      <c r="AJ80" s="92">
        <f>AL80/AK80</f>
        <v>4.979220116618075</v>
      </c>
      <c r="AK80" s="70">
        <v>13720</v>
      </c>
      <c r="AL80" s="131">
        <v>68314.899999999994</v>
      </c>
      <c r="AM80" s="81"/>
      <c r="AN80" s="81"/>
      <c r="AO80" s="92">
        <f>AQ80/AP80</f>
        <v>5.9466958598726114</v>
      </c>
      <c r="AP80" s="70">
        <v>12560</v>
      </c>
      <c r="AQ80" s="131">
        <v>74690.5</v>
      </c>
      <c r="AR80" s="81"/>
      <c r="AS80" s="81"/>
      <c r="AT80" s="92">
        <f>AV80/AU80</f>
        <v>6.6107642713230357</v>
      </c>
      <c r="AU80" s="70">
        <v>14890</v>
      </c>
      <c r="AV80" s="131">
        <v>98434.28</v>
      </c>
      <c r="AW80" s="81"/>
      <c r="AX80" s="81"/>
      <c r="AY80" s="92">
        <f>BA80/AZ80</f>
        <v>6.3350523338048088</v>
      </c>
      <c r="AZ80" s="70">
        <v>14140</v>
      </c>
      <c r="BA80" s="131">
        <v>89577.64</v>
      </c>
      <c r="BB80" s="81"/>
      <c r="BC80" s="81"/>
      <c r="BD80" s="92">
        <f>BF80/BE80</f>
        <v>6.4589278603155149</v>
      </c>
      <c r="BE80" s="70">
        <v>13058</v>
      </c>
      <c r="BF80" s="131">
        <v>84340.68</v>
      </c>
      <c r="BG80" s="81"/>
      <c r="BH80" s="81"/>
      <c r="BI80" s="92">
        <f>BK80/BJ80</f>
        <v>6.8756885776673444</v>
      </c>
      <c r="BJ80" s="70">
        <v>13281</v>
      </c>
      <c r="BK80" s="131">
        <v>91316.02</v>
      </c>
      <c r="BL80" s="81"/>
      <c r="BM80" s="81"/>
      <c r="BN80" s="92">
        <f>BP80/BO80</f>
        <v>6.4709521343493375</v>
      </c>
      <c r="BO80" s="70">
        <v>13517</v>
      </c>
      <c r="BP80" s="131">
        <v>87467.86</v>
      </c>
      <c r="BQ80" s="81"/>
      <c r="BR80" s="81"/>
      <c r="BS80" s="92">
        <f>BU80/BT80</f>
        <v>6.1145401629802096</v>
      </c>
      <c r="BT80" s="70">
        <v>17180</v>
      </c>
      <c r="BU80" s="131">
        <v>105047.8</v>
      </c>
      <c r="BV80" s="81"/>
      <c r="BW80" s="44"/>
      <c r="BX80" s="92">
        <f>BZ80/BY80</f>
        <v>5.2053481575603557</v>
      </c>
      <c r="BY80" s="62">
        <v>7870</v>
      </c>
      <c r="BZ80" s="63">
        <v>40966.089999999997</v>
      </c>
      <c r="CA80" s="44"/>
      <c r="CB80" s="81"/>
      <c r="CC80" s="92">
        <f>CE80/CD80</f>
        <v>5.2053481575603557</v>
      </c>
      <c r="CD80" s="62">
        <v>7870</v>
      </c>
      <c r="CE80" s="63">
        <v>40966.089999999997</v>
      </c>
      <c r="CF80" s="44"/>
      <c r="CG80" s="81"/>
      <c r="CH80" s="92">
        <f>CJ80/CI80</f>
        <v>5.2053481575603557</v>
      </c>
      <c r="CI80" s="62">
        <v>7870</v>
      </c>
      <c r="CJ80" s="63">
        <v>40966.089999999997</v>
      </c>
      <c r="CK80" s="44"/>
      <c r="CL80" s="81"/>
      <c r="CM80" s="92">
        <f>CO80/CN80</f>
        <v>5.2053481575603557</v>
      </c>
      <c r="CN80" s="62">
        <v>7870</v>
      </c>
      <c r="CO80" s="63">
        <v>40966.089999999997</v>
      </c>
      <c r="CP80" s="44"/>
      <c r="CQ80" s="81"/>
      <c r="CR80" s="92">
        <f>CT80/CS80</f>
        <v>5.2053481575603557</v>
      </c>
      <c r="CS80" s="62">
        <v>7870</v>
      </c>
      <c r="CT80" s="63">
        <v>40966.089999999997</v>
      </c>
      <c r="CU80" s="44"/>
      <c r="CV80" s="81"/>
      <c r="CW80" s="92">
        <f>CY80/CX80</f>
        <v>5.2053481575603557</v>
      </c>
      <c r="CX80" s="62">
        <v>7870</v>
      </c>
      <c r="CY80" s="63">
        <v>40966.089999999997</v>
      </c>
      <c r="CZ80" s="44"/>
      <c r="DA80" s="81"/>
    </row>
    <row r="81" spans="1:105" ht="15" customHeight="1">
      <c r="A81" s="256"/>
      <c r="B81" s="215"/>
      <c r="C81" s="45"/>
      <c r="D81" s="216" t="s">
        <v>55</v>
      </c>
      <c r="E81" s="22"/>
      <c r="F81" s="103"/>
      <c r="G81" s="57"/>
      <c r="H81" s="57">
        <v>0</v>
      </c>
      <c r="I81" s="44"/>
      <c r="J81" s="86"/>
      <c r="K81" s="103"/>
      <c r="L81" s="57"/>
      <c r="M81" s="57">
        <v>0</v>
      </c>
      <c r="N81" s="44"/>
      <c r="O81" s="86"/>
      <c r="P81" s="103"/>
      <c r="Q81" s="57"/>
      <c r="R81" s="74">
        <f>1.2*166.94</f>
        <v>200.328</v>
      </c>
      <c r="S81" s="81"/>
      <c r="T81" s="88"/>
      <c r="U81" s="47"/>
      <c r="V81" s="57"/>
      <c r="W81" s="57">
        <f>1.2*160.13</f>
        <v>192.15599999999998</v>
      </c>
      <c r="X81" s="44"/>
      <c r="Y81" s="44"/>
      <c r="Z81" s="46"/>
      <c r="AA81" s="57"/>
      <c r="AB81" s="74">
        <f>1.2*110.55</f>
        <v>132.66</v>
      </c>
      <c r="AC81" s="81"/>
      <c r="AD81" s="44"/>
      <c r="AE81" s="46"/>
      <c r="AF81" s="74"/>
      <c r="AG81" s="74">
        <f>1.2*(116.31+90.75)</f>
        <v>248.47199999999998</v>
      </c>
      <c r="AH81" s="81"/>
      <c r="AI81" s="81"/>
      <c r="AJ81" s="46"/>
      <c r="AK81" s="74"/>
      <c r="AL81" s="74">
        <f>1.2*118.7</f>
        <v>142.44</v>
      </c>
      <c r="AM81" s="81"/>
      <c r="AN81" s="81"/>
      <c r="AO81" s="46"/>
      <c r="AP81" s="74"/>
      <c r="AQ81" s="74">
        <f>1.2*130.41+101.73</f>
        <v>258.22199999999998</v>
      </c>
      <c r="AR81" s="81"/>
      <c r="AS81" s="44"/>
      <c r="AT81" s="46"/>
      <c r="AU81" s="74"/>
      <c r="AV81" s="74">
        <v>0</v>
      </c>
      <c r="AW81" s="81"/>
      <c r="AX81" s="81"/>
      <c r="AY81" s="46"/>
      <c r="AZ81" s="74"/>
      <c r="BA81" s="74">
        <f>1.2*90.2</f>
        <v>108.24</v>
      </c>
      <c r="BB81" s="81"/>
      <c r="BC81" s="81"/>
      <c r="BD81" s="46"/>
      <c r="BE81" s="74"/>
      <c r="BF81" s="74">
        <v>0</v>
      </c>
      <c r="BG81" s="81"/>
      <c r="BH81" s="44"/>
      <c r="BI81" s="46"/>
      <c r="BJ81" s="74"/>
      <c r="BK81" s="74">
        <v>0</v>
      </c>
      <c r="BL81" s="81"/>
      <c r="BM81" s="81"/>
      <c r="BN81" s="46"/>
      <c r="BO81" s="74"/>
      <c r="BP81" s="74">
        <v>0</v>
      </c>
      <c r="BQ81" s="81"/>
      <c r="BR81" s="44"/>
      <c r="BS81" s="46"/>
      <c r="BT81" s="74"/>
      <c r="BU81" s="74">
        <v>0</v>
      </c>
      <c r="BV81" s="81"/>
      <c r="BW81" s="44"/>
      <c r="BX81" s="46"/>
      <c r="BY81" s="57"/>
      <c r="BZ81" s="57">
        <v>0</v>
      </c>
      <c r="CA81" s="44"/>
      <c r="CB81" s="44"/>
      <c r="CC81" s="46"/>
      <c r="CD81" s="57"/>
      <c r="CE81" s="57">
        <v>0</v>
      </c>
      <c r="CF81" s="44"/>
      <c r="CG81" s="44"/>
      <c r="CH81" s="46"/>
      <c r="CI81" s="57"/>
      <c r="CJ81" s="57">
        <v>0</v>
      </c>
      <c r="CK81" s="44"/>
      <c r="CL81" s="44"/>
      <c r="CM81" s="46"/>
      <c r="CN81" s="57"/>
      <c r="CO81" s="57">
        <v>0</v>
      </c>
      <c r="CP81" s="44"/>
      <c r="CQ81" s="44"/>
      <c r="CR81" s="46"/>
      <c r="CS81" s="57"/>
      <c r="CT81" s="57">
        <v>0</v>
      </c>
      <c r="CU81" s="44"/>
      <c r="CV81" s="44"/>
      <c r="CW81" s="46"/>
      <c r="CX81" s="57"/>
      <c r="CY81" s="57">
        <v>0</v>
      </c>
      <c r="CZ81" s="44"/>
      <c r="DA81" s="44"/>
    </row>
    <row r="82" spans="1:105" s="264" customFormat="1" ht="15" customHeight="1" thickBot="1">
      <c r="A82" s="257"/>
      <c r="B82" s="258"/>
      <c r="C82" s="20"/>
      <c r="D82" s="259" t="s">
        <v>17</v>
      </c>
      <c r="E82" s="23"/>
      <c r="F82" s="168">
        <f>H82/G82</f>
        <v>38.89152</v>
      </c>
      <c r="G82" s="169">
        <v>12.5</v>
      </c>
      <c r="H82" s="169">
        <f>1.2*405.12</f>
        <v>486.14400000000001</v>
      </c>
      <c r="I82" s="48"/>
      <c r="J82" s="49"/>
      <c r="K82" s="168">
        <f>M82/L82</f>
        <v>36.169714285714285</v>
      </c>
      <c r="L82" s="170">
        <v>14</v>
      </c>
      <c r="M82" s="170">
        <f>1.2*(278.52+143.46)</f>
        <v>506.37599999999998</v>
      </c>
      <c r="N82" s="179"/>
      <c r="O82" s="182"/>
      <c r="P82" s="168">
        <f>R82/Q82</f>
        <v>35.908363636363639</v>
      </c>
      <c r="Q82" s="170">
        <v>11</v>
      </c>
      <c r="R82" s="170">
        <f>1.2*329.16</f>
        <v>394.99200000000002</v>
      </c>
      <c r="S82" s="179"/>
      <c r="T82" s="182"/>
      <c r="U82" s="209">
        <f>W82/V82</f>
        <v>38.89152</v>
      </c>
      <c r="V82" s="170">
        <v>12.5</v>
      </c>
      <c r="W82" s="170">
        <f>1.2*405.12</f>
        <v>486.14400000000001</v>
      </c>
      <c r="X82" s="179"/>
      <c r="Y82" s="179"/>
      <c r="Z82" s="3">
        <f>AB82/AA82</f>
        <v>34.030080000000005</v>
      </c>
      <c r="AA82" s="170">
        <v>12.5</v>
      </c>
      <c r="AB82" s="170">
        <f>1.2*354.48</f>
        <v>425.37600000000003</v>
      </c>
      <c r="AC82" s="179"/>
      <c r="AD82" s="179"/>
      <c r="AE82" s="3">
        <f>AG82/AF82</f>
        <v>41.43272727272727</v>
      </c>
      <c r="AF82" s="170">
        <v>11</v>
      </c>
      <c r="AG82" s="170">
        <f>1.2*379.8</f>
        <v>455.76</v>
      </c>
      <c r="AH82" s="179"/>
      <c r="AI82" s="179"/>
      <c r="AJ82" s="3">
        <f>AL82/AK82</f>
        <v>30.383999999999997</v>
      </c>
      <c r="AK82" s="170">
        <v>12</v>
      </c>
      <c r="AL82" s="170">
        <f>1.2*303.84</f>
        <v>364.60799999999995</v>
      </c>
      <c r="AM82" s="179"/>
      <c r="AN82" s="179"/>
      <c r="AO82" s="3">
        <f>AQ82/AP82</f>
        <v>30.359999999999996</v>
      </c>
      <c r="AP82" s="170">
        <v>10</v>
      </c>
      <c r="AQ82" s="170">
        <f>1.2*253</f>
        <v>303.59999999999997</v>
      </c>
      <c r="AR82" s="179"/>
      <c r="AS82" s="179"/>
      <c r="AT82" s="3">
        <f>AV82/AU82</f>
        <v>30.384</v>
      </c>
      <c r="AU82" s="170">
        <v>11</v>
      </c>
      <c r="AV82" s="170">
        <f>1.2*278.52</f>
        <v>334.22399999999999</v>
      </c>
      <c r="AW82" s="179"/>
      <c r="AX82" s="179"/>
      <c r="AY82" s="3">
        <f>BA82/AZ82</f>
        <v>30.384</v>
      </c>
      <c r="AZ82" s="170">
        <v>11</v>
      </c>
      <c r="BA82" s="170">
        <f>1.2*278.52</f>
        <v>334.22399999999999</v>
      </c>
      <c r="BB82" s="179"/>
      <c r="BC82" s="179"/>
      <c r="BD82" s="3">
        <f>BF82/BE82</f>
        <v>34.31232</v>
      </c>
      <c r="BE82" s="170">
        <v>12.5</v>
      </c>
      <c r="BF82" s="170">
        <f>1.2*278.52+94.68</f>
        <v>428.904</v>
      </c>
      <c r="BG82" s="179"/>
      <c r="BH82" s="179"/>
      <c r="BI82" s="3">
        <f>BK82/BJ82</f>
        <v>41.908965517241384</v>
      </c>
      <c r="BJ82" s="170">
        <v>5.8</v>
      </c>
      <c r="BK82" s="170">
        <f>1.2*202.56</f>
        <v>243.072</v>
      </c>
      <c r="BL82" s="179"/>
      <c r="BM82" s="179"/>
      <c r="BN82" s="3">
        <f>BP82/BO82</f>
        <v>26.737919999999999</v>
      </c>
      <c r="BO82" s="170">
        <v>12.5</v>
      </c>
      <c r="BP82" s="170">
        <f>1.2*(278.52)</f>
        <v>334.22399999999999</v>
      </c>
      <c r="BQ82" s="179"/>
      <c r="BR82" s="179"/>
      <c r="BS82" s="3">
        <f>BU82/BT82</f>
        <v>30.384</v>
      </c>
      <c r="BT82" s="170">
        <v>8</v>
      </c>
      <c r="BU82" s="170">
        <f>1.2*202.56</f>
        <v>243.072</v>
      </c>
      <c r="BV82" s="179"/>
      <c r="BW82" s="48"/>
      <c r="BX82" s="3">
        <f>BZ82/BY82</f>
        <v>38.89152</v>
      </c>
      <c r="BY82" s="169">
        <v>12.5</v>
      </c>
      <c r="BZ82" s="169">
        <f>1.2*405.12</f>
        <v>486.14400000000001</v>
      </c>
      <c r="CA82" s="48"/>
      <c r="CB82" s="179"/>
      <c r="CC82" s="3">
        <f>CE82/CD82</f>
        <v>38.89152</v>
      </c>
      <c r="CD82" s="169">
        <v>12.5</v>
      </c>
      <c r="CE82" s="169">
        <f>1.2*405.12</f>
        <v>486.14400000000001</v>
      </c>
      <c r="CF82" s="48"/>
      <c r="CG82" s="179"/>
      <c r="CH82" s="3">
        <f>CJ82/CI82</f>
        <v>38.89152</v>
      </c>
      <c r="CI82" s="169">
        <v>12.5</v>
      </c>
      <c r="CJ82" s="169">
        <f>1.2*405.12</f>
        <v>486.14400000000001</v>
      </c>
      <c r="CK82" s="48"/>
      <c r="CL82" s="179"/>
      <c r="CM82" s="3">
        <f>CO82/CN82</f>
        <v>38.89152</v>
      </c>
      <c r="CN82" s="169">
        <v>12.5</v>
      </c>
      <c r="CO82" s="169">
        <f>1.2*405.12</f>
        <v>486.14400000000001</v>
      </c>
      <c r="CP82" s="48"/>
      <c r="CQ82" s="179"/>
      <c r="CR82" s="3">
        <f>CT82/CS82</f>
        <v>38.89152</v>
      </c>
      <c r="CS82" s="169">
        <v>12.5</v>
      </c>
      <c r="CT82" s="169">
        <f>1.2*405.12</f>
        <v>486.14400000000001</v>
      </c>
      <c r="CU82" s="48"/>
      <c r="CV82" s="179"/>
      <c r="CW82" s="3">
        <f>CY82/CX82</f>
        <v>38.89152</v>
      </c>
      <c r="CX82" s="169">
        <v>12.5</v>
      </c>
      <c r="CY82" s="169">
        <f>1.2*405.12</f>
        <v>486.14400000000001</v>
      </c>
      <c r="CZ82" s="48"/>
      <c r="DA82" s="179"/>
    </row>
    <row r="83" spans="1:105" s="255" customFormat="1" ht="15" customHeight="1">
      <c r="A83" s="621" t="s">
        <v>141</v>
      </c>
      <c r="B83" s="622" t="s">
        <v>58</v>
      </c>
      <c r="C83" s="26" t="s">
        <v>25</v>
      </c>
      <c r="D83" s="253" t="s">
        <v>10</v>
      </c>
      <c r="E83" s="21"/>
      <c r="F83" s="164"/>
      <c r="G83" s="165"/>
      <c r="H83" s="165"/>
      <c r="I83" s="166"/>
      <c r="J83" s="167"/>
      <c r="K83" s="164"/>
      <c r="L83" s="165"/>
      <c r="M83" s="165"/>
      <c r="N83" s="166"/>
      <c r="O83" s="167"/>
      <c r="P83" s="164"/>
      <c r="Q83" s="165"/>
      <c r="R83" s="165"/>
      <c r="S83" s="166"/>
      <c r="T83" s="167"/>
      <c r="U83" s="208"/>
      <c r="V83" s="165"/>
      <c r="W83" s="373">
        <v>1518</v>
      </c>
      <c r="X83" s="166"/>
      <c r="Y83" s="623">
        <f>SUM(W83:W87)*1.1</f>
        <v>195191.02064000003</v>
      </c>
      <c r="Z83" s="2"/>
      <c r="AA83" s="165"/>
      <c r="AB83" s="373">
        <v>506</v>
      </c>
      <c r="AC83" s="166"/>
      <c r="AD83" s="623">
        <f>SUM(AB83:AB87)*1.1</f>
        <v>126136.43900000001</v>
      </c>
      <c r="AE83" s="2"/>
      <c r="AF83" s="165"/>
      <c r="AG83" s="373">
        <v>506</v>
      </c>
      <c r="AH83" s="166"/>
      <c r="AI83" s="623">
        <f>SUM(AG83:AG87)*1.1</f>
        <v>148567.55100000001</v>
      </c>
      <c r="AJ83" s="2"/>
      <c r="AK83" s="165"/>
      <c r="AL83" s="373">
        <v>506</v>
      </c>
      <c r="AM83" s="166"/>
      <c r="AN83" s="623">
        <f>AN84*1.2</f>
        <v>180732.62399999998</v>
      </c>
      <c r="AO83" s="2"/>
      <c r="AP83" s="165"/>
      <c r="AQ83" s="165"/>
      <c r="AR83" s="166"/>
      <c r="AS83" s="623">
        <f>SUM(AQ83:AQ87)*1.1</f>
        <v>205262.87100000004</v>
      </c>
      <c r="AT83" s="2"/>
      <c r="AU83" s="165"/>
      <c r="AV83" s="165"/>
      <c r="AW83" s="166"/>
      <c r="AX83" s="623">
        <f>SUM(AV83:AV87)*1.1</f>
        <v>198965.16200000004</v>
      </c>
      <c r="AY83" s="2"/>
      <c r="AZ83" s="165"/>
      <c r="BA83" s="165"/>
      <c r="BB83" s="166"/>
      <c r="BC83" s="623">
        <f>SUM(BA83:BA87)*1.1</f>
        <v>243802.49300000002</v>
      </c>
      <c r="BD83" s="2"/>
      <c r="BE83" s="165"/>
      <c r="BF83" s="165"/>
      <c r="BG83" s="166"/>
      <c r="BH83" s="623">
        <f>SUM(BF83:BF87)*1.1</f>
        <v>243802.49300000002</v>
      </c>
      <c r="BI83" s="2"/>
      <c r="BJ83" s="165"/>
      <c r="BK83" s="165"/>
      <c r="BL83" s="166"/>
      <c r="BM83" s="623">
        <f>SUM(BK83:BK87)*1.1</f>
        <v>243802.49300000002</v>
      </c>
      <c r="BN83" s="2"/>
      <c r="BO83" s="165"/>
      <c r="BP83" s="165"/>
      <c r="BQ83" s="166"/>
      <c r="BR83" s="623">
        <f>SUM(BP83:BP87)*1.1</f>
        <v>243802.49300000002</v>
      </c>
      <c r="BS83" s="2"/>
      <c r="BT83" s="165"/>
      <c r="BU83" s="165"/>
      <c r="BV83" s="166"/>
      <c r="BW83" s="623">
        <f>SUM(BU83:BU87)*1.1</f>
        <v>243802.49300000002</v>
      </c>
      <c r="BX83" s="2"/>
      <c r="BY83" s="165"/>
      <c r="BZ83" s="165"/>
      <c r="CA83" s="166"/>
      <c r="CB83" s="623">
        <f>SUM(BZ83:BZ87)*1.1</f>
        <v>243802.49300000002</v>
      </c>
      <c r="CC83" s="2"/>
      <c r="CD83" s="165"/>
      <c r="CE83" s="165"/>
      <c r="CF83" s="166"/>
      <c r="CG83" s="623">
        <f>SUM(CE83:CE87)*1.1</f>
        <v>243802.49300000002</v>
      </c>
      <c r="CH83" s="2"/>
      <c r="CI83" s="165"/>
      <c r="CJ83" s="165"/>
      <c r="CK83" s="166"/>
      <c r="CL83" s="623">
        <f>SUM(CJ83:CJ87)*1.1</f>
        <v>243802.49300000002</v>
      </c>
      <c r="CM83" s="2"/>
      <c r="CN83" s="165"/>
      <c r="CO83" s="165"/>
      <c r="CP83" s="166"/>
      <c r="CQ83" s="623">
        <f>SUM(CO83:CO87)*1.1</f>
        <v>243802.49300000002</v>
      </c>
      <c r="CR83" s="2"/>
      <c r="CS83" s="165"/>
      <c r="CT83" s="165"/>
      <c r="CU83" s="166"/>
      <c r="CV83" s="623">
        <f>SUM(CT83:CT87)*1.1</f>
        <v>243802.49300000002</v>
      </c>
      <c r="CW83" s="2"/>
      <c r="CX83" s="165"/>
      <c r="CY83" s="165"/>
      <c r="CZ83" s="166"/>
      <c r="DA83" s="623">
        <f>SUM(CY83:CY87)*1.1</f>
        <v>243802.49300000002</v>
      </c>
    </row>
    <row r="84" spans="1:105" s="577" customFormat="1" ht="15" customHeight="1">
      <c r="A84" s="276"/>
      <c r="B84" s="612">
        <v>2988918516</v>
      </c>
      <c r="C84" s="613" t="s">
        <v>171</v>
      </c>
      <c r="D84" s="568" t="s">
        <v>13</v>
      </c>
      <c r="E84" s="624"/>
      <c r="F84" s="104">
        <f>H84/G84</f>
        <v>5.7999998732817</v>
      </c>
      <c r="G84" s="616">
        <v>15783.04</v>
      </c>
      <c r="H84" s="625">
        <v>91541.63</v>
      </c>
      <c r="I84" s="564"/>
      <c r="J84" s="88"/>
      <c r="K84" s="104">
        <f>M84/L84</f>
        <v>5.87</v>
      </c>
      <c r="L84" s="616">
        <v>17024</v>
      </c>
      <c r="M84" s="625">
        <v>99930.880000000005</v>
      </c>
      <c r="N84" s="564"/>
      <c r="O84" s="88"/>
      <c r="P84" s="104">
        <f>R84/Q84</f>
        <v>5.5922999999999998</v>
      </c>
      <c r="Q84" s="616">
        <v>20697.599999999999</v>
      </c>
      <c r="R84" s="625">
        <v>115747.18847999998</v>
      </c>
      <c r="S84" s="564"/>
      <c r="T84" s="88"/>
      <c r="U84" s="626">
        <f>W84/V84</f>
        <v>5.7965000000000009</v>
      </c>
      <c r="V84" s="616">
        <v>22713.599999999999</v>
      </c>
      <c r="W84" s="625">
        <v>131659.3824</v>
      </c>
      <c r="X84" s="564"/>
      <c r="Y84" s="627">
        <f>SUM(W83:W87)*1</f>
        <v>177446.3824</v>
      </c>
      <c r="Z84" s="615">
        <f>AB84/AA84</f>
        <v>5.4100000958001226</v>
      </c>
      <c r="AA84" s="616">
        <v>20876.8</v>
      </c>
      <c r="AB84" s="625">
        <v>112943.49</v>
      </c>
      <c r="AC84" s="564"/>
      <c r="AD84" s="627">
        <f>SUM(AB83:AB87)*1</f>
        <v>114669.49</v>
      </c>
      <c r="AE84" s="615">
        <f>AG84/AF84</f>
        <v>5.4700000822152059</v>
      </c>
      <c r="AF84" s="616">
        <v>24326.400000000001</v>
      </c>
      <c r="AG84" s="625">
        <v>133065.41</v>
      </c>
      <c r="AH84" s="564"/>
      <c r="AI84" s="627">
        <f>SUM(AG83:AG87)*1</f>
        <v>135061.41</v>
      </c>
      <c r="AJ84" s="615">
        <f>AL84/AK84</f>
        <v>5.7479999383172951</v>
      </c>
      <c r="AK84" s="616">
        <v>25939.200000000001</v>
      </c>
      <c r="AL84" s="625">
        <v>149098.51999999999</v>
      </c>
      <c r="AM84" s="564"/>
      <c r="AN84" s="627">
        <f>SUM(AL83:AL87)*1</f>
        <v>150610.51999999999</v>
      </c>
      <c r="AO84" s="615">
        <f>AQ84/AP84</f>
        <v>6.9640000150566124</v>
      </c>
      <c r="AP84" s="616">
        <v>26566.400000000001</v>
      </c>
      <c r="AQ84" s="625">
        <v>185008.41</v>
      </c>
      <c r="AR84" s="564"/>
      <c r="AS84" s="627">
        <f>SUM(AQ83:AQ87)*1</f>
        <v>186602.61000000002</v>
      </c>
      <c r="AT84" s="615">
        <f>AV84/AU84</f>
        <v>6.9640000000000004</v>
      </c>
      <c r="AU84" s="616">
        <v>25760</v>
      </c>
      <c r="AV84" s="625">
        <v>179392.64000000001</v>
      </c>
      <c r="AW84" s="564"/>
      <c r="AX84" s="627">
        <f>SUM(AV83:AV87)*1</f>
        <v>180877.42</v>
      </c>
      <c r="AY84" s="615">
        <f>BA84/AZ84</f>
        <v>5.7999998732817</v>
      </c>
      <c r="AZ84" s="619">
        <v>15783.04</v>
      </c>
      <c r="BA84" s="628">
        <v>91541.63</v>
      </c>
      <c r="BB84" s="571"/>
      <c r="BC84" s="627">
        <f>SUM(BA83:BA87)*1</f>
        <v>221638.63</v>
      </c>
      <c r="BD84" s="615">
        <f>BF84/BE84</f>
        <v>5.7999998732817</v>
      </c>
      <c r="BE84" s="619">
        <v>15783.04</v>
      </c>
      <c r="BF84" s="628">
        <v>91541.63</v>
      </c>
      <c r="BG84" s="571"/>
      <c r="BH84" s="627">
        <f>SUM(BF83:BF87)*1</f>
        <v>221638.63</v>
      </c>
      <c r="BI84" s="615">
        <f>BK84/BJ84</f>
        <v>5.7999998732817</v>
      </c>
      <c r="BJ84" s="619">
        <v>15783.04</v>
      </c>
      <c r="BK84" s="628">
        <v>91541.63</v>
      </c>
      <c r="BL84" s="571"/>
      <c r="BM84" s="627">
        <f>SUM(BK83:BK87)*1</f>
        <v>221638.63</v>
      </c>
      <c r="BN84" s="615">
        <f>BP84/BO84</f>
        <v>5.7999998732817</v>
      </c>
      <c r="BO84" s="619">
        <v>15783.04</v>
      </c>
      <c r="BP84" s="628">
        <v>91541.63</v>
      </c>
      <c r="BQ84" s="571"/>
      <c r="BR84" s="627">
        <f>SUM(BP83:BP87)*1</f>
        <v>221638.63</v>
      </c>
      <c r="BS84" s="615">
        <f>BU84/BT84</f>
        <v>5.7999998732817</v>
      </c>
      <c r="BT84" s="619">
        <v>15783.04</v>
      </c>
      <c r="BU84" s="628">
        <v>91541.63</v>
      </c>
      <c r="BV84" s="571"/>
      <c r="BW84" s="627">
        <f>SUM(BU83:BU87)*1</f>
        <v>221638.63</v>
      </c>
      <c r="BX84" s="615">
        <f>BZ84/BY84</f>
        <v>5.7999998732817</v>
      </c>
      <c r="BY84" s="619">
        <v>15783.04</v>
      </c>
      <c r="BZ84" s="628">
        <v>91541.63</v>
      </c>
      <c r="CA84" s="571"/>
      <c r="CB84" s="627">
        <f>SUM(BZ83:BZ87)*1</f>
        <v>221638.63</v>
      </c>
      <c r="CC84" s="615">
        <f>CE84/CD84</f>
        <v>5.7999998732817</v>
      </c>
      <c r="CD84" s="619">
        <v>15783.04</v>
      </c>
      <c r="CE84" s="628">
        <v>91541.63</v>
      </c>
      <c r="CF84" s="571"/>
      <c r="CG84" s="627">
        <f>SUM(CE83:CE87)*1</f>
        <v>221638.63</v>
      </c>
      <c r="CH84" s="615">
        <f>CJ84/CI84</f>
        <v>5.7999998732817</v>
      </c>
      <c r="CI84" s="619">
        <v>15783.04</v>
      </c>
      <c r="CJ84" s="628">
        <v>91541.63</v>
      </c>
      <c r="CK84" s="571"/>
      <c r="CL84" s="627">
        <f>SUM(CJ83:CJ87)*1</f>
        <v>221638.63</v>
      </c>
      <c r="CM84" s="615">
        <f>CO84/CN84</f>
        <v>5.7999998732817</v>
      </c>
      <c r="CN84" s="619">
        <v>15783.04</v>
      </c>
      <c r="CO84" s="628">
        <v>91541.63</v>
      </c>
      <c r="CP84" s="571"/>
      <c r="CQ84" s="627">
        <f>SUM(CO83:CO87)*1</f>
        <v>221638.63</v>
      </c>
      <c r="CR84" s="615">
        <f>CT84/CS84</f>
        <v>5.7999998732817</v>
      </c>
      <c r="CS84" s="619">
        <v>15783.04</v>
      </c>
      <c r="CT84" s="628">
        <v>91541.63</v>
      </c>
      <c r="CU84" s="571"/>
      <c r="CV84" s="627">
        <f>SUM(CT83:CT87)*1</f>
        <v>221638.63</v>
      </c>
      <c r="CW84" s="615">
        <f>CY84/CX84</f>
        <v>5.7999998732817</v>
      </c>
      <c r="CX84" s="619">
        <v>15783.04</v>
      </c>
      <c r="CY84" s="628">
        <v>91541.63</v>
      </c>
      <c r="CZ84" s="571"/>
      <c r="DA84" s="627">
        <f>SUM(CY83:CY87)*1</f>
        <v>221638.63</v>
      </c>
    </row>
    <row r="85" spans="1:105" s="577" customFormat="1" ht="15" customHeight="1">
      <c r="A85" s="276"/>
      <c r="B85" s="612"/>
      <c r="C85" s="613"/>
      <c r="D85" s="568" t="s">
        <v>59</v>
      </c>
      <c r="E85" s="624"/>
      <c r="F85" s="103"/>
      <c r="G85" s="629">
        <v>1</v>
      </c>
      <c r="H85" s="629">
        <v>500</v>
      </c>
      <c r="I85" s="564"/>
      <c r="J85" s="88"/>
      <c r="K85" s="103"/>
      <c r="L85" s="629">
        <v>1</v>
      </c>
      <c r="M85" s="629">
        <v>500</v>
      </c>
      <c r="N85" s="564"/>
      <c r="O85" s="88"/>
      <c r="P85" s="103"/>
      <c r="Q85" s="629">
        <v>1</v>
      </c>
      <c r="R85" s="629">
        <v>500</v>
      </c>
      <c r="S85" s="564"/>
      <c r="T85" s="88"/>
      <c r="U85" s="630"/>
      <c r="V85" s="629">
        <v>1</v>
      </c>
      <c r="W85" s="629">
        <v>500</v>
      </c>
      <c r="X85" s="564"/>
      <c r="Y85" s="564"/>
      <c r="Z85" s="631"/>
      <c r="AA85" s="629">
        <v>1</v>
      </c>
      <c r="AB85" s="629">
        <v>500</v>
      </c>
      <c r="AC85" s="564"/>
      <c r="AD85" s="564"/>
      <c r="AE85" s="631"/>
      <c r="AF85" s="629">
        <v>1</v>
      </c>
      <c r="AG85" s="629">
        <v>500</v>
      </c>
      <c r="AH85" s="564"/>
      <c r="AI85" s="564"/>
      <c r="AJ85" s="631"/>
      <c r="AK85" s="629">
        <v>1</v>
      </c>
      <c r="AL85" s="629">
        <v>500</v>
      </c>
      <c r="AM85" s="564"/>
      <c r="AN85" s="564"/>
      <c r="AO85" s="631"/>
      <c r="AP85" s="629">
        <v>1</v>
      </c>
      <c r="AQ85" s="629">
        <v>500</v>
      </c>
      <c r="AR85" s="564"/>
      <c r="AS85" s="564"/>
      <c r="AT85" s="631"/>
      <c r="AU85" s="629">
        <v>1</v>
      </c>
      <c r="AV85" s="629">
        <v>500</v>
      </c>
      <c r="AW85" s="632"/>
      <c r="AX85" s="564"/>
      <c r="AY85" s="631"/>
      <c r="AZ85" s="570">
        <v>1</v>
      </c>
      <c r="BA85" s="570">
        <v>500</v>
      </c>
      <c r="BB85" s="571"/>
      <c r="BC85" s="564"/>
      <c r="BD85" s="631"/>
      <c r="BE85" s="570">
        <v>1</v>
      </c>
      <c r="BF85" s="570">
        <v>500</v>
      </c>
      <c r="BG85" s="571"/>
      <c r="BH85" s="564"/>
      <c r="BI85" s="631"/>
      <c r="BJ85" s="570">
        <v>1</v>
      </c>
      <c r="BK85" s="570">
        <v>500</v>
      </c>
      <c r="BL85" s="571"/>
      <c r="BM85" s="564"/>
      <c r="BN85" s="631"/>
      <c r="BO85" s="570">
        <v>1</v>
      </c>
      <c r="BP85" s="570">
        <v>500</v>
      </c>
      <c r="BQ85" s="571"/>
      <c r="BR85" s="564"/>
      <c r="BS85" s="631"/>
      <c r="BT85" s="570">
        <v>1</v>
      </c>
      <c r="BU85" s="570">
        <v>500</v>
      </c>
      <c r="BV85" s="571"/>
      <c r="BW85" s="564"/>
      <c r="BX85" s="631"/>
      <c r="BY85" s="570">
        <v>1</v>
      </c>
      <c r="BZ85" s="570">
        <v>500</v>
      </c>
      <c r="CA85" s="571"/>
      <c r="CB85" s="564"/>
      <c r="CC85" s="631"/>
      <c r="CD85" s="570">
        <v>1</v>
      </c>
      <c r="CE85" s="570">
        <v>500</v>
      </c>
      <c r="CF85" s="571"/>
      <c r="CG85" s="564"/>
      <c r="CH85" s="631"/>
      <c r="CI85" s="570">
        <v>1</v>
      </c>
      <c r="CJ85" s="570">
        <v>500</v>
      </c>
      <c r="CK85" s="571"/>
      <c r="CL85" s="564"/>
      <c r="CM85" s="631"/>
      <c r="CN85" s="570">
        <v>1</v>
      </c>
      <c r="CO85" s="570">
        <v>500</v>
      </c>
      <c r="CP85" s="571"/>
      <c r="CQ85" s="564"/>
      <c r="CR85" s="631"/>
      <c r="CS85" s="570">
        <v>1</v>
      </c>
      <c r="CT85" s="570">
        <v>500</v>
      </c>
      <c r="CU85" s="571"/>
      <c r="CV85" s="564"/>
      <c r="CW85" s="631"/>
      <c r="CX85" s="570">
        <v>1</v>
      </c>
      <c r="CY85" s="570">
        <v>500</v>
      </c>
      <c r="CZ85" s="571"/>
      <c r="DA85" s="564"/>
    </row>
    <row r="86" spans="1:105" s="578" customFormat="1" ht="15" customHeight="1">
      <c r="A86" s="276"/>
      <c r="B86" s="612"/>
      <c r="C86" s="633"/>
      <c r="D86" s="634" t="s">
        <v>33</v>
      </c>
      <c r="E86" s="635"/>
      <c r="F86" s="109">
        <v>850</v>
      </c>
      <c r="G86" s="570">
        <v>151.62</v>
      </c>
      <c r="H86" s="570">
        <v>128877</v>
      </c>
      <c r="I86" s="571"/>
      <c r="J86" s="86"/>
      <c r="K86" s="109">
        <v>850</v>
      </c>
      <c r="L86" s="629">
        <v>151.62</v>
      </c>
      <c r="M86" s="629">
        <v>128877</v>
      </c>
      <c r="N86" s="564"/>
      <c r="O86" s="88"/>
      <c r="P86" s="109">
        <v>850</v>
      </c>
      <c r="Q86" s="629">
        <v>151.62</v>
      </c>
      <c r="R86" s="629">
        <v>128877</v>
      </c>
      <c r="S86" s="564"/>
      <c r="T86" s="88"/>
      <c r="U86" s="636">
        <v>850</v>
      </c>
      <c r="V86" s="629">
        <v>50.54</v>
      </c>
      <c r="W86" s="629">
        <v>42959</v>
      </c>
      <c r="X86" s="564"/>
      <c r="Y86" s="564"/>
      <c r="Z86" s="637">
        <v>850</v>
      </c>
      <c r="AA86" s="629">
        <v>0</v>
      </c>
      <c r="AB86" s="629">
        <v>0</v>
      </c>
      <c r="AC86" s="564"/>
      <c r="AD86" s="564"/>
      <c r="AE86" s="637">
        <v>850</v>
      </c>
      <c r="AF86" s="629">
        <v>0</v>
      </c>
      <c r="AG86" s="629">
        <v>0</v>
      </c>
      <c r="AH86" s="564"/>
      <c r="AI86" s="564"/>
      <c r="AJ86" s="637">
        <v>850</v>
      </c>
      <c r="AK86" s="629">
        <v>0</v>
      </c>
      <c r="AL86" s="629">
        <v>0</v>
      </c>
      <c r="AM86" s="564"/>
      <c r="AN86" s="564"/>
      <c r="AO86" s="637">
        <v>850</v>
      </c>
      <c r="AP86" s="629">
        <v>0</v>
      </c>
      <c r="AQ86" s="629"/>
      <c r="AR86" s="564"/>
      <c r="AS86" s="564"/>
      <c r="AT86" s="637">
        <v>850</v>
      </c>
      <c r="AU86" s="629">
        <v>0</v>
      </c>
      <c r="AV86" s="629">
        <v>0</v>
      </c>
      <c r="AW86" s="564"/>
      <c r="AX86" s="564"/>
      <c r="AY86" s="637">
        <v>850</v>
      </c>
      <c r="AZ86" s="570">
        <v>151.62</v>
      </c>
      <c r="BA86" s="570">
        <v>128877</v>
      </c>
      <c r="BB86" s="571"/>
      <c r="BC86" s="564"/>
      <c r="BD86" s="637">
        <v>850</v>
      </c>
      <c r="BE86" s="570">
        <v>151.62</v>
      </c>
      <c r="BF86" s="570">
        <v>128877</v>
      </c>
      <c r="BG86" s="571"/>
      <c r="BH86" s="564"/>
      <c r="BI86" s="637">
        <v>850</v>
      </c>
      <c r="BJ86" s="570">
        <v>151.62</v>
      </c>
      <c r="BK86" s="570">
        <v>128877</v>
      </c>
      <c r="BL86" s="571"/>
      <c r="BM86" s="564"/>
      <c r="BN86" s="637">
        <v>850</v>
      </c>
      <c r="BO86" s="570">
        <v>151.62</v>
      </c>
      <c r="BP86" s="570">
        <v>128877</v>
      </c>
      <c r="BQ86" s="571"/>
      <c r="BR86" s="564"/>
      <c r="BS86" s="637">
        <v>850</v>
      </c>
      <c r="BT86" s="570">
        <v>151.62</v>
      </c>
      <c r="BU86" s="570">
        <v>128877</v>
      </c>
      <c r="BV86" s="571"/>
      <c r="BW86" s="564"/>
      <c r="BX86" s="637">
        <v>850</v>
      </c>
      <c r="BY86" s="570">
        <v>151.62</v>
      </c>
      <c r="BZ86" s="570">
        <v>128877</v>
      </c>
      <c r="CA86" s="571"/>
      <c r="CB86" s="564"/>
      <c r="CC86" s="637">
        <v>850</v>
      </c>
      <c r="CD86" s="570">
        <v>151.62</v>
      </c>
      <c r="CE86" s="570">
        <v>128877</v>
      </c>
      <c r="CF86" s="571"/>
      <c r="CG86" s="564"/>
      <c r="CH86" s="637">
        <v>850</v>
      </c>
      <c r="CI86" s="570">
        <v>151.62</v>
      </c>
      <c r="CJ86" s="570">
        <v>128877</v>
      </c>
      <c r="CK86" s="571"/>
      <c r="CL86" s="564"/>
      <c r="CM86" s="637">
        <v>850</v>
      </c>
      <c r="CN86" s="570">
        <v>151.62</v>
      </c>
      <c r="CO86" s="570">
        <v>128877</v>
      </c>
      <c r="CP86" s="571"/>
      <c r="CQ86" s="564"/>
      <c r="CR86" s="637">
        <v>850</v>
      </c>
      <c r="CS86" s="570">
        <v>151.62</v>
      </c>
      <c r="CT86" s="570">
        <v>128877</v>
      </c>
      <c r="CU86" s="571"/>
      <c r="CV86" s="564"/>
      <c r="CW86" s="637">
        <v>850</v>
      </c>
      <c r="CX86" s="570">
        <v>151.62</v>
      </c>
      <c r="CY86" s="570">
        <v>128877</v>
      </c>
      <c r="CZ86" s="571"/>
      <c r="DA86" s="564"/>
    </row>
    <row r="87" spans="1:105" s="264" customFormat="1" ht="15" customHeight="1" thickBot="1">
      <c r="A87" s="289"/>
      <c r="B87" s="283"/>
      <c r="C87" s="20"/>
      <c r="D87" s="259" t="s">
        <v>17</v>
      </c>
      <c r="E87" s="23"/>
      <c r="F87" s="168">
        <f>H87/G87</f>
        <v>45</v>
      </c>
      <c r="G87" s="180">
        <v>16</v>
      </c>
      <c r="H87" s="183">
        <v>720</v>
      </c>
      <c r="I87" s="179"/>
      <c r="J87" s="182"/>
      <c r="K87" s="168">
        <f>M87/L87</f>
        <v>45</v>
      </c>
      <c r="L87" s="180">
        <v>18</v>
      </c>
      <c r="M87" s="183">
        <v>810</v>
      </c>
      <c r="N87" s="179"/>
      <c r="O87" s="182"/>
      <c r="P87" s="168">
        <f>R87/Q87</f>
        <v>45</v>
      </c>
      <c r="Q87" s="180">
        <v>21</v>
      </c>
      <c r="R87" s="362">
        <v>945</v>
      </c>
      <c r="S87" s="179"/>
      <c r="T87" s="182"/>
      <c r="U87" s="209">
        <f>W87/V87</f>
        <v>45</v>
      </c>
      <c r="V87" s="180">
        <v>18</v>
      </c>
      <c r="W87" s="183">
        <v>810</v>
      </c>
      <c r="X87" s="179"/>
      <c r="Y87" s="179"/>
      <c r="Z87" s="3">
        <f>AB87/AA87</f>
        <v>45</v>
      </c>
      <c r="AA87" s="180">
        <v>16</v>
      </c>
      <c r="AB87" s="183">
        <v>720</v>
      </c>
      <c r="AC87" s="179"/>
      <c r="AD87" s="179"/>
      <c r="AE87" s="3">
        <f>AG87/AF87</f>
        <v>45</v>
      </c>
      <c r="AF87" s="180">
        <v>22</v>
      </c>
      <c r="AG87" s="183">
        <v>990</v>
      </c>
      <c r="AH87" s="179"/>
      <c r="AI87" s="179"/>
      <c r="AJ87" s="3">
        <f>AL87/AK87</f>
        <v>46</v>
      </c>
      <c r="AK87" s="180">
        <v>11</v>
      </c>
      <c r="AL87" s="183">
        <v>506</v>
      </c>
      <c r="AM87" s="179"/>
      <c r="AN87" s="179"/>
      <c r="AO87" s="3">
        <f>AQ87/AP87</f>
        <v>54.71</v>
      </c>
      <c r="AP87" s="180">
        <v>20</v>
      </c>
      <c r="AQ87" s="183">
        <v>1094.2</v>
      </c>
      <c r="AR87" s="179"/>
      <c r="AS87" s="179"/>
      <c r="AT87" s="3">
        <f>AV87/AU87</f>
        <v>54.71</v>
      </c>
      <c r="AU87" s="180">
        <v>18</v>
      </c>
      <c r="AV87" s="183">
        <v>984.78</v>
      </c>
      <c r="AW87" s="179"/>
      <c r="AX87" s="179"/>
      <c r="AY87" s="3">
        <f>BA87/AZ87</f>
        <v>45</v>
      </c>
      <c r="AZ87" s="277">
        <v>16</v>
      </c>
      <c r="BA87" s="185">
        <v>720</v>
      </c>
      <c r="BB87" s="48"/>
      <c r="BC87" s="179"/>
      <c r="BD87" s="3">
        <f>BF87/BE87</f>
        <v>45</v>
      </c>
      <c r="BE87" s="277">
        <v>16</v>
      </c>
      <c r="BF87" s="185">
        <v>720</v>
      </c>
      <c r="BG87" s="48"/>
      <c r="BH87" s="179"/>
      <c r="BI87" s="3">
        <f>BK87/BJ87</f>
        <v>45</v>
      </c>
      <c r="BJ87" s="277">
        <v>16</v>
      </c>
      <c r="BK87" s="185">
        <v>720</v>
      </c>
      <c r="BL87" s="48"/>
      <c r="BM87" s="179"/>
      <c r="BN87" s="3">
        <f>BP87/BO87</f>
        <v>45</v>
      </c>
      <c r="BO87" s="277">
        <v>16</v>
      </c>
      <c r="BP87" s="185">
        <v>720</v>
      </c>
      <c r="BQ87" s="48"/>
      <c r="BR87" s="179"/>
      <c r="BS87" s="3">
        <f>BU87/BT87</f>
        <v>45</v>
      </c>
      <c r="BT87" s="277">
        <v>16</v>
      </c>
      <c r="BU87" s="185">
        <v>720</v>
      </c>
      <c r="BV87" s="48"/>
      <c r="BW87" s="179"/>
      <c r="BX87" s="3">
        <f>BZ87/BY87</f>
        <v>45</v>
      </c>
      <c r="BY87" s="277">
        <v>16</v>
      </c>
      <c r="BZ87" s="185">
        <v>720</v>
      </c>
      <c r="CA87" s="48"/>
      <c r="CB87" s="179"/>
      <c r="CC87" s="3">
        <f>CE87/CD87</f>
        <v>45</v>
      </c>
      <c r="CD87" s="277">
        <v>16</v>
      </c>
      <c r="CE87" s="185">
        <v>720</v>
      </c>
      <c r="CF87" s="48"/>
      <c r="CG87" s="179"/>
      <c r="CH87" s="3">
        <f>CJ87/CI87</f>
        <v>45</v>
      </c>
      <c r="CI87" s="277">
        <v>16</v>
      </c>
      <c r="CJ87" s="185">
        <v>720</v>
      </c>
      <c r="CK87" s="48"/>
      <c r="CL87" s="179"/>
      <c r="CM87" s="3">
        <f>CO87/CN87</f>
        <v>45</v>
      </c>
      <c r="CN87" s="277">
        <v>16</v>
      </c>
      <c r="CO87" s="185">
        <v>720</v>
      </c>
      <c r="CP87" s="48"/>
      <c r="CQ87" s="179"/>
      <c r="CR87" s="3">
        <f>CT87/CS87</f>
        <v>45</v>
      </c>
      <c r="CS87" s="277">
        <v>16</v>
      </c>
      <c r="CT87" s="185">
        <v>720</v>
      </c>
      <c r="CU87" s="48"/>
      <c r="CV87" s="179"/>
      <c r="CW87" s="3">
        <f>CY87/CX87</f>
        <v>45</v>
      </c>
      <c r="CX87" s="277">
        <v>16</v>
      </c>
      <c r="CY87" s="185">
        <v>720</v>
      </c>
      <c r="CZ87" s="48"/>
      <c r="DA87" s="179"/>
    </row>
    <row r="88" spans="1:105" s="255" customFormat="1" ht="15" customHeight="1">
      <c r="A88" s="638"/>
      <c r="B88" s="639"/>
      <c r="C88" s="26"/>
      <c r="D88" s="253"/>
      <c r="E88" s="253"/>
      <c r="F88" s="378"/>
      <c r="G88" s="640"/>
      <c r="H88" s="165"/>
      <c r="I88" s="166"/>
      <c r="J88" s="166"/>
      <c r="K88" s="378"/>
      <c r="L88" s="641"/>
      <c r="M88" s="642"/>
      <c r="N88" s="512"/>
      <c r="O88" s="512"/>
      <c r="P88" s="378"/>
      <c r="Q88" s="641"/>
      <c r="R88" s="643"/>
      <c r="S88" s="512"/>
      <c r="T88" s="512"/>
      <c r="U88" s="378"/>
      <c r="V88" s="641"/>
      <c r="W88" s="642"/>
      <c r="X88" s="512"/>
      <c r="Y88" s="512"/>
      <c r="Z88" s="378"/>
      <c r="AA88" s="641"/>
      <c r="AB88" s="642"/>
      <c r="AC88" s="512"/>
      <c r="AD88" s="512"/>
      <c r="AE88" s="378"/>
      <c r="AF88" s="641"/>
      <c r="AG88" s="642"/>
      <c r="AH88" s="512"/>
      <c r="AI88" s="512"/>
      <c r="AJ88" s="378"/>
      <c r="AK88" s="641"/>
      <c r="AL88" s="642"/>
      <c r="AM88" s="512"/>
      <c r="AN88" s="512"/>
      <c r="AO88" s="378"/>
      <c r="AP88" s="641"/>
      <c r="AQ88" s="642"/>
      <c r="AR88" s="512"/>
      <c r="AS88" s="512"/>
      <c r="AT88" s="378"/>
      <c r="AU88" s="641"/>
      <c r="AV88" s="642"/>
      <c r="AW88" s="512"/>
      <c r="AX88" s="512"/>
      <c r="AY88" s="378"/>
      <c r="AZ88" s="644"/>
      <c r="BA88" s="645"/>
      <c r="BB88" s="166"/>
      <c r="BC88" s="512"/>
      <c r="BD88" s="378"/>
      <c r="BE88" s="644"/>
      <c r="BF88" s="645"/>
      <c r="BG88" s="166"/>
      <c r="BH88" s="512"/>
      <c r="BI88" s="378"/>
      <c r="BJ88" s="644"/>
      <c r="BK88" s="645"/>
      <c r="BL88" s="166"/>
      <c r="BM88" s="512"/>
      <c r="BN88" s="378"/>
      <c r="BO88" s="644"/>
      <c r="BP88" s="645"/>
      <c r="BQ88" s="166"/>
      <c r="BR88" s="512"/>
      <c r="BS88" s="378"/>
      <c r="BT88" s="644"/>
      <c r="BU88" s="645"/>
      <c r="BV88" s="166"/>
      <c r="BW88" s="623">
        <f>SUM(BU88:BU92)*1.1</f>
        <v>96750.852000000014</v>
      </c>
      <c r="BX88" s="378"/>
      <c r="BY88" s="644"/>
      <c r="BZ88" s="645"/>
      <c r="CA88" s="166"/>
      <c r="CB88" s="512"/>
      <c r="CC88" s="378"/>
      <c r="CD88" s="644"/>
      <c r="CE88" s="645"/>
      <c r="CF88" s="166"/>
      <c r="CG88" s="512"/>
      <c r="CH88" s="378"/>
      <c r="CI88" s="644"/>
      <c r="CJ88" s="645"/>
      <c r="CK88" s="166"/>
      <c r="CL88" s="512"/>
      <c r="CM88" s="378"/>
      <c r="CN88" s="644"/>
      <c r="CO88" s="645"/>
      <c r="CP88" s="166"/>
      <c r="CQ88" s="512"/>
      <c r="CR88" s="378"/>
      <c r="CS88" s="644"/>
      <c r="CT88" s="645"/>
      <c r="CU88" s="166"/>
      <c r="CV88" s="512"/>
      <c r="CW88" s="378"/>
      <c r="CX88" s="644"/>
      <c r="CY88" s="645"/>
      <c r="CZ88" s="166"/>
      <c r="DA88" s="512"/>
    </row>
    <row r="89" spans="1:105" s="577" customFormat="1" ht="15" customHeight="1">
      <c r="A89" s="296" t="s">
        <v>394</v>
      </c>
      <c r="B89" s="614">
        <v>45178042</v>
      </c>
      <c r="C89" s="613" t="s">
        <v>444</v>
      </c>
      <c r="D89" s="568" t="s">
        <v>13</v>
      </c>
      <c r="E89" s="568"/>
      <c r="F89" s="615"/>
      <c r="G89" s="569"/>
      <c r="H89" s="570"/>
      <c r="I89" s="571"/>
      <c r="J89" s="571"/>
      <c r="K89" s="615"/>
      <c r="L89" s="616"/>
      <c r="M89" s="617"/>
      <c r="N89" s="564"/>
      <c r="O89" s="564"/>
      <c r="P89" s="615"/>
      <c r="Q89" s="616"/>
      <c r="R89" s="618"/>
      <c r="S89" s="564"/>
      <c r="T89" s="564"/>
      <c r="U89" s="615"/>
      <c r="V89" s="616"/>
      <c r="W89" s="617"/>
      <c r="X89" s="564"/>
      <c r="Y89" s="564"/>
      <c r="Z89" s="615"/>
      <c r="AA89" s="616"/>
      <c r="AB89" s="617"/>
      <c r="AC89" s="564"/>
      <c r="AD89" s="564"/>
      <c r="AE89" s="615"/>
      <c r="AF89" s="616"/>
      <c r="AG89" s="617"/>
      <c r="AH89" s="564"/>
      <c r="AI89" s="564"/>
      <c r="AJ89" s="615"/>
      <c r="AK89" s="616"/>
      <c r="AL89" s="617"/>
      <c r="AM89" s="564"/>
      <c r="AN89" s="564"/>
      <c r="AO89" s="615"/>
      <c r="AP89" s="616"/>
      <c r="AQ89" s="617"/>
      <c r="AR89" s="564"/>
      <c r="AS89" s="564"/>
      <c r="AT89" s="615"/>
      <c r="AU89" s="616"/>
      <c r="AV89" s="617"/>
      <c r="AW89" s="564"/>
      <c r="AX89" s="564"/>
      <c r="AY89" s="615"/>
      <c r="AZ89" s="619"/>
      <c r="BA89" s="620"/>
      <c r="BB89" s="571"/>
      <c r="BC89" s="564"/>
      <c r="BD89" s="615"/>
      <c r="BE89" s="619"/>
      <c r="BF89" s="620"/>
      <c r="BG89" s="571"/>
      <c r="BH89" s="564"/>
      <c r="BI89" s="615"/>
      <c r="BJ89" s="619"/>
      <c r="BK89" s="620"/>
      <c r="BL89" s="571"/>
      <c r="BM89" s="564"/>
      <c r="BN89" s="615"/>
      <c r="BO89" s="619"/>
      <c r="BP89" s="620"/>
      <c r="BQ89" s="571"/>
      <c r="BR89" s="564"/>
      <c r="BS89" s="615"/>
      <c r="BT89" s="616">
        <v>11612</v>
      </c>
      <c r="BU89" s="617">
        <v>87955.32</v>
      </c>
      <c r="BV89" s="564"/>
      <c r="BW89" s="627">
        <f>SUM(BU88:BU91)*1</f>
        <v>87955.32</v>
      </c>
      <c r="BX89" s="615"/>
      <c r="BY89" s="619"/>
      <c r="BZ89" s="620"/>
      <c r="CA89" s="571"/>
      <c r="CB89" s="564"/>
      <c r="CC89" s="615"/>
      <c r="CD89" s="619"/>
      <c r="CE89" s="620"/>
      <c r="CF89" s="571"/>
      <c r="CG89" s="564"/>
      <c r="CH89" s="615"/>
      <c r="CI89" s="619"/>
      <c r="CJ89" s="620"/>
      <c r="CK89" s="571"/>
      <c r="CL89" s="564"/>
      <c r="CM89" s="615"/>
      <c r="CN89" s="619"/>
      <c r="CO89" s="620"/>
      <c r="CP89" s="571"/>
      <c r="CQ89" s="564"/>
      <c r="CR89" s="615"/>
      <c r="CS89" s="619"/>
      <c r="CT89" s="620"/>
      <c r="CU89" s="571"/>
      <c r="CV89" s="564"/>
      <c r="CW89" s="615"/>
      <c r="CX89" s="619"/>
      <c r="CY89" s="620"/>
      <c r="CZ89" s="571"/>
      <c r="DA89" s="564"/>
    </row>
    <row r="90" spans="1:105" s="577" customFormat="1" ht="15" customHeight="1">
      <c r="A90" s="296"/>
      <c r="B90" s="614"/>
      <c r="C90" s="613"/>
      <c r="D90" s="568"/>
      <c r="E90" s="568"/>
      <c r="F90" s="615"/>
      <c r="G90" s="569"/>
      <c r="H90" s="570"/>
      <c r="I90" s="571"/>
      <c r="J90" s="571"/>
      <c r="K90" s="615"/>
      <c r="L90" s="616"/>
      <c r="M90" s="617"/>
      <c r="N90" s="564"/>
      <c r="O90" s="564"/>
      <c r="P90" s="615"/>
      <c r="Q90" s="616"/>
      <c r="R90" s="618"/>
      <c r="S90" s="564"/>
      <c r="T90" s="564"/>
      <c r="U90" s="615"/>
      <c r="V90" s="616"/>
      <c r="W90" s="617"/>
      <c r="X90" s="564"/>
      <c r="Y90" s="564"/>
      <c r="Z90" s="615"/>
      <c r="AA90" s="616"/>
      <c r="AB90" s="617"/>
      <c r="AC90" s="564"/>
      <c r="AD90" s="564"/>
      <c r="AE90" s="615"/>
      <c r="AF90" s="616"/>
      <c r="AG90" s="617"/>
      <c r="AH90" s="564"/>
      <c r="AI90" s="564"/>
      <c r="AJ90" s="615"/>
      <c r="AK90" s="616"/>
      <c r="AL90" s="617"/>
      <c r="AM90" s="564"/>
      <c r="AN90" s="564"/>
      <c r="AO90" s="615"/>
      <c r="AP90" s="616"/>
      <c r="AQ90" s="617"/>
      <c r="AR90" s="564"/>
      <c r="AS90" s="564"/>
      <c r="AT90" s="615"/>
      <c r="AU90" s="616"/>
      <c r="AV90" s="617"/>
      <c r="AW90" s="564"/>
      <c r="AX90" s="564"/>
      <c r="AY90" s="615"/>
      <c r="AZ90" s="619"/>
      <c r="BA90" s="620"/>
      <c r="BB90" s="571"/>
      <c r="BC90" s="564"/>
      <c r="BD90" s="615"/>
      <c r="BE90" s="619"/>
      <c r="BF90" s="620"/>
      <c r="BG90" s="571"/>
      <c r="BH90" s="564"/>
      <c r="BI90" s="615"/>
      <c r="BJ90" s="619"/>
      <c r="BK90" s="620"/>
      <c r="BL90" s="571"/>
      <c r="BM90" s="564"/>
      <c r="BN90" s="615"/>
      <c r="BO90" s="619"/>
      <c r="BP90" s="620"/>
      <c r="BQ90" s="571"/>
      <c r="BR90" s="564"/>
      <c r="BS90" s="615"/>
      <c r="BT90" s="619"/>
      <c r="BU90" s="620"/>
      <c r="BV90" s="571"/>
      <c r="BW90" s="564"/>
      <c r="BX90" s="615"/>
      <c r="BY90" s="619"/>
      <c r="BZ90" s="620"/>
      <c r="CA90" s="571"/>
      <c r="CB90" s="564"/>
      <c r="CC90" s="615"/>
      <c r="CD90" s="619"/>
      <c r="CE90" s="620"/>
      <c r="CF90" s="571"/>
      <c r="CG90" s="564"/>
      <c r="CH90" s="615"/>
      <c r="CI90" s="619"/>
      <c r="CJ90" s="620"/>
      <c r="CK90" s="571"/>
      <c r="CL90" s="564"/>
      <c r="CM90" s="615"/>
      <c r="CN90" s="619"/>
      <c r="CO90" s="620"/>
      <c r="CP90" s="571"/>
      <c r="CQ90" s="564"/>
      <c r="CR90" s="615"/>
      <c r="CS90" s="619"/>
      <c r="CT90" s="620"/>
      <c r="CU90" s="571"/>
      <c r="CV90" s="564"/>
      <c r="CW90" s="615"/>
      <c r="CX90" s="619"/>
      <c r="CY90" s="620"/>
      <c r="CZ90" s="571"/>
      <c r="DA90" s="564"/>
    </row>
    <row r="91" spans="1:105" s="264" customFormat="1" ht="15" customHeight="1" thickBot="1">
      <c r="A91" s="297"/>
      <c r="B91" s="298"/>
      <c r="C91" s="20"/>
      <c r="D91" s="259"/>
      <c r="E91" s="259"/>
      <c r="F91" s="3"/>
      <c r="G91" s="169"/>
      <c r="H91" s="177"/>
      <c r="I91" s="48"/>
      <c r="J91" s="48"/>
      <c r="K91" s="3"/>
      <c r="L91" s="180"/>
      <c r="M91" s="183"/>
      <c r="N91" s="179"/>
      <c r="O91" s="179"/>
      <c r="P91" s="3"/>
      <c r="Q91" s="180"/>
      <c r="R91" s="362"/>
      <c r="S91" s="179"/>
      <c r="T91" s="179"/>
      <c r="U91" s="3"/>
      <c r="V91" s="180"/>
      <c r="W91" s="183"/>
      <c r="X91" s="179"/>
      <c r="Y91" s="179"/>
      <c r="Z91" s="3"/>
      <c r="AA91" s="180"/>
      <c r="AB91" s="183"/>
      <c r="AC91" s="179"/>
      <c r="AD91" s="179"/>
      <c r="AE91" s="3"/>
      <c r="AF91" s="180"/>
      <c r="AG91" s="183"/>
      <c r="AH91" s="179"/>
      <c r="AI91" s="179"/>
      <c r="AJ91" s="3"/>
      <c r="AK91" s="180"/>
      <c r="AL91" s="183"/>
      <c r="AM91" s="179"/>
      <c r="AN91" s="179"/>
      <c r="AO91" s="3"/>
      <c r="AP91" s="180"/>
      <c r="AQ91" s="183"/>
      <c r="AR91" s="179"/>
      <c r="AS91" s="179"/>
      <c r="AT91" s="3"/>
      <c r="AU91" s="180"/>
      <c r="AV91" s="183"/>
      <c r="AW91" s="179"/>
      <c r="AX91" s="179"/>
      <c r="AY91" s="3"/>
      <c r="AZ91" s="277"/>
      <c r="BA91" s="185"/>
      <c r="BB91" s="48"/>
      <c r="BC91" s="179"/>
      <c r="BD91" s="3"/>
      <c r="BE91" s="277"/>
      <c r="BF91" s="185"/>
      <c r="BG91" s="48"/>
      <c r="BH91" s="179"/>
      <c r="BI91" s="3"/>
      <c r="BJ91" s="277"/>
      <c r="BK91" s="185"/>
      <c r="BL91" s="48"/>
      <c r="BM91" s="179"/>
      <c r="BN91" s="3"/>
      <c r="BO91" s="277"/>
      <c r="BP91" s="185"/>
      <c r="BQ91" s="48"/>
      <c r="BR91" s="179"/>
      <c r="BS91" s="3"/>
      <c r="BT91" s="277"/>
      <c r="BU91" s="185"/>
      <c r="BV91" s="48"/>
      <c r="BW91" s="564"/>
      <c r="BX91" s="3"/>
      <c r="BY91" s="277"/>
      <c r="BZ91" s="185"/>
      <c r="CA91" s="48"/>
      <c r="CB91" s="179"/>
      <c r="CC91" s="3"/>
      <c r="CD91" s="277"/>
      <c r="CE91" s="185"/>
      <c r="CF91" s="48"/>
      <c r="CG91" s="179"/>
      <c r="CH91" s="3"/>
      <c r="CI91" s="277"/>
      <c r="CJ91" s="185"/>
      <c r="CK91" s="48"/>
      <c r="CL91" s="179"/>
      <c r="CM91" s="3"/>
      <c r="CN91" s="277"/>
      <c r="CO91" s="185"/>
      <c r="CP91" s="48"/>
      <c r="CQ91" s="179"/>
      <c r="CR91" s="3"/>
      <c r="CS91" s="277"/>
      <c r="CT91" s="185"/>
      <c r="CU91" s="48"/>
      <c r="CV91" s="179"/>
      <c r="CW91" s="3"/>
      <c r="CX91" s="277"/>
      <c r="CY91" s="185"/>
      <c r="CZ91" s="48"/>
      <c r="DA91" s="179"/>
    </row>
    <row r="92" spans="1:105" s="249" customFormat="1" ht="15" customHeight="1" thickBot="1">
      <c r="A92" s="265" t="s">
        <v>308</v>
      </c>
      <c r="B92" s="5" t="s">
        <v>60</v>
      </c>
      <c r="C92" s="6" t="s">
        <v>19</v>
      </c>
      <c r="D92" s="7" t="s">
        <v>10</v>
      </c>
      <c r="E92" s="4"/>
      <c r="F92" s="196"/>
      <c r="G92" s="197"/>
      <c r="H92" s="197"/>
      <c r="I92" s="38"/>
      <c r="J92" s="206"/>
      <c r="K92" s="196"/>
      <c r="L92" s="197"/>
      <c r="M92" s="197"/>
      <c r="N92" s="38"/>
      <c r="O92" s="206"/>
      <c r="P92" s="196"/>
      <c r="Q92" s="197"/>
      <c r="R92" s="197"/>
      <c r="S92" s="38"/>
      <c r="T92" s="206"/>
      <c r="U92" s="207"/>
      <c r="V92" s="197"/>
      <c r="W92" s="204">
        <v>1990</v>
      </c>
      <c r="X92" s="38"/>
      <c r="Y92" s="384">
        <f>SUM(W92:W95)*1.1</f>
        <v>115984.00000000001</v>
      </c>
      <c r="Z92" s="36"/>
      <c r="AA92" s="197"/>
      <c r="AB92" s="204">
        <v>1769</v>
      </c>
      <c r="AC92" s="38"/>
      <c r="AD92" s="384">
        <f>SUM(AB92:AB95)*1.1</f>
        <v>99605.000000000015</v>
      </c>
      <c r="AE92" s="36"/>
      <c r="AF92" s="197"/>
      <c r="AG92" s="204">
        <v>1990</v>
      </c>
      <c r="AH92" s="38"/>
      <c r="AI92" s="384">
        <f>AI93*1.1</f>
        <v>109983.50000000001</v>
      </c>
      <c r="AJ92" s="36"/>
      <c r="AK92" s="197"/>
      <c r="AL92" s="204">
        <v>1990</v>
      </c>
      <c r="AM92" s="38"/>
      <c r="AN92" s="384">
        <f>AN93*1.2</f>
        <v>144234.6</v>
      </c>
      <c r="AO92" s="36"/>
      <c r="AP92" s="197"/>
      <c r="AQ92" s="204">
        <v>1990</v>
      </c>
      <c r="AR92" s="38"/>
      <c r="AS92" s="384">
        <f>SUM(AQ92:AQ95)*1.1</f>
        <v>133791.68000000002</v>
      </c>
      <c r="AT92" s="36"/>
      <c r="AU92" s="197"/>
      <c r="AV92" s="197"/>
      <c r="AW92" s="38"/>
      <c r="AX92" s="384">
        <f>SUM(AV92:AV95)*1.1</f>
        <v>168974.663</v>
      </c>
      <c r="AY92" s="36"/>
      <c r="AZ92" s="197"/>
      <c r="BA92" s="197"/>
      <c r="BB92" s="38"/>
      <c r="BC92" s="384">
        <f>SUM(BA92:BA95)*1.1</f>
        <v>152255.51</v>
      </c>
      <c r="BD92" s="36"/>
      <c r="BE92" s="197"/>
      <c r="BF92" s="197"/>
      <c r="BG92" s="38"/>
      <c r="BH92" s="384">
        <f>SUM(BF92:BF95)*1.1</f>
        <v>139715.40000000002</v>
      </c>
      <c r="BI92" s="36"/>
      <c r="BJ92" s="197"/>
      <c r="BK92" s="197"/>
      <c r="BL92" s="38"/>
      <c r="BM92" s="384">
        <f>SUM(BK92:BK95)*1.1</f>
        <v>144445.84</v>
      </c>
      <c r="BN92" s="36"/>
      <c r="BO92" s="197"/>
      <c r="BP92" s="197"/>
      <c r="BQ92" s="38"/>
      <c r="BR92" s="384">
        <f>SUM(BP92:BP95)*1.1</f>
        <v>142052.152</v>
      </c>
      <c r="BS92" s="36"/>
      <c r="BT92" s="197"/>
      <c r="BU92" s="197"/>
      <c r="BV92" s="38"/>
      <c r="BW92" s="179"/>
      <c r="BX92" s="36"/>
      <c r="BY92" s="197"/>
      <c r="BZ92" s="197"/>
      <c r="CA92" s="38"/>
      <c r="CB92" s="384">
        <f>SUM(BZ92:BZ95)*1.1</f>
        <v>68658.260000000009</v>
      </c>
      <c r="CC92" s="36"/>
      <c r="CD92" s="197"/>
      <c r="CE92" s="197"/>
      <c r="CF92" s="38"/>
      <c r="CG92" s="384">
        <f>SUM(CE92:CE95)*1.1</f>
        <v>68658.260000000009</v>
      </c>
      <c r="CH92" s="36"/>
      <c r="CI92" s="197"/>
      <c r="CJ92" s="197"/>
      <c r="CK92" s="38"/>
      <c r="CL92" s="384">
        <f>SUM(CJ92:CJ95)*1.1</f>
        <v>68658.260000000009</v>
      </c>
      <c r="CM92" s="36"/>
      <c r="CN92" s="197"/>
      <c r="CO92" s="197"/>
      <c r="CP92" s="38"/>
      <c r="CQ92" s="384">
        <f>SUM(CO92:CO95)*1.1</f>
        <v>68658.260000000009</v>
      </c>
      <c r="CR92" s="36"/>
      <c r="CS92" s="197"/>
      <c r="CT92" s="197"/>
      <c r="CU92" s="38"/>
      <c r="CV92" s="384">
        <f>SUM(CT92:CT95)*1.1</f>
        <v>68658.260000000009</v>
      </c>
      <c r="CW92" s="36"/>
      <c r="CX92" s="197"/>
      <c r="CY92" s="197"/>
      <c r="CZ92" s="38"/>
      <c r="DA92" s="384">
        <f>SUM(CY92:CY95)*1.1</f>
        <v>68658.260000000009</v>
      </c>
    </row>
    <row r="93" spans="1:105" ht="15" customHeight="1">
      <c r="A93" s="256"/>
      <c r="B93" s="215">
        <v>22912463</v>
      </c>
      <c r="C93" s="45" t="s">
        <v>61</v>
      </c>
      <c r="D93" s="216" t="s">
        <v>13</v>
      </c>
      <c r="E93" s="22"/>
      <c r="F93" s="104">
        <f>H93/G93</f>
        <v>5.434146341463415</v>
      </c>
      <c r="G93" s="69">
        <v>11070</v>
      </c>
      <c r="H93" s="69">
        <v>60156</v>
      </c>
      <c r="I93" s="81"/>
      <c r="J93" s="88"/>
      <c r="K93" s="104">
        <f>M93/L93</f>
        <v>5.66</v>
      </c>
      <c r="L93" s="69">
        <v>13110</v>
      </c>
      <c r="M93" s="69">
        <v>74202.600000000006</v>
      </c>
      <c r="N93" s="81"/>
      <c r="O93" s="88"/>
      <c r="P93" s="104">
        <f>R93/Q93</f>
        <v>5.64</v>
      </c>
      <c r="Q93" s="69">
        <v>12900</v>
      </c>
      <c r="R93" s="69">
        <v>72756</v>
      </c>
      <c r="S93" s="81"/>
      <c r="T93" s="88"/>
      <c r="U93" s="115">
        <f>W93/V93</f>
        <v>5.5299835255354202</v>
      </c>
      <c r="V93" s="69">
        <v>18210</v>
      </c>
      <c r="W93" s="69">
        <v>100701</v>
      </c>
      <c r="X93" s="81"/>
      <c r="Y93" s="403">
        <f>SUM(W92:W95)*1</f>
        <v>105440</v>
      </c>
      <c r="Z93" s="92">
        <f>AB93/AA93</f>
        <v>5.36</v>
      </c>
      <c r="AA93" s="69">
        <v>16110</v>
      </c>
      <c r="AB93" s="69">
        <v>86349.6</v>
      </c>
      <c r="AC93" s="81"/>
      <c r="AD93" s="403">
        <f>SUM(AB92:AB95)*1</f>
        <v>90550</v>
      </c>
      <c r="AE93" s="92">
        <f>AG93/AF93</f>
        <v>5.1710005437737898</v>
      </c>
      <c r="AF93" s="69">
        <v>18390</v>
      </c>
      <c r="AG93" s="69">
        <v>95094.7</v>
      </c>
      <c r="AH93" s="81"/>
      <c r="AI93" s="403">
        <f>SUM(AG92:AG95)*1</f>
        <v>99985</v>
      </c>
      <c r="AJ93" s="92">
        <f>AL93/AK93</f>
        <v>5.5740009675858735</v>
      </c>
      <c r="AK93" s="69">
        <v>20670</v>
      </c>
      <c r="AL93" s="69">
        <v>115214.6</v>
      </c>
      <c r="AM93" s="363"/>
      <c r="AN93" s="403">
        <f>SUM(AL92:AL95)*1</f>
        <v>120195.50000000001</v>
      </c>
      <c r="AO93" s="92">
        <f>AQ93/AP93</f>
        <v>6.05</v>
      </c>
      <c r="AP93" s="69">
        <v>19200</v>
      </c>
      <c r="AQ93" s="69">
        <v>116160</v>
      </c>
      <c r="AR93" s="81"/>
      <c r="AS93" s="403">
        <f>SUM(AQ92:AQ95)+AR95*1</f>
        <v>136663.08000000002</v>
      </c>
      <c r="AT93" s="92">
        <f>AV93/AU93</f>
        <v>6.85</v>
      </c>
      <c r="AU93" s="69">
        <v>21840</v>
      </c>
      <c r="AV93" s="69">
        <v>149604</v>
      </c>
      <c r="AW93" s="81"/>
      <c r="AX93" s="403">
        <f>SUM(AV92:AV95)*1</f>
        <v>153613.32999999999</v>
      </c>
      <c r="AY93" s="92">
        <f>BA93/AZ93</f>
        <v>6.89</v>
      </c>
      <c r="AZ93" s="69">
        <v>19560</v>
      </c>
      <c r="BA93" s="69">
        <v>134768.4</v>
      </c>
      <c r="BB93" s="81"/>
      <c r="BC93" s="403">
        <f>SUM(BA92:BA95)*1</f>
        <v>138414.1</v>
      </c>
      <c r="BD93" s="92">
        <f>BF93/BE93</f>
        <v>7.17</v>
      </c>
      <c r="BE93" s="69">
        <v>17310</v>
      </c>
      <c r="BF93" s="69">
        <v>124112.7</v>
      </c>
      <c r="BG93" s="81"/>
      <c r="BH93" s="403">
        <f>SUM(BF92:BF95)*1</f>
        <v>127014</v>
      </c>
      <c r="BI93" s="92">
        <f>BK93/BJ93</f>
        <v>7.32</v>
      </c>
      <c r="BJ93" s="69">
        <v>17640</v>
      </c>
      <c r="BK93" s="69">
        <v>129124.8</v>
      </c>
      <c r="BL93" s="81"/>
      <c r="BM93" s="403">
        <f>SUM(BK92:BK95)*1</f>
        <v>131314.4</v>
      </c>
      <c r="BN93" s="92">
        <f>BP93/BO93</f>
        <v>7.46</v>
      </c>
      <c r="BO93" s="69">
        <v>17040</v>
      </c>
      <c r="BP93" s="69">
        <v>127118.39999999999</v>
      </c>
      <c r="BQ93" s="81"/>
      <c r="BR93" s="403">
        <f>SUM(BP92:BP95)*1</f>
        <v>129138.31999999999</v>
      </c>
      <c r="BS93" s="92">
        <f>BU93/BT93</f>
        <v>6.62</v>
      </c>
      <c r="BT93" s="69">
        <v>18870</v>
      </c>
      <c r="BU93" s="69">
        <v>124919.4</v>
      </c>
      <c r="BV93" s="81"/>
      <c r="BW93" s="403">
        <f>SUM(BU92:BU95)*1</f>
        <v>126713.19999999998</v>
      </c>
      <c r="BX93" s="92">
        <f>BZ93/BY93</f>
        <v>5.434146341463415</v>
      </c>
      <c r="BY93" s="58">
        <v>11070</v>
      </c>
      <c r="BZ93" s="58">
        <v>60156</v>
      </c>
      <c r="CA93" s="44"/>
      <c r="CB93" s="403">
        <f>SUM(BZ92:BZ95)*1</f>
        <v>62416.6</v>
      </c>
      <c r="CC93" s="92">
        <f>CE93/CD93</f>
        <v>5.434146341463415</v>
      </c>
      <c r="CD93" s="58">
        <v>11070</v>
      </c>
      <c r="CE93" s="58">
        <v>60156</v>
      </c>
      <c r="CF93" s="44"/>
      <c r="CG93" s="403">
        <f>SUM(CE92:CE95)*1</f>
        <v>62416.6</v>
      </c>
      <c r="CH93" s="92">
        <f>CJ93/CI93</f>
        <v>5.434146341463415</v>
      </c>
      <c r="CI93" s="58">
        <v>11070</v>
      </c>
      <c r="CJ93" s="58">
        <v>60156</v>
      </c>
      <c r="CK93" s="44"/>
      <c r="CL93" s="403">
        <f>SUM(CJ92:CJ95)*1</f>
        <v>62416.6</v>
      </c>
      <c r="CM93" s="92">
        <f>CO93/CN93</f>
        <v>5.434146341463415</v>
      </c>
      <c r="CN93" s="58">
        <v>11070</v>
      </c>
      <c r="CO93" s="58">
        <v>60156</v>
      </c>
      <c r="CP93" s="44"/>
      <c r="CQ93" s="403">
        <f>SUM(CO92:CO95)*1</f>
        <v>62416.6</v>
      </c>
      <c r="CR93" s="92">
        <f>CT93/CS93</f>
        <v>5.434146341463415</v>
      </c>
      <c r="CS93" s="58">
        <v>11070</v>
      </c>
      <c r="CT93" s="58">
        <v>60156</v>
      </c>
      <c r="CU93" s="44"/>
      <c r="CV93" s="403">
        <f>SUM(CT92:CT95)*1</f>
        <v>62416.6</v>
      </c>
      <c r="CW93" s="92">
        <f>CY93/CX93</f>
        <v>5.434146341463415</v>
      </c>
      <c r="CX93" s="58">
        <v>11070</v>
      </c>
      <c r="CY93" s="58">
        <v>60156</v>
      </c>
      <c r="CZ93" s="44"/>
      <c r="DA93" s="403">
        <f>SUM(CY92:CY95)*1</f>
        <v>62416.6</v>
      </c>
    </row>
    <row r="94" spans="1:105" ht="15" customHeight="1">
      <c r="A94" s="256"/>
      <c r="B94" s="215"/>
      <c r="C94" s="45"/>
      <c r="D94" s="216" t="s">
        <v>15</v>
      </c>
      <c r="E94" s="22"/>
      <c r="F94" s="103"/>
      <c r="G94" s="70">
        <v>3690</v>
      </c>
      <c r="H94" s="69">
        <v>553.5</v>
      </c>
      <c r="I94" s="81"/>
      <c r="J94" s="88"/>
      <c r="K94" s="103"/>
      <c r="L94" s="70">
        <v>4620</v>
      </c>
      <c r="M94" s="69">
        <v>739.2</v>
      </c>
      <c r="N94" s="81"/>
      <c r="O94" s="88"/>
      <c r="P94" s="103"/>
      <c r="Q94" s="70">
        <v>4410</v>
      </c>
      <c r="R94" s="69">
        <v>749.7</v>
      </c>
      <c r="S94" s="81"/>
      <c r="T94" s="88"/>
      <c r="U94" s="47"/>
      <c r="V94" s="70">
        <v>6900</v>
      </c>
      <c r="W94" s="69">
        <v>1138.5</v>
      </c>
      <c r="X94" s="81"/>
      <c r="Y94" s="81"/>
      <c r="Z94" s="46"/>
      <c r="AA94" s="70">
        <v>6540</v>
      </c>
      <c r="AB94" s="69">
        <v>1046.4000000000001</v>
      </c>
      <c r="AC94" s="81"/>
      <c r="AD94" s="81"/>
      <c r="AE94" s="46"/>
      <c r="AF94" s="70">
        <v>7860</v>
      </c>
      <c r="AG94" s="69">
        <v>1257.5999999999999</v>
      </c>
      <c r="AH94" s="81"/>
      <c r="AI94" s="81"/>
      <c r="AJ94" s="46"/>
      <c r="AK94" s="70">
        <v>9030</v>
      </c>
      <c r="AL94" s="69">
        <v>1444.8</v>
      </c>
      <c r="AM94" s="81"/>
      <c r="AN94" s="81"/>
      <c r="AO94" s="46"/>
      <c r="AP94" s="70">
        <v>9060</v>
      </c>
      <c r="AQ94" s="69">
        <v>1449.6</v>
      </c>
      <c r="AR94" s="81"/>
      <c r="AS94" s="81"/>
      <c r="AT94" s="46"/>
      <c r="AU94" s="70">
        <v>1</v>
      </c>
      <c r="AV94" s="69">
        <v>1658</v>
      </c>
      <c r="AW94" s="81"/>
      <c r="AX94" s="81"/>
      <c r="AY94" s="46"/>
      <c r="AZ94" s="70">
        <v>1</v>
      </c>
      <c r="BA94" s="69">
        <v>1391</v>
      </c>
      <c r="BB94" s="81"/>
      <c r="BC94" s="81"/>
      <c r="BD94" s="46"/>
      <c r="BE94" s="70">
        <v>1</v>
      </c>
      <c r="BF94" s="69">
        <v>1580.7</v>
      </c>
      <c r="BG94" s="81"/>
      <c r="BH94" s="81"/>
      <c r="BI94" s="46">
        <v>6.9080000000000004</v>
      </c>
      <c r="BJ94" s="70">
        <v>3690</v>
      </c>
      <c r="BK94" s="69">
        <v>1448.8</v>
      </c>
      <c r="BL94" s="81"/>
      <c r="BM94" s="81"/>
      <c r="BN94" s="46">
        <v>7.0380000000000003</v>
      </c>
      <c r="BO94" s="70">
        <v>5580</v>
      </c>
      <c r="BP94" s="69">
        <v>1311.3</v>
      </c>
      <c r="BQ94" s="81"/>
      <c r="BR94" s="81"/>
      <c r="BS94" s="46"/>
      <c r="BT94" s="70">
        <v>3690</v>
      </c>
      <c r="BU94" s="69">
        <v>1117.4000000000001</v>
      </c>
      <c r="BV94" s="81"/>
      <c r="BW94" s="81"/>
      <c r="BX94" s="46"/>
      <c r="BY94" s="62">
        <v>3690</v>
      </c>
      <c r="BZ94" s="58">
        <v>553.5</v>
      </c>
      <c r="CA94" s="44"/>
      <c r="CB94" s="81"/>
      <c r="CC94" s="46"/>
      <c r="CD94" s="62">
        <v>3690</v>
      </c>
      <c r="CE94" s="58">
        <v>553.5</v>
      </c>
      <c r="CF94" s="44"/>
      <c r="CG94" s="81"/>
      <c r="CH94" s="46"/>
      <c r="CI94" s="62">
        <v>3690</v>
      </c>
      <c r="CJ94" s="58">
        <v>553.5</v>
      </c>
      <c r="CK94" s="44"/>
      <c r="CL94" s="81"/>
      <c r="CM94" s="46"/>
      <c r="CN94" s="62">
        <v>3690</v>
      </c>
      <c r="CO94" s="58">
        <v>553.5</v>
      </c>
      <c r="CP94" s="44"/>
      <c r="CQ94" s="81"/>
      <c r="CR94" s="46"/>
      <c r="CS94" s="62">
        <v>3690</v>
      </c>
      <c r="CT94" s="58">
        <v>553.5</v>
      </c>
      <c r="CU94" s="44"/>
      <c r="CV94" s="81"/>
      <c r="CW94" s="46"/>
      <c r="CX94" s="62">
        <v>3690</v>
      </c>
      <c r="CY94" s="58">
        <v>553.5</v>
      </c>
      <c r="CZ94" s="44"/>
      <c r="DA94" s="81"/>
    </row>
    <row r="95" spans="1:105" s="264" customFormat="1" ht="15" customHeight="1" thickBot="1">
      <c r="A95" s="257"/>
      <c r="B95" s="258"/>
      <c r="C95" s="20"/>
      <c r="D95" s="259" t="s">
        <v>17</v>
      </c>
      <c r="E95" s="23"/>
      <c r="F95" s="168">
        <f>H95/G95</f>
        <v>32.20943396226415</v>
      </c>
      <c r="G95" s="183">
        <v>53</v>
      </c>
      <c r="H95" s="183">
        <v>1707.1</v>
      </c>
      <c r="I95" s="179"/>
      <c r="J95" s="182"/>
      <c r="K95" s="168">
        <f>M95/L95</f>
        <v>32.209756097560977</v>
      </c>
      <c r="L95" s="183">
        <v>41</v>
      </c>
      <c r="M95" s="183">
        <v>1320.6</v>
      </c>
      <c r="N95" s="179"/>
      <c r="O95" s="182"/>
      <c r="P95" s="168">
        <f>R95/Q95</f>
        <v>32.210256410256413</v>
      </c>
      <c r="Q95" s="183">
        <v>39</v>
      </c>
      <c r="R95" s="183">
        <v>1256.2</v>
      </c>
      <c r="S95" s="179"/>
      <c r="T95" s="182"/>
      <c r="U95" s="209">
        <f>W95/V95</f>
        <v>32.21</v>
      </c>
      <c r="V95" s="183">
        <v>50</v>
      </c>
      <c r="W95" s="183">
        <v>1610.5</v>
      </c>
      <c r="X95" s="179"/>
      <c r="Y95" s="179"/>
      <c r="Z95" s="3">
        <f>AB95/AA95</f>
        <v>32.209302325581397</v>
      </c>
      <c r="AA95" s="183">
        <v>43</v>
      </c>
      <c r="AB95" s="183">
        <v>1385</v>
      </c>
      <c r="AC95" s="179"/>
      <c r="AD95" s="179"/>
      <c r="AE95" s="3">
        <f>AG95/AF95</f>
        <v>30.994339622641512</v>
      </c>
      <c r="AF95" s="183">
        <v>53</v>
      </c>
      <c r="AG95" s="183">
        <v>1642.7</v>
      </c>
      <c r="AH95" s="179"/>
      <c r="AI95" s="179"/>
      <c r="AJ95" s="285">
        <f>AL95/AK95</f>
        <v>32.210416666666667</v>
      </c>
      <c r="AK95" s="183">
        <v>48</v>
      </c>
      <c r="AL95" s="183">
        <v>1546.1</v>
      </c>
      <c r="AM95" s="179"/>
      <c r="AN95" s="179"/>
      <c r="AO95" s="3">
        <f>AQ95/AP95</f>
        <v>32.209523809523809</v>
      </c>
      <c r="AP95" s="183">
        <v>63</v>
      </c>
      <c r="AQ95" s="183">
        <v>2029.2</v>
      </c>
      <c r="AR95" s="179">
        <v>15034.28</v>
      </c>
      <c r="AS95" s="179"/>
      <c r="AT95" s="3">
        <f>AV95/AU95</f>
        <v>32.21</v>
      </c>
      <c r="AU95" s="183">
        <v>73</v>
      </c>
      <c r="AV95" s="183">
        <v>2351.33</v>
      </c>
      <c r="AW95" s="179"/>
      <c r="AX95" s="179"/>
      <c r="AY95" s="3">
        <f>BA95/AZ95</f>
        <v>56.367499999999993</v>
      </c>
      <c r="AZ95" s="183">
        <v>40</v>
      </c>
      <c r="BA95" s="183">
        <v>2254.6999999999998</v>
      </c>
      <c r="BB95" s="179"/>
      <c r="BC95" s="179"/>
      <c r="BD95" s="3">
        <f>BF95/BE95</f>
        <v>32.209756097560977</v>
      </c>
      <c r="BE95" s="183">
        <v>41</v>
      </c>
      <c r="BF95" s="183">
        <v>1320.6</v>
      </c>
      <c r="BG95" s="179"/>
      <c r="BH95" s="179"/>
      <c r="BI95" s="3">
        <f>BK95/BJ95</f>
        <v>32.208695652173908</v>
      </c>
      <c r="BJ95" s="183">
        <v>23</v>
      </c>
      <c r="BK95" s="183">
        <v>740.8</v>
      </c>
      <c r="BL95" s="179"/>
      <c r="BM95" s="179"/>
      <c r="BN95" s="3">
        <f>BP95/BO95</f>
        <v>32.21</v>
      </c>
      <c r="BO95" s="183">
        <v>22</v>
      </c>
      <c r="BP95" s="183">
        <v>708.62</v>
      </c>
      <c r="BQ95" s="179"/>
      <c r="BR95" s="179"/>
      <c r="BS95" s="3">
        <f>BU95/BT95</f>
        <v>32.209523809523809</v>
      </c>
      <c r="BT95" s="183">
        <v>21</v>
      </c>
      <c r="BU95" s="183">
        <v>676.4</v>
      </c>
      <c r="BV95" s="179"/>
      <c r="BW95" s="179"/>
      <c r="BX95" s="3">
        <f>BZ95/BY95</f>
        <v>32.20943396226415</v>
      </c>
      <c r="BY95" s="185">
        <v>53</v>
      </c>
      <c r="BZ95" s="185">
        <v>1707.1</v>
      </c>
      <c r="CA95" s="48"/>
      <c r="CB95" s="179"/>
      <c r="CC95" s="3">
        <f>CE95/CD95</f>
        <v>32.20943396226415</v>
      </c>
      <c r="CD95" s="185">
        <v>53</v>
      </c>
      <c r="CE95" s="185">
        <v>1707.1</v>
      </c>
      <c r="CF95" s="48"/>
      <c r="CG95" s="179"/>
      <c r="CH95" s="3">
        <f>CJ95/CI95</f>
        <v>32.20943396226415</v>
      </c>
      <c r="CI95" s="185">
        <v>53</v>
      </c>
      <c r="CJ95" s="185">
        <v>1707.1</v>
      </c>
      <c r="CK95" s="48"/>
      <c r="CL95" s="179"/>
      <c r="CM95" s="3">
        <f>CO95/CN95</f>
        <v>32.20943396226415</v>
      </c>
      <c r="CN95" s="185">
        <v>53</v>
      </c>
      <c r="CO95" s="185">
        <v>1707.1</v>
      </c>
      <c r="CP95" s="48"/>
      <c r="CQ95" s="179"/>
      <c r="CR95" s="3">
        <f>CT95/CS95</f>
        <v>32.20943396226415</v>
      </c>
      <c r="CS95" s="185">
        <v>53</v>
      </c>
      <c r="CT95" s="185">
        <v>1707.1</v>
      </c>
      <c r="CU95" s="48"/>
      <c r="CV95" s="179"/>
      <c r="CW95" s="3">
        <f>CY95/CX95</f>
        <v>32.20943396226415</v>
      </c>
      <c r="CX95" s="185">
        <v>53</v>
      </c>
      <c r="CY95" s="185">
        <v>1707.1</v>
      </c>
      <c r="CZ95" s="48"/>
      <c r="DA95" s="179"/>
    </row>
    <row r="96" spans="1:105" s="249" customFormat="1" ht="15" customHeight="1">
      <c r="A96" s="281" t="s">
        <v>309</v>
      </c>
      <c r="B96" s="278" t="s">
        <v>62</v>
      </c>
      <c r="C96" s="32" t="s">
        <v>19</v>
      </c>
      <c r="D96" s="279" t="s">
        <v>10</v>
      </c>
      <c r="E96" s="310"/>
      <c r="F96" s="205"/>
      <c r="G96" s="197"/>
      <c r="H96" s="197"/>
      <c r="I96" s="38"/>
      <c r="J96" s="206"/>
      <c r="K96" s="205"/>
      <c r="L96" s="197"/>
      <c r="M96" s="197"/>
      <c r="N96" s="38"/>
      <c r="O96" s="206"/>
      <c r="P96" s="205"/>
      <c r="Q96" s="197"/>
      <c r="R96" s="197"/>
      <c r="S96" s="38"/>
      <c r="T96" s="206"/>
      <c r="U96" s="210"/>
      <c r="V96" s="197"/>
      <c r="W96" s="197"/>
      <c r="X96" s="38"/>
      <c r="Y96" s="38"/>
      <c r="Z96" s="280"/>
      <c r="AA96" s="197"/>
      <c r="AB96" s="197"/>
      <c r="AC96" s="38"/>
      <c r="AD96" s="38"/>
      <c r="AE96" s="280"/>
      <c r="AF96" s="197"/>
      <c r="AG96" s="197"/>
      <c r="AH96" s="38"/>
      <c r="AI96" s="38"/>
      <c r="AJ96" s="280"/>
      <c r="AK96" s="197"/>
      <c r="AL96" s="197"/>
      <c r="AM96" s="38"/>
      <c r="AN96" s="38"/>
      <c r="AO96" s="280"/>
      <c r="AP96" s="197"/>
      <c r="AQ96" s="197"/>
      <c r="AR96" s="38"/>
      <c r="AS96" s="38"/>
      <c r="AT96" s="280"/>
      <c r="AU96" s="197"/>
      <c r="AV96" s="197"/>
      <c r="AW96" s="38"/>
      <c r="AX96" s="38"/>
      <c r="AY96" s="280"/>
      <c r="AZ96" s="197"/>
      <c r="BA96" s="197"/>
      <c r="BB96" s="38"/>
      <c r="BC96" s="38"/>
      <c r="BD96" s="280"/>
      <c r="BE96" s="197"/>
      <c r="BF96" s="197"/>
      <c r="BG96" s="38"/>
      <c r="BH96" s="38"/>
      <c r="BI96" s="280"/>
      <c r="BJ96" s="197"/>
      <c r="BK96" s="197"/>
      <c r="BL96" s="38"/>
      <c r="BM96" s="38"/>
      <c r="BN96" s="280"/>
      <c r="BO96" s="197"/>
      <c r="BP96" s="197"/>
      <c r="BQ96" s="38"/>
      <c r="BR96" s="38"/>
      <c r="BS96" s="280"/>
      <c r="BT96" s="197"/>
      <c r="BU96" s="197"/>
      <c r="BV96" s="38"/>
      <c r="BW96" s="38"/>
      <c r="BX96" s="280"/>
      <c r="BY96" s="197"/>
      <c r="BZ96" s="197"/>
      <c r="CA96" s="38"/>
      <c r="CB96" s="38"/>
      <c r="CC96" s="280"/>
      <c r="CD96" s="197"/>
      <c r="CE96" s="197"/>
      <c r="CF96" s="38"/>
      <c r="CG96" s="38"/>
      <c r="CH96" s="280"/>
      <c r="CI96" s="197"/>
      <c r="CJ96" s="197"/>
      <c r="CK96" s="38"/>
      <c r="CL96" s="38"/>
      <c r="CM96" s="280"/>
      <c r="CN96" s="197"/>
      <c r="CO96" s="197"/>
      <c r="CP96" s="38"/>
      <c r="CQ96" s="38"/>
      <c r="CR96" s="280"/>
      <c r="CS96" s="197"/>
      <c r="CT96" s="197"/>
      <c r="CU96" s="38"/>
      <c r="CV96" s="38"/>
      <c r="CW96" s="280"/>
      <c r="CX96" s="197"/>
      <c r="CY96" s="197"/>
      <c r="CZ96" s="38"/>
      <c r="DA96" s="38"/>
    </row>
    <row r="97" spans="1:105" ht="15" customHeight="1">
      <c r="A97" s="282"/>
      <c r="B97" s="228"/>
      <c r="C97" s="220" t="s">
        <v>63</v>
      </c>
      <c r="D97" s="231" t="s">
        <v>11</v>
      </c>
      <c r="E97" s="29"/>
      <c r="F97" s="109"/>
      <c r="G97" s="56">
        <v>0</v>
      </c>
      <c r="H97" s="56">
        <v>7717</v>
      </c>
      <c r="I97" s="44"/>
      <c r="J97" s="86"/>
      <c r="K97" s="109"/>
      <c r="L97" s="56">
        <v>0</v>
      </c>
      <c r="M97" s="56">
        <v>7717</v>
      </c>
      <c r="N97" s="44"/>
      <c r="O97" s="86"/>
      <c r="P97" s="109"/>
      <c r="Q97" s="56">
        <v>0</v>
      </c>
      <c r="R97" s="56">
        <v>7717</v>
      </c>
      <c r="S97" s="44"/>
      <c r="T97" s="86"/>
      <c r="U97" s="120"/>
      <c r="V97" s="56">
        <v>0</v>
      </c>
      <c r="W97" s="56">
        <v>7717</v>
      </c>
      <c r="X97" s="44"/>
      <c r="Y97" s="44"/>
      <c r="Z97" s="97"/>
      <c r="AA97" s="56">
        <v>0</v>
      </c>
      <c r="AB97" s="56">
        <v>7717</v>
      </c>
      <c r="AC97" s="44"/>
      <c r="AD97" s="44"/>
      <c r="AE97" s="97"/>
      <c r="AF97" s="56">
        <v>0</v>
      </c>
      <c r="AG97" s="56">
        <v>7717</v>
      </c>
      <c r="AH97" s="44"/>
      <c r="AI97" s="44"/>
      <c r="AJ97" s="97"/>
      <c r="AK97" s="56">
        <v>0</v>
      </c>
      <c r="AL97" s="56">
        <v>7717</v>
      </c>
      <c r="AM97" s="44"/>
      <c r="AN97" s="44"/>
      <c r="AO97" s="97"/>
      <c r="AP97" s="56">
        <v>0</v>
      </c>
      <c r="AQ97" s="56">
        <v>7717</v>
      </c>
      <c r="AR97" s="44"/>
      <c r="AS97" s="44"/>
      <c r="AT97" s="97"/>
      <c r="AU97" s="56">
        <v>0</v>
      </c>
      <c r="AV97" s="56">
        <v>7717</v>
      </c>
      <c r="AW97" s="44"/>
      <c r="AX97" s="44"/>
      <c r="AY97" s="97"/>
      <c r="AZ97" s="56">
        <v>0</v>
      </c>
      <c r="BA97" s="56">
        <v>7717</v>
      </c>
      <c r="BB97" s="44"/>
      <c r="BC97" s="44"/>
      <c r="BD97" s="97"/>
      <c r="BE97" s="56">
        <v>0</v>
      </c>
      <c r="BF97" s="56">
        <v>7717</v>
      </c>
      <c r="BG97" s="44"/>
      <c r="BH97" s="44"/>
      <c r="BI97" s="97"/>
      <c r="BJ97" s="56">
        <v>0</v>
      </c>
      <c r="BK97" s="56">
        <v>7717</v>
      </c>
      <c r="BL97" s="44"/>
      <c r="BM97" s="44"/>
      <c r="BN97" s="97"/>
      <c r="BO97" s="56">
        <v>0</v>
      </c>
      <c r="BP97" s="56">
        <v>7717</v>
      </c>
      <c r="BQ97" s="44"/>
      <c r="BR97" s="44"/>
      <c r="BS97" s="97"/>
      <c r="BT97" s="56">
        <v>0</v>
      </c>
      <c r="BU97" s="56">
        <v>7717</v>
      </c>
      <c r="BV97" s="44"/>
      <c r="BW97" s="44"/>
      <c r="BX97" s="97"/>
      <c r="BY97" s="56">
        <v>0</v>
      </c>
      <c r="BZ97" s="56">
        <v>7717</v>
      </c>
      <c r="CA97" s="44"/>
      <c r="CB97" s="44"/>
      <c r="CC97" s="97"/>
      <c r="CD97" s="56">
        <v>0</v>
      </c>
      <c r="CE97" s="56">
        <v>7717</v>
      </c>
      <c r="CF97" s="44"/>
      <c r="CG97" s="44"/>
      <c r="CH97" s="97"/>
      <c r="CI97" s="56">
        <v>0</v>
      </c>
      <c r="CJ97" s="56">
        <v>7717</v>
      </c>
      <c r="CK97" s="44"/>
      <c r="CL97" s="44"/>
      <c r="CM97" s="97"/>
      <c r="CN97" s="56">
        <v>0</v>
      </c>
      <c r="CO97" s="56">
        <v>7717</v>
      </c>
      <c r="CP97" s="44"/>
      <c r="CQ97" s="44"/>
      <c r="CR97" s="97"/>
      <c r="CS97" s="56">
        <v>0</v>
      </c>
      <c r="CT97" s="56">
        <v>7717</v>
      </c>
      <c r="CU97" s="44"/>
      <c r="CV97" s="44"/>
      <c r="CW97" s="97"/>
      <c r="CX97" s="56">
        <v>0</v>
      </c>
      <c r="CY97" s="56">
        <v>7717</v>
      </c>
      <c r="CZ97" s="44"/>
      <c r="DA97" s="44"/>
    </row>
    <row r="98" spans="1:105" ht="15" customHeight="1">
      <c r="A98" s="282"/>
      <c r="B98" s="228"/>
      <c r="C98" s="220" t="s">
        <v>64</v>
      </c>
      <c r="D98" s="231" t="s">
        <v>13</v>
      </c>
      <c r="E98" s="29"/>
      <c r="F98" s="110"/>
      <c r="G98" s="58">
        <v>0</v>
      </c>
      <c r="H98" s="58">
        <v>0</v>
      </c>
      <c r="I98" s="44"/>
      <c r="J98" s="86"/>
      <c r="K98" s="110"/>
      <c r="L98" s="58">
        <v>0</v>
      </c>
      <c r="M98" s="58">
        <v>0</v>
      </c>
      <c r="N98" s="44"/>
      <c r="O98" s="86"/>
      <c r="P98" s="110"/>
      <c r="Q98" s="58">
        <v>0</v>
      </c>
      <c r="R98" s="58">
        <v>0</v>
      </c>
      <c r="S98" s="44"/>
      <c r="T98" s="86"/>
      <c r="U98" s="121"/>
      <c r="V98" s="58">
        <v>0</v>
      </c>
      <c r="W98" s="58">
        <v>0</v>
      </c>
      <c r="X98" s="44"/>
      <c r="Y98" s="44"/>
      <c r="Z98" s="98"/>
      <c r="AA98" s="58">
        <v>0</v>
      </c>
      <c r="AB98" s="58">
        <v>0</v>
      </c>
      <c r="AC98" s="44"/>
      <c r="AD98" s="44"/>
      <c r="AE98" s="98"/>
      <c r="AF98" s="58">
        <v>0</v>
      </c>
      <c r="AG98" s="58">
        <v>0</v>
      </c>
      <c r="AH98" s="44"/>
      <c r="AI98" s="44"/>
      <c r="AJ98" s="98"/>
      <c r="AK98" s="58">
        <v>0</v>
      </c>
      <c r="AL98" s="58">
        <v>0</v>
      </c>
      <c r="AM98" s="44"/>
      <c r="AN98" s="44"/>
      <c r="AO98" s="98"/>
      <c r="AP98" s="58">
        <v>0</v>
      </c>
      <c r="AQ98" s="58">
        <v>0</v>
      </c>
      <c r="AR98" s="44"/>
      <c r="AS98" s="44"/>
      <c r="AT98" s="98"/>
      <c r="AU98" s="58">
        <v>0</v>
      </c>
      <c r="AV98" s="58">
        <v>0</v>
      </c>
      <c r="AW98" s="44"/>
      <c r="AX98" s="44"/>
      <c r="AY98" s="98"/>
      <c r="AZ98" s="58">
        <v>0</v>
      </c>
      <c r="BA98" s="58">
        <v>0</v>
      </c>
      <c r="BB98" s="44"/>
      <c r="BC98" s="44"/>
      <c r="BD98" s="98"/>
      <c r="BE98" s="58">
        <v>0</v>
      </c>
      <c r="BF98" s="58">
        <v>0</v>
      </c>
      <c r="BG98" s="44"/>
      <c r="BH98" s="44"/>
      <c r="BI98" s="98"/>
      <c r="BJ98" s="58">
        <v>0</v>
      </c>
      <c r="BK98" s="58">
        <v>0</v>
      </c>
      <c r="BL98" s="44"/>
      <c r="BM98" s="44"/>
      <c r="BN98" s="98"/>
      <c r="BO98" s="58">
        <v>0</v>
      </c>
      <c r="BP98" s="58">
        <v>0</v>
      </c>
      <c r="BQ98" s="44"/>
      <c r="BR98" s="44"/>
      <c r="BS98" s="98"/>
      <c r="BT98" s="58">
        <v>0</v>
      </c>
      <c r="BU98" s="58">
        <v>0</v>
      </c>
      <c r="BV98" s="44"/>
      <c r="BW98" s="44"/>
      <c r="BX98" s="98"/>
      <c r="BY98" s="58">
        <v>0</v>
      </c>
      <c r="BZ98" s="58">
        <v>0</v>
      </c>
      <c r="CA98" s="44"/>
      <c r="CB98" s="44"/>
      <c r="CC98" s="98"/>
      <c r="CD98" s="58">
        <v>0</v>
      </c>
      <c r="CE98" s="58">
        <v>0</v>
      </c>
      <c r="CF98" s="44"/>
      <c r="CG98" s="44"/>
      <c r="CH98" s="98"/>
      <c r="CI98" s="58">
        <v>0</v>
      </c>
      <c r="CJ98" s="58">
        <v>0</v>
      </c>
      <c r="CK98" s="44"/>
      <c r="CL98" s="44"/>
      <c r="CM98" s="98"/>
      <c r="CN98" s="58">
        <v>0</v>
      </c>
      <c r="CO98" s="58">
        <v>0</v>
      </c>
      <c r="CP98" s="44"/>
      <c r="CQ98" s="44"/>
      <c r="CR98" s="98"/>
      <c r="CS98" s="58">
        <v>0</v>
      </c>
      <c r="CT98" s="58">
        <v>0</v>
      </c>
      <c r="CU98" s="44"/>
      <c r="CV98" s="44"/>
      <c r="CW98" s="98"/>
      <c r="CX98" s="58">
        <v>0</v>
      </c>
      <c r="CY98" s="58">
        <v>0</v>
      </c>
      <c r="CZ98" s="44"/>
      <c r="DA98" s="44"/>
    </row>
    <row r="99" spans="1:105" ht="15" customHeight="1">
      <c r="A99" s="282"/>
      <c r="B99" s="228"/>
      <c r="C99" s="220"/>
      <c r="D99" s="231" t="s">
        <v>15</v>
      </c>
      <c r="E99" s="29"/>
      <c r="F99" s="110"/>
      <c r="G99" s="56">
        <v>0</v>
      </c>
      <c r="H99" s="56">
        <v>0</v>
      </c>
      <c r="I99" s="44"/>
      <c r="J99" s="86"/>
      <c r="K99" s="110"/>
      <c r="L99" s="56">
        <v>0</v>
      </c>
      <c r="M99" s="56">
        <v>0</v>
      </c>
      <c r="N99" s="44"/>
      <c r="O99" s="86"/>
      <c r="P99" s="110"/>
      <c r="Q99" s="56">
        <v>0</v>
      </c>
      <c r="R99" s="56">
        <v>0</v>
      </c>
      <c r="S99" s="44"/>
      <c r="T99" s="86"/>
      <c r="U99" s="121"/>
      <c r="V99" s="56">
        <v>0</v>
      </c>
      <c r="W99" s="56">
        <v>0</v>
      </c>
      <c r="X99" s="44"/>
      <c r="Y99" s="44"/>
      <c r="Z99" s="98"/>
      <c r="AA99" s="56">
        <v>0</v>
      </c>
      <c r="AB99" s="56">
        <v>0</v>
      </c>
      <c r="AC99" s="44"/>
      <c r="AD99" s="44"/>
      <c r="AE99" s="98"/>
      <c r="AF99" s="56">
        <v>0</v>
      </c>
      <c r="AG99" s="56">
        <v>0</v>
      </c>
      <c r="AH99" s="44"/>
      <c r="AI99" s="44"/>
      <c r="AJ99" s="98"/>
      <c r="AK99" s="56">
        <v>0</v>
      </c>
      <c r="AL99" s="56">
        <v>0</v>
      </c>
      <c r="AM99" s="44"/>
      <c r="AN99" s="44"/>
      <c r="AO99" s="98"/>
      <c r="AP99" s="56">
        <v>0</v>
      </c>
      <c r="AQ99" s="56">
        <v>0</v>
      </c>
      <c r="AR99" s="44"/>
      <c r="AS99" s="44"/>
      <c r="AT99" s="98"/>
      <c r="AU99" s="56">
        <v>0</v>
      </c>
      <c r="AV99" s="56">
        <v>0</v>
      </c>
      <c r="AW99" s="44"/>
      <c r="AX99" s="44"/>
      <c r="AY99" s="98"/>
      <c r="AZ99" s="56">
        <v>0</v>
      </c>
      <c r="BA99" s="56">
        <v>0</v>
      </c>
      <c r="BB99" s="44"/>
      <c r="BC99" s="44"/>
      <c r="BD99" s="98"/>
      <c r="BE99" s="56">
        <v>0</v>
      </c>
      <c r="BF99" s="56">
        <v>0</v>
      </c>
      <c r="BG99" s="44"/>
      <c r="BH99" s="44"/>
      <c r="BI99" s="98"/>
      <c r="BJ99" s="56">
        <v>0</v>
      </c>
      <c r="BK99" s="56">
        <v>0</v>
      </c>
      <c r="BL99" s="44"/>
      <c r="BM99" s="44"/>
      <c r="BN99" s="98"/>
      <c r="BO99" s="56">
        <v>0</v>
      </c>
      <c r="BP99" s="56">
        <v>0</v>
      </c>
      <c r="BQ99" s="44"/>
      <c r="BR99" s="44"/>
      <c r="BS99" s="98"/>
      <c r="BT99" s="56">
        <v>0</v>
      </c>
      <c r="BU99" s="56">
        <v>0</v>
      </c>
      <c r="BV99" s="44"/>
      <c r="BW99" s="44"/>
      <c r="BX99" s="98"/>
      <c r="BY99" s="56">
        <v>0</v>
      </c>
      <c r="BZ99" s="56">
        <v>0</v>
      </c>
      <c r="CA99" s="44"/>
      <c r="CB99" s="44"/>
      <c r="CC99" s="98"/>
      <c r="CD99" s="56">
        <v>0</v>
      </c>
      <c r="CE99" s="56">
        <v>0</v>
      </c>
      <c r="CF99" s="44"/>
      <c r="CG99" s="44"/>
      <c r="CH99" s="98"/>
      <c r="CI99" s="56">
        <v>0</v>
      </c>
      <c r="CJ99" s="56">
        <v>0</v>
      </c>
      <c r="CK99" s="44"/>
      <c r="CL99" s="44"/>
      <c r="CM99" s="98"/>
      <c r="CN99" s="56">
        <v>0</v>
      </c>
      <c r="CO99" s="56">
        <v>0</v>
      </c>
      <c r="CP99" s="44"/>
      <c r="CQ99" s="44"/>
      <c r="CR99" s="98"/>
      <c r="CS99" s="56">
        <v>0</v>
      </c>
      <c r="CT99" s="56">
        <v>0</v>
      </c>
      <c r="CU99" s="44"/>
      <c r="CV99" s="44"/>
      <c r="CW99" s="98"/>
      <c r="CX99" s="56">
        <v>0</v>
      </c>
      <c r="CY99" s="56">
        <v>0</v>
      </c>
      <c r="CZ99" s="44"/>
      <c r="DA99" s="44"/>
    </row>
    <row r="100" spans="1:105" s="264" customFormat="1" ht="15" customHeight="1" thickBot="1">
      <c r="A100" s="353"/>
      <c r="B100" s="354"/>
      <c r="C100" s="355" t="s">
        <v>39</v>
      </c>
      <c r="D100" s="356" t="s">
        <v>17</v>
      </c>
      <c r="E100" s="30"/>
      <c r="F100" s="357"/>
      <c r="G100" s="348">
        <v>0</v>
      </c>
      <c r="H100" s="348">
        <v>0</v>
      </c>
      <c r="I100" s="358"/>
      <c r="J100" s="359"/>
      <c r="K100" s="178"/>
      <c r="L100" s="177">
        <v>0</v>
      </c>
      <c r="M100" s="177">
        <v>0</v>
      </c>
      <c r="N100" s="48"/>
      <c r="O100" s="49"/>
      <c r="P100" s="178"/>
      <c r="Q100" s="177">
        <v>0</v>
      </c>
      <c r="R100" s="177">
        <v>0</v>
      </c>
      <c r="S100" s="48"/>
      <c r="T100" s="49"/>
      <c r="U100" s="318"/>
      <c r="V100" s="177">
        <v>0</v>
      </c>
      <c r="W100" s="177">
        <v>0</v>
      </c>
      <c r="X100" s="48"/>
      <c r="Y100" s="48"/>
      <c r="Z100" s="285"/>
      <c r="AA100" s="177">
        <v>0</v>
      </c>
      <c r="AB100" s="177">
        <v>0</v>
      </c>
      <c r="AC100" s="48"/>
      <c r="AD100" s="48"/>
      <c r="AE100" s="285"/>
      <c r="AF100" s="177">
        <v>0</v>
      </c>
      <c r="AG100" s="177">
        <v>0</v>
      </c>
      <c r="AH100" s="48"/>
      <c r="AI100" s="48"/>
      <c r="AJ100" s="285"/>
      <c r="AK100" s="177">
        <v>0</v>
      </c>
      <c r="AL100" s="177">
        <v>0</v>
      </c>
      <c r="AM100" s="48"/>
      <c r="AN100" s="48"/>
      <c r="AO100" s="285"/>
      <c r="AP100" s="177">
        <v>0</v>
      </c>
      <c r="AQ100" s="177">
        <v>0</v>
      </c>
      <c r="AR100" s="48"/>
      <c r="AS100" s="48"/>
      <c r="AT100" s="285"/>
      <c r="AU100" s="177">
        <v>0</v>
      </c>
      <c r="AV100" s="177">
        <v>0</v>
      </c>
      <c r="AW100" s="48"/>
      <c r="AX100" s="48"/>
      <c r="AY100" s="285"/>
      <c r="AZ100" s="177">
        <v>0</v>
      </c>
      <c r="BA100" s="177">
        <v>0</v>
      </c>
      <c r="BB100" s="48"/>
      <c r="BC100" s="48"/>
      <c r="BD100" s="285"/>
      <c r="BE100" s="177">
        <v>0</v>
      </c>
      <c r="BF100" s="177">
        <v>0</v>
      </c>
      <c r="BG100" s="48"/>
      <c r="BH100" s="48"/>
      <c r="BI100" s="285"/>
      <c r="BJ100" s="177">
        <v>0</v>
      </c>
      <c r="BK100" s="177">
        <v>0</v>
      </c>
      <c r="BL100" s="48"/>
      <c r="BM100" s="48"/>
      <c r="BN100" s="285"/>
      <c r="BO100" s="177">
        <v>0</v>
      </c>
      <c r="BP100" s="177">
        <v>0</v>
      </c>
      <c r="BQ100" s="48"/>
      <c r="BR100" s="48"/>
      <c r="BS100" s="285"/>
      <c r="BT100" s="177">
        <v>0</v>
      </c>
      <c r="BU100" s="177">
        <v>0</v>
      </c>
      <c r="BV100" s="48"/>
      <c r="BW100" s="48"/>
      <c r="BX100" s="285"/>
      <c r="BY100" s="177">
        <v>0</v>
      </c>
      <c r="BZ100" s="177">
        <v>0</v>
      </c>
      <c r="CA100" s="48"/>
      <c r="CB100" s="48"/>
      <c r="CC100" s="285"/>
      <c r="CD100" s="177">
        <v>0</v>
      </c>
      <c r="CE100" s="177">
        <v>0</v>
      </c>
      <c r="CF100" s="48"/>
      <c r="CG100" s="48"/>
      <c r="CH100" s="285"/>
      <c r="CI100" s="177">
        <v>0</v>
      </c>
      <c r="CJ100" s="177">
        <v>0</v>
      </c>
      <c r="CK100" s="48"/>
      <c r="CL100" s="48"/>
      <c r="CM100" s="285"/>
      <c r="CN100" s="177">
        <v>0</v>
      </c>
      <c r="CO100" s="177">
        <v>0</v>
      </c>
      <c r="CP100" s="48"/>
      <c r="CQ100" s="48"/>
      <c r="CR100" s="285"/>
      <c r="CS100" s="177">
        <v>0</v>
      </c>
      <c r="CT100" s="177">
        <v>0</v>
      </c>
      <c r="CU100" s="48"/>
      <c r="CV100" s="48"/>
      <c r="CW100" s="285"/>
      <c r="CX100" s="177">
        <v>0</v>
      </c>
      <c r="CY100" s="177">
        <v>0</v>
      </c>
      <c r="CZ100" s="48"/>
      <c r="DA100" s="48"/>
    </row>
    <row r="101" spans="1:105" s="249" customFormat="1" ht="15" customHeight="1">
      <c r="A101" s="250" t="s">
        <v>143</v>
      </c>
      <c r="B101" s="251" t="s">
        <v>65</v>
      </c>
      <c r="C101" s="26" t="s">
        <v>19</v>
      </c>
      <c r="D101" s="253" t="s">
        <v>10</v>
      </c>
      <c r="E101" s="253"/>
      <c r="F101" s="2"/>
      <c r="G101" s="165"/>
      <c r="H101" s="165"/>
      <c r="I101" s="166"/>
      <c r="J101" s="167"/>
      <c r="K101" s="207"/>
      <c r="L101" s="197"/>
      <c r="M101" s="197"/>
      <c r="N101" s="38"/>
      <c r="O101" s="206"/>
      <c r="P101" s="196"/>
      <c r="Q101" s="197"/>
      <c r="R101" s="197"/>
      <c r="S101" s="38"/>
      <c r="T101" s="206"/>
      <c r="U101" s="207"/>
      <c r="V101" s="197"/>
      <c r="W101" s="204">
        <v>2211</v>
      </c>
      <c r="X101" s="38"/>
      <c r="Y101" s="384">
        <f>SUM(W101:W104)*1.1</f>
        <v>80055.331399999995</v>
      </c>
      <c r="Z101" s="36"/>
      <c r="AA101" s="197"/>
      <c r="AB101" s="204">
        <v>1769</v>
      </c>
      <c r="AC101" s="38"/>
      <c r="AD101" s="384">
        <f>SUM(AB101:AB104)*1.1</f>
        <v>56726.724999999999</v>
      </c>
      <c r="AE101" s="36"/>
      <c r="AF101" s="197"/>
      <c r="AG101" s="204">
        <v>2211</v>
      </c>
      <c r="AH101" s="38"/>
      <c r="AI101" s="384">
        <f>AI102*1.1</f>
        <v>87115.787000000011</v>
      </c>
      <c r="AJ101" s="36"/>
      <c r="AK101" s="197"/>
      <c r="AL101" s="204">
        <v>1769</v>
      </c>
      <c r="AM101" s="38"/>
      <c r="AN101" s="384">
        <f>AN102*1.2</f>
        <v>89589.064800000007</v>
      </c>
      <c r="AO101" s="36"/>
      <c r="AP101" s="197"/>
      <c r="AQ101" s="204">
        <v>1769</v>
      </c>
      <c r="AR101" s="38"/>
      <c r="AS101" s="384">
        <f>SUM(AQ101:AQ104)*1.1</f>
        <v>93187.661599999992</v>
      </c>
      <c r="AT101" s="36"/>
      <c r="AU101" s="197"/>
      <c r="AV101" s="197"/>
      <c r="AW101" s="38"/>
      <c r="AX101" s="384">
        <f>SUM(AV101:AV104)*1.1</f>
        <v>102500.827</v>
      </c>
      <c r="AY101" s="36"/>
      <c r="AZ101" s="197"/>
      <c r="BA101" s="197"/>
      <c r="BB101" s="38"/>
      <c r="BC101" s="384">
        <f>SUM(BA101:BA104)*1.1</f>
        <v>81796.252999999997</v>
      </c>
      <c r="BD101" s="36"/>
      <c r="BE101" s="197"/>
      <c r="BF101" s="197"/>
      <c r="BG101" s="38"/>
      <c r="BH101" s="384">
        <f>SUM(BF101:BF104)*1.1</f>
        <v>91563.069400000008</v>
      </c>
      <c r="BI101" s="36"/>
      <c r="BJ101" s="197"/>
      <c r="BK101" s="197"/>
      <c r="BL101" s="38"/>
      <c r="BM101" s="384">
        <f>SUM(BK101:BK104)*1.1</f>
        <v>95993.902400000006</v>
      </c>
      <c r="BN101" s="36"/>
      <c r="BO101" s="197"/>
      <c r="BP101" s="197"/>
      <c r="BQ101" s="38"/>
      <c r="BR101" s="384">
        <f>SUM(BP101:BP104)*1.1</f>
        <v>96265.052400000015</v>
      </c>
      <c r="BS101" s="36"/>
      <c r="BT101" s="197"/>
      <c r="BU101" s="197"/>
      <c r="BV101" s="38"/>
      <c r="BW101" s="384">
        <f>SUM(BU101:BU104)*1.1</f>
        <v>114366.0716</v>
      </c>
      <c r="BX101" s="36"/>
      <c r="BY101" s="197"/>
      <c r="BZ101" s="197"/>
      <c r="CA101" s="38"/>
      <c r="CB101" s="384">
        <f>SUM(BZ101:BZ104)*1.1</f>
        <v>42267.63640000001</v>
      </c>
      <c r="CC101" s="36"/>
      <c r="CD101" s="197"/>
      <c r="CE101" s="197"/>
      <c r="CF101" s="38"/>
      <c r="CG101" s="384">
        <f>SUM(CE101:CE104)*1.1</f>
        <v>42267.63640000001</v>
      </c>
      <c r="CH101" s="36"/>
      <c r="CI101" s="197"/>
      <c r="CJ101" s="197"/>
      <c r="CK101" s="38"/>
      <c r="CL101" s="384">
        <f>SUM(CJ101:CJ104)*1.1</f>
        <v>42267.63640000001</v>
      </c>
      <c r="CM101" s="36"/>
      <c r="CN101" s="197"/>
      <c r="CO101" s="197"/>
      <c r="CP101" s="38"/>
      <c r="CQ101" s="384">
        <f>SUM(CO101:CO104)*1.1</f>
        <v>42267.63640000001</v>
      </c>
      <c r="CR101" s="36"/>
      <c r="CS101" s="197"/>
      <c r="CT101" s="197"/>
      <c r="CU101" s="38"/>
      <c r="CV101" s="384">
        <f>SUM(CT101:CT104)*1.1</f>
        <v>42267.63640000001</v>
      </c>
      <c r="CW101" s="36"/>
      <c r="CX101" s="197"/>
      <c r="CY101" s="197"/>
      <c r="CZ101" s="38"/>
      <c r="DA101" s="384">
        <f>SUM(CY101:CY104)*1.1</f>
        <v>42267.63640000001</v>
      </c>
    </row>
    <row r="102" spans="1:105" ht="15" customHeight="1">
      <c r="A102" s="256"/>
      <c r="B102" s="215">
        <v>41916045</v>
      </c>
      <c r="C102" s="45" t="s">
        <v>195</v>
      </c>
      <c r="D102" s="216" t="s">
        <v>13</v>
      </c>
      <c r="E102" s="216"/>
      <c r="F102" s="92">
        <f>H102/G102</f>
        <v>5.3077206132879047</v>
      </c>
      <c r="G102" s="69">
        <v>7044</v>
      </c>
      <c r="H102" s="69">
        <v>37387.584000000003</v>
      </c>
      <c r="I102" s="81">
        <v>25963.599999999999</v>
      </c>
      <c r="J102" s="88"/>
      <c r="K102" s="115">
        <f>M102/L102</f>
        <v>5.3685480916030537</v>
      </c>
      <c r="L102" s="69">
        <v>10480</v>
      </c>
      <c r="M102" s="69">
        <v>56262.383999999998</v>
      </c>
      <c r="N102" s="81">
        <v>56262.383999999998</v>
      </c>
      <c r="O102" s="88"/>
      <c r="P102" s="104">
        <f>R102/Q102</f>
        <v>4.9663918846769892</v>
      </c>
      <c r="Q102" s="69">
        <v>9365</v>
      </c>
      <c r="R102" s="69">
        <v>46510.26</v>
      </c>
      <c r="S102" s="81">
        <v>46510.26</v>
      </c>
      <c r="T102" s="88"/>
      <c r="U102" s="115">
        <f>W102/V102</f>
        <v>5.2077240550086419</v>
      </c>
      <c r="V102" s="69">
        <v>13307</v>
      </c>
      <c r="W102" s="69">
        <v>69299.183999999994</v>
      </c>
      <c r="X102" s="81">
        <v>69299.183999999994</v>
      </c>
      <c r="Y102" s="403">
        <f>SUM(W101:W104)*1</f>
        <v>72777.573999999993</v>
      </c>
      <c r="Z102" s="92">
        <f>AB102/AA102</f>
        <v>4.6829521507974858</v>
      </c>
      <c r="AA102" s="69">
        <v>10345</v>
      </c>
      <c r="AB102" s="69">
        <v>48445.139999999992</v>
      </c>
      <c r="AC102" s="81">
        <v>48445.139999999992</v>
      </c>
      <c r="AD102" s="403">
        <f>SUM(AB101:AB104)*1</f>
        <v>51569.749999999993</v>
      </c>
      <c r="AE102" s="92">
        <f>AG102/AF102</f>
        <v>4.8199442072302876</v>
      </c>
      <c r="AF102" s="410">
        <v>10539</v>
      </c>
      <c r="AG102" s="410">
        <v>50797.392</v>
      </c>
      <c r="AH102" s="81">
        <f>25497.44+50354.71</f>
        <v>75852.149999999994</v>
      </c>
      <c r="AI102" s="403">
        <f>SUM(AG103:AG104)+AH102+AG101*1</f>
        <v>79196.17</v>
      </c>
      <c r="AJ102" s="92">
        <f>AL102/AK102</f>
        <v>4.9792196517203662</v>
      </c>
      <c r="AK102" s="410">
        <v>11887</v>
      </c>
      <c r="AL102" s="410">
        <v>59187.983999999997</v>
      </c>
      <c r="AM102" s="81">
        <f>10423.49+62061.264</f>
        <v>72484.754000000001</v>
      </c>
      <c r="AN102" s="403">
        <f>SUM(AL103:AL104)+AM102+AL101*1</f>
        <v>74657.554000000004</v>
      </c>
      <c r="AO102" s="92">
        <f>AQ102/AP102</f>
        <v>5.946695619840856</v>
      </c>
      <c r="AP102" s="410">
        <v>13447</v>
      </c>
      <c r="AQ102" s="410">
        <v>79965.215999999986</v>
      </c>
      <c r="AR102" s="81">
        <v>90178.428</v>
      </c>
      <c r="AS102" s="403">
        <f>SUM(AQ101:AQ104)*1</f>
        <v>84716.055999999982</v>
      </c>
      <c r="AT102" s="92">
        <f>AV102/AU102</f>
        <v>6.6107638336347199</v>
      </c>
      <c r="AU102" s="410">
        <v>13825</v>
      </c>
      <c r="AV102" s="410">
        <v>91393.81</v>
      </c>
      <c r="AW102" s="44">
        <v>25963.599999999999</v>
      </c>
      <c r="AX102" s="403">
        <f>SUM(AV101:AV104)*1</f>
        <v>93182.569999999992</v>
      </c>
      <c r="AY102" s="92">
        <f>BA102/AZ102</f>
        <v>6.3494518156424578</v>
      </c>
      <c r="AZ102" s="410">
        <v>11456</v>
      </c>
      <c r="BA102" s="561">
        <v>72739.319999999992</v>
      </c>
      <c r="BB102" s="81" t="s">
        <v>352</v>
      </c>
      <c r="BC102" s="403">
        <f>SUM(BA101:BA104)*1</f>
        <v>74360.23</v>
      </c>
      <c r="BD102" s="92">
        <f>BF102/BE102</f>
        <v>6.3628437427443689</v>
      </c>
      <c r="BE102" s="410">
        <v>12921</v>
      </c>
      <c r="BF102" s="410">
        <v>82214.303999999989</v>
      </c>
      <c r="BG102" s="81">
        <v>65086.323999999993</v>
      </c>
      <c r="BH102" s="403">
        <f>SUM(BF101:BF104)*1</f>
        <v>83239.153999999995</v>
      </c>
      <c r="BI102" s="92">
        <f>BK102/BJ102</f>
        <v>6.7715882908404152</v>
      </c>
      <c r="BJ102" s="410">
        <v>12708</v>
      </c>
      <c r="BK102" s="410">
        <v>86053.343999999997</v>
      </c>
      <c r="BL102" s="81">
        <v>65086.323999999993</v>
      </c>
      <c r="BM102" s="403">
        <f>SUM(BK101:BK104)*1</f>
        <v>87267.183999999994</v>
      </c>
      <c r="BN102" s="92">
        <f>BP102/BO102</f>
        <v>6.3746283343212813</v>
      </c>
      <c r="BO102" s="410">
        <v>13496</v>
      </c>
      <c r="BP102" s="410">
        <v>86031.984000000011</v>
      </c>
      <c r="BQ102" s="44">
        <v>25963.599999999999</v>
      </c>
      <c r="BR102" s="403">
        <f>SUM(BP101:BP104)*1</f>
        <v>87513.684000000008</v>
      </c>
      <c r="BS102" s="92">
        <f>BU102/BT102</f>
        <v>6.0268799435858247</v>
      </c>
      <c r="BT102" s="410">
        <v>17017</v>
      </c>
      <c r="BU102" s="410">
        <v>102559.41599999998</v>
      </c>
      <c r="BV102" s="81">
        <v>87291</v>
      </c>
      <c r="BW102" s="403">
        <f>SUM(BU101:BU104)*1</f>
        <v>103969.15599999999</v>
      </c>
      <c r="BX102" s="92">
        <f>BZ102/BY102</f>
        <v>5.3077206132879047</v>
      </c>
      <c r="BY102" s="58">
        <v>7044</v>
      </c>
      <c r="BZ102" s="58">
        <v>37387.584000000003</v>
      </c>
      <c r="CA102" s="372" t="s">
        <v>441</v>
      </c>
      <c r="CB102" s="403">
        <f>SUM(BZ101:BZ104)*1</f>
        <v>38425.124000000003</v>
      </c>
      <c r="CC102" s="92">
        <f>CE102/CD102</f>
        <v>5.3077206132879047</v>
      </c>
      <c r="CD102" s="58">
        <v>7044</v>
      </c>
      <c r="CE102" s="58">
        <v>37387.584000000003</v>
      </c>
      <c r="CF102" s="44">
        <v>25963.599999999999</v>
      </c>
      <c r="CG102" s="403">
        <f>SUM(CE101:CE104)*1</f>
        <v>38425.124000000003</v>
      </c>
      <c r="CH102" s="92">
        <f>CJ102/CI102</f>
        <v>5.3077206132879047</v>
      </c>
      <c r="CI102" s="58">
        <v>7044</v>
      </c>
      <c r="CJ102" s="58">
        <v>37387.584000000003</v>
      </c>
      <c r="CK102" s="44">
        <v>25963.599999999999</v>
      </c>
      <c r="CL102" s="403">
        <f>SUM(CJ101:CJ104)*1</f>
        <v>38425.124000000003</v>
      </c>
      <c r="CM102" s="92">
        <f>CO102/CN102</f>
        <v>5.3077206132879047</v>
      </c>
      <c r="CN102" s="58">
        <v>7044</v>
      </c>
      <c r="CO102" s="58">
        <v>37387.584000000003</v>
      </c>
      <c r="CP102" s="44">
        <v>25963.599999999999</v>
      </c>
      <c r="CQ102" s="403">
        <f>SUM(CO101:CO104)*1</f>
        <v>38425.124000000003</v>
      </c>
      <c r="CR102" s="92">
        <f>CT102/CS102</f>
        <v>5.3077206132879047</v>
      </c>
      <c r="CS102" s="58">
        <v>7044</v>
      </c>
      <c r="CT102" s="58">
        <v>37387.584000000003</v>
      </c>
      <c r="CU102" s="44">
        <v>25963.599999999999</v>
      </c>
      <c r="CV102" s="403">
        <f>SUM(CT101:CT104)*1</f>
        <v>38425.124000000003</v>
      </c>
      <c r="CW102" s="92">
        <f>CY102/CX102</f>
        <v>5.3077206132879047</v>
      </c>
      <c r="CX102" s="58">
        <v>7044</v>
      </c>
      <c r="CY102" s="58">
        <v>37387.584000000003</v>
      </c>
      <c r="CZ102" s="44">
        <v>25963.599999999999</v>
      </c>
      <c r="DA102" s="403">
        <f>SUM(CY101:CY104)*1</f>
        <v>38425.124000000003</v>
      </c>
    </row>
    <row r="103" spans="1:105" s="336" customFormat="1" ht="15" customHeight="1">
      <c r="A103" s="296"/>
      <c r="B103" s="234">
        <v>41946011</v>
      </c>
      <c r="C103" s="220" t="s">
        <v>200</v>
      </c>
      <c r="D103" s="231" t="s">
        <v>15</v>
      </c>
      <c r="E103" s="231"/>
      <c r="F103" s="97"/>
      <c r="G103" s="56">
        <v>0</v>
      </c>
      <c r="H103" s="58">
        <v>0</v>
      </c>
      <c r="I103" s="44"/>
      <c r="J103" s="86"/>
      <c r="K103" s="120"/>
      <c r="L103" s="56">
        <v>0</v>
      </c>
      <c r="M103" s="58">
        <v>0</v>
      </c>
      <c r="N103" s="44"/>
      <c r="O103" s="86"/>
      <c r="P103" s="109"/>
      <c r="Q103" s="56"/>
      <c r="R103" s="58"/>
      <c r="S103" s="44"/>
      <c r="T103" s="86"/>
      <c r="U103" s="120"/>
      <c r="V103" s="56"/>
      <c r="W103" s="58"/>
      <c r="X103" s="44"/>
      <c r="Y103" s="44"/>
      <c r="Z103" s="97"/>
      <c r="AA103" s="56"/>
      <c r="AB103" s="58"/>
      <c r="AC103" s="44"/>
      <c r="AD103" s="44"/>
      <c r="AE103" s="97"/>
      <c r="AF103" s="56"/>
      <c r="AG103" s="58"/>
      <c r="AH103" s="44"/>
      <c r="AI103" s="44"/>
      <c r="AJ103" s="97"/>
      <c r="AK103" s="56"/>
      <c r="AL103" s="58"/>
      <c r="AM103" s="44"/>
      <c r="AN103" s="44"/>
      <c r="AO103" s="97"/>
      <c r="AP103" s="56"/>
      <c r="AQ103" s="58"/>
      <c r="AR103" s="44"/>
      <c r="AS103" s="44"/>
      <c r="AT103" s="97"/>
      <c r="AU103" s="56"/>
      <c r="AV103" s="58"/>
      <c r="AW103" s="44"/>
      <c r="AX103" s="44"/>
      <c r="AY103" s="97"/>
      <c r="AZ103" s="56"/>
      <c r="BA103" s="58"/>
      <c r="BB103" s="44"/>
      <c r="BC103" s="44"/>
      <c r="BD103" s="97"/>
      <c r="BE103" s="56"/>
      <c r="BF103" s="58"/>
      <c r="BG103" s="44"/>
      <c r="BH103" s="44"/>
      <c r="BI103" s="97"/>
      <c r="BJ103" s="56"/>
      <c r="BK103" s="58"/>
      <c r="BL103" s="44"/>
      <c r="BM103" s="44"/>
      <c r="BN103" s="97"/>
      <c r="BO103" s="56"/>
      <c r="BP103" s="58"/>
      <c r="BQ103" s="44"/>
      <c r="BR103" s="44"/>
      <c r="BS103" s="97"/>
      <c r="BT103" s="56"/>
      <c r="BU103" s="58"/>
      <c r="BV103" s="44"/>
      <c r="BW103" s="44"/>
      <c r="BX103" s="97"/>
      <c r="BY103" s="56"/>
      <c r="BZ103" s="58"/>
      <c r="CA103" s="44"/>
      <c r="CB103" s="44"/>
      <c r="CC103" s="97"/>
      <c r="CD103" s="56"/>
      <c r="CE103" s="58"/>
      <c r="CF103" s="44"/>
      <c r="CG103" s="44"/>
      <c r="CH103" s="97"/>
      <c r="CI103" s="56"/>
      <c r="CJ103" s="58"/>
      <c r="CK103" s="44"/>
      <c r="CL103" s="44"/>
      <c r="CM103" s="97"/>
      <c r="CN103" s="56"/>
      <c r="CO103" s="58"/>
      <c r="CP103" s="44"/>
      <c r="CQ103" s="44"/>
      <c r="CR103" s="97"/>
      <c r="CS103" s="56"/>
      <c r="CT103" s="58"/>
      <c r="CU103" s="44"/>
      <c r="CV103" s="44"/>
      <c r="CW103" s="97"/>
      <c r="CX103" s="56"/>
      <c r="CY103" s="58"/>
      <c r="CZ103" s="44"/>
      <c r="DA103" s="44"/>
    </row>
    <row r="104" spans="1:105" s="264" customFormat="1" ht="15" customHeight="1" thickBot="1">
      <c r="A104" s="535"/>
      <c r="B104" s="258">
        <v>33495259</v>
      </c>
      <c r="C104" s="20" t="s">
        <v>66</v>
      </c>
      <c r="D104" s="259" t="s">
        <v>17</v>
      </c>
      <c r="E104" s="259"/>
      <c r="F104" s="3">
        <f>H104/G104</f>
        <v>37.497241379310346</v>
      </c>
      <c r="G104" s="172">
        <v>29</v>
      </c>
      <c r="H104" s="170">
        <v>1087.42</v>
      </c>
      <c r="I104" s="179"/>
      <c r="J104" s="182"/>
      <c r="K104" s="209">
        <f>M104/L104</f>
        <v>37.497241379310346</v>
      </c>
      <c r="L104" s="172">
        <v>29</v>
      </c>
      <c r="M104" s="170">
        <v>1087.42</v>
      </c>
      <c r="N104" s="179"/>
      <c r="O104" s="182"/>
      <c r="P104" s="168">
        <f>R104/Q104</f>
        <v>31.37891891891892</v>
      </c>
      <c r="Q104" s="172">
        <v>37</v>
      </c>
      <c r="R104" s="170">
        <v>1161.02</v>
      </c>
      <c r="S104" s="179"/>
      <c r="T104" s="182"/>
      <c r="U104" s="209">
        <f>W104/V104</f>
        <v>31.684750000000001</v>
      </c>
      <c r="V104" s="172">
        <v>40</v>
      </c>
      <c r="W104" s="170">
        <v>1267.3900000000001</v>
      </c>
      <c r="X104" s="179"/>
      <c r="Y104" s="179"/>
      <c r="Z104" s="3">
        <v>30.38</v>
      </c>
      <c r="AA104" s="172">
        <f>41+4.97</f>
        <v>45.97</v>
      </c>
      <c r="AB104" s="170">
        <f>1284.94+70.67</f>
        <v>1355.6100000000001</v>
      </c>
      <c r="AC104" s="179"/>
      <c r="AD104" s="179"/>
      <c r="AE104" s="3">
        <f>AG104/AF104</f>
        <v>30.622162162162162</v>
      </c>
      <c r="AF104" s="172">
        <v>37</v>
      </c>
      <c r="AG104" s="170">
        <v>1133.02</v>
      </c>
      <c r="AH104" s="179"/>
      <c r="AI104" s="179"/>
      <c r="AJ104" s="3">
        <f>AL104/AK104</f>
        <v>33.65</v>
      </c>
      <c r="AK104" s="172">
        <v>12</v>
      </c>
      <c r="AL104" s="170">
        <v>403.8</v>
      </c>
      <c r="AM104" s="179"/>
      <c r="AN104" s="179"/>
      <c r="AO104" s="3">
        <f>AQ104/AP104</f>
        <v>33.131555555555558</v>
      </c>
      <c r="AP104" s="172">
        <v>90</v>
      </c>
      <c r="AQ104" s="170">
        <v>2981.84</v>
      </c>
      <c r="AR104" s="179"/>
      <c r="AS104" s="179"/>
      <c r="AT104" s="3">
        <f>AV104/AU104</f>
        <v>31.942142857142859</v>
      </c>
      <c r="AU104" s="172">
        <v>56</v>
      </c>
      <c r="AV104" s="170">
        <v>1788.76</v>
      </c>
      <c r="AW104" s="179"/>
      <c r="AX104" s="179"/>
      <c r="AY104" s="3">
        <f>BA104/AZ104</f>
        <v>31.782549019607846</v>
      </c>
      <c r="AZ104" s="172">
        <v>51</v>
      </c>
      <c r="BA104" s="170">
        <v>1620.91</v>
      </c>
      <c r="BB104" s="179"/>
      <c r="BC104" s="179"/>
      <c r="BD104" s="3">
        <f>BF104/BE104</f>
        <v>31.056060606060605</v>
      </c>
      <c r="BE104" s="172">
        <v>33</v>
      </c>
      <c r="BF104" s="170">
        <v>1024.8499999999999</v>
      </c>
      <c r="BG104" s="179"/>
      <c r="BH104" s="179"/>
      <c r="BI104" s="3">
        <f>BK104/BJ104</f>
        <v>34.681142857142852</v>
      </c>
      <c r="BJ104" s="172">
        <v>35</v>
      </c>
      <c r="BK104" s="170">
        <v>1213.8399999999999</v>
      </c>
      <c r="BL104" s="179"/>
      <c r="BM104" s="179"/>
      <c r="BN104" s="3">
        <f>BP104/BO104</f>
        <v>35.278571428571432</v>
      </c>
      <c r="BO104" s="172">
        <v>42</v>
      </c>
      <c r="BP104" s="170">
        <v>1481.7</v>
      </c>
      <c r="BQ104" s="179"/>
      <c r="BR104" s="179"/>
      <c r="BS104" s="3">
        <f>BU104/BT104</f>
        <v>35.243499999999997</v>
      </c>
      <c r="BT104" s="172">
        <v>40</v>
      </c>
      <c r="BU104" s="170">
        <v>1409.74</v>
      </c>
      <c r="BV104" s="179"/>
      <c r="BW104" s="179"/>
      <c r="BX104" s="3">
        <f>BZ104/BY104</f>
        <v>30.515882352941176</v>
      </c>
      <c r="BY104" s="177">
        <v>34</v>
      </c>
      <c r="BZ104" s="169">
        <v>1037.54</v>
      </c>
      <c r="CA104" s="48"/>
      <c r="CB104" s="179"/>
      <c r="CC104" s="3">
        <f>CE104/CD104</f>
        <v>30.515882352941176</v>
      </c>
      <c r="CD104" s="177">
        <v>34</v>
      </c>
      <c r="CE104" s="169">
        <v>1037.54</v>
      </c>
      <c r="CF104" s="48"/>
      <c r="CG104" s="179"/>
      <c r="CH104" s="3">
        <f>CJ104/CI104</f>
        <v>30.515882352941176</v>
      </c>
      <c r="CI104" s="177">
        <v>34</v>
      </c>
      <c r="CJ104" s="169">
        <v>1037.54</v>
      </c>
      <c r="CK104" s="48"/>
      <c r="CL104" s="179"/>
      <c r="CM104" s="3">
        <f>CO104/CN104</f>
        <v>30.515882352941176</v>
      </c>
      <c r="CN104" s="177">
        <v>34</v>
      </c>
      <c r="CO104" s="169">
        <v>1037.54</v>
      </c>
      <c r="CP104" s="48"/>
      <c r="CQ104" s="179"/>
      <c r="CR104" s="3">
        <f>CT104/CS104</f>
        <v>30.515882352941176</v>
      </c>
      <c r="CS104" s="177">
        <v>34</v>
      </c>
      <c r="CT104" s="169">
        <v>1037.54</v>
      </c>
      <c r="CU104" s="48"/>
      <c r="CV104" s="179"/>
      <c r="CW104" s="3">
        <f>CY104/CX104</f>
        <v>30.515882352941176</v>
      </c>
      <c r="CX104" s="177">
        <v>34</v>
      </c>
      <c r="CY104" s="169">
        <v>1037.54</v>
      </c>
      <c r="CZ104" s="48"/>
      <c r="DA104" s="179"/>
    </row>
    <row r="105" spans="1:105" s="249" customFormat="1" ht="15" customHeight="1">
      <c r="A105" s="531" t="s">
        <v>310</v>
      </c>
      <c r="B105" s="527" t="s">
        <v>67</v>
      </c>
      <c r="C105" s="6" t="s">
        <v>25</v>
      </c>
      <c r="D105" s="7" t="s">
        <v>10</v>
      </c>
      <c r="E105" s="4"/>
      <c r="F105" s="196"/>
      <c r="G105" s="200"/>
      <c r="H105" s="197"/>
      <c r="I105" s="38"/>
      <c r="J105" s="206"/>
      <c r="K105" s="196"/>
      <c r="L105" s="200"/>
      <c r="M105" s="197"/>
      <c r="N105" s="38"/>
      <c r="O105" s="206"/>
      <c r="P105" s="196"/>
      <c r="Q105" s="200"/>
      <c r="R105" s="197"/>
      <c r="S105" s="38"/>
      <c r="T105" s="206"/>
      <c r="U105" s="207"/>
      <c r="V105" s="200"/>
      <c r="W105" s="204">
        <v>2783</v>
      </c>
      <c r="X105" s="38"/>
      <c r="Y105" s="384">
        <f>SUM(W105:W109)*1.1</f>
        <v>105078.01700000001</v>
      </c>
      <c r="Z105" s="36"/>
      <c r="AA105" s="200"/>
      <c r="AB105" s="204">
        <v>1265</v>
      </c>
      <c r="AC105" s="38"/>
      <c r="AD105" s="384">
        <f>SUM(AB105:AB109)*1.1</f>
        <v>110700.799</v>
      </c>
      <c r="AE105" s="36"/>
      <c r="AF105" s="200"/>
      <c r="AG105" s="204">
        <v>1518</v>
      </c>
      <c r="AH105" s="38"/>
      <c r="AI105" s="384">
        <f>AI106*1.1</f>
        <v>122817.81600000001</v>
      </c>
      <c r="AJ105" s="36"/>
      <c r="AK105" s="200"/>
      <c r="AL105" s="204">
        <v>1012</v>
      </c>
      <c r="AM105" s="38"/>
      <c r="AN105" s="384">
        <f>AN106*1.2</f>
        <v>183037.236</v>
      </c>
      <c r="AO105" s="36"/>
      <c r="AP105" s="200"/>
      <c r="AQ105" s="197"/>
      <c r="AR105" s="38"/>
      <c r="AS105" s="384">
        <f>SUM(AQ105:AQ109)*1.1</f>
        <v>120898.12900000002</v>
      </c>
      <c r="AT105" s="36"/>
      <c r="AU105" s="200"/>
      <c r="AV105" s="197"/>
      <c r="AW105" s="38"/>
      <c r="AX105" s="384">
        <f>SUM(AV105:AV109)*1.1</f>
        <v>144517.758</v>
      </c>
      <c r="AY105" s="36"/>
      <c r="AZ105" s="200"/>
      <c r="BA105" s="197"/>
      <c r="BB105" s="38"/>
      <c r="BC105" s="384">
        <f>SUM(BA105:BA109)*1.1</f>
        <v>145912.965</v>
      </c>
      <c r="BD105" s="36"/>
      <c r="BE105" s="200"/>
      <c r="BF105" s="197"/>
      <c r="BG105" s="38"/>
      <c r="BH105" s="384">
        <f>SUM(BF105:BF109)*1.1</f>
        <v>146752.27600000001</v>
      </c>
      <c r="BI105" s="36"/>
      <c r="BJ105" s="200"/>
      <c r="BK105" s="197"/>
      <c r="BL105" s="38"/>
      <c r="BM105" s="384">
        <f>SUM(BK105:BK109)*1.1</f>
        <v>164917.35700000002</v>
      </c>
      <c r="BN105" s="36"/>
      <c r="BO105" s="200"/>
      <c r="BP105" s="197"/>
      <c r="BQ105" s="38"/>
      <c r="BR105" s="384">
        <f>SUM(BP105:BP109)*1.1</f>
        <v>174837.674</v>
      </c>
      <c r="BS105" s="36"/>
      <c r="BT105" s="200"/>
      <c r="BU105" s="197"/>
      <c r="BV105" s="38"/>
      <c r="BW105" s="384">
        <f>SUM(BU105:BU109)*1.1</f>
        <v>189555.77960000001</v>
      </c>
      <c r="BX105" s="36"/>
      <c r="BY105" s="200"/>
      <c r="BZ105" s="197"/>
      <c r="CA105" s="38"/>
      <c r="CB105" s="384">
        <f>SUM(BZ105:BZ109)*1.1</f>
        <v>43346.732000000004</v>
      </c>
      <c r="CC105" s="36"/>
      <c r="CD105" s="200"/>
      <c r="CE105" s="197"/>
      <c r="CF105" s="38"/>
      <c r="CG105" s="384">
        <f>SUM(CE105:CE109)*1.1</f>
        <v>43346.732000000004</v>
      </c>
      <c r="CH105" s="36"/>
      <c r="CI105" s="200"/>
      <c r="CJ105" s="197"/>
      <c r="CK105" s="38"/>
      <c r="CL105" s="384">
        <f>SUM(CJ105:CJ109)*1.1</f>
        <v>43346.732000000004</v>
      </c>
      <c r="CM105" s="36"/>
      <c r="CN105" s="200"/>
      <c r="CO105" s="197"/>
      <c r="CP105" s="38"/>
      <c r="CQ105" s="384">
        <f>SUM(CO105:CO109)*1.1</f>
        <v>43346.732000000004</v>
      </c>
      <c r="CR105" s="36"/>
      <c r="CS105" s="200"/>
      <c r="CT105" s="197"/>
      <c r="CU105" s="38"/>
      <c r="CV105" s="384">
        <f>SUM(CT105:CT109)*1.1</f>
        <v>43346.732000000004</v>
      </c>
      <c r="CW105" s="36"/>
      <c r="CX105" s="200"/>
      <c r="CY105" s="197"/>
      <c r="CZ105" s="38"/>
      <c r="DA105" s="384">
        <f>SUM(CY105:CY109)*1.1</f>
        <v>43346.732000000004</v>
      </c>
    </row>
    <row r="106" spans="1:105" ht="15" customHeight="1">
      <c r="A106" s="532"/>
      <c r="B106" s="528">
        <v>43134375</v>
      </c>
      <c r="C106" s="45" t="s">
        <v>68</v>
      </c>
      <c r="D106" s="216" t="s">
        <v>11</v>
      </c>
      <c r="E106" s="22"/>
      <c r="F106" s="109" t="e">
        <f>H106/G106</f>
        <v>#VALUE!</v>
      </c>
      <c r="G106" s="128">
        <v>658.8</v>
      </c>
      <c r="H106" s="74" t="s">
        <v>179</v>
      </c>
      <c r="I106" s="81"/>
      <c r="J106" s="88"/>
      <c r="K106" s="109">
        <f>M106/L106</f>
        <v>7.5299939283545854</v>
      </c>
      <c r="L106" s="128">
        <v>658.8</v>
      </c>
      <c r="M106" s="74">
        <v>4960.76</v>
      </c>
      <c r="N106" s="81"/>
      <c r="O106" s="88"/>
      <c r="P106" s="109"/>
      <c r="Q106" s="128">
        <v>658.8</v>
      </c>
      <c r="R106" s="74" t="s">
        <v>179</v>
      </c>
      <c r="S106" s="81"/>
      <c r="T106" s="88"/>
      <c r="U106" s="120"/>
      <c r="V106" s="128">
        <v>658.8</v>
      </c>
      <c r="W106" s="74" t="s">
        <v>179</v>
      </c>
      <c r="X106" s="81"/>
      <c r="Y106" s="403">
        <f>SUM(W105:W109)*1</f>
        <v>95525.47</v>
      </c>
      <c r="Z106" s="97">
        <f>AB106/AA106</f>
        <v>7.5299939283545854</v>
      </c>
      <c r="AA106" s="128">
        <v>658.8</v>
      </c>
      <c r="AB106" s="74">
        <v>4960.76</v>
      </c>
      <c r="AC106" s="81"/>
      <c r="AD106" s="403">
        <f>SUM(AB105:AB109)*1</f>
        <v>100637.09</v>
      </c>
      <c r="AE106" s="97">
        <f>AG106/AF106</f>
        <v>7.5299939283545854</v>
      </c>
      <c r="AF106" s="128">
        <v>658.8</v>
      </c>
      <c r="AG106" s="74">
        <v>4960.76</v>
      </c>
      <c r="AH106" s="81"/>
      <c r="AI106" s="403">
        <f>SUM(AG105:AG106)+AH107+AG108+AG109*1</f>
        <v>111652.56</v>
      </c>
      <c r="AJ106" s="97">
        <f>AL106/AK106</f>
        <v>7.5299939283545854</v>
      </c>
      <c r="AK106" s="128">
        <v>658.8</v>
      </c>
      <c r="AL106" s="74">
        <v>4960.76</v>
      </c>
      <c r="AM106" s="81"/>
      <c r="AN106" s="403">
        <f>SUM(AL105:AL106)+AM107+AL108+AL109*1</f>
        <v>152531.03</v>
      </c>
      <c r="AO106" s="97" t="e">
        <f>AQ106/AP106</f>
        <v>#VALUE!</v>
      </c>
      <c r="AP106" s="128">
        <v>658.8</v>
      </c>
      <c r="AQ106" s="74" t="s">
        <v>179</v>
      </c>
      <c r="AR106" s="81"/>
      <c r="AS106" s="403">
        <f>SUM(AQ105:AQ109)*1</f>
        <v>109907.39</v>
      </c>
      <c r="AT106" s="97">
        <f>AV106/AU106</f>
        <v>7.5299939283545854</v>
      </c>
      <c r="AU106" s="128">
        <v>658.8</v>
      </c>
      <c r="AV106" s="74">
        <v>4960.76</v>
      </c>
      <c r="AW106" s="81"/>
      <c r="AX106" s="403">
        <f>SUM(AV105:AV109)*1</f>
        <v>131379.78</v>
      </c>
      <c r="AY106" s="97">
        <f>BA106/AZ106</f>
        <v>7.5299939283545854</v>
      </c>
      <c r="AZ106" s="128">
        <v>658.8</v>
      </c>
      <c r="BA106" s="74">
        <v>4960.76</v>
      </c>
      <c r="BB106" s="81"/>
      <c r="BC106" s="403">
        <f>SUM(BA105:BA109)*1</f>
        <v>132648.15</v>
      </c>
      <c r="BD106" s="97">
        <f>BF106/BE106</f>
        <v>7.5299939283545854</v>
      </c>
      <c r="BE106" s="128">
        <v>658.8</v>
      </c>
      <c r="BF106" s="74">
        <v>4960.76</v>
      </c>
      <c r="BG106" s="81"/>
      <c r="BH106" s="403">
        <f>SUM(BF105:BF109)*1</f>
        <v>133411.16</v>
      </c>
      <c r="BI106" s="97">
        <f>BK106/BJ106</f>
        <v>7.5299939283545854</v>
      </c>
      <c r="BJ106" s="128">
        <v>658.8</v>
      </c>
      <c r="BK106" s="74">
        <v>4960.76</v>
      </c>
      <c r="BL106" s="81"/>
      <c r="BM106" s="403">
        <f>SUM(BK105:BK109)*1</f>
        <v>149924.87</v>
      </c>
      <c r="BN106" s="97" t="e">
        <f>BP106/BO106</f>
        <v>#VALUE!</v>
      </c>
      <c r="BO106" s="128">
        <v>658.8</v>
      </c>
      <c r="BP106" s="74" t="s">
        <v>179</v>
      </c>
      <c r="BQ106" s="81"/>
      <c r="BR106" s="403">
        <f>SUM(BP105:BP109)*1</f>
        <v>158943.34</v>
      </c>
      <c r="BS106" s="97" t="e">
        <f>BU106/BT106</f>
        <v>#VALUE!</v>
      </c>
      <c r="BT106" s="56">
        <v>658.8</v>
      </c>
      <c r="BU106" s="57" t="s">
        <v>179</v>
      </c>
      <c r="BV106" s="44"/>
      <c r="BW106" s="403">
        <f>SUM(BU105:BU109)*1</f>
        <v>172323.43599999999</v>
      </c>
      <c r="BX106" s="97" t="e">
        <f>BZ106/BY106</f>
        <v>#VALUE!</v>
      </c>
      <c r="BY106" s="56">
        <v>658.8</v>
      </c>
      <c r="BZ106" s="57" t="s">
        <v>179</v>
      </c>
      <c r="CA106" s="44"/>
      <c r="CB106" s="403">
        <f>SUM(BZ105:BZ109)*1</f>
        <v>39406.120000000003</v>
      </c>
      <c r="CC106" s="97" t="e">
        <f>CE106/CD106</f>
        <v>#VALUE!</v>
      </c>
      <c r="CD106" s="56">
        <v>658.8</v>
      </c>
      <c r="CE106" s="57" t="s">
        <v>179</v>
      </c>
      <c r="CF106" s="44"/>
      <c r="CG106" s="403">
        <f>SUM(CE105:CE109)*1</f>
        <v>39406.120000000003</v>
      </c>
      <c r="CH106" s="97" t="e">
        <f>CJ106/CI106</f>
        <v>#VALUE!</v>
      </c>
      <c r="CI106" s="56">
        <v>658.8</v>
      </c>
      <c r="CJ106" s="57" t="s">
        <v>179</v>
      </c>
      <c r="CK106" s="44"/>
      <c r="CL106" s="403">
        <f>SUM(CJ105:CJ109)*1</f>
        <v>39406.120000000003</v>
      </c>
      <c r="CM106" s="97" t="e">
        <f>CO106/CN106</f>
        <v>#VALUE!</v>
      </c>
      <c r="CN106" s="56">
        <v>658.8</v>
      </c>
      <c r="CO106" s="57" t="s">
        <v>179</v>
      </c>
      <c r="CP106" s="44"/>
      <c r="CQ106" s="403">
        <f>SUM(CO105:CO109)*1</f>
        <v>39406.120000000003</v>
      </c>
      <c r="CR106" s="97" t="e">
        <f>CT106/CS106</f>
        <v>#VALUE!</v>
      </c>
      <c r="CS106" s="56">
        <v>658.8</v>
      </c>
      <c r="CT106" s="57" t="s">
        <v>179</v>
      </c>
      <c r="CU106" s="44"/>
      <c r="CV106" s="403">
        <f>SUM(CT105:CT109)*1</f>
        <v>39406.120000000003</v>
      </c>
      <c r="CW106" s="97" t="e">
        <f>CY106/CX106</f>
        <v>#VALUE!</v>
      </c>
      <c r="CX106" s="56">
        <v>658.8</v>
      </c>
      <c r="CY106" s="57" t="s">
        <v>179</v>
      </c>
      <c r="CZ106" s="44"/>
      <c r="DA106" s="403">
        <f>SUM(CY105:CY109)*1</f>
        <v>39406.120000000003</v>
      </c>
    </row>
    <row r="107" spans="1:105" ht="15" customHeight="1">
      <c r="A107" s="536"/>
      <c r="B107" s="215">
        <v>44878589</v>
      </c>
      <c r="C107" s="222" t="s">
        <v>378</v>
      </c>
      <c r="D107" s="221" t="s">
        <v>13</v>
      </c>
      <c r="E107" s="22"/>
      <c r="F107" s="104">
        <f>H107/G107</f>
        <v>5.9969745852990419</v>
      </c>
      <c r="G107" s="128">
        <v>6571</v>
      </c>
      <c r="H107" s="128">
        <v>39406.120000000003</v>
      </c>
      <c r="I107" s="69">
        <v>100000</v>
      </c>
      <c r="J107" s="19"/>
      <c r="K107" s="104">
        <f>M107/L107</f>
        <v>6.0501950316748525</v>
      </c>
      <c r="L107" s="128">
        <v>14049</v>
      </c>
      <c r="M107" s="128">
        <v>84999.19</v>
      </c>
      <c r="N107" s="69"/>
      <c r="O107" s="19"/>
      <c r="P107" s="104">
        <f>R107/Q107</f>
        <v>5.8384916792738277</v>
      </c>
      <c r="Q107" s="128">
        <v>13220</v>
      </c>
      <c r="R107" s="128">
        <v>77184.86</v>
      </c>
      <c r="S107" s="58">
        <v>0</v>
      </c>
      <c r="T107" s="35"/>
      <c r="U107" s="115">
        <f>W107/V107</f>
        <v>5.9299678368575925</v>
      </c>
      <c r="V107" s="128">
        <v>14613</v>
      </c>
      <c r="W107" s="128">
        <v>86654.62</v>
      </c>
      <c r="X107" s="69">
        <v>38200.86</v>
      </c>
      <c r="Y107" s="69"/>
      <c r="Z107" s="92">
        <f>AB107/AA107</f>
        <v>5.8956244766505641</v>
      </c>
      <c r="AA107" s="128">
        <v>15525</v>
      </c>
      <c r="AB107" s="128">
        <v>91529.57</v>
      </c>
      <c r="AC107" s="69">
        <v>97578.47</v>
      </c>
      <c r="AD107" s="69"/>
      <c r="AE107" s="92">
        <f>AG107/AF107</f>
        <v>5.3868833967046896</v>
      </c>
      <c r="AF107" s="408">
        <v>15780</v>
      </c>
      <c r="AG107" s="408">
        <v>85005.02</v>
      </c>
      <c r="AH107" s="69">
        <v>102772.91</v>
      </c>
      <c r="AI107" s="69"/>
      <c r="AJ107" s="92">
        <f>AL107/AK107</f>
        <v>5.5501930246542397</v>
      </c>
      <c r="AK107" s="408">
        <v>16630</v>
      </c>
      <c r="AL107" s="408">
        <v>92299.71</v>
      </c>
      <c r="AM107" s="69">
        <v>146558.26999999999</v>
      </c>
      <c r="AN107" s="69"/>
      <c r="AO107" s="92">
        <f>AQ107/AP107</f>
        <v>5.8517404962197848</v>
      </c>
      <c r="AP107" s="408">
        <v>18782</v>
      </c>
      <c r="AQ107" s="408">
        <v>109907.39</v>
      </c>
      <c r="AR107" s="69">
        <v>105771.17</v>
      </c>
      <c r="AS107" s="69"/>
      <c r="AT107" s="92">
        <f>AV107/AU107</f>
        <v>6.2152910521140612</v>
      </c>
      <c r="AU107" s="408">
        <v>20340</v>
      </c>
      <c r="AV107" s="408">
        <v>126419.02</v>
      </c>
      <c r="AW107" s="69">
        <v>123713.1</v>
      </c>
      <c r="AX107" s="69"/>
      <c r="AY107" s="92">
        <f>BA107/AZ107</f>
        <v>6.9158527866543897</v>
      </c>
      <c r="AZ107" s="408">
        <v>18463</v>
      </c>
      <c r="BA107" s="408">
        <v>127687.39</v>
      </c>
      <c r="BB107" s="523">
        <v>168530.77</v>
      </c>
      <c r="BC107" s="69"/>
      <c r="BD107" s="92">
        <f>BF107/BE107</f>
        <v>7.3920238376209584</v>
      </c>
      <c r="BE107" s="408">
        <v>16948</v>
      </c>
      <c r="BF107" s="408">
        <v>125280.02</v>
      </c>
      <c r="BG107" s="69">
        <v>150000</v>
      </c>
      <c r="BH107" s="69"/>
      <c r="BI107" s="92">
        <f>BK107/BJ107</f>
        <v>7.8380162206001618</v>
      </c>
      <c r="BJ107" s="408">
        <v>18495</v>
      </c>
      <c r="BK107" s="408">
        <v>144964.10999999999</v>
      </c>
      <c r="BL107" s="555" t="s">
        <v>379</v>
      </c>
      <c r="BM107" s="69"/>
      <c r="BN107" s="92">
        <f>BP107/BO107</f>
        <v>7.2802922315866621</v>
      </c>
      <c r="BO107" s="408">
        <v>21832</v>
      </c>
      <c r="BP107" s="408">
        <v>158943.34</v>
      </c>
      <c r="BQ107" s="58">
        <v>0</v>
      </c>
      <c r="BR107" s="69"/>
      <c r="BS107" s="92">
        <f>BU107/BT107</f>
        <v>7.0129999999999999</v>
      </c>
      <c r="BT107" s="408">
        <v>24572</v>
      </c>
      <c r="BU107" s="420">
        <v>172323.43599999999</v>
      </c>
      <c r="BV107" s="130">
        <f>157195.68+15127.756</f>
        <v>172323.43599999999</v>
      </c>
      <c r="BW107" s="69"/>
      <c r="BX107" s="92">
        <f>BZ107/BY107</f>
        <v>5.9969745852990419</v>
      </c>
      <c r="BY107" s="56">
        <v>6571</v>
      </c>
      <c r="BZ107" s="56">
        <v>39406.120000000003</v>
      </c>
      <c r="CA107" s="130">
        <v>105341.6</v>
      </c>
      <c r="CB107" s="69"/>
      <c r="CC107" s="92">
        <f>CE107/CD107</f>
        <v>5.9969745852990419</v>
      </c>
      <c r="CD107" s="56">
        <v>6571</v>
      </c>
      <c r="CE107" s="56">
        <v>39406.120000000003</v>
      </c>
      <c r="CF107" s="58">
        <v>100000</v>
      </c>
      <c r="CG107" s="69"/>
      <c r="CH107" s="92">
        <f>CJ107/CI107</f>
        <v>5.9969745852990419</v>
      </c>
      <c r="CI107" s="56">
        <v>6571</v>
      </c>
      <c r="CJ107" s="56">
        <v>39406.120000000003</v>
      </c>
      <c r="CK107" s="58">
        <v>100000</v>
      </c>
      <c r="CL107" s="69"/>
      <c r="CM107" s="92">
        <f>CO107/CN107</f>
        <v>5.9969745852990419</v>
      </c>
      <c r="CN107" s="56">
        <v>6571</v>
      </c>
      <c r="CO107" s="56">
        <v>39406.120000000003</v>
      </c>
      <c r="CP107" s="58">
        <v>100000</v>
      </c>
      <c r="CQ107" s="69"/>
      <c r="CR107" s="92">
        <f>CT107/CS107</f>
        <v>5.9969745852990419</v>
      </c>
      <c r="CS107" s="56">
        <v>6571</v>
      </c>
      <c r="CT107" s="56">
        <v>39406.120000000003</v>
      </c>
      <c r="CU107" s="58">
        <v>100000</v>
      </c>
      <c r="CV107" s="69"/>
      <c r="CW107" s="92">
        <f>CY107/CX107</f>
        <v>5.9969745852990419</v>
      </c>
      <c r="CX107" s="56">
        <v>6571</v>
      </c>
      <c r="CY107" s="56">
        <v>39406.120000000003</v>
      </c>
      <c r="CZ107" s="58">
        <v>100000</v>
      </c>
      <c r="DA107" s="69"/>
    </row>
    <row r="108" spans="1:105" s="336" customFormat="1" ht="15" customHeight="1">
      <c r="A108" s="533"/>
      <c r="B108" s="529"/>
      <c r="C108" s="220" t="s">
        <v>38</v>
      </c>
      <c r="D108" s="231" t="s">
        <v>15</v>
      </c>
      <c r="E108" s="29"/>
      <c r="F108" s="109"/>
      <c r="G108" s="56">
        <v>0</v>
      </c>
      <c r="H108" s="56">
        <v>0</v>
      </c>
      <c r="I108" s="44"/>
      <c r="J108" s="9">
        <v>0</v>
      </c>
      <c r="K108" s="109"/>
      <c r="L108" s="56">
        <v>0</v>
      </c>
      <c r="M108" s="56">
        <v>0</v>
      </c>
      <c r="N108" s="44"/>
      <c r="O108" s="86"/>
      <c r="P108" s="109"/>
      <c r="Q108" s="56">
        <v>0</v>
      </c>
      <c r="R108" s="56">
        <v>0</v>
      </c>
      <c r="S108" s="44"/>
      <c r="T108" s="86"/>
      <c r="U108" s="120"/>
      <c r="V108" s="56">
        <v>0</v>
      </c>
      <c r="W108" s="56">
        <v>0</v>
      </c>
      <c r="X108" s="44"/>
      <c r="Y108" s="44"/>
      <c r="Z108" s="97"/>
      <c r="AA108" s="56">
        <v>0</v>
      </c>
      <c r="AB108" s="56">
        <v>0</v>
      </c>
      <c r="AC108" s="44"/>
      <c r="AD108" s="44"/>
      <c r="AE108" s="97"/>
      <c r="AF108" s="56">
        <v>0</v>
      </c>
      <c r="AG108" s="56">
        <v>0</v>
      </c>
      <c r="AH108" s="44"/>
      <c r="AI108" s="44"/>
      <c r="AJ108" s="97"/>
      <c r="AK108" s="56">
        <v>0</v>
      </c>
      <c r="AL108" s="56">
        <v>0</v>
      </c>
      <c r="AM108" s="44"/>
      <c r="AN108" s="44"/>
      <c r="AO108" s="97"/>
      <c r="AP108" s="56">
        <v>0</v>
      </c>
      <c r="AQ108" s="56">
        <v>0</v>
      </c>
      <c r="AR108" s="44"/>
      <c r="AS108" s="44"/>
      <c r="AT108" s="97"/>
      <c r="AU108" s="56">
        <v>0</v>
      </c>
      <c r="AV108" s="56">
        <v>0</v>
      </c>
      <c r="AW108" s="44"/>
      <c r="AX108" s="44"/>
      <c r="AY108" s="97"/>
      <c r="AZ108" s="56">
        <v>0</v>
      </c>
      <c r="BA108" s="56">
        <v>0</v>
      </c>
      <c r="BB108" s="44"/>
      <c r="BC108" s="44"/>
      <c r="BD108" s="97"/>
      <c r="BE108" s="56">
        <v>0</v>
      </c>
      <c r="BF108" s="56">
        <v>0</v>
      </c>
      <c r="BG108" s="44"/>
      <c r="BH108" s="44"/>
      <c r="BI108" s="97"/>
      <c r="BJ108" s="56">
        <v>0</v>
      </c>
      <c r="BK108" s="56">
        <v>0</v>
      </c>
      <c r="BL108" s="44"/>
      <c r="BM108" s="44"/>
      <c r="BN108" s="97"/>
      <c r="BO108" s="56">
        <v>0</v>
      </c>
      <c r="BP108" s="56">
        <v>0</v>
      </c>
      <c r="BQ108" s="44"/>
      <c r="BR108" s="44"/>
      <c r="BS108" s="97"/>
      <c r="BT108" s="56">
        <v>0</v>
      </c>
      <c r="BU108" s="56">
        <v>0</v>
      </c>
      <c r="BV108" s="44"/>
      <c r="BW108" s="44"/>
      <c r="BX108" s="97"/>
      <c r="BY108" s="56">
        <v>0</v>
      </c>
      <c r="BZ108" s="56">
        <v>0</v>
      </c>
      <c r="CA108" s="44"/>
      <c r="CB108" s="44"/>
      <c r="CC108" s="97"/>
      <c r="CD108" s="56">
        <v>0</v>
      </c>
      <c r="CE108" s="56">
        <v>0</v>
      </c>
      <c r="CF108" s="44"/>
      <c r="CG108" s="44"/>
      <c r="CH108" s="97"/>
      <c r="CI108" s="56">
        <v>0</v>
      </c>
      <c r="CJ108" s="56">
        <v>0</v>
      </c>
      <c r="CK108" s="44"/>
      <c r="CL108" s="44"/>
      <c r="CM108" s="97"/>
      <c r="CN108" s="56">
        <v>0</v>
      </c>
      <c r="CO108" s="56">
        <v>0</v>
      </c>
      <c r="CP108" s="44"/>
      <c r="CQ108" s="44"/>
      <c r="CR108" s="97"/>
      <c r="CS108" s="56">
        <v>0</v>
      </c>
      <c r="CT108" s="56">
        <v>0</v>
      </c>
      <c r="CU108" s="44"/>
      <c r="CV108" s="44"/>
      <c r="CW108" s="97"/>
      <c r="CX108" s="56">
        <v>0</v>
      </c>
      <c r="CY108" s="56">
        <v>0</v>
      </c>
      <c r="CZ108" s="44"/>
      <c r="DA108" s="44"/>
    </row>
    <row r="109" spans="1:105" s="264" customFormat="1" ht="15" customHeight="1" thickBot="1">
      <c r="A109" s="534"/>
      <c r="B109" s="530" t="s">
        <v>228</v>
      </c>
      <c r="C109" s="351" t="s">
        <v>39</v>
      </c>
      <c r="D109" s="352" t="s">
        <v>17</v>
      </c>
      <c r="E109" s="23"/>
      <c r="F109" s="168"/>
      <c r="G109" s="177"/>
      <c r="H109" s="177"/>
      <c r="I109" s="48"/>
      <c r="J109" s="49"/>
      <c r="K109" s="168">
        <f>M109/L109</f>
        <v>33.708085443037973</v>
      </c>
      <c r="L109" s="172">
        <v>632</v>
      </c>
      <c r="M109" s="172">
        <v>21303.51</v>
      </c>
      <c r="N109" s="179"/>
      <c r="O109" s="182"/>
      <c r="P109" s="168"/>
      <c r="Q109" s="172"/>
      <c r="R109" s="172"/>
      <c r="S109" s="179"/>
      <c r="T109" s="182"/>
      <c r="U109" s="209">
        <f>W109/V109</f>
        <v>26.818722466960352</v>
      </c>
      <c r="V109" s="172">
        <v>227</v>
      </c>
      <c r="W109" s="172">
        <v>6087.85</v>
      </c>
      <c r="X109" s="179"/>
      <c r="Y109" s="179"/>
      <c r="Z109" s="3">
        <f>AB109/AA109</f>
        <v>32.37932584269663</v>
      </c>
      <c r="AA109" s="172">
        <v>89</v>
      </c>
      <c r="AB109" s="172">
        <v>2881.76</v>
      </c>
      <c r="AC109" s="179"/>
      <c r="AD109" s="179"/>
      <c r="AE109" s="3">
        <f>AG109/AF109</f>
        <v>32.444459459459459</v>
      </c>
      <c r="AF109" s="172">
        <v>74</v>
      </c>
      <c r="AG109" s="172">
        <v>2400.89</v>
      </c>
      <c r="AH109" s="179"/>
      <c r="AI109" s="179"/>
      <c r="AJ109" s="3"/>
      <c r="AK109" s="177"/>
      <c r="AL109" s="177"/>
      <c r="AM109" s="48"/>
      <c r="AN109" s="179"/>
      <c r="AO109" s="3"/>
      <c r="AP109" s="177"/>
      <c r="AQ109" s="177"/>
      <c r="AR109" s="48"/>
      <c r="AS109" s="179"/>
      <c r="AT109" s="3"/>
      <c r="AU109" s="177"/>
      <c r="AV109" s="177"/>
      <c r="AW109" s="48"/>
      <c r="AX109" s="179"/>
      <c r="AY109" s="3"/>
      <c r="AZ109" s="172">
        <v>84</v>
      </c>
      <c r="BA109" s="172" t="s">
        <v>355</v>
      </c>
      <c r="BB109" s="179"/>
      <c r="BC109" s="179"/>
      <c r="BD109" s="3">
        <f>BF109/BE109</f>
        <v>32.350816326530612</v>
      </c>
      <c r="BE109" s="172">
        <v>98</v>
      </c>
      <c r="BF109" s="172">
        <v>3170.38</v>
      </c>
      <c r="BG109" s="179"/>
      <c r="BH109" s="179"/>
      <c r="BI109" s="3"/>
      <c r="BJ109" s="177"/>
      <c r="BK109" s="177"/>
      <c r="BL109" s="48"/>
      <c r="BM109" s="179"/>
      <c r="BN109" s="3"/>
      <c r="BO109" s="177"/>
      <c r="BP109" s="177"/>
      <c r="BQ109" s="48"/>
      <c r="BR109" s="179"/>
      <c r="BS109" s="3"/>
      <c r="BT109" s="177"/>
      <c r="BU109" s="177"/>
      <c r="BV109" s="48"/>
      <c r="BW109" s="179"/>
      <c r="BX109" s="3"/>
      <c r="BY109" s="177"/>
      <c r="BZ109" s="177"/>
      <c r="CA109" s="48"/>
      <c r="CB109" s="179"/>
      <c r="CC109" s="3"/>
      <c r="CD109" s="177"/>
      <c r="CE109" s="177"/>
      <c r="CF109" s="48"/>
      <c r="CG109" s="179"/>
      <c r="CH109" s="3"/>
      <c r="CI109" s="177"/>
      <c r="CJ109" s="177"/>
      <c r="CK109" s="48"/>
      <c r="CL109" s="179"/>
      <c r="CM109" s="3"/>
      <c r="CN109" s="177"/>
      <c r="CO109" s="177"/>
      <c r="CP109" s="48"/>
      <c r="CQ109" s="179"/>
      <c r="CR109" s="3"/>
      <c r="CS109" s="177"/>
      <c r="CT109" s="177"/>
      <c r="CU109" s="48"/>
      <c r="CV109" s="179"/>
      <c r="CW109" s="3"/>
      <c r="CX109" s="177"/>
      <c r="CY109" s="177"/>
      <c r="CZ109" s="48"/>
      <c r="DA109" s="179"/>
    </row>
    <row r="110" spans="1:105" s="249" customFormat="1" ht="15" customHeight="1">
      <c r="A110" s="265" t="s">
        <v>144</v>
      </c>
      <c r="B110" s="5" t="s">
        <v>70</v>
      </c>
      <c r="C110" s="6" t="s">
        <v>25</v>
      </c>
      <c r="D110" s="7" t="s">
        <v>10</v>
      </c>
      <c r="E110" s="4"/>
      <c r="F110" s="196"/>
      <c r="G110" s="197"/>
      <c r="H110" s="197"/>
      <c r="I110" s="38"/>
      <c r="J110" s="206"/>
      <c r="K110" s="196"/>
      <c r="L110" s="197"/>
      <c r="M110" s="197"/>
      <c r="N110" s="38"/>
      <c r="O110" s="206"/>
      <c r="P110" s="196"/>
      <c r="Q110" s="197"/>
      <c r="R110" s="197"/>
      <c r="S110" s="38"/>
      <c r="T110" s="206"/>
      <c r="U110" s="207"/>
      <c r="V110" s="197"/>
      <c r="W110" s="204">
        <v>506</v>
      </c>
      <c r="X110" s="38"/>
      <c r="Y110" s="384">
        <f>SUM(W110:W113)*1.1</f>
        <v>59703.331599999998</v>
      </c>
      <c r="Z110" s="36"/>
      <c r="AA110" s="197"/>
      <c r="AB110" s="204">
        <v>759</v>
      </c>
      <c r="AC110" s="38"/>
      <c r="AD110" s="384">
        <f>SUM(AB110:AB113)*1.1</f>
        <v>51311.977200000001</v>
      </c>
      <c r="AE110" s="36"/>
      <c r="AF110" s="197"/>
      <c r="AG110" s="204">
        <v>506</v>
      </c>
      <c r="AH110" s="38"/>
      <c r="AI110" s="384">
        <f>AI111*1.1</f>
        <v>84950.877000000008</v>
      </c>
      <c r="AJ110" s="36"/>
      <c r="AK110" s="197"/>
      <c r="AL110" s="204">
        <v>759</v>
      </c>
      <c r="AM110" s="38"/>
      <c r="AN110" s="384">
        <f>AN111*1.2</f>
        <v>87315.796799999996</v>
      </c>
      <c r="AO110" s="36"/>
      <c r="AP110" s="197"/>
      <c r="AQ110" s="197"/>
      <c r="AR110" s="38"/>
      <c r="AS110" s="384">
        <f>SUM(AQ110:AQ113)*1.1</f>
        <v>79276.78439999999</v>
      </c>
      <c r="AT110" s="36"/>
      <c r="AU110" s="197"/>
      <c r="AV110" s="197"/>
      <c r="AW110" s="38"/>
      <c r="AX110" s="384">
        <f>SUM(AV110:AV113)*1.1</f>
        <v>92557.663000000015</v>
      </c>
      <c r="AY110" s="36"/>
      <c r="AZ110" s="197"/>
      <c r="BA110" s="197"/>
      <c r="BB110" s="38"/>
      <c r="BC110" s="384">
        <f>SUM(BA110:BA113)*1.1</f>
        <v>82999.606799999994</v>
      </c>
      <c r="BD110" s="36"/>
      <c r="BE110" s="197"/>
      <c r="BF110" s="197"/>
      <c r="BG110" s="38"/>
      <c r="BH110" s="384">
        <f>SUM(BF110:BF113)*1.1</f>
        <v>66739.463999999993</v>
      </c>
      <c r="BI110" s="36"/>
      <c r="BJ110" s="197"/>
      <c r="BK110" s="197"/>
      <c r="BL110" s="38"/>
      <c r="BM110" s="384">
        <f>SUM(BK110:BK113)*1.1</f>
        <v>81580.923599999995</v>
      </c>
      <c r="BN110" s="36"/>
      <c r="BO110" s="197"/>
      <c r="BP110" s="197"/>
      <c r="BQ110" s="38"/>
      <c r="BR110" s="384">
        <f>SUM(BP110:BP113)*1.1</f>
        <v>92820.736799999999</v>
      </c>
      <c r="BS110" s="36"/>
      <c r="BT110" s="197"/>
      <c r="BU110" s="197"/>
      <c r="BV110" s="38"/>
      <c r="BW110" s="384">
        <f>SUM(BU110:BU113)*1.1</f>
        <v>86914.304400000008</v>
      </c>
      <c r="BX110" s="36"/>
      <c r="BY110" s="197"/>
      <c r="BZ110" s="197"/>
      <c r="CA110" s="38"/>
      <c r="CB110" s="384">
        <f>SUM(BZ110:BZ113)*1.1</f>
        <v>33922.653600000005</v>
      </c>
      <c r="CC110" s="36"/>
      <c r="CD110" s="197"/>
      <c r="CE110" s="197"/>
      <c r="CF110" s="38"/>
      <c r="CG110" s="384">
        <f>SUM(CE110:CE113)*1.1</f>
        <v>33922.653600000005</v>
      </c>
      <c r="CH110" s="36"/>
      <c r="CI110" s="197"/>
      <c r="CJ110" s="197"/>
      <c r="CK110" s="38"/>
      <c r="CL110" s="384">
        <f>SUM(CJ110:CJ113)*1.1</f>
        <v>33922.653600000005</v>
      </c>
      <c r="CM110" s="36"/>
      <c r="CN110" s="197"/>
      <c r="CO110" s="197"/>
      <c r="CP110" s="38"/>
      <c r="CQ110" s="384">
        <f>SUM(CO110:CO113)*1.1</f>
        <v>33922.653600000005</v>
      </c>
      <c r="CR110" s="36"/>
      <c r="CS110" s="197"/>
      <c r="CT110" s="197"/>
      <c r="CU110" s="38"/>
      <c r="CV110" s="384">
        <f>SUM(CT110:CT113)*1.1</f>
        <v>33922.653600000005</v>
      </c>
      <c r="CW110" s="36"/>
      <c r="CX110" s="197"/>
      <c r="CY110" s="197"/>
      <c r="CZ110" s="38"/>
      <c r="DA110" s="384">
        <f>SUM(CY110:CY113)*1.1</f>
        <v>33922.653600000005</v>
      </c>
    </row>
    <row r="111" spans="1:105" ht="15" customHeight="1">
      <c r="A111" s="256"/>
      <c r="B111" s="215">
        <v>41916045</v>
      </c>
      <c r="C111" s="45" t="s">
        <v>195</v>
      </c>
      <c r="D111" s="216" t="s">
        <v>13</v>
      </c>
      <c r="E111" s="22"/>
      <c r="F111" s="104">
        <f>H111/G111</f>
        <v>5.3077204414083026</v>
      </c>
      <c r="G111" s="141">
        <v>5709</v>
      </c>
      <c r="H111" s="131">
        <v>30301.776000000002</v>
      </c>
      <c r="I111" s="81">
        <v>21042.9</v>
      </c>
      <c r="J111" s="88"/>
      <c r="K111" s="104">
        <f>M111/L111</f>
        <v>5.3685485714285708</v>
      </c>
      <c r="L111" s="141">
        <v>8400</v>
      </c>
      <c r="M111" s="131">
        <v>45095.807999999997</v>
      </c>
      <c r="N111" s="81">
        <v>45095.807999999997</v>
      </c>
      <c r="O111" s="88"/>
      <c r="P111" s="104">
        <f>R111/Q111</f>
        <v>4.9663916703588828</v>
      </c>
      <c r="Q111" s="141">
        <v>9028</v>
      </c>
      <c r="R111" s="131">
        <v>44836.583999999995</v>
      </c>
      <c r="S111" s="81">
        <v>44836.583999999995</v>
      </c>
      <c r="T111" s="88"/>
      <c r="U111" s="115">
        <f>W111/V111</f>
        <v>5.207724552058111</v>
      </c>
      <c r="V111" s="141">
        <v>10325</v>
      </c>
      <c r="W111" s="131">
        <v>53769.755999999994</v>
      </c>
      <c r="X111" s="81">
        <v>53769.755999999994</v>
      </c>
      <c r="Y111" s="403">
        <f>SUM(W110:W113)*1</f>
        <v>54275.755999999994</v>
      </c>
      <c r="Z111" s="92">
        <f>AB111/AA111</f>
        <v>4.6829525461781811</v>
      </c>
      <c r="AA111" s="141">
        <v>9799</v>
      </c>
      <c r="AB111" s="131">
        <v>45888.252</v>
      </c>
      <c r="AC111" s="81">
        <v>45888.252</v>
      </c>
      <c r="AD111" s="403">
        <f>SUM(AB110:AB113)*1</f>
        <v>46647.252</v>
      </c>
      <c r="AE111" s="92">
        <f>AG111/AF111</f>
        <v>4.8199443082655167</v>
      </c>
      <c r="AF111" s="413">
        <v>10199</v>
      </c>
      <c r="AG111" s="414">
        <v>49158.612000000001</v>
      </c>
      <c r="AH111" s="81">
        <f>24151.71+52033.36</f>
        <v>76185.070000000007</v>
      </c>
      <c r="AI111" s="403">
        <f>SUM(AG112:AG113)+AH111+AG110*1</f>
        <v>77228.070000000007</v>
      </c>
      <c r="AJ111" s="92">
        <f>AL111/AK111</f>
        <v>4.9792201148425264</v>
      </c>
      <c r="AK111" s="413">
        <v>11494</v>
      </c>
      <c r="AL111" s="414">
        <v>57231.155999999995</v>
      </c>
      <c r="AM111" s="81">
        <f>11457.72+60009.444</f>
        <v>71467.164000000004</v>
      </c>
      <c r="AN111" s="403">
        <f>SUM(AL112:AL113)+AM111+AL110*1</f>
        <v>72763.164000000004</v>
      </c>
      <c r="AO111" s="92">
        <f>AQ111/AP111</f>
        <v>5.9466958184387719</v>
      </c>
      <c r="AP111" s="413">
        <v>12029</v>
      </c>
      <c r="AQ111" s="414">
        <v>71532.803999999989</v>
      </c>
      <c r="AR111" s="81">
        <v>80669.028000000006</v>
      </c>
      <c r="AS111" s="403">
        <f>SUM(AQ110:AQ113)*1</f>
        <v>72069.803999999989</v>
      </c>
      <c r="AT111" s="92">
        <f>AV111/AU111</f>
        <v>6.6107638175061281</v>
      </c>
      <c r="AU111" s="413">
        <v>12647</v>
      </c>
      <c r="AV111" s="414">
        <v>83606.33</v>
      </c>
      <c r="AW111" s="44">
        <v>21042.9</v>
      </c>
      <c r="AX111" s="403">
        <f>SUM(AV110:AV113)*1</f>
        <v>84143.33</v>
      </c>
      <c r="AY111" s="92">
        <f>BA111/AZ111</f>
        <v>6.3494523264683442</v>
      </c>
      <c r="AZ111" s="413">
        <v>11799</v>
      </c>
      <c r="BA111" s="414">
        <v>74917.187999999995</v>
      </c>
      <c r="BB111" s="81" t="s">
        <v>351</v>
      </c>
      <c r="BC111" s="403">
        <f>SUM(BA110:BA113)*1</f>
        <v>75454.187999999995</v>
      </c>
      <c r="BD111" s="92">
        <f>BF111/BE111</f>
        <v>6.3628441434768801</v>
      </c>
      <c r="BE111" s="141">
        <v>9451</v>
      </c>
      <c r="BF111" s="131">
        <v>60135.239999999991</v>
      </c>
      <c r="BG111" s="81">
        <v>47607.064999999995</v>
      </c>
      <c r="BH111" s="403">
        <f>SUM(BF110:BF113)*1</f>
        <v>60672.239999999991</v>
      </c>
      <c r="BI111" s="92">
        <f>BK111/BJ111</f>
        <v>6.7715879702014163</v>
      </c>
      <c r="BJ111" s="413">
        <v>10873</v>
      </c>
      <c r="BK111" s="414">
        <v>73627.475999999995</v>
      </c>
      <c r="BL111" s="81">
        <v>47607.064999999995</v>
      </c>
      <c r="BM111" s="403">
        <f>SUM(BK110:BK113)*1</f>
        <v>74164.475999999995</v>
      </c>
      <c r="BN111" s="92">
        <f>BP111/BO111</f>
        <v>6.3746284497833194</v>
      </c>
      <c r="BO111" s="413">
        <v>13153</v>
      </c>
      <c r="BP111" s="561">
        <v>83845.487999999998</v>
      </c>
      <c r="BQ111" s="44">
        <v>21042.9</v>
      </c>
      <c r="BR111" s="403">
        <f>SUM(BP110:BP113)*1</f>
        <v>84382.487999999998</v>
      </c>
      <c r="BS111" s="92">
        <f>BU111/BT111</f>
        <v>6.026879963136472</v>
      </c>
      <c r="BT111" s="413">
        <v>13021</v>
      </c>
      <c r="BU111" s="414">
        <v>78476.004000000001</v>
      </c>
      <c r="BV111" s="81">
        <v>85072.5</v>
      </c>
      <c r="BW111" s="403">
        <f>SUM(BU110:BU113)*1</f>
        <v>79013.004000000001</v>
      </c>
      <c r="BX111" s="92">
        <f>BZ111/BY111</f>
        <v>5.3077204414083026</v>
      </c>
      <c r="BY111" s="71">
        <v>5709</v>
      </c>
      <c r="BZ111" s="63">
        <v>30301.776000000002</v>
      </c>
      <c r="CA111" s="81" t="s">
        <v>439</v>
      </c>
      <c r="CB111" s="403">
        <f>SUM(BZ110:BZ113)*1</f>
        <v>30838.776000000002</v>
      </c>
      <c r="CC111" s="92">
        <f>CE111/CD111</f>
        <v>5.3077204414083026</v>
      </c>
      <c r="CD111" s="71">
        <v>5709</v>
      </c>
      <c r="CE111" s="63">
        <v>30301.776000000002</v>
      </c>
      <c r="CF111" s="44">
        <v>21042.9</v>
      </c>
      <c r="CG111" s="403">
        <f>SUM(CE110:CE113)*1</f>
        <v>30838.776000000002</v>
      </c>
      <c r="CH111" s="92">
        <f>CJ111/CI111</f>
        <v>5.3077204414083026</v>
      </c>
      <c r="CI111" s="71">
        <v>5709</v>
      </c>
      <c r="CJ111" s="63">
        <v>30301.776000000002</v>
      </c>
      <c r="CK111" s="44">
        <v>21042.9</v>
      </c>
      <c r="CL111" s="403">
        <f>SUM(CJ110:CJ113)*1</f>
        <v>30838.776000000002</v>
      </c>
      <c r="CM111" s="92">
        <f>CO111/CN111</f>
        <v>5.3077204414083026</v>
      </c>
      <c r="CN111" s="71">
        <v>5709</v>
      </c>
      <c r="CO111" s="63">
        <v>30301.776000000002</v>
      </c>
      <c r="CP111" s="44">
        <v>21042.9</v>
      </c>
      <c r="CQ111" s="403">
        <f>SUM(CO110:CO113)*1</f>
        <v>30838.776000000002</v>
      </c>
      <c r="CR111" s="92">
        <f>CT111/CS111</f>
        <v>5.3077204414083026</v>
      </c>
      <c r="CS111" s="71">
        <v>5709</v>
      </c>
      <c r="CT111" s="63">
        <v>30301.776000000002</v>
      </c>
      <c r="CU111" s="44">
        <v>21042.9</v>
      </c>
      <c r="CV111" s="403">
        <f>SUM(CT110:CT113)*1</f>
        <v>30838.776000000002</v>
      </c>
      <c r="CW111" s="92">
        <f>CY111/CX111</f>
        <v>5.3077204414083026</v>
      </c>
      <c r="CX111" s="71">
        <v>5709</v>
      </c>
      <c r="CY111" s="63">
        <v>30301.776000000002</v>
      </c>
      <c r="CZ111" s="44">
        <v>21042.9</v>
      </c>
      <c r="DA111" s="403">
        <f>SUM(CY110:CY113)*1</f>
        <v>30838.776000000002</v>
      </c>
    </row>
    <row r="112" spans="1:105" s="336" customFormat="1" ht="15" customHeight="1">
      <c r="A112" s="296"/>
      <c r="B112" s="234">
        <v>41946011</v>
      </c>
      <c r="C112" s="220" t="s">
        <v>200</v>
      </c>
      <c r="D112" s="393" t="s">
        <v>15</v>
      </c>
      <c r="E112" s="394"/>
      <c r="F112" s="109"/>
      <c r="G112" s="56">
        <v>0</v>
      </c>
      <c r="H112" s="58">
        <v>0</v>
      </c>
      <c r="I112" s="44"/>
      <c r="J112" s="86"/>
      <c r="K112" s="109"/>
      <c r="L112" s="56">
        <v>0</v>
      </c>
      <c r="M112" s="58">
        <v>0</v>
      </c>
      <c r="N112" s="44"/>
      <c r="O112" s="86"/>
      <c r="P112" s="109"/>
      <c r="Q112" s="56"/>
      <c r="R112" s="58"/>
      <c r="S112" s="44"/>
      <c r="T112" s="86"/>
      <c r="U112" s="120"/>
      <c r="V112" s="56"/>
      <c r="W112" s="58"/>
      <c r="X112" s="44"/>
      <c r="Y112" s="44"/>
      <c r="Z112" s="97"/>
      <c r="AA112" s="56"/>
      <c r="AB112" s="58"/>
      <c r="AC112" s="44"/>
      <c r="AD112" s="44"/>
      <c r="AE112" s="97"/>
      <c r="AF112" s="56"/>
      <c r="AG112" s="58"/>
      <c r="AH112" s="44"/>
      <c r="AI112" s="44"/>
      <c r="AJ112" s="97"/>
      <c r="AK112" s="56"/>
      <c r="AL112" s="58"/>
      <c r="AM112" s="44"/>
      <c r="AN112" s="44"/>
      <c r="AO112" s="97"/>
      <c r="AP112" s="56"/>
      <c r="AQ112" s="58"/>
      <c r="AR112" s="44"/>
      <c r="AS112" s="44"/>
      <c r="AT112" s="97"/>
      <c r="AU112" s="56"/>
      <c r="AV112" s="58"/>
      <c r="AW112" s="44"/>
      <c r="AX112" s="44"/>
      <c r="AY112" s="97"/>
      <c r="AZ112" s="56"/>
      <c r="BA112" s="58"/>
      <c r="BB112" s="44"/>
      <c r="BC112" s="44"/>
      <c r="BD112" s="97"/>
      <c r="BE112" s="56"/>
      <c r="BF112" s="58"/>
      <c r="BG112" s="44"/>
      <c r="BH112" s="44"/>
      <c r="BI112" s="97"/>
      <c r="BJ112" s="56"/>
      <c r="BK112" s="58"/>
      <c r="BL112" s="44"/>
      <c r="BM112" s="44"/>
      <c r="BN112" s="97"/>
      <c r="BO112" s="56"/>
      <c r="BP112" s="58"/>
      <c r="BQ112" s="44"/>
      <c r="BR112" s="44"/>
      <c r="BS112" s="97"/>
      <c r="BT112" s="56"/>
      <c r="BU112" s="58"/>
      <c r="BV112" s="44"/>
      <c r="BW112" s="44"/>
      <c r="BX112" s="97"/>
      <c r="BY112" s="56"/>
      <c r="BZ112" s="58"/>
      <c r="CA112" s="44"/>
      <c r="CB112" s="44"/>
      <c r="CC112" s="97"/>
      <c r="CD112" s="56"/>
      <c r="CE112" s="58"/>
      <c r="CF112" s="44"/>
      <c r="CG112" s="44"/>
      <c r="CH112" s="97"/>
      <c r="CI112" s="56"/>
      <c r="CJ112" s="58"/>
      <c r="CK112" s="44"/>
      <c r="CL112" s="44"/>
      <c r="CM112" s="97"/>
      <c r="CN112" s="56"/>
      <c r="CO112" s="58"/>
      <c r="CP112" s="44"/>
      <c r="CQ112" s="44"/>
      <c r="CR112" s="97"/>
      <c r="CS112" s="56"/>
      <c r="CT112" s="58"/>
      <c r="CU112" s="44"/>
      <c r="CV112" s="44"/>
      <c r="CW112" s="97"/>
      <c r="CX112" s="56"/>
      <c r="CY112" s="58"/>
      <c r="CZ112" s="44"/>
      <c r="DA112" s="44"/>
    </row>
    <row r="113" spans="1:105" s="350" customFormat="1" ht="26.25" customHeight="1" thickBot="1">
      <c r="A113" s="297"/>
      <c r="B113" s="298"/>
      <c r="C113" s="366" t="s">
        <v>71</v>
      </c>
      <c r="D113" s="367" t="s">
        <v>17</v>
      </c>
      <c r="E113" s="31"/>
      <c r="F113" s="178">
        <f>H113/G113</f>
        <v>23.347826086956523</v>
      </c>
      <c r="G113" s="177">
        <v>23</v>
      </c>
      <c r="H113" s="177">
        <v>537</v>
      </c>
      <c r="I113" s="48"/>
      <c r="J113" s="49"/>
      <c r="K113" s="178">
        <f>M113/L113</f>
        <v>23.347826086956523</v>
      </c>
      <c r="L113" s="177">
        <v>23</v>
      </c>
      <c r="M113" s="177">
        <v>537</v>
      </c>
      <c r="N113" s="48"/>
      <c r="O113" s="49"/>
      <c r="P113" s="178">
        <f>R113/Q113</f>
        <v>23.347826086956523</v>
      </c>
      <c r="Q113" s="177">
        <v>23</v>
      </c>
      <c r="R113" s="177">
        <v>537</v>
      </c>
      <c r="S113" s="48"/>
      <c r="T113" s="49"/>
      <c r="U113" s="318" t="e">
        <f>W113/V113</f>
        <v>#DIV/0!</v>
      </c>
      <c r="V113" s="177"/>
      <c r="W113" s="172">
        <v>0</v>
      </c>
      <c r="X113" s="48"/>
      <c r="Y113" s="48"/>
      <c r="Z113" s="285" t="e">
        <f>AB113/AA113</f>
        <v>#DIV/0!</v>
      </c>
      <c r="AA113" s="177"/>
      <c r="AB113" s="172">
        <v>0</v>
      </c>
      <c r="AC113" s="48"/>
      <c r="AD113" s="48"/>
      <c r="AE113" s="285">
        <f>AG113/AF113</f>
        <v>23.347826086956523</v>
      </c>
      <c r="AF113" s="177">
        <v>23</v>
      </c>
      <c r="AG113" s="177">
        <v>537</v>
      </c>
      <c r="AH113" s="48"/>
      <c r="AI113" s="48"/>
      <c r="AJ113" s="285">
        <f>AL113/AK113</f>
        <v>23.347826086956523</v>
      </c>
      <c r="AK113" s="177">
        <v>23</v>
      </c>
      <c r="AL113" s="177">
        <v>537</v>
      </c>
      <c r="AM113" s="48"/>
      <c r="AN113" s="48"/>
      <c r="AO113" s="285">
        <f>AQ113/AP113</f>
        <v>23.347826086956523</v>
      </c>
      <c r="AP113" s="177">
        <v>23</v>
      </c>
      <c r="AQ113" s="177">
        <v>537</v>
      </c>
      <c r="AR113" s="48"/>
      <c r="AS113" s="48"/>
      <c r="AT113" s="285">
        <f>AV113/AU113</f>
        <v>23.347826086956523</v>
      </c>
      <c r="AU113" s="177">
        <v>23</v>
      </c>
      <c r="AV113" s="177">
        <v>537</v>
      </c>
      <c r="AW113" s="48"/>
      <c r="AX113" s="48"/>
      <c r="AY113" s="285">
        <f>BA113/AZ113</f>
        <v>23.347826086956523</v>
      </c>
      <c r="AZ113" s="177">
        <v>23</v>
      </c>
      <c r="BA113" s="177">
        <v>537</v>
      </c>
      <c r="BB113" s="48"/>
      <c r="BC113" s="48"/>
      <c r="BD113" s="285">
        <f>BF113/BE113</f>
        <v>23.347826086956523</v>
      </c>
      <c r="BE113" s="177">
        <v>23</v>
      </c>
      <c r="BF113" s="177">
        <v>537</v>
      </c>
      <c r="BG113" s="48"/>
      <c r="BH113" s="48"/>
      <c r="BI113" s="285">
        <f>BK113/BJ113</f>
        <v>23.347826086956523</v>
      </c>
      <c r="BJ113" s="177">
        <v>23</v>
      </c>
      <c r="BK113" s="177">
        <v>537</v>
      </c>
      <c r="BL113" s="48"/>
      <c r="BM113" s="48"/>
      <c r="BN113" s="285">
        <f>BP113/BO113</f>
        <v>23.347826086956523</v>
      </c>
      <c r="BO113" s="177">
        <v>23</v>
      </c>
      <c r="BP113" s="177">
        <v>537</v>
      </c>
      <c r="BQ113" s="48"/>
      <c r="BR113" s="48"/>
      <c r="BS113" s="285">
        <f>BU113/BT113</f>
        <v>23.347826086956523</v>
      </c>
      <c r="BT113" s="177">
        <v>23</v>
      </c>
      <c r="BU113" s="177">
        <v>537</v>
      </c>
      <c r="BV113" s="48"/>
      <c r="BW113" s="48"/>
      <c r="BX113" s="285">
        <f>BZ113/BY113</f>
        <v>23.347826086956523</v>
      </c>
      <c r="BY113" s="177">
        <v>23</v>
      </c>
      <c r="BZ113" s="177">
        <v>537</v>
      </c>
      <c r="CA113" s="48"/>
      <c r="CB113" s="48"/>
      <c r="CC113" s="285">
        <f>CE113/CD113</f>
        <v>23.347826086956523</v>
      </c>
      <c r="CD113" s="177">
        <v>23</v>
      </c>
      <c r="CE113" s="177">
        <v>537</v>
      </c>
      <c r="CF113" s="48"/>
      <c r="CG113" s="48"/>
      <c r="CH113" s="285">
        <f>CJ113/CI113</f>
        <v>23.347826086956523</v>
      </c>
      <c r="CI113" s="177">
        <v>23</v>
      </c>
      <c r="CJ113" s="177">
        <v>537</v>
      </c>
      <c r="CK113" s="48"/>
      <c r="CL113" s="48"/>
      <c r="CM113" s="285">
        <f>CO113/CN113</f>
        <v>23.347826086956523</v>
      </c>
      <c r="CN113" s="177">
        <v>23</v>
      </c>
      <c r="CO113" s="177">
        <v>537</v>
      </c>
      <c r="CP113" s="48"/>
      <c r="CQ113" s="48"/>
      <c r="CR113" s="285">
        <f>CT113/CS113</f>
        <v>23.347826086956523</v>
      </c>
      <c r="CS113" s="177">
        <v>23</v>
      </c>
      <c r="CT113" s="177">
        <v>537</v>
      </c>
      <c r="CU113" s="48"/>
      <c r="CV113" s="48"/>
      <c r="CW113" s="285">
        <f>CY113/CX113</f>
        <v>23.347826086956523</v>
      </c>
      <c r="CX113" s="177">
        <v>23</v>
      </c>
      <c r="CY113" s="177">
        <v>537</v>
      </c>
      <c r="CZ113" s="48"/>
      <c r="DA113" s="48"/>
    </row>
    <row r="114" spans="1:105" s="249" customFormat="1" ht="15" customHeight="1">
      <c r="A114" s="265" t="s">
        <v>311</v>
      </c>
      <c r="B114" s="5" t="s">
        <v>72</v>
      </c>
      <c r="C114" s="6" t="s">
        <v>25</v>
      </c>
      <c r="D114" s="7" t="s">
        <v>10</v>
      </c>
      <c r="E114" s="4"/>
      <c r="F114" s="196"/>
      <c r="G114" s="200"/>
      <c r="H114" s="197"/>
      <c r="I114" s="38"/>
      <c r="J114" s="206"/>
      <c r="K114" s="196"/>
      <c r="L114" s="200"/>
      <c r="M114" s="197"/>
      <c r="N114" s="38"/>
      <c r="O114" s="206"/>
      <c r="P114" s="196"/>
      <c r="Q114" s="200"/>
      <c r="R114" s="197"/>
      <c r="S114" s="38"/>
      <c r="T114" s="206"/>
      <c r="U114" s="207"/>
      <c r="V114" s="200"/>
      <c r="W114" s="204">
        <v>10626</v>
      </c>
      <c r="X114" s="38"/>
      <c r="Y114" s="384">
        <f>SUM(W114:W117)*1.1</f>
        <v>448807.28200000001</v>
      </c>
      <c r="Z114" s="36"/>
      <c r="AA114" s="200"/>
      <c r="AB114" s="204">
        <v>8096</v>
      </c>
      <c r="AC114" s="38"/>
      <c r="AD114" s="384">
        <f>SUM(AB114:AB117)*1.1</f>
        <v>444724.533</v>
      </c>
      <c r="AE114" s="36"/>
      <c r="AF114" s="200"/>
      <c r="AG114" s="204">
        <v>8602</v>
      </c>
      <c r="AH114" s="38"/>
      <c r="AI114" s="384">
        <f>SUM(AG114:AG117)*1.1</f>
        <v>509702.87500000006</v>
      </c>
      <c r="AJ114" s="36"/>
      <c r="AK114" s="200"/>
      <c r="AL114" s="204">
        <v>9108</v>
      </c>
      <c r="AM114" s="38"/>
      <c r="AN114" s="384">
        <f>AN115*1.2</f>
        <v>523765.66800000001</v>
      </c>
      <c r="AO114" s="36"/>
      <c r="AP114" s="200"/>
      <c r="AQ114" s="197"/>
      <c r="AR114" s="38"/>
      <c r="AS114" s="384">
        <f>SUM(AQ114:AQ117)*1.2</f>
        <v>680422.41600000008</v>
      </c>
      <c r="AT114" s="36"/>
      <c r="AU114" s="200"/>
      <c r="AV114" s="197"/>
      <c r="AW114" s="38"/>
      <c r="AX114" s="384">
        <f>SUM(AV114:AV117)*1.15</f>
        <v>780555.35849999997</v>
      </c>
      <c r="AY114" s="36"/>
      <c r="AZ114" s="200"/>
      <c r="BA114" s="197"/>
      <c r="BB114" s="38"/>
      <c r="BC114" s="384">
        <f>SUM(BA114:BA117)*1.1</f>
        <v>661611.53300000005</v>
      </c>
      <c r="BD114" s="36"/>
      <c r="BE114" s="200"/>
      <c r="BF114" s="197"/>
      <c r="BG114" s="38"/>
      <c r="BH114" s="384">
        <f>SUM(BF114:BF117)*1.1</f>
        <v>575147.24300000002</v>
      </c>
      <c r="BI114" s="36"/>
      <c r="BJ114" s="200"/>
      <c r="BK114" s="197"/>
      <c r="BL114" s="38"/>
      <c r="BM114" s="384">
        <f>SUM(BK114:BK117)*1.1</f>
        <v>631343.4600000002</v>
      </c>
      <c r="BN114" s="36"/>
      <c r="BO114" s="200"/>
      <c r="BP114" s="197"/>
      <c r="BQ114" s="38"/>
      <c r="BR114" s="384">
        <f>SUM(BP114:BP117)*1.1</f>
        <v>561888.00800000003</v>
      </c>
      <c r="BS114" s="36"/>
      <c r="BT114" s="200"/>
      <c r="BU114" s="197"/>
      <c r="BV114" s="38"/>
      <c r="BW114" s="384">
        <f>SUM(BU114:BU117)*1.1</f>
        <v>589286.19200000004</v>
      </c>
      <c r="BX114" s="36"/>
      <c r="BY114" s="200"/>
      <c r="BZ114" s="197"/>
      <c r="CA114" s="38"/>
      <c r="CB114" s="384">
        <f>SUM(BZ114:BZ117)*1.1</f>
        <v>394848.12400000007</v>
      </c>
      <c r="CC114" s="36"/>
      <c r="CD114" s="200"/>
      <c r="CE114" s="197"/>
      <c r="CF114" s="38"/>
      <c r="CG114" s="384">
        <f>SUM(CE114:CE117)*1.1</f>
        <v>394848.12400000007</v>
      </c>
      <c r="CH114" s="36"/>
      <c r="CI114" s="200"/>
      <c r="CJ114" s="197"/>
      <c r="CK114" s="38"/>
      <c r="CL114" s="384">
        <f>SUM(CJ114:CJ117)*1.1</f>
        <v>394848.12400000007</v>
      </c>
      <c r="CM114" s="36"/>
      <c r="CN114" s="200"/>
      <c r="CO114" s="197"/>
      <c r="CP114" s="38"/>
      <c r="CQ114" s="384">
        <f>SUM(CO114:CO117)*1.1</f>
        <v>394848.12400000007</v>
      </c>
      <c r="CR114" s="36"/>
      <c r="CS114" s="200"/>
      <c r="CT114" s="197"/>
      <c r="CU114" s="38"/>
      <c r="CV114" s="384">
        <f>SUM(CT114:CT117)*1.1</f>
        <v>394848.12400000007</v>
      </c>
      <c r="CW114" s="36"/>
      <c r="CX114" s="200"/>
      <c r="CY114" s="197"/>
      <c r="CZ114" s="38"/>
      <c r="DA114" s="384">
        <f>SUM(CY114:CY117)*1.1</f>
        <v>394848.12400000007</v>
      </c>
    </row>
    <row r="115" spans="1:105" ht="15" customHeight="1">
      <c r="A115" s="256"/>
      <c r="B115" s="368" t="s">
        <v>220</v>
      </c>
      <c r="C115" s="45" t="s">
        <v>73</v>
      </c>
      <c r="D115" s="226" t="s">
        <v>11</v>
      </c>
      <c r="E115" s="39"/>
      <c r="F115" s="103"/>
      <c r="G115" s="70">
        <v>1</v>
      </c>
      <c r="H115" s="69">
        <v>25000</v>
      </c>
      <c r="I115" s="81"/>
      <c r="J115" s="88"/>
      <c r="K115" s="103"/>
      <c r="L115" s="70">
        <v>1</v>
      </c>
      <c r="M115" s="69">
        <v>25000</v>
      </c>
      <c r="N115" s="81"/>
      <c r="O115" s="88"/>
      <c r="P115" s="103"/>
      <c r="Q115" s="70">
        <v>1</v>
      </c>
      <c r="R115" s="69">
        <v>25000</v>
      </c>
      <c r="S115" s="81"/>
      <c r="T115" s="88"/>
      <c r="U115" s="47"/>
      <c r="V115" s="70">
        <v>1</v>
      </c>
      <c r="W115" s="69">
        <v>25000</v>
      </c>
      <c r="X115" s="81"/>
      <c r="Y115" s="403">
        <f>SUM(W114:W117)*1</f>
        <v>408006.62</v>
      </c>
      <c r="Z115" s="46"/>
      <c r="AA115" s="70">
        <v>1</v>
      </c>
      <c r="AB115" s="69">
        <v>25000</v>
      </c>
      <c r="AC115" s="81"/>
      <c r="AD115" s="403">
        <f>SUM(AB114:AB117)*1</f>
        <v>404295.02999999997</v>
      </c>
      <c r="AE115" s="46"/>
      <c r="AF115" s="70">
        <v>1</v>
      </c>
      <c r="AG115" s="69">
        <v>25000</v>
      </c>
      <c r="AH115" s="81"/>
      <c r="AI115" s="403">
        <f>SUM(AG114:AG117)*1</f>
        <v>463366.25</v>
      </c>
      <c r="AJ115" s="46"/>
      <c r="AK115" s="70">
        <v>1</v>
      </c>
      <c r="AL115" s="69">
        <v>25000</v>
      </c>
      <c r="AM115" s="81"/>
      <c r="AN115" s="403">
        <f>SUM(AL114:AL117)*1</f>
        <v>436471.39</v>
      </c>
      <c r="AO115" s="46"/>
      <c r="AP115" s="70">
        <v>1</v>
      </c>
      <c r="AQ115" s="69">
        <v>25000</v>
      </c>
      <c r="AR115" s="81"/>
      <c r="AS115" s="403">
        <f>SUM(AQ114:AQ117)*1</f>
        <v>567018.68000000005</v>
      </c>
      <c r="AT115" s="46"/>
      <c r="AU115" s="70">
        <v>1</v>
      </c>
      <c r="AV115" s="69">
        <v>25000</v>
      </c>
      <c r="AW115" s="81"/>
      <c r="AX115" s="403">
        <f>SUM(AV114:AV117)*1</f>
        <v>678743.79</v>
      </c>
      <c r="AY115" s="46"/>
      <c r="AZ115" s="70">
        <v>1</v>
      </c>
      <c r="BA115" s="69">
        <v>25000</v>
      </c>
      <c r="BB115" s="81"/>
      <c r="BC115" s="403">
        <f>SUM(BA114:BA117)*1</f>
        <v>601465.03</v>
      </c>
      <c r="BD115" s="46"/>
      <c r="BE115" s="70">
        <v>1</v>
      </c>
      <c r="BF115" s="69">
        <v>25000</v>
      </c>
      <c r="BG115" s="81"/>
      <c r="BH115" s="403">
        <f>SUM(BF114:BF117)*1</f>
        <v>522861.12999999995</v>
      </c>
      <c r="BI115" s="97"/>
      <c r="BJ115" s="70">
        <v>1</v>
      </c>
      <c r="BK115" s="69">
        <v>25000</v>
      </c>
      <c r="BL115" s="81"/>
      <c r="BM115" s="403">
        <f>SUM(BK114:BK117)*1</f>
        <v>573948.60000000009</v>
      </c>
      <c r="BN115" s="46"/>
      <c r="BO115" s="70">
        <v>1</v>
      </c>
      <c r="BP115" s="69">
        <v>25000</v>
      </c>
      <c r="BQ115" s="81"/>
      <c r="BR115" s="403">
        <f>SUM(BP114:BP117)*1</f>
        <v>510807.27999999997</v>
      </c>
      <c r="BS115" s="46"/>
      <c r="BT115" s="70">
        <v>1</v>
      </c>
      <c r="BU115" s="69">
        <v>25000</v>
      </c>
      <c r="BV115" s="81"/>
      <c r="BW115" s="403">
        <f>SUM(BU114:BU117)*1</f>
        <v>535714.72</v>
      </c>
      <c r="BX115" s="46"/>
      <c r="BY115" s="62">
        <v>1</v>
      </c>
      <c r="BZ115" s="58">
        <v>25000</v>
      </c>
      <c r="CA115" s="44"/>
      <c r="CB115" s="403">
        <f>SUM(BZ114:BZ117)*1</f>
        <v>358952.84</v>
      </c>
      <c r="CC115" s="46"/>
      <c r="CD115" s="62">
        <v>1</v>
      </c>
      <c r="CE115" s="58">
        <v>25000</v>
      </c>
      <c r="CF115" s="44"/>
      <c r="CG115" s="403">
        <f>SUM(CE114:CE117)*1</f>
        <v>358952.84</v>
      </c>
      <c r="CH115" s="46"/>
      <c r="CI115" s="62">
        <v>1</v>
      </c>
      <c r="CJ115" s="58">
        <v>25000</v>
      </c>
      <c r="CK115" s="44"/>
      <c r="CL115" s="403">
        <f>SUM(CJ114:CJ117)*1</f>
        <v>358952.84</v>
      </c>
      <c r="CM115" s="46"/>
      <c r="CN115" s="62">
        <v>1</v>
      </c>
      <c r="CO115" s="58">
        <v>25000</v>
      </c>
      <c r="CP115" s="44"/>
      <c r="CQ115" s="403">
        <f>SUM(CO114:CO117)*1</f>
        <v>358952.84</v>
      </c>
      <c r="CR115" s="46"/>
      <c r="CS115" s="62">
        <v>1</v>
      </c>
      <c r="CT115" s="58">
        <v>25000</v>
      </c>
      <c r="CU115" s="44"/>
      <c r="CV115" s="403">
        <f>SUM(CT114:CT117)*1</f>
        <v>358952.84</v>
      </c>
      <c r="CW115" s="46"/>
      <c r="CX115" s="62">
        <v>1</v>
      </c>
      <c r="CY115" s="58">
        <v>25000</v>
      </c>
      <c r="CZ115" s="44"/>
      <c r="DA115" s="403">
        <f>SUM(CY114:CY117)*1</f>
        <v>358952.84</v>
      </c>
    </row>
    <row r="116" spans="1:105" ht="15" customHeight="1">
      <c r="A116" s="256" t="s">
        <v>333</v>
      </c>
      <c r="B116" s="215"/>
      <c r="C116" s="45"/>
      <c r="D116" s="216" t="s">
        <v>13</v>
      </c>
      <c r="E116" s="22"/>
      <c r="F116" s="104">
        <f>H116/G116</f>
        <v>5.2080000313069892</v>
      </c>
      <c r="G116" s="131">
        <v>63883.5</v>
      </c>
      <c r="H116" s="131">
        <v>332705.27</v>
      </c>
      <c r="I116" s="81"/>
      <c r="J116" s="88"/>
      <c r="K116" s="104">
        <f>M116/L116</f>
        <v>5.3639999999999999</v>
      </c>
      <c r="L116" s="131">
        <v>86340</v>
      </c>
      <c r="M116" s="131">
        <v>463127.76</v>
      </c>
      <c r="N116" s="81"/>
      <c r="O116" s="88"/>
      <c r="P116" s="104">
        <f>R116/Q116</f>
        <v>4.9679998710463993</v>
      </c>
      <c r="Q116" s="131">
        <v>68241.600000000006</v>
      </c>
      <c r="R116" s="131">
        <v>339024.26</v>
      </c>
      <c r="S116" s="81"/>
      <c r="T116" s="88"/>
      <c r="U116" s="115">
        <f>W116/V116</f>
        <v>5.1479999777140772</v>
      </c>
      <c r="V116" s="131">
        <v>71794.2</v>
      </c>
      <c r="W116" s="131">
        <v>369596.54</v>
      </c>
      <c r="X116" s="81"/>
      <c r="Y116" s="81"/>
      <c r="Z116" s="92">
        <f>AB116/AA116</f>
        <v>4.6800000256674821</v>
      </c>
      <c r="AA116" s="131">
        <v>77919.600000000006</v>
      </c>
      <c r="AB116" s="131">
        <v>364663.73</v>
      </c>
      <c r="AC116" s="81"/>
      <c r="AD116" s="81"/>
      <c r="AE116" s="92">
        <f>AG116/AF116</f>
        <v>4.824000099453233</v>
      </c>
      <c r="AF116" s="131">
        <v>88483.8</v>
      </c>
      <c r="AG116" s="131">
        <v>426845.86</v>
      </c>
      <c r="AH116" s="81"/>
      <c r="AI116" s="81"/>
      <c r="AJ116" s="92">
        <f>AL116/AK116</f>
        <v>4.9800000252150847</v>
      </c>
      <c r="AK116" s="131">
        <v>79317.600000000006</v>
      </c>
      <c r="AL116" s="131">
        <v>395001.65</v>
      </c>
      <c r="AM116" s="81"/>
      <c r="AN116" s="81"/>
      <c r="AO116" s="92">
        <f>AQ116/AP116</f>
        <v>5.9519999688096661</v>
      </c>
      <c r="AP116" s="131">
        <v>89771.4</v>
      </c>
      <c r="AQ116" s="131">
        <v>534319.37</v>
      </c>
      <c r="AR116" s="81"/>
      <c r="AS116" s="81"/>
      <c r="AT116" s="92">
        <f>AV116/AU116</f>
        <v>6.611999971321584</v>
      </c>
      <c r="AU116" s="131">
        <v>97634.4</v>
      </c>
      <c r="AV116" s="131">
        <v>645558.65</v>
      </c>
      <c r="AW116" s="81"/>
      <c r="AX116" s="81"/>
      <c r="AY116" s="92">
        <f>BA116/AZ116</f>
        <v>6.3359999287244806</v>
      </c>
      <c r="AZ116" s="131">
        <v>89792.4</v>
      </c>
      <c r="BA116" s="131">
        <v>568924.64</v>
      </c>
      <c r="BB116" s="81"/>
      <c r="BC116" s="81"/>
      <c r="BD116" s="92">
        <f>BF116/BE116</f>
        <v>6.4560000263667883</v>
      </c>
      <c r="BE116" s="131">
        <v>75853</v>
      </c>
      <c r="BF116" s="526">
        <v>489706.97</v>
      </c>
      <c r="BG116" s="44"/>
      <c r="BH116" s="81"/>
      <c r="BI116" s="92">
        <f>BK116/BJ116</f>
        <v>6.8760000050681285</v>
      </c>
      <c r="BJ116" s="131">
        <v>78924.600000000006</v>
      </c>
      <c r="BK116" s="131">
        <v>542685.55000000005</v>
      </c>
      <c r="BL116" s="81">
        <v>645600</v>
      </c>
      <c r="BM116" s="81"/>
      <c r="BN116" s="92">
        <f>BP116/BO116</f>
        <v>6.3720000375598937</v>
      </c>
      <c r="BO116" s="414">
        <v>74547.600000000006</v>
      </c>
      <c r="BP116" s="414">
        <v>475017.31</v>
      </c>
      <c r="BQ116" s="81">
        <v>482173.87</v>
      </c>
      <c r="BR116" s="81"/>
      <c r="BS116" s="92">
        <f>BU116/BT116</f>
        <v>6.024</v>
      </c>
      <c r="BT116" s="414">
        <v>84780</v>
      </c>
      <c r="BU116" s="414">
        <v>510714.72</v>
      </c>
      <c r="BV116" s="81">
        <v>482173.87</v>
      </c>
      <c r="BW116" s="81"/>
      <c r="BX116" s="92">
        <f>BZ116/BY116</f>
        <v>5.2080000313069892</v>
      </c>
      <c r="BY116" s="63">
        <v>63883.5</v>
      </c>
      <c r="BZ116" s="63">
        <v>332705.27</v>
      </c>
      <c r="CA116" s="44"/>
      <c r="CB116" s="81"/>
      <c r="CC116" s="92">
        <f>CE116/CD116</f>
        <v>5.2080000313069892</v>
      </c>
      <c r="CD116" s="63">
        <v>63883.5</v>
      </c>
      <c r="CE116" s="63">
        <v>332705.27</v>
      </c>
      <c r="CF116" s="44"/>
      <c r="CG116" s="81"/>
      <c r="CH116" s="92">
        <f>CJ116/CI116</f>
        <v>5.2080000313069892</v>
      </c>
      <c r="CI116" s="63">
        <v>63883.5</v>
      </c>
      <c r="CJ116" s="63">
        <v>332705.27</v>
      </c>
      <c r="CK116" s="44"/>
      <c r="CL116" s="81"/>
      <c r="CM116" s="92">
        <f>CO116/CN116</f>
        <v>5.2080000313069892</v>
      </c>
      <c r="CN116" s="63">
        <v>63883.5</v>
      </c>
      <c r="CO116" s="63">
        <v>332705.27</v>
      </c>
      <c r="CP116" s="44"/>
      <c r="CQ116" s="81"/>
      <c r="CR116" s="92">
        <f>CT116/CS116</f>
        <v>5.2080000313069892</v>
      </c>
      <c r="CS116" s="63">
        <v>63883.5</v>
      </c>
      <c r="CT116" s="63">
        <v>332705.27</v>
      </c>
      <c r="CU116" s="44"/>
      <c r="CV116" s="81"/>
      <c r="CW116" s="92">
        <f>CY116/CX116</f>
        <v>5.2080000313069892</v>
      </c>
      <c r="CX116" s="63">
        <v>63883.5</v>
      </c>
      <c r="CY116" s="63">
        <v>332705.27</v>
      </c>
      <c r="CZ116" s="44"/>
      <c r="DA116" s="81"/>
    </row>
    <row r="117" spans="1:105" s="264" customFormat="1" ht="15" customHeight="1" thickBot="1">
      <c r="A117" s="257"/>
      <c r="B117" s="258"/>
      <c r="C117" s="20"/>
      <c r="D117" s="259" t="s">
        <v>17</v>
      </c>
      <c r="E117" s="23"/>
      <c r="F117" s="178">
        <f>H117/G117</f>
        <v>30.384072089624937</v>
      </c>
      <c r="G117" s="180">
        <v>41.06</v>
      </c>
      <c r="H117" s="181">
        <v>1247.57</v>
      </c>
      <c r="I117" s="179"/>
      <c r="J117" s="182"/>
      <c r="K117" s="178">
        <f>M117/L117</f>
        <v>30.38405207485761</v>
      </c>
      <c r="L117" s="180">
        <v>49.16</v>
      </c>
      <c r="M117" s="181">
        <v>1493.68</v>
      </c>
      <c r="N117" s="179"/>
      <c r="O117" s="182"/>
      <c r="P117" s="178">
        <f>R117/Q117</f>
        <v>30.384055193560751</v>
      </c>
      <c r="Q117" s="180">
        <v>104.36</v>
      </c>
      <c r="R117" s="181">
        <v>3170.88</v>
      </c>
      <c r="S117" s="179"/>
      <c r="T117" s="182"/>
      <c r="U117" s="318">
        <f>W117/V117</f>
        <v>30.383935392338753</v>
      </c>
      <c r="V117" s="180">
        <v>91.63</v>
      </c>
      <c r="W117" s="181">
        <v>2784.08</v>
      </c>
      <c r="X117" s="179"/>
      <c r="Y117" s="179"/>
      <c r="Z117" s="285">
        <f>AB117/AA117</f>
        <v>30.396744186046512</v>
      </c>
      <c r="AA117" s="180">
        <v>215</v>
      </c>
      <c r="AB117" s="181">
        <v>6535.3</v>
      </c>
      <c r="AC117" s="179"/>
      <c r="AD117" s="179"/>
      <c r="AE117" s="285">
        <f>AG117/AF117</f>
        <v>30.242383419689119</v>
      </c>
      <c r="AF117" s="180">
        <v>96.5</v>
      </c>
      <c r="AG117" s="181">
        <v>2918.39</v>
      </c>
      <c r="AH117" s="179"/>
      <c r="AI117" s="179"/>
      <c r="AJ117" s="285">
        <f>AL117/AK117</f>
        <v>30.384002641462711</v>
      </c>
      <c r="AK117" s="180">
        <v>242.29</v>
      </c>
      <c r="AL117" s="181">
        <v>7361.74</v>
      </c>
      <c r="AM117" s="179"/>
      <c r="AN117" s="179"/>
      <c r="AO117" s="285">
        <f>AQ117/AP117</f>
        <v>30.384017363851619</v>
      </c>
      <c r="AP117" s="180">
        <v>253.4</v>
      </c>
      <c r="AQ117" s="181">
        <v>7699.31</v>
      </c>
      <c r="AR117" s="179"/>
      <c r="AS117" s="179"/>
      <c r="AT117" s="285">
        <f>AV117/AU117</f>
        <v>30.38397861836</v>
      </c>
      <c r="AU117" s="180">
        <v>269.39</v>
      </c>
      <c r="AV117" s="181">
        <v>8185.14</v>
      </c>
      <c r="AW117" s="179"/>
      <c r="AX117" s="179"/>
      <c r="AY117" s="285">
        <f>BA117/AZ117</f>
        <v>30.383970665269779</v>
      </c>
      <c r="AZ117" s="180">
        <v>248.17</v>
      </c>
      <c r="BA117" s="181">
        <v>7540.39</v>
      </c>
      <c r="BB117" s="179"/>
      <c r="BC117" s="179"/>
      <c r="BD117" s="285">
        <f>BF117/BE117</f>
        <v>30.384022059097514</v>
      </c>
      <c r="BE117" s="180">
        <v>268.37</v>
      </c>
      <c r="BF117" s="181">
        <v>8154.16</v>
      </c>
      <c r="BG117" s="48"/>
      <c r="BH117" s="179"/>
      <c r="BI117" s="285">
        <f>BK117/BJ117</f>
        <v>30.383980982874885</v>
      </c>
      <c r="BJ117" s="180">
        <v>206.13</v>
      </c>
      <c r="BK117" s="181">
        <v>6263.05</v>
      </c>
      <c r="BL117" s="179"/>
      <c r="BM117" s="179"/>
      <c r="BN117" s="285">
        <f>BP117/BO117</f>
        <v>30.384011038522189</v>
      </c>
      <c r="BO117" s="180">
        <v>355.12</v>
      </c>
      <c r="BP117" s="181">
        <v>10789.97</v>
      </c>
      <c r="BQ117" s="179"/>
      <c r="BR117" s="179"/>
      <c r="BS117" s="285" t="e">
        <f>BU117/BT117</f>
        <v>#VALUE!</v>
      </c>
      <c r="BT117" s="180">
        <v>294.18</v>
      </c>
      <c r="BU117" s="506" t="s">
        <v>445</v>
      </c>
      <c r="BV117" s="179"/>
      <c r="BW117" s="179"/>
      <c r="BX117" s="285">
        <f>BZ117/BY117</f>
        <v>30.384072089624937</v>
      </c>
      <c r="BY117" s="277">
        <v>41.06</v>
      </c>
      <c r="BZ117" s="286">
        <v>1247.57</v>
      </c>
      <c r="CA117" s="48"/>
      <c r="CB117" s="179"/>
      <c r="CC117" s="285">
        <f>CE117/CD117</f>
        <v>30.384072089624937</v>
      </c>
      <c r="CD117" s="277">
        <v>41.06</v>
      </c>
      <c r="CE117" s="286">
        <v>1247.57</v>
      </c>
      <c r="CF117" s="48"/>
      <c r="CG117" s="179"/>
      <c r="CH117" s="285">
        <f>CJ117/CI117</f>
        <v>30.384072089624937</v>
      </c>
      <c r="CI117" s="277">
        <v>41.06</v>
      </c>
      <c r="CJ117" s="286">
        <v>1247.57</v>
      </c>
      <c r="CK117" s="48"/>
      <c r="CL117" s="179"/>
      <c r="CM117" s="285">
        <f>CO117/CN117</f>
        <v>30.384072089624937</v>
      </c>
      <c r="CN117" s="277">
        <v>41.06</v>
      </c>
      <c r="CO117" s="286">
        <v>1247.57</v>
      </c>
      <c r="CP117" s="48"/>
      <c r="CQ117" s="179"/>
      <c r="CR117" s="285">
        <f>CT117/CS117</f>
        <v>30.384072089624937</v>
      </c>
      <c r="CS117" s="277">
        <v>41.06</v>
      </c>
      <c r="CT117" s="286">
        <v>1247.57</v>
      </c>
      <c r="CU117" s="48"/>
      <c r="CV117" s="179"/>
      <c r="CW117" s="285">
        <f>CY117/CX117</f>
        <v>30.384072089624937</v>
      </c>
      <c r="CX117" s="277">
        <v>41.06</v>
      </c>
      <c r="CY117" s="286">
        <v>1247.57</v>
      </c>
      <c r="CZ117" s="48"/>
      <c r="DA117" s="179"/>
    </row>
    <row r="118" spans="1:105" s="249" customFormat="1" ht="15" customHeight="1">
      <c r="A118" s="265" t="s">
        <v>312</v>
      </c>
      <c r="B118" s="5" t="s">
        <v>74</v>
      </c>
      <c r="C118" s="6" t="s">
        <v>75</v>
      </c>
      <c r="D118" s="7" t="s">
        <v>10</v>
      </c>
      <c r="E118" s="4"/>
      <c r="F118" s="196"/>
      <c r="G118" s="200">
        <v>8.8000000000000007</v>
      </c>
      <c r="H118" s="200">
        <v>1742.62</v>
      </c>
      <c r="I118" s="38"/>
      <c r="J118" s="206"/>
      <c r="K118" s="196"/>
      <c r="L118" s="200">
        <v>8.8000000000000007</v>
      </c>
      <c r="M118" s="200">
        <v>1742.62</v>
      </c>
      <c r="N118" s="38"/>
      <c r="O118" s="206"/>
      <c r="P118" s="196"/>
      <c r="Q118" s="200">
        <v>8.8000000000000007</v>
      </c>
      <c r="R118" s="200">
        <v>1742.62</v>
      </c>
      <c r="S118" s="38"/>
      <c r="T118" s="206"/>
      <c r="U118" s="207"/>
      <c r="V118" s="200">
        <v>8.8000000000000007</v>
      </c>
      <c r="W118" s="380">
        <v>554.84</v>
      </c>
      <c r="X118" s="38"/>
      <c r="Y118" s="384">
        <f>SUM(W118:W121)*1.1</f>
        <v>125153.71</v>
      </c>
      <c r="Z118" s="36"/>
      <c r="AA118" s="200">
        <v>8.8000000000000007</v>
      </c>
      <c r="AB118" s="200">
        <v>1742.62</v>
      </c>
      <c r="AC118" s="38"/>
      <c r="AD118" s="384">
        <f>SUM(AB118:AB121)*1.1</f>
        <v>114522.474</v>
      </c>
      <c r="AE118" s="36"/>
      <c r="AF118" s="200">
        <v>8.8000000000000007</v>
      </c>
      <c r="AG118" s="200">
        <v>1742.62</v>
      </c>
      <c r="AH118" s="38"/>
      <c r="AI118" s="384">
        <f>AI119*1.1</f>
        <v>116612.49600000001</v>
      </c>
      <c r="AJ118" s="36"/>
      <c r="AK118" s="200">
        <v>8.8000000000000007</v>
      </c>
      <c r="AL118" s="200">
        <v>1742.62</v>
      </c>
      <c r="AM118" s="38"/>
      <c r="AN118" s="384">
        <f>AN119*1.2</f>
        <v>199478.32800000001</v>
      </c>
      <c r="AO118" s="36"/>
      <c r="AP118" s="200">
        <v>8.8000000000000007</v>
      </c>
      <c r="AQ118" s="200">
        <v>1742.62</v>
      </c>
      <c r="AR118" s="38"/>
      <c r="AS118" s="384">
        <f>SUM(AS119)*1.1</f>
        <v>117768.189</v>
      </c>
      <c r="AT118" s="36"/>
      <c r="AU118" s="200">
        <v>8.8000000000000007</v>
      </c>
      <c r="AV118" s="200">
        <v>1742.62</v>
      </c>
      <c r="AW118" s="38"/>
      <c r="AX118" s="384">
        <f>SUM(AV118:AV121)*1.1</f>
        <v>143561.682</v>
      </c>
      <c r="AY118" s="36"/>
      <c r="AZ118" s="200">
        <v>8.8000000000000007</v>
      </c>
      <c r="BA118" s="200">
        <v>1742.62</v>
      </c>
      <c r="BB118" s="38"/>
      <c r="BC118" s="384">
        <f>SUM(BA118:BA121)*1.1</f>
        <v>146121.98700000002</v>
      </c>
      <c r="BD118" s="36"/>
      <c r="BE118" s="200">
        <v>8.8000000000000007</v>
      </c>
      <c r="BF118" s="200">
        <v>1742.62</v>
      </c>
      <c r="BG118" s="38"/>
      <c r="BH118" s="384">
        <f>SUM(BF118:BF121)*1.1</f>
        <v>155012.913</v>
      </c>
      <c r="BI118" s="36"/>
      <c r="BJ118" s="200">
        <v>8.8000000000000007</v>
      </c>
      <c r="BK118" s="200">
        <v>1742.62</v>
      </c>
      <c r="BL118" s="38"/>
      <c r="BM118" s="384">
        <f>SUM(BK118:BK121)*1.1</f>
        <v>158913.106</v>
      </c>
      <c r="BN118" s="36"/>
      <c r="BO118" s="200">
        <v>8.8000000000000007</v>
      </c>
      <c r="BP118" s="200">
        <v>1742.62</v>
      </c>
      <c r="BQ118" s="38"/>
      <c r="BR118" s="384">
        <f>SUM(BP118:BP121)*1.1</f>
        <v>203682.02799999999</v>
      </c>
      <c r="BS118" s="36"/>
      <c r="BT118" s="200">
        <v>8.8000000000000007</v>
      </c>
      <c r="BU118" s="200">
        <v>1742.62</v>
      </c>
      <c r="BV118" s="38"/>
      <c r="BW118" s="384">
        <f>SUM(BU118:BU121)*1.1</f>
        <v>170041.872</v>
      </c>
      <c r="BX118" s="36"/>
      <c r="BY118" s="200">
        <v>8.8000000000000007</v>
      </c>
      <c r="BZ118" s="200">
        <v>1742.62</v>
      </c>
      <c r="CA118" s="38"/>
      <c r="CB118" s="384">
        <f>SUM(BZ118:BZ121)*1.1</f>
        <v>101820.87300000001</v>
      </c>
      <c r="CC118" s="36"/>
      <c r="CD118" s="200">
        <v>8.8000000000000007</v>
      </c>
      <c r="CE118" s="200">
        <v>1742.62</v>
      </c>
      <c r="CF118" s="38"/>
      <c r="CG118" s="384">
        <f>SUM(CE118:CE121)*1.1</f>
        <v>101820.87300000001</v>
      </c>
      <c r="CH118" s="36"/>
      <c r="CI118" s="200">
        <v>8.8000000000000007</v>
      </c>
      <c r="CJ118" s="200">
        <v>1742.62</v>
      </c>
      <c r="CK118" s="38"/>
      <c r="CL118" s="384">
        <f>SUM(CJ118:CJ121)*1.1</f>
        <v>101820.87300000001</v>
      </c>
      <c r="CM118" s="36"/>
      <c r="CN118" s="200">
        <v>8.8000000000000007</v>
      </c>
      <c r="CO118" s="200">
        <v>1742.62</v>
      </c>
      <c r="CP118" s="38"/>
      <c r="CQ118" s="384">
        <f>SUM(CO118:CO121)*1.1</f>
        <v>101820.87300000001</v>
      </c>
      <c r="CR118" s="36"/>
      <c r="CS118" s="200">
        <v>8.8000000000000007</v>
      </c>
      <c r="CT118" s="200">
        <v>1742.62</v>
      </c>
      <c r="CU118" s="38"/>
      <c r="CV118" s="384">
        <f>SUM(CT118:CT121)*1.1</f>
        <v>101820.87300000001</v>
      </c>
      <c r="CW118" s="36"/>
      <c r="CX118" s="200">
        <v>8.8000000000000007</v>
      </c>
      <c r="CY118" s="200">
        <v>1742.62</v>
      </c>
      <c r="CZ118" s="38"/>
      <c r="DA118" s="384">
        <f>SUM(CY118:CY121)*1.1</f>
        <v>101820.87300000001</v>
      </c>
    </row>
    <row r="119" spans="1:105" ht="15" customHeight="1">
      <c r="A119" s="256"/>
      <c r="B119" s="215">
        <v>33079439</v>
      </c>
      <c r="C119" s="45" t="s">
        <v>76</v>
      </c>
      <c r="D119" s="216" t="s">
        <v>77</v>
      </c>
      <c r="E119" s="22"/>
      <c r="F119" s="103"/>
      <c r="G119" s="74">
        <v>1</v>
      </c>
      <c r="H119" s="134">
        <v>3500</v>
      </c>
      <c r="I119" s="81"/>
      <c r="J119" s="88"/>
      <c r="K119" s="103"/>
      <c r="L119" s="149">
        <v>1</v>
      </c>
      <c r="M119" s="150">
        <v>3500</v>
      </c>
      <c r="N119" s="151"/>
      <c r="O119" s="152"/>
      <c r="P119" s="103"/>
      <c r="Q119" s="74">
        <v>1</v>
      </c>
      <c r="R119" s="134">
        <v>3500</v>
      </c>
      <c r="S119" s="81"/>
      <c r="T119" s="88"/>
      <c r="U119" s="47"/>
      <c r="V119" s="74">
        <v>1</v>
      </c>
      <c r="W119" s="134">
        <v>3500</v>
      </c>
      <c r="X119" s="81"/>
      <c r="Y119" s="403">
        <f>SUM(W118:W121)*1</f>
        <v>113776.09999999999</v>
      </c>
      <c r="Z119" s="46"/>
      <c r="AA119" s="74">
        <v>1</v>
      </c>
      <c r="AB119" s="134">
        <v>3500</v>
      </c>
      <c r="AC119" s="81"/>
      <c r="AD119" s="403">
        <f>SUM(AB118:AB121)*1</f>
        <v>104111.34</v>
      </c>
      <c r="AE119" s="46"/>
      <c r="AF119" s="74">
        <v>1</v>
      </c>
      <c r="AG119" s="134">
        <v>3500</v>
      </c>
      <c r="AH119" s="81"/>
      <c r="AI119" s="403">
        <f>SUM(AG118:AG119)+AH120+AG121*1</f>
        <v>106011.36</v>
      </c>
      <c r="AJ119" s="46"/>
      <c r="AK119" s="74">
        <v>1</v>
      </c>
      <c r="AL119" s="134">
        <v>3500</v>
      </c>
      <c r="AM119" s="81"/>
      <c r="AN119" s="403">
        <f>SUM(AL118:AL119)+AM120+AL121*1</f>
        <v>166231.94</v>
      </c>
      <c r="AO119" s="46"/>
      <c r="AP119" s="74">
        <v>1</v>
      </c>
      <c r="AQ119" s="134">
        <v>3500</v>
      </c>
      <c r="AR119" s="81"/>
      <c r="AS119" s="403">
        <f>SUM(AQ118:AQ119)+AR120+AQ121*1</f>
        <v>107061.98999999999</v>
      </c>
      <c r="AT119" s="46"/>
      <c r="AU119" s="74">
        <v>1</v>
      </c>
      <c r="AV119" s="134">
        <v>3500</v>
      </c>
      <c r="AW119" s="81"/>
      <c r="AX119" s="403">
        <f>SUM(AV118:AV121)*1</f>
        <v>130510.62</v>
      </c>
      <c r="AY119" s="46"/>
      <c r="AZ119" s="74">
        <v>1</v>
      </c>
      <c r="BA119" s="134">
        <v>3500</v>
      </c>
      <c r="BB119" s="81"/>
      <c r="BC119" s="403">
        <f>SUM(BA118:BA121)*1</f>
        <v>132838.17000000001</v>
      </c>
      <c r="BD119" s="46"/>
      <c r="BE119" s="74">
        <v>1</v>
      </c>
      <c r="BF119" s="134">
        <v>3500</v>
      </c>
      <c r="BG119" s="81"/>
      <c r="BH119" s="403">
        <f>SUM(BF118:BF121)*1</f>
        <v>140920.82999999999</v>
      </c>
      <c r="BI119" s="46"/>
      <c r="BJ119" s="74">
        <v>1</v>
      </c>
      <c r="BK119" s="134">
        <v>3500</v>
      </c>
      <c r="BL119" s="81"/>
      <c r="BM119" s="403">
        <f>SUM(BK118:BK121)*1</f>
        <v>144466.46</v>
      </c>
      <c r="BN119" s="46"/>
      <c r="BO119" s="74">
        <v>1</v>
      </c>
      <c r="BP119" s="134">
        <v>3500</v>
      </c>
      <c r="BQ119" s="81"/>
      <c r="BR119" s="403">
        <f>SUM(BP118:BP121)*1</f>
        <v>185165.47999999998</v>
      </c>
      <c r="BS119" s="46"/>
      <c r="BT119" s="74">
        <v>1</v>
      </c>
      <c r="BU119" s="134">
        <v>3500</v>
      </c>
      <c r="BV119" s="81"/>
      <c r="BW119" s="403">
        <f>SUM(BU118:BU121)*1</f>
        <v>154583.51999999999</v>
      </c>
      <c r="BX119" s="46"/>
      <c r="BY119" s="57">
        <v>1</v>
      </c>
      <c r="BZ119" s="72">
        <v>25000</v>
      </c>
      <c r="CA119" s="44"/>
      <c r="CB119" s="403">
        <f>SUM(BZ118:BZ121)*1</f>
        <v>92564.43</v>
      </c>
      <c r="CC119" s="46"/>
      <c r="CD119" s="57">
        <v>1</v>
      </c>
      <c r="CE119" s="72">
        <v>25000</v>
      </c>
      <c r="CF119" s="44"/>
      <c r="CG119" s="403">
        <f>SUM(CE118:CE121)*1</f>
        <v>92564.43</v>
      </c>
      <c r="CH119" s="46"/>
      <c r="CI119" s="57">
        <v>1</v>
      </c>
      <c r="CJ119" s="72">
        <v>25000</v>
      </c>
      <c r="CK119" s="44"/>
      <c r="CL119" s="403">
        <f>SUM(CJ118:CJ121)*1</f>
        <v>92564.43</v>
      </c>
      <c r="CM119" s="46"/>
      <c r="CN119" s="57">
        <v>1</v>
      </c>
      <c r="CO119" s="72">
        <v>25000</v>
      </c>
      <c r="CP119" s="44"/>
      <c r="CQ119" s="403">
        <f>SUM(CO118:CO121)*1</f>
        <v>92564.43</v>
      </c>
      <c r="CR119" s="46"/>
      <c r="CS119" s="57">
        <v>1</v>
      </c>
      <c r="CT119" s="72">
        <v>25000</v>
      </c>
      <c r="CU119" s="44"/>
      <c r="CV119" s="403">
        <f>SUM(CT118:CT121)*1</f>
        <v>92564.43</v>
      </c>
      <c r="CW119" s="46"/>
      <c r="CX119" s="57">
        <v>1</v>
      </c>
      <c r="CY119" s="72">
        <v>25000</v>
      </c>
      <c r="CZ119" s="44"/>
      <c r="DA119" s="403">
        <f>SUM(CY118:CY121)*1</f>
        <v>92564.43</v>
      </c>
    </row>
    <row r="120" spans="1:105" ht="15" customHeight="1">
      <c r="A120" s="256"/>
      <c r="B120" s="215">
        <v>42094646</v>
      </c>
      <c r="C120" s="45" t="s">
        <v>69</v>
      </c>
      <c r="D120" s="216" t="s">
        <v>13</v>
      </c>
      <c r="E120" s="22"/>
      <c r="F120" s="104">
        <f>H120/G120</f>
        <v>5.9969758542141225</v>
      </c>
      <c r="G120" s="69">
        <v>10975</v>
      </c>
      <c r="H120" s="131">
        <v>65816.81</v>
      </c>
      <c r="I120" s="142" t="s">
        <v>178</v>
      </c>
      <c r="J120" s="148"/>
      <c r="K120" s="104">
        <f>M120/L120</f>
        <v>6.0501959356107511</v>
      </c>
      <c r="L120" s="69">
        <v>13729</v>
      </c>
      <c r="M120" s="131">
        <v>83063.14</v>
      </c>
      <c r="N120" s="344">
        <v>150159.82</v>
      </c>
      <c r="O120" s="148"/>
      <c r="P120" s="104">
        <f>R120/Q120</f>
        <v>5.838491575817641</v>
      </c>
      <c r="Q120" s="69">
        <v>20180</v>
      </c>
      <c r="R120" s="131">
        <v>117820.76</v>
      </c>
      <c r="S120" s="142" t="s">
        <v>178</v>
      </c>
      <c r="T120" s="148"/>
      <c r="U120" s="115">
        <f>W120/V120</f>
        <v>5.929967571073397</v>
      </c>
      <c r="V120" s="69">
        <v>18502</v>
      </c>
      <c r="W120" s="142">
        <v>109716.26</v>
      </c>
      <c r="X120" s="372" t="s">
        <v>216</v>
      </c>
      <c r="Y120" s="142"/>
      <c r="Z120" s="92">
        <f>AB120/AA120</f>
        <v>5.8956240682211227</v>
      </c>
      <c r="AA120" s="69">
        <v>16769</v>
      </c>
      <c r="AB120" s="131">
        <v>98863.72</v>
      </c>
      <c r="AC120" s="142">
        <v>89330.5</v>
      </c>
      <c r="AD120" s="142"/>
      <c r="AE120" s="92">
        <f>AG120/AF120</f>
        <v>5.3868840110633798</v>
      </c>
      <c r="AF120" s="69">
        <v>16993</v>
      </c>
      <c r="AG120" s="131">
        <v>91539.32</v>
      </c>
      <c r="AH120" s="344">
        <v>100763.74</v>
      </c>
      <c r="AI120" s="142"/>
      <c r="AJ120" s="92">
        <f>AL120/AK120</f>
        <v>5.5501917318905294</v>
      </c>
      <c r="AK120" s="410">
        <v>19037</v>
      </c>
      <c r="AL120" s="414">
        <v>105659</v>
      </c>
      <c r="AM120" s="142">
        <v>160984.32000000001</v>
      </c>
      <c r="AN120" s="73"/>
      <c r="AO120" s="92">
        <f>AQ120/AP120</f>
        <v>5.8517404049725856</v>
      </c>
      <c r="AP120" s="410">
        <v>18421</v>
      </c>
      <c r="AQ120" s="414">
        <v>107794.91</v>
      </c>
      <c r="AR120" s="142">
        <v>101814.37</v>
      </c>
      <c r="AS120" s="142"/>
      <c r="AT120" s="92">
        <f>AV120/AU120</f>
        <v>6.2152922496774829</v>
      </c>
      <c r="AU120" s="410">
        <v>20154</v>
      </c>
      <c r="AV120" s="414">
        <v>125263</v>
      </c>
      <c r="AW120" s="142" t="s">
        <v>340</v>
      </c>
      <c r="AX120" s="142"/>
      <c r="AY120" s="92">
        <f>BA120/AZ120</f>
        <v>6.915851807686054</v>
      </c>
      <c r="AZ120" s="410">
        <v>18449</v>
      </c>
      <c r="BA120" s="414">
        <v>127590.55</v>
      </c>
      <c r="BB120" s="372" t="s">
        <v>344</v>
      </c>
      <c r="BC120" s="142"/>
      <c r="BD120" s="92">
        <f>BF120/BE120</f>
        <v>7.3920240819439904</v>
      </c>
      <c r="BE120" s="410">
        <v>18354</v>
      </c>
      <c r="BF120" s="414">
        <v>135673.21</v>
      </c>
      <c r="BG120" s="372" t="s">
        <v>344</v>
      </c>
      <c r="BH120" s="142"/>
      <c r="BI120" s="92">
        <f>BK120/BJ120</f>
        <v>7.8380159891904064</v>
      </c>
      <c r="BJ120" s="410">
        <v>17762</v>
      </c>
      <c r="BK120" s="414">
        <v>139218.84</v>
      </c>
      <c r="BL120" s="73"/>
      <c r="BM120" s="142"/>
      <c r="BN120" s="92">
        <f>BP120/BO120</f>
        <v>7.280292153927082</v>
      </c>
      <c r="BO120" s="410">
        <v>24713</v>
      </c>
      <c r="BP120" s="414">
        <v>179917.86</v>
      </c>
      <c r="BQ120" s="560" t="s">
        <v>387</v>
      </c>
      <c r="BR120" s="142"/>
      <c r="BS120" s="92">
        <f>BU120/BT120</f>
        <v>6.0428074292882288</v>
      </c>
      <c r="BT120" s="410">
        <v>24713</v>
      </c>
      <c r="BU120" s="608">
        <v>149335.9</v>
      </c>
      <c r="BV120" s="344">
        <f>149335.9+23961.34</f>
        <v>173297.24</v>
      </c>
      <c r="BW120" s="142"/>
      <c r="BX120" s="92">
        <f>BZ120/BY120</f>
        <v>5.9969758542141225</v>
      </c>
      <c r="BY120" s="58">
        <v>10975</v>
      </c>
      <c r="BZ120" s="63">
        <v>65816.81</v>
      </c>
      <c r="CA120" s="372">
        <v>100074.52</v>
      </c>
      <c r="CB120" s="142"/>
      <c r="CC120" s="92">
        <f>CE120/CD120</f>
        <v>5.9969758542141225</v>
      </c>
      <c r="CD120" s="58">
        <v>10975</v>
      </c>
      <c r="CE120" s="63">
        <v>65816.81</v>
      </c>
      <c r="CF120" s="73" t="s">
        <v>178</v>
      </c>
      <c r="CG120" s="142"/>
      <c r="CH120" s="92">
        <f>CJ120/CI120</f>
        <v>5.9969758542141225</v>
      </c>
      <c r="CI120" s="58">
        <v>10975</v>
      </c>
      <c r="CJ120" s="63">
        <v>65816.81</v>
      </c>
      <c r="CK120" s="73" t="s">
        <v>178</v>
      </c>
      <c r="CL120" s="142"/>
      <c r="CM120" s="92">
        <f>CO120/CN120</f>
        <v>5.9969758542141225</v>
      </c>
      <c r="CN120" s="58">
        <v>10975</v>
      </c>
      <c r="CO120" s="63">
        <v>65816.81</v>
      </c>
      <c r="CP120" s="73" t="s">
        <v>178</v>
      </c>
      <c r="CQ120" s="142"/>
      <c r="CR120" s="92">
        <f>CT120/CS120</f>
        <v>5.9969758542141225</v>
      </c>
      <c r="CS120" s="58">
        <v>10975</v>
      </c>
      <c r="CT120" s="63">
        <v>65816.81</v>
      </c>
      <c r="CU120" s="73" t="s">
        <v>178</v>
      </c>
      <c r="CV120" s="142"/>
      <c r="CW120" s="92">
        <f>CY120/CX120</f>
        <v>5.9969758542141225</v>
      </c>
      <c r="CX120" s="58">
        <v>10975</v>
      </c>
      <c r="CY120" s="63">
        <v>65816.81</v>
      </c>
      <c r="CZ120" s="73" t="s">
        <v>178</v>
      </c>
      <c r="DA120" s="142"/>
    </row>
    <row r="121" spans="1:105" s="264" customFormat="1" ht="15" customHeight="1" thickBot="1">
      <c r="A121" s="257"/>
      <c r="B121" s="258"/>
      <c r="C121" s="20"/>
      <c r="D121" s="259" t="s">
        <v>78</v>
      </c>
      <c r="E121" s="23"/>
      <c r="F121" s="168">
        <f>H121/G121</f>
        <v>5</v>
      </c>
      <c r="G121" s="169">
        <v>1</v>
      </c>
      <c r="H121" s="169">
        <v>5</v>
      </c>
      <c r="I121" s="48"/>
      <c r="J121" s="49"/>
      <c r="K121" s="168">
        <f>M121/L121</f>
        <v>5</v>
      </c>
      <c r="L121" s="169">
        <v>1</v>
      </c>
      <c r="M121" s="169">
        <v>5</v>
      </c>
      <c r="N121" s="48"/>
      <c r="O121" s="49"/>
      <c r="P121" s="168">
        <f>R121/Q121</f>
        <v>5</v>
      </c>
      <c r="Q121" s="169">
        <v>1</v>
      </c>
      <c r="R121" s="169">
        <v>5</v>
      </c>
      <c r="S121" s="48"/>
      <c r="T121" s="49"/>
      <c r="U121" s="209">
        <f>W121/V121</f>
        <v>5</v>
      </c>
      <c r="V121" s="169">
        <v>1</v>
      </c>
      <c r="W121" s="169">
        <v>5</v>
      </c>
      <c r="X121" s="48"/>
      <c r="Y121" s="48"/>
      <c r="Z121" s="3">
        <f>AB121/AA121</f>
        <v>5</v>
      </c>
      <c r="AA121" s="169">
        <v>1</v>
      </c>
      <c r="AB121" s="169">
        <v>5</v>
      </c>
      <c r="AC121" s="48"/>
      <c r="AD121" s="48"/>
      <c r="AE121" s="3">
        <f>AG121/AF121</f>
        <v>5</v>
      </c>
      <c r="AF121" s="169">
        <v>1</v>
      </c>
      <c r="AG121" s="169">
        <v>5</v>
      </c>
      <c r="AH121" s="48"/>
      <c r="AI121" s="48"/>
      <c r="AJ121" s="3">
        <f>AL121/AK121</f>
        <v>5</v>
      </c>
      <c r="AK121" s="169">
        <v>1</v>
      </c>
      <c r="AL121" s="169">
        <v>5</v>
      </c>
      <c r="AM121" s="48"/>
      <c r="AN121" s="48"/>
      <c r="AO121" s="3">
        <f>AQ121/AP121</f>
        <v>5</v>
      </c>
      <c r="AP121" s="169">
        <v>1</v>
      </c>
      <c r="AQ121" s="169">
        <v>5</v>
      </c>
      <c r="AR121" s="48"/>
      <c r="AS121" s="48"/>
      <c r="AT121" s="3">
        <f>AV121/AU121</f>
        <v>5</v>
      </c>
      <c r="AU121" s="169">
        <v>1</v>
      </c>
      <c r="AV121" s="169">
        <v>5</v>
      </c>
      <c r="AW121" s="48"/>
      <c r="AX121" s="48"/>
      <c r="AY121" s="3">
        <f>BA121/AZ121</f>
        <v>5</v>
      </c>
      <c r="AZ121" s="169">
        <v>1</v>
      </c>
      <c r="BA121" s="169">
        <v>5</v>
      </c>
      <c r="BB121" s="48"/>
      <c r="BC121" s="48"/>
      <c r="BD121" s="3">
        <f>BF121/BE121</f>
        <v>5</v>
      </c>
      <c r="BE121" s="169">
        <v>1</v>
      </c>
      <c r="BF121" s="169">
        <v>5</v>
      </c>
      <c r="BG121" s="48"/>
      <c r="BH121" s="48"/>
      <c r="BI121" s="3">
        <f>BK121/BJ121</f>
        <v>5</v>
      </c>
      <c r="BJ121" s="169">
        <v>1</v>
      </c>
      <c r="BK121" s="169">
        <v>5</v>
      </c>
      <c r="BL121" s="48"/>
      <c r="BM121" s="48"/>
      <c r="BN121" s="3">
        <f>BP121/BO121</f>
        <v>5</v>
      </c>
      <c r="BO121" s="169">
        <v>1</v>
      </c>
      <c r="BP121" s="169">
        <v>5</v>
      </c>
      <c r="BQ121" s="48"/>
      <c r="BR121" s="48"/>
      <c r="BS121" s="3">
        <f>BU121/BT121</f>
        <v>5</v>
      </c>
      <c r="BT121" s="169">
        <v>1</v>
      </c>
      <c r="BU121" s="169">
        <v>5</v>
      </c>
      <c r="BV121" s="48"/>
      <c r="BW121" s="48"/>
      <c r="BX121" s="3">
        <f>BZ121/BY121</f>
        <v>5</v>
      </c>
      <c r="BY121" s="169">
        <v>1</v>
      </c>
      <c r="BZ121" s="169">
        <v>5</v>
      </c>
      <c r="CA121" s="48"/>
      <c r="CB121" s="48"/>
      <c r="CC121" s="3">
        <f>CE121/CD121</f>
        <v>5</v>
      </c>
      <c r="CD121" s="169">
        <v>1</v>
      </c>
      <c r="CE121" s="169">
        <v>5</v>
      </c>
      <c r="CF121" s="48"/>
      <c r="CG121" s="48"/>
      <c r="CH121" s="3">
        <f>CJ121/CI121</f>
        <v>5</v>
      </c>
      <c r="CI121" s="169">
        <v>1</v>
      </c>
      <c r="CJ121" s="169">
        <v>5</v>
      </c>
      <c r="CK121" s="48"/>
      <c r="CL121" s="48"/>
      <c r="CM121" s="3">
        <f>CO121/CN121</f>
        <v>5</v>
      </c>
      <c r="CN121" s="169">
        <v>1</v>
      </c>
      <c r="CO121" s="169">
        <v>5</v>
      </c>
      <c r="CP121" s="48"/>
      <c r="CQ121" s="48"/>
      <c r="CR121" s="3">
        <f>CT121/CS121</f>
        <v>5</v>
      </c>
      <c r="CS121" s="169">
        <v>1</v>
      </c>
      <c r="CT121" s="169">
        <v>5</v>
      </c>
      <c r="CU121" s="48"/>
      <c r="CV121" s="48"/>
      <c r="CW121" s="3">
        <f>CY121/CX121</f>
        <v>5</v>
      </c>
      <c r="CX121" s="169">
        <v>1</v>
      </c>
      <c r="CY121" s="169">
        <v>5</v>
      </c>
      <c r="CZ121" s="48"/>
      <c r="DA121" s="48"/>
    </row>
    <row r="122" spans="1:105" s="249" customFormat="1" ht="15" customHeight="1">
      <c r="A122" s="265" t="s">
        <v>313</v>
      </c>
      <c r="B122" s="5" t="s">
        <v>79</v>
      </c>
      <c r="C122" s="6" t="s">
        <v>25</v>
      </c>
      <c r="D122" s="7" t="s">
        <v>10</v>
      </c>
      <c r="E122" s="4"/>
      <c r="F122" s="196"/>
      <c r="G122" s="200"/>
      <c r="H122" s="197"/>
      <c r="I122" s="38"/>
      <c r="J122" s="206"/>
      <c r="K122" s="196"/>
      <c r="L122" s="200"/>
      <c r="M122" s="197"/>
      <c r="N122" s="38"/>
      <c r="O122" s="206"/>
      <c r="P122" s="196"/>
      <c r="Q122" s="200"/>
      <c r="R122" s="197"/>
      <c r="S122" s="38"/>
      <c r="T122" s="206"/>
      <c r="U122" s="207"/>
      <c r="V122" s="200"/>
      <c r="W122" s="204">
        <v>2783</v>
      </c>
      <c r="X122" s="38"/>
      <c r="Y122" s="384">
        <f>SUM(W122:W127)*1.1</f>
        <v>191858.08400000003</v>
      </c>
      <c r="Z122" s="36"/>
      <c r="AA122" s="200"/>
      <c r="AB122" s="204">
        <v>1518</v>
      </c>
      <c r="AC122" s="38"/>
      <c r="AD122" s="384">
        <f>SUM(AB122:AB127)*1.1</f>
        <v>135831.14600000001</v>
      </c>
      <c r="AE122" s="36"/>
      <c r="AF122" s="200"/>
      <c r="AG122" s="204">
        <v>2277</v>
      </c>
      <c r="AH122" s="38"/>
      <c r="AI122" s="384">
        <f>AI125*1.1</f>
        <v>169902.48</v>
      </c>
      <c r="AJ122" s="36"/>
      <c r="AK122" s="200"/>
      <c r="AL122" s="204">
        <v>2530</v>
      </c>
      <c r="AM122" s="38"/>
      <c r="AN122" s="384">
        <f>AN125*1.1</f>
        <v>111952.94000000002</v>
      </c>
      <c r="AO122" s="36"/>
      <c r="AP122" s="200"/>
      <c r="AQ122" s="204">
        <v>810.82</v>
      </c>
      <c r="AR122" s="427"/>
      <c r="AS122" s="384">
        <f>SUM(AQ122:AQ127)*1.1</f>
        <v>163208.38600000003</v>
      </c>
      <c r="AT122" s="36"/>
      <c r="AU122" s="200"/>
      <c r="AV122" s="204">
        <v>850.37</v>
      </c>
      <c r="AW122" s="427"/>
      <c r="AX122" s="384">
        <f>SUM(AV122:AV127)*1.1</f>
        <v>142116.26</v>
      </c>
      <c r="AY122" s="36"/>
      <c r="AZ122" s="380"/>
      <c r="BA122" s="204">
        <v>830.59</v>
      </c>
      <c r="BB122" s="427"/>
      <c r="BC122" s="384">
        <f>SUM(BA122:BA127)*1.1</f>
        <v>317536.14199999999</v>
      </c>
      <c r="BD122" s="36"/>
      <c r="BE122" s="380"/>
      <c r="BF122" s="204">
        <v>1074.5</v>
      </c>
      <c r="BG122" s="427"/>
      <c r="BH122" s="384">
        <f>SUM(BF122:BF127)*1.1</f>
        <v>138830.076</v>
      </c>
      <c r="BI122" s="36"/>
      <c r="BJ122" s="200"/>
      <c r="BK122" s="197"/>
      <c r="BL122" s="38"/>
      <c r="BM122" s="384">
        <f>SUM(BK122:BK127)*1.1</f>
        <v>89895.546400000007</v>
      </c>
      <c r="BN122" s="36"/>
      <c r="BO122" s="380"/>
      <c r="BP122" s="204">
        <v>824</v>
      </c>
      <c r="BQ122" s="427"/>
      <c r="BR122" s="384">
        <f>SUM(BP122:BP127)*1.1</f>
        <v>302889.92800000001</v>
      </c>
      <c r="BS122" s="36"/>
      <c r="BT122" s="380"/>
      <c r="BU122" s="204">
        <v>962.43</v>
      </c>
      <c r="BV122" s="427"/>
      <c r="BW122" s="384">
        <f>SUM(BU122:BU127)*1.1</f>
        <v>210941.62100000004</v>
      </c>
      <c r="BX122" s="36"/>
      <c r="BY122" s="200"/>
      <c r="BZ122" s="197"/>
      <c r="CA122" s="38"/>
      <c r="CB122" s="384">
        <f>SUM(BZ122:BZ127)*1.1</f>
        <v>89895.546400000007</v>
      </c>
      <c r="CC122" s="36"/>
      <c r="CD122" s="200"/>
      <c r="CE122" s="197"/>
      <c r="CF122" s="38"/>
      <c r="CG122" s="384">
        <f>SUM(CE122:CE127)*1.1</f>
        <v>89895.546400000007</v>
      </c>
      <c r="CH122" s="36"/>
      <c r="CI122" s="200"/>
      <c r="CJ122" s="197"/>
      <c r="CK122" s="38"/>
      <c r="CL122" s="384">
        <f>SUM(CJ122:CJ127)*1.1</f>
        <v>89895.546400000007</v>
      </c>
      <c r="CM122" s="36"/>
      <c r="CN122" s="200"/>
      <c r="CO122" s="197"/>
      <c r="CP122" s="38"/>
      <c r="CQ122" s="384">
        <f>SUM(CO122:CO127)*1.1</f>
        <v>89895.546400000007</v>
      </c>
      <c r="CR122" s="36"/>
      <c r="CS122" s="200"/>
      <c r="CT122" s="197"/>
      <c r="CU122" s="38"/>
      <c r="CV122" s="384">
        <f>SUM(CT122:CT127)*1.1</f>
        <v>89895.546400000007</v>
      </c>
      <c r="CW122" s="36"/>
      <c r="CX122" s="200"/>
      <c r="CY122" s="197"/>
      <c r="CZ122" s="38"/>
      <c r="DA122" s="384">
        <f>SUM(CY122:CY127)*1.1</f>
        <v>89895.546400000007</v>
      </c>
    </row>
    <row r="123" spans="1:105" s="249" customFormat="1" ht="15" customHeight="1">
      <c r="A123" s="567"/>
      <c r="B123" s="520"/>
      <c r="C123" s="45" t="s">
        <v>80</v>
      </c>
      <c r="D123" s="568" t="s">
        <v>393</v>
      </c>
      <c r="E123" s="568"/>
      <c r="F123" s="103"/>
      <c r="G123" s="569"/>
      <c r="H123" s="570"/>
      <c r="I123" s="571"/>
      <c r="J123" s="86"/>
      <c r="K123" s="196"/>
      <c r="L123" s="200"/>
      <c r="M123" s="197"/>
      <c r="N123" s="38"/>
      <c r="O123" s="206"/>
      <c r="P123" s="196"/>
      <c r="Q123" s="200"/>
      <c r="R123" s="197"/>
      <c r="S123" s="38"/>
      <c r="T123" s="206"/>
      <c r="U123" s="207"/>
      <c r="V123" s="200"/>
      <c r="W123" s="204"/>
      <c r="X123" s="38"/>
      <c r="Y123" s="384"/>
      <c r="Z123" s="36"/>
      <c r="AA123" s="200"/>
      <c r="AB123" s="204"/>
      <c r="AC123" s="38"/>
      <c r="AD123" s="384"/>
      <c r="AE123" s="36"/>
      <c r="AF123" s="200"/>
      <c r="AG123" s="204"/>
      <c r="AH123" s="38"/>
      <c r="AI123" s="384"/>
      <c r="AJ123" s="36"/>
      <c r="AK123" s="200"/>
      <c r="AL123" s="204"/>
      <c r="AM123" s="38"/>
      <c r="AN123" s="384"/>
      <c r="AO123" s="36"/>
      <c r="AP123" s="200"/>
      <c r="AQ123" s="204"/>
      <c r="AR123" s="427"/>
      <c r="AS123" s="384"/>
      <c r="AT123" s="36"/>
      <c r="AU123" s="200"/>
      <c r="AV123" s="204"/>
      <c r="AW123" s="427"/>
      <c r="AX123" s="384"/>
      <c r="AY123" s="36"/>
      <c r="AZ123" s="380"/>
      <c r="BA123" s="204"/>
      <c r="BB123" s="427"/>
      <c r="BC123" s="384"/>
      <c r="BD123" s="36"/>
      <c r="BE123" s="380"/>
      <c r="BF123" s="204"/>
      <c r="BG123" s="427"/>
      <c r="BH123" s="427"/>
      <c r="BI123" s="36"/>
      <c r="BJ123" s="200"/>
      <c r="BK123" s="197"/>
      <c r="BL123" s="38"/>
      <c r="BM123" s="427"/>
      <c r="BN123" s="36"/>
      <c r="BO123" s="380"/>
      <c r="BP123" s="204">
        <v>3512.44</v>
      </c>
      <c r="BQ123" s="427"/>
      <c r="BR123" s="427"/>
      <c r="BS123" s="36"/>
      <c r="BT123" s="380"/>
      <c r="BU123" s="204">
        <v>3512.44</v>
      </c>
      <c r="BV123" s="427"/>
      <c r="BW123" s="384"/>
      <c r="BX123" s="36"/>
      <c r="BY123" s="200"/>
      <c r="BZ123" s="197"/>
      <c r="CA123" s="38"/>
      <c r="CB123" s="384"/>
      <c r="CC123" s="36"/>
      <c r="CD123" s="200"/>
      <c r="CE123" s="197"/>
      <c r="CF123" s="38"/>
      <c r="CG123" s="384"/>
      <c r="CH123" s="36"/>
      <c r="CI123" s="200"/>
      <c r="CJ123" s="197"/>
      <c r="CK123" s="38"/>
      <c r="CL123" s="384"/>
      <c r="CM123" s="36"/>
      <c r="CN123" s="200"/>
      <c r="CO123" s="197"/>
      <c r="CP123" s="38"/>
      <c r="CQ123" s="384"/>
      <c r="CR123" s="36"/>
      <c r="CS123" s="200"/>
      <c r="CT123" s="197"/>
      <c r="CU123" s="38"/>
      <c r="CV123" s="384"/>
      <c r="CW123" s="36"/>
      <c r="CX123" s="200"/>
      <c r="CY123" s="197"/>
      <c r="CZ123" s="38"/>
      <c r="DA123" s="384"/>
    </row>
    <row r="124" spans="1:105" s="249" customFormat="1" ht="15" customHeight="1">
      <c r="A124" s="567"/>
      <c r="B124" s="520"/>
      <c r="C124" s="45" t="s">
        <v>80</v>
      </c>
      <c r="D124" s="568" t="s">
        <v>33</v>
      </c>
      <c r="E124" s="568"/>
      <c r="F124" s="103"/>
      <c r="G124" s="569"/>
      <c r="H124" s="570"/>
      <c r="I124" s="571"/>
      <c r="J124" s="86"/>
      <c r="K124" s="196"/>
      <c r="L124" s="200"/>
      <c r="M124" s="197"/>
      <c r="N124" s="38"/>
      <c r="O124" s="206"/>
      <c r="P124" s="196"/>
      <c r="Q124" s="200"/>
      <c r="R124" s="197"/>
      <c r="S124" s="38"/>
      <c r="T124" s="206"/>
      <c r="U124" s="207"/>
      <c r="V124" s="200"/>
      <c r="W124" s="204"/>
      <c r="X124" s="38"/>
      <c r="Y124" s="384"/>
      <c r="Z124" s="36"/>
      <c r="AA124" s="200"/>
      <c r="AB124" s="204"/>
      <c r="AC124" s="38"/>
      <c r="AD124" s="384"/>
      <c r="AE124" s="36"/>
      <c r="AF124" s="200"/>
      <c r="AG124" s="204"/>
      <c r="AH124" s="38"/>
      <c r="AI124" s="384"/>
      <c r="AJ124" s="36"/>
      <c r="AK124" s="200"/>
      <c r="AL124" s="204"/>
      <c r="AM124" s="38"/>
      <c r="AN124" s="384"/>
      <c r="AO124" s="36"/>
      <c r="AP124" s="200"/>
      <c r="AQ124" s="204"/>
      <c r="AR124" s="427"/>
      <c r="AS124" s="384"/>
      <c r="AT124" s="36"/>
      <c r="AU124" s="200"/>
      <c r="AV124" s="204"/>
      <c r="AW124" s="427"/>
      <c r="AX124" s="384"/>
      <c r="AY124" s="36"/>
      <c r="AZ124" s="380"/>
      <c r="BA124" s="204"/>
      <c r="BB124" s="427"/>
      <c r="BC124" s="384"/>
      <c r="BD124" s="36"/>
      <c r="BE124" s="380"/>
      <c r="BF124" s="204"/>
      <c r="BG124" s="427"/>
      <c r="BH124" s="427"/>
      <c r="BI124" s="36"/>
      <c r="BJ124" s="200"/>
      <c r="BK124" s="197"/>
      <c r="BL124" s="38"/>
      <c r="BM124" s="427"/>
      <c r="BN124" s="36"/>
      <c r="BO124" s="200">
        <v>8.8111999999999995</v>
      </c>
      <c r="BP124" s="197">
        <v>14357.41</v>
      </c>
      <c r="BQ124" s="38"/>
      <c r="BR124" s="38"/>
      <c r="BS124" s="36"/>
      <c r="BT124" s="380"/>
      <c r="BU124" s="204"/>
      <c r="BV124" s="427"/>
      <c r="BW124" s="384"/>
      <c r="BX124" s="36"/>
      <c r="BY124" s="200"/>
      <c r="BZ124" s="197"/>
      <c r="CA124" s="38"/>
      <c r="CB124" s="384"/>
      <c r="CC124" s="36"/>
      <c r="CD124" s="200"/>
      <c r="CE124" s="197"/>
      <c r="CF124" s="38"/>
      <c r="CG124" s="384"/>
      <c r="CH124" s="36"/>
      <c r="CI124" s="200"/>
      <c r="CJ124" s="197"/>
      <c r="CK124" s="38"/>
      <c r="CL124" s="384"/>
      <c r="CM124" s="36"/>
      <c r="CN124" s="200"/>
      <c r="CO124" s="197"/>
      <c r="CP124" s="38"/>
      <c r="CQ124" s="384"/>
      <c r="CR124" s="36"/>
      <c r="CS124" s="200"/>
      <c r="CT124" s="197"/>
      <c r="CU124" s="38"/>
      <c r="CV124" s="384"/>
      <c r="CW124" s="36"/>
      <c r="CX124" s="200"/>
      <c r="CY124" s="197"/>
      <c r="CZ124" s="38"/>
      <c r="DA124" s="384"/>
    </row>
    <row r="125" spans="1:105" ht="15" customHeight="1">
      <c r="A125" s="256"/>
      <c r="B125" s="215">
        <v>39018680</v>
      </c>
      <c r="C125" s="45" t="s">
        <v>80</v>
      </c>
      <c r="D125" s="216" t="s">
        <v>11</v>
      </c>
      <c r="E125" s="22"/>
      <c r="F125" s="103"/>
      <c r="G125" s="128">
        <v>1</v>
      </c>
      <c r="H125" s="70">
        <f>(5861.61+883.33+116.42)</f>
        <v>6861.36</v>
      </c>
      <c r="I125" s="81"/>
      <c r="J125" s="88"/>
      <c r="K125" s="103"/>
      <c r="L125" s="128">
        <v>1</v>
      </c>
      <c r="M125" s="69">
        <f>7613.05-M127</f>
        <v>6900.17</v>
      </c>
      <c r="N125" s="81"/>
      <c r="O125" s="88"/>
      <c r="P125" s="103"/>
      <c r="Q125" s="128">
        <v>1</v>
      </c>
      <c r="R125" s="70">
        <f>5861.61+850.37+160.78</f>
        <v>6872.7599999999993</v>
      </c>
      <c r="S125" s="81"/>
      <c r="T125" s="88"/>
      <c r="U125" s="47"/>
      <c r="V125" s="128">
        <v>1</v>
      </c>
      <c r="W125" s="70">
        <f>7787.84-840.18</f>
        <v>6947.66</v>
      </c>
      <c r="X125" s="81"/>
      <c r="Y125" s="403">
        <f>SUM(W122:W127)*1</f>
        <v>174416.44</v>
      </c>
      <c r="Z125" s="46"/>
      <c r="AA125" s="128">
        <v>1</v>
      </c>
      <c r="AB125" s="70">
        <f>5861.61+870.17+116.42</f>
        <v>6848.2</v>
      </c>
      <c r="AC125" s="81"/>
      <c r="AD125" s="403">
        <f>SUM(AB122:AB127)*1</f>
        <v>123482.86</v>
      </c>
      <c r="AE125" s="46"/>
      <c r="AF125" s="128">
        <v>1</v>
      </c>
      <c r="AG125" s="70">
        <f>(5861.61+916.29+138.6)</f>
        <v>6916.5</v>
      </c>
      <c r="AH125" s="81"/>
      <c r="AI125" s="403">
        <f>SUM(AG122:AG127)*1</f>
        <v>154456.79999999999</v>
      </c>
      <c r="AJ125" s="46"/>
      <c r="AK125" s="128">
        <v>1</v>
      </c>
      <c r="AL125" s="70">
        <f>6486.53+850.37+144.14</f>
        <v>7481.04</v>
      </c>
      <c r="AM125" s="81"/>
      <c r="AN125" s="403">
        <f>SUM(AL122:AL127)*1</f>
        <v>101775.40000000001</v>
      </c>
      <c r="AO125" s="46"/>
      <c r="AP125" s="56">
        <v>1</v>
      </c>
      <c r="AQ125" s="70">
        <f>6486.53+149.69</f>
        <v>6636.2199999999993</v>
      </c>
      <c r="AR125" s="81"/>
      <c r="AS125" s="403">
        <f>SUM(AQ122:AQ127)*1</f>
        <v>148371.26</v>
      </c>
      <c r="AT125" s="46"/>
      <c r="AU125" s="56">
        <v>1</v>
      </c>
      <c r="AV125" s="70">
        <f>6486.53+144.14</f>
        <v>6630.67</v>
      </c>
      <c r="AW125" s="81"/>
      <c r="AX125" s="403">
        <f>SUM(AV122:AV127)*1</f>
        <v>129196.6</v>
      </c>
      <c r="AY125" s="46"/>
      <c r="AZ125" s="128">
        <v>1</v>
      </c>
      <c r="BA125" s="70">
        <f>(6486.53+133.06)</f>
        <v>6619.59</v>
      </c>
      <c r="BB125" s="81"/>
      <c r="BC125" s="403">
        <f>SUM(BA122:BA127)*1</f>
        <v>288669.21999999997</v>
      </c>
      <c r="BD125" s="46"/>
      <c r="BE125" s="128">
        <v>1</v>
      </c>
      <c r="BF125" s="70">
        <f>(6486.53+155.23)</f>
        <v>6641.7599999999993</v>
      </c>
      <c r="BG125" s="81"/>
      <c r="BH125" s="403">
        <f>SUM(BF122:BF127)*1</f>
        <v>126209.15999999999</v>
      </c>
      <c r="BI125" s="46"/>
      <c r="BJ125" s="56">
        <v>1</v>
      </c>
      <c r="BK125" s="62">
        <f>1.2*(5861.61+883.33+116.42)</f>
        <v>8233.6319999999996</v>
      </c>
      <c r="BL125" s="44"/>
      <c r="BM125" s="403">
        <f>SUM(BK122:BK127)*1</f>
        <v>81723.224000000002</v>
      </c>
      <c r="BN125" s="46"/>
      <c r="BO125" s="128">
        <v>1</v>
      </c>
      <c r="BP125" s="70">
        <v>6486.53</v>
      </c>
      <c r="BQ125" s="81"/>
      <c r="BR125" s="403">
        <f>SUM(BP122:BP127)*1</f>
        <v>275354.48</v>
      </c>
      <c r="BS125" s="46"/>
      <c r="BT125" s="128">
        <v>1</v>
      </c>
      <c r="BU125" s="70">
        <v>7366.88</v>
      </c>
      <c r="BV125" s="81"/>
      <c r="BW125" s="403">
        <f>SUM(BU122:BU127)*1</f>
        <v>191765.11000000002</v>
      </c>
      <c r="BX125" s="46"/>
      <c r="BY125" s="56">
        <v>1</v>
      </c>
      <c r="BZ125" s="62">
        <f>1.2*(5861.61+883.33+116.42)</f>
        <v>8233.6319999999996</v>
      </c>
      <c r="CA125" s="44"/>
      <c r="CB125" s="403">
        <f>SUM(BZ122:BZ127)*1</f>
        <v>81723.224000000002</v>
      </c>
      <c r="CC125" s="46"/>
      <c r="CD125" s="56">
        <v>1</v>
      </c>
      <c r="CE125" s="62">
        <f>1.2*(5861.61+883.33+116.42)</f>
        <v>8233.6319999999996</v>
      </c>
      <c r="CF125" s="44"/>
      <c r="CG125" s="403">
        <f>SUM(CE122:CE127)*1</f>
        <v>81723.224000000002</v>
      </c>
      <c r="CH125" s="46"/>
      <c r="CI125" s="56">
        <v>1</v>
      </c>
      <c r="CJ125" s="62">
        <f>1.2*(5861.61+883.33+116.42)</f>
        <v>8233.6319999999996</v>
      </c>
      <c r="CK125" s="44"/>
      <c r="CL125" s="403">
        <f>SUM(CJ122:CJ127)*1</f>
        <v>81723.224000000002</v>
      </c>
      <c r="CM125" s="46"/>
      <c r="CN125" s="56">
        <v>1</v>
      </c>
      <c r="CO125" s="62">
        <f>1.2*(5861.61+883.33+116.42)</f>
        <v>8233.6319999999996</v>
      </c>
      <c r="CP125" s="44"/>
      <c r="CQ125" s="403">
        <f>SUM(CO122:CO127)*1</f>
        <v>81723.224000000002</v>
      </c>
      <c r="CR125" s="46"/>
      <c r="CS125" s="56">
        <v>1</v>
      </c>
      <c r="CT125" s="62">
        <f>1.2*(5861.61+883.33+116.42)</f>
        <v>8233.6319999999996</v>
      </c>
      <c r="CU125" s="44"/>
      <c r="CV125" s="403">
        <f>SUM(CT122:CT127)*1</f>
        <v>81723.224000000002</v>
      </c>
      <c r="CW125" s="46"/>
      <c r="CX125" s="56">
        <v>1</v>
      </c>
      <c r="CY125" s="62">
        <f>1.2*(5861.61+883.33+116.42)</f>
        <v>8233.6319999999996</v>
      </c>
      <c r="CZ125" s="44"/>
      <c r="DA125" s="403">
        <f>SUM(CY122:CY127)*1</f>
        <v>81723.224000000002</v>
      </c>
    </row>
    <row r="126" spans="1:105" ht="15" customHeight="1">
      <c r="A126" s="256" t="s">
        <v>336</v>
      </c>
      <c r="B126" s="215"/>
      <c r="C126" s="45" t="s">
        <v>80</v>
      </c>
      <c r="D126" s="216" t="s">
        <v>13</v>
      </c>
      <c r="E126" s="22"/>
      <c r="F126" s="104">
        <f>H126/G126</f>
        <v>5.8</v>
      </c>
      <c r="G126" s="69">
        <v>12560</v>
      </c>
      <c r="H126" s="70">
        <v>72848</v>
      </c>
      <c r="I126" s="81"/>
      <c r="J126" s="88"/>
      <c r="K126" s="104">
        <f>M126/L126</f>
        <v>5.92</v>
      </c>
      <c r="L126" s="69">
        <v>21880</v>
      </c>
      <c r="M126" s="70">
        <v>129529.60000000001</v>
      </c>
      <c r="N126" s="81"/>
      <c r="O126" s="88"/>
      <c r="P126" s="104">
        <f>R126/Q126</f>
        <v>5.86</v>
      </c>
      <c r="Q126" s="69">
        <v>23800</v>
      </c>
      <c r="R126" s="70">
        <v>139468</v>
      </c>
      <c r="S126" s="81"/>
      <c r="T126" s="88"/>
      <c r="U126" s="115">
        <f>W126/V126</f>
        <v>5.86</v>
      </c>
      <c r="V126" s="69">
        <v>27960</v>
      </c>
      <c r="W126" s="70">
        <v>163845.6</v>
      </c>
      <c r="X126" s="81"/>
      <c r="Y126" s="81"/>
      <c r="Z126" s="92">
        <f>AB126/AA126</f>
        <v>5.65</v>
      </c>
      <c r="AA126" s="69">
        <v>20280</v>
      </c>
      <c r="AB126" s="70">
        <v>114582</v>
      </c>
      <c r="AC126" s="81"/>
      <c r="AD126" s="81"/>
      <c r="AE126" s="92">
        <f>AG126/AF126</f>
        <v>5.47</v>
      </c>
      <c r="AF126" s="69">
        <v>26440</v>
      </c>
      <c r="AG126" s="70">
        <v>144626.79999999999</v>
      </c>
      <c r="AH126" s="81"/>
      <c r="AI126" s="81"/>
      <c r="AJ126" s="92">
        <f>AL126/AK126</f>
        <v>5.8699999999999992</v>
      </c>
      <c r="AK126" s="69">
        <v>15520</v>
      </c>
      <c r="AL126" s="70">
        <v>91102.399999999994</v>
      </c>
      <c r="AM126" s="81"/>
      <c r="AN126" s="81"/>
      <c r="AO126" s="92">
        <f>AQ126/AP126</f>
        <v>6.64</v>
      </c>
      <c r="AP126" s="69">
        <v>21120</v>
      </c>
      <c r="AQ126" s="70">
        <v>140236.79999999999</v>
      </c>
      <c r="AR126" s="81"/>
      <c r="AS126" s="81"/>
      <c r="AT126" s="92">
        <f>AV126/AU126</f>
        <v>7.3100000000000005</v>
      </c>
      <c r="AU126" s="69">
        <v>16560</v>
      </c>
      <c r="AV126" s="70">
        <v>121053.6</v>
      </c>
      <c r="AW126" s="81"/>
      <c r="AX126" s="81"/>
      <c r="AY126" s="92">
        <f>BA126/AZ126</f>
        <v>7.4</v>
      </c>
      <c r="AZ126" s="69">
        <v>37920</v>
      </c>
      <c r="BA126" s="70">
        <v>280608</v>
      </c>
      <c r="BB126" s="81"/>
      <c r="BC126" s="81"/>
      <c r="BD126" s="92">
        <f>BF126/BE126</f>
        <v>7.55</v>
      </c>
      <c r="BE126" s="69">
        <v>15600</v>
      </c>
      <c r="BF126" s="70">
        <v>117780</v>
      </c>
      <c r="BG126" s="81"/>
      <c r="BH126" s="81"/>
      <c r="BI126" s="92">
        <f>BK126/BJ126</f>
        <v>4.3156398104265401</v>
      </c>
      <c r="BJ126" s="69">
        <v>16880</v>
      </c>
      <c r="BK126" s="62">
        <v>72848</v>
      </c>
      <c r="BL126" s="44"/>
      <c r="BM126" s="81"/>
      <c r="BN126" s="92">
        <f>BP126/BO126</f>
        <v>7.3</v>
      </c>
      <c r="BO126" s="69">
        <v>34160</v>
      </c>
      <c r="BP126" s="70">
        <v>249368</v>
      </c>
      <c r="BQ126" s="81"/>
      <c r="BR126" s="81"/>
      <c r="BS126" s="92">
        <f>BU126/BT126</f>
        <v>7.24</v>
      </c>
      <c r="BT126" s="69">
        <v>24680</v>
      </c>
      <c r="BU126" s="70">
        <v>178683.2</v>
      </c>
      <c r="BV126" s="81"/>
      <c r="BW126" s="81"/>
      <c r="BX126" s="92">
        <f>BZ126/BY126</f>
        <v>5.8</v>
      </c>
      <c r="BY126" s="58">
        <v>12560</v>
      </c>
      <c r="BZ126" s="62">
        <v>72848</v>
      </c>
      <c r="CA126" s="44"/>
      <c r="CB126" s="81"/>
      <c r="CC126" s="92">
        <f>CE126/CD126</f>
        <v>5.8</v>
      </c>
      <c r="CD126" s="58">
        <v>12560</v>
      </c>
      <c r="CE126" s="62">
        <v>72848</v>
      </c>
      <c r="CF126" s="44"/>
      <c r="CG126" s="81"/>
      <c r="CH126" s="92">
        <f>CJ126/CI126</f>
        <v>5.8</v>
      </c>
      <c r="CI126" s="58">
        <v>12560</v>
      </c>
      <c r="CJ126" s="62">
        <v>72848</v>
      </c>
      <c r="CK126" s="44"/>
      <c r="CL126" s="81"/>
      <c r="CM126" s="92">
        <f>CO126/CN126</f>
        <v>5.8</v>
      </c>
      <c r="CN126" s="58">
        <v>12560</v>
      </c>
      <c r="CO126" s="62">
        <v>72848</v>
      </c>
      <c r="CP126" s="44"/>
      <c r="CQ126" s="81"/>
      <c r="CR126" s="92">
        <f>CT126/CS126</f>
        <v>5.8</v>
      </c>
      <c r="CS126" s="58">
        <v>12560</v>
      </c>
      <c r="CT126" s="62">
        <v>72848</v>
      </c>
      <c r="CU126" s="44"/>
      <c r="CV126" s="81"/>
      <c r="CW126" s="92">
        <f>CY126/CX126</f>
        <v>5.8</v>
      </c>
      <c r="CX126" s="58">
        <v>12560</v>
      </c>
      <c r="CY126" s="62">
        <v>72848</v>
      </c>
      <c r="CZ126" s="44"/>
      <c r="DA126" s="81"/>
    </row>
    <row r="127" spans="1:105" s="264" customFormat="1" ht="15" customHeight="1" thickBot="1">
      <c r="A127" s="257"/>
      <c r="B127" s="258"/>
      <c r="C127" s="20" t="s">
        <v>80</v>
      </c>
      <c r="D127" s="259" t="s">
        <v>17</v>
      </c>
      <c r="E127" s="23"/>
      <c r="F127" s="168">
        <f>H127/G127</f>
        <v>25.459999999999997</v>
      </c>
      <c r="G127" s="172">
        <v>21</v>
      </c>
      <c r="H127" s="172">
        <f>(340.62+194.04)</f>
        <v>534.66</v>
      </c>
      <c r="I127" s="179"/>
      <c r="J127" s="182"/>
      <c r="K127" s="168">
        <f>M127/L127</f>
        <v>25.46</v>
      </c>
      <c r="L127" s="172">
        <v>28</v>
      </c>
      <c r="M127" s="172">
        <v>712.88</v>
      </c>
      <c r="N127" s="179"/>
      <c r="O127" s="182"/>
      <c r="P127" s="168">
        <f>R127/Q127</f>
        <v>25.459999999999997</v>
      </c>
      <c r="Q127" s="172">
        <v>29</v>
      </c>
      <c r="R127" s="172">
        <f>470.38+267.96</f>
        <v>738.33999999999992</v>
      </c>
      <c r="S127" s="179"/>
      <c r="T127" s="182"/>
      <c r="U127" s="209">
        <f>W127/V127</f>
        <v>25.46</v>
      </c>
      <c r="V127" s="172">
        <v>33</v>
      </c>
      <c r="W127" s="172">
        <f>535.26+304.92</f>
        <v>840.18000000000006</v>
      </c>
      <c r="X127" s="179"/>
      <c r="Y127" s="179"/>
      <c r="Z127" s="3">
        <f>AB127/AA127</f>
        <v>25.459999999999997</v>
      </c>
      <c r="AA127" s="172">
        <v>21</v>
      </c>
      <c r="AB127" s="172">
        <f>340.62+194.04</f>
        <v>534.66</v>
      </c>
      <c r="AC127" s="179"/>
      <c r="AD127" s="179"/>
      <c r="AE127" s="3">
        <f>AG127/AF127</f>
        <v>30.30952380952381</v>
      </c>
      <c r="AF127" s="172">
        <v>21</v>
      </c>
      <c r="AG127" s="172">
        <f>(405.5+231)</f>
        <v>636.5</v>
      </c>
      <c r="AH127" s="179"/>
      <c r="AI127" s="179"/>
      <c r="AJ127" s="3">
        <f>AL127/AK127</f>
        <v>25.46</v>
      </c>
      <c r="AK127" s="172">
        <v>26</v>
      </c>
      <c r="AL127" s="172">
        <f>421.72+240.24</f>
        <v>661.96</v>
      </c>
      <c r="AM127" s="179"/>
      <c r="AN127" s="179"/>
      <c r="AO127" s="3">
        <f>AQ127/AP127</f>
        <v>25.459999999999997</v>
      </c>
      <c r="AP127" s="172">
        <v>27</v>
      </c>
      <c r="AQ127" s="172">
        <f>437.94+249.48</f>
        <v>687.42</v>
      </c>
      <c r="AR127" s="179"/>
      <c r="AS127" s="179"/>
      <c r="AT127" s="3">
        <f>AV127/AU127</f>
        <v>25.46</v>
      </c>
      <c r="AU127" s="172">
        <v>26</v>
      </c>
      <c r="AV127" s="172">
        <f>(421.72+240.24)</f>
        <v>661.96</v>
      </c>
      <c r="AW127" s="179"/>
      <c r="AX127" s="179"/>
      <c r="AY127" s="3">
        <f>BA127/AZ127</f>
        <v>29.097142857142856</v>
      </c>
      <c r="AZ127" s="172">
        <v>21</v>
      </c>
      <c r="BA127" s="172">
        <f>(389.28+221.76)</f>
        <v>611.04</v>
      </c>
      <c r="BB127" s="179"/>
      <c r="BC127" s="179"/>
      <c r="BD127" s="3">
        <f>BF127/BE127</f>
        <v>25.460714285714289</v>
      </c>
      <c r="BE127" s="172">
        <v>28</v>
      </c>
      <c r="BF127" s="172">
        <f>(454.18+258.72)</f>
        <v>712.90000000000009</v>
      </c>
      <c r="BG127" s="179"/>
      <c r="BH127" s="179"/>
      <c r="BI127" s="3">
        <f>BK127/BJ127</f>
        <v>30.552</v>
      </c>
      <c r="BJ127" s="177">
        <v>21</v>
      </c>
      <c r="BK127" s="177">
        <f>1.2*(340.62+194.04)</f>
        <v>641.59199999999998</v>
      </c>
      <c r="BL127" s="48"/>
      <c r="BM127" s="179"/>
      <c r="BN127" s="3">
        <f>BP127/BO127</f>
        <v>31.003846153846155</v>
      </c>
      <c r="BO127" s="172">
        <v>26</v>
      </c>
      <c r="BP127" s="172">
        <f>661.96+144.14</f>
        <v>806.1</v>
      </c>
      <c r="BQ127" s="179"/>
      <c r="BR127" s="179"/>
      <c r="BS127" s="3">
        <f>BU127/BT127</f>
        <v>31.003999999999998</v>
      </c>
      <c r="BT127" s="172">
        <v>40</v>
      </c>
      <c r="BU127" s="172">
        <f>648.8+369.6+221.76</f>
        <v>1240.1599999999999</v>
      </c>
      <c r="BV127" s="179"/>
      <c r="BW127" s="179"/>
      <c r="BX127" s="3">
        <f>BZ127/BY127</f>
        <v>30.552</v>
      </c>
      <c r="BY127" s="177">
        <v>21</v>
      </c>
      <c r="BZ127" s="177">
        <f>1.2*(340.62+194.04)</f>
        <v>641.59199999999998</v>
      </c>
      <c r="CA127" s="48"/>
      <c r="CB127" s="179"/>
      <c r="CC127" s="3">
        <f>CE127/CD127</f>
        <v>30.552</v>
      </c>
      <c r="CD127" s="177">
        <v>21</v>
      </c>
      <c r="CE127" s="177">
        <f>1.2*(340.62+194.04)</f>
        <v>641.59199999999998</v>
      </c>
      <c r="CF127" s="48"/>
      <c r="CG127" s="179"/>
      <c r="CH127" s="3">
        <f>CJ127/CI127</f>
        <v>30.552</v>
      </c>
      <c r="CI127" s="177">
        <v>21</v>
      </c>
      <c r="CJ127" s="177">
        <f>1.2*(340.62+194.04)</f>
        <v>641.59199999999998</v>
      </c>
      <c r="CK127" s="48"/>
      <c r="CL127" s="179"/>
      <c r="CM127" s="3">
        <f>CO127/CN127</f>
        <v>30.552</v>
      </c>
      <c r="CN127" s="177">
        <v>21</v>
      </c>
      <c r="CO127" s="177">
        <f>1.2*(340.62+194.04)</f>
        <v>641.59199999999998</v>
      </c>
      <c r="CP127" s="48"/>
      <c r="CQ127" s="179"/>
      <c r="CR127" s="3">
        <f>CT127/CS127</f>
        <v>30.552</v>
      </c>
      <c r="CS127" s="177">
        <v>21</v>
      </c>
      <c r="CT127" s="177">
        <f>1.2*(340.62+194.04)</f>
        <v>641.59199999999998</v>
      </c>
      <c r="CU127" s="48"/>
      <c r="CV127" s="179"/>
      <c r="CW127" s="3">
        <f>CY127/CX127</f>
        <v>30.552</v>
      </c>
      <c r="CX127" s="177">
        <v>21</v>
      </c>
      <c r="CY127" s="177">
        <f>1.2*(340.62+194.04)</f>
        <v>641.59199999999998</v>
      </c>
      <c r="CZ127" s="48"/>
      <c r="DA127" s="179"/>
    </row>
    <row r="128" spans="1:105" s="249" customFormat="1" ht="15" customHeight="1">
      <c r="A128" s="265" t="s">
        <v>150</v>
      </c>
      <c r="B128" s="5" t="s">
        <v>81</v>
      </c>
      <c r="C128" s="6" t="s">
        <v>25</v>
      </c>
      <c r="D128" s="7" t="s">
        <v>10</v>
      </c>
      <c r="E128" s="4"/>
      <c r="F128" s="196"/>
      <c r="G128" s="197"/>
      <c r="H128" s="197"/>
      <c r="I128" s="38"/>
      <c r="J128" s="206"/>
      <c r="K128" s="196"/>
      <c r="L128" s="197"/>
      <c r="M128" s="197"/>
      <c r="N128" s="38"/>
      <c r="O128" s="206"/>
      <c r="P128" s="196"/>
      <c r="Q128" s="197"/>
      <c r="R128" s="197"/>
      <c r="S128" s="38"/>
      <c r="T128" s="206"/>
      <c r="U128" s="207"/>
      <c r="V128" s="197"/>
      <c r="W128" s="204">
        <v>2530</v>
      </c>
      <c r="X128" s="38"/>
      <c r="Y128" s="384">
        <f>SUM(W128:W132)*1.1</f>
        <v>77486.64</v>
      </c>
      <c r="Z128" s="36"/>
      <c r="AA128" s="197"/>
      <c r="AB128" s="204">
        <v>2530</v>
      </c>
      <c r="AC128" s="38"/>
      <c r="AD128" s="384">
        <f>SUM(AB128:AB132)*1.1</f>
        <v>80414.523199999996</v>
      </c>
      <c r="AE128" s="36"/>
      <c r="AF128" s="197"/>
      <c r="AG128" s="204">
        <v>2024</v>
      </c>
      <c r="AH128" s="38"/>
      <c r="AI128" s="384">
        <f>AI129*1.1</f>
        <v>90369.07</v>
      </c>
      <c r="AJ128" s="36"/>
      <c r="AK128" s="197"/>
      <c r="AL128" s="204">
        <v>1265</v>
      </c>
      <c r="AM128" s="38"/>
      <c r="AN128" s="384">
        <f>AN129*1.1</f>
        <v>95424.641400000008</v>
      </c>
      <c r="AO128" s="36"/>
      <c r="AP128" s="197"/>
      <c r="AQ128" s="197"/>
      <c r="AR128" s="38"/>
      <c r="AS128" s="384">
        <f>SUM(AQ128:AQ132)*1.1</f>
        <v>112771.81300000001</v>
      </c>
      <c r="AT128" s="36"/>
      <c r="AU128" s="197"/>
      <c r="AV128" s="197"/>
      <c r="AW128" s="38"/>
      <c r="AX128" s="384">
        <f>SUM(AV128:AV132)*1.1</f>
        <v>136808.38819999999</v>
      </c>
      <c r="AY128" s="36"/>
      <c r="AZ128" s="197"/>
      <c r="BA128" s="197"/>
      <c r="BB128" s="38"/>
      <c r="BC128" s="384">
        <f>SUM(BA128:BA132)*1.1</f>
        <v>124065.56140000001</v>
      </c>
      <c r="BD128" s="36"/>
      <c r="BE128" s="197"/>
      <c r="BF128" s="197"/>
      <c r="BG128" s="38"/>
      <c r="BH128" s="384">
        <f>SUM(BF128:BF132)*1.1</f>
        <v>118392.56880000001</v>
      </c>
      <c r="BI128" s="36"/>
      <c r="BJ128" s="197"/>
      <c r="BK128" s="197"/>
      <c r="BL128" s="38"/>
      <c r="BM128" s="384">
        <f>SUM(BK128:BK132)*1.1</f>
        <v>72860.895800000013</v>
      </c>
      <c r="BN128" s="36"/>
      <c r="BO128" s="197"/>
      <c r="BP128" s="197"/>
      <c r="BQ128" s="38"/>
      <c r="BR128" s="384">
        <f>SUM(BP128:BP132)*1.1</f>
        <v>161418.63099999999</v>
      </c>
      <c r="BS128" s="36"/>
      <c r="BT128" s="197"/>
      <c r="BU128" s="197"/>
      <c r="BV128" s="38"/>
      <c r="BW128" s="384">
        <f>SUM(BU128:BU132)*1.1</f>
        <v>115234.81419999999</v>
      </c>
      <c r="BX128" s="36"/>
      <c r="BY128" s="197"/>
      <c r="BZ128" s="197"/>
      <c r="CA128" s="38"/>
      <c r="CB128" s="384">
        <f>SUM(BZ128:BZ132)*1.1</f>
        <v>93366.8076</v>
      </c>
      <c r="CC128" s="36"/>
      <c r="CD128" s="197"/>
      <c r="CE128" s="197"/>
      <c r="CF128" s="38"/>
      <c r="CG128" s="384">
        <f>SUM(CE128:CE132)*1.1</f>
        <v>93366.8076</v>
      </c>
      <c r="CH128" s="36"/>
      <c r="CI128" s="197"/>
      <c r="CJ128" s="197"/>
      <c r="CK128" s="38"/>
      <c r="CL128" s="384">
        <f>SUM(CJ128:CJ132)*1.1</f>
        <v>93366.8076</v>
      </c>
      <c r="CM128" s="36"/>
      <c r="CN128" s="197"/>
      <c r="CO128" s="197"/>
      <c r="CP128" s="38"/>
      <c r="CQ128" s="384">
        <f>SUM(CO128:CO132)*1.1</f>
        <v>93366.8076</v>
      </c>
      <c r="CR128" s="36"/>
      <c r="CS128" s="197"/>
      <c r="CT128" s="197"/>
      <c r="CU128" s="38"/>
      <c r="CV128" s="384">
        <f>SUM(CT128:CT132)*1.1</f>
        <v>93366.8076</v>
      </c>
      <c r="CW128" s="36"/>
      <c r="CX128" s="197"/>
      <c r="CY128" s="197"/>
      <c r="CZ128" s="38"/>
      <c r="DA128" s="384">
        <f>SUM(CY128:CY132)*1.1</f>
        <v>93366.8076</v>
      </c>
    </row>
    <row r="129" spans="1:105" ht="15" customHeight="1">
      <c r="A129" s="256"/>
      <c r="B129" s="215">
        <v>42962597</v>
      </c>
      <c r="C129" s="45" t="s">
        <v>82</v>
      </c>
      <c r="D129" s="216" t="s">
        <v>11</v>
      </c>
      <c r="E129" s="22"/>
      <c r="F129" s="103"/>
      <c r="G129" s="128">
        <v>1</v>
      </c>
      <c r="H129" s="128">
        <v>3790.93</v>
      </c>
      <c r="I129" s="81"/>
      <c r="J129" s="88"/>
      <c r="K129" s="103"/>
      <c r="L129" s="156">
        <v>1</v>
      </c>
      <c r="M129" s="156">
        <v>3790.93</v>
      </c>
      <c r="N129" s="81"/>
      <c r="O129" s="88"/>
      <c r="P129" s="103"/>
      <c r="Q129" s="156">
        <v>1</v>
      </c>
      <c r="R129" s="156">
        <v>3790.93</v>
      </c>
      <c r="S129" s="81"/>
      <c r="T129" s="88"/>
      <c r="U129" s="47"/>
      <c r="V129" s="128">
        <v>1</v>
      </c>
      <c r="W129" s="128" t="s">
        <v>227</v>
      </c>
      <c r="X129" s="81"/>
      <c r="Y129" s="403">
        <f>SUM(W128:W132)*1</f>
        <v>70442.399999999994</v>
      </c>
      <c r="Z129" s="46"/>
      <c r="AA129" s="128">
        <v>1</v>
      </c>
      <c r="AB129" s="128" t="s">
        <v>227</v>
      </c>
      <c r="AC129" s="81"/>
      <c r="AD129" s="403">
        <f>SUM(AB128:AB132)*1</f>
        <v>73104.111999999994</v>
      </c>
      <c r="AE129" s="46"/>
      <c r="AF129" s="128">
        <v>1</v>
      </c>
      <c r="AG129" s="128">
        <v>3790.93</v>
      </c>
      <c r="AH129" s="81"/>
      <c r="AI129" s="403">
        <f>SUM(AG131:AG132)+AH130+AG128:AG129*1</f>
        <v>82153.7</v>
      </c>
      <c r="AJ129" s="46"/>
      <c r="AK129" s="56">
        <v>1</v>
      </c>
      <c r="AL129" s="128">
        <v>3790.93</v>
      </c>
      <c r="AM129" s="44"/>
      <c r="AN129" s="403">
        <f>SUM(AL131:AL132)+AM130+AL128:AL129*1</f>
        <v>86749.673999999999</v>
      </c>
      <c r="AO129" s="46"/>
      <c r="AP129" s="128">
        <v>1</v>
      </c>
      <c r="AQ129" s="128">
        <v>3790.93</v>
      </c>
      <c r="AR129" s="81"/>
      <c r="AS129" s="403">
        <f>SUM(AQ128:AQ129)+AR130+AQ131*1</f>
        <v>112519.83</v>
      </c>
      <c r="AT129" s="46"/>
      <c r="AU129" s="128">
        <v>1</v>
      </c>
      <c r="AV129" s="128">
        <v>3790.93</v>
      </c>
      <c r="AW129" s="81"/>
      <c r="AX129" s="403">
        <f>SUM(AV128:AV132)*1</f>
        <v>124371.26199999999</v>
      </c>
      <c r="AY129" s="46"/>
      <c r="AZ129" s="128">
        <v>1</v>
      </c>
      <c r="BA129" s="128">
        <v>3790.93</v>
      </c>
      <c r="BB129" s="81"/>
      <c r="BC129" s="403">
        <f>SUM(BA128:BA132)*1</f>
        <v>112786.874</v>
      </c>
      <c r="BD129" s="46"/>
      <c r="BE129" s="128">
        <v>1</v>
      </c>
      <c r="BF129" s="128">
        <v>3790.93</v>
      </c>
      <c r="BG129" s="81"/>
      <c r="BH129" s="403">
        <f>SUM(BF128:BF132)*1</f>
        <v>107629.60799999999</v>
      </c>
      <c r="BI129" s="46"/>
      <c r="BJ129" s="128">
        <v>1</v>
      </c>
      <c r="BK129" s="128">
        <v>3790.93</v>
      </c>
      <c r="BL129" s="81"/>
      <c r="BM129" s="403">
        <f>SUM(BK128:BK132)*1</f>
        <v>66237.178</v>
      </c>
      <c r="BN129" s="46"/>
      <c r="BO129" s="128">
        <v>1</v>
      </c>
      <c r="BP129" s="128">
        <v>3790.93</v>
      </c>
      <c r="BQ129" s="81"/>
      <c r="BR129" s="403">
        <f>SUM(BP128:BP132)*1</f>
        <v>146744.21</v>
      </c>
      <c r="BS129" s="46"/>
      <c r="BT129" s="128">
        <v>1</v>
      </c>
      <c r="BU129" s="128">
        <v>3836.51</v>
      </c>
      <c r="BV129" s="81"/>
      <c r="BW129" s="403">
        <f>SUM(BU128:BU132)*1</f>
        <v>104758.92199999999</v>
      </c>
      <c r="BX129" s="46"/>
      <c r="BY129" s="56">
        <v>1</v>
      </c>
      <c r="BZ129" s="56">
        <f>4884.67*1.2</f>
        <v>5861.6040000000003</v>
      </c>
      <c r="CA129" s="44"/>
      <c r="CB129" s="403">
        <f>SUM(BZ128:BZ132)*1</f>
        <v>84878.915999999997</v>
      </c>
      <c r="CC129" s="46"/>
      <c r="CD129" s="56">
        <v>1</v>
      </c>
      <c r="CE129" s="56">
        <f>4884.67*1.2</f>
        <v>5861.6040000000003</v>
      </c>
      <c r="CF129" s="44"/>
      <c r="CG129" s="403">
        <f>SUM(CE128:CE132)*1</f>
        <v>84878.915999999997</v>
      </c>
      <c r="CH129" s="46"/>
      <c r="CI129" s="56">
        <v>1</v>
      </c>
      <c r="CJ129" s="56">
        <f>4884.67*1.2</f>
        <v>5861.6040000000003</v>
      </c>
      <c r="CK129" s="44"/>
      <c r="CL129" s="403">
        <f>SUM(CJ128:CJ132)*1</f>
        <v>84878.915999999997</v>
      </c>
      <c r="CM129" s="46"/>
      <c r="CN129" s="56">
        <v>1</v>
      </c>
      <c r="CO129" s="56">
        <f>4884.67*1.2</f>
        <v>5861.6040000000003</v>
      </c>
      <c r="CP129" s="44"/>
      <c r="CQ129" s="403">
        <f>SUM(CO128:CO132)*1</f>
        <v>84878.915999999997</v>
      </c>
      <c r="CR129" s="46"/>
      <c r="CS129" s="56">
        <v>1</v>
      </c>
      <c r="CT129" s="56">
        <f>4884.67*1.2</f>
        <v>5861.6040000000003</v>
      </c>
      <c r="CU129" s="44"/>
      <c r="CV129" s="403">
        <f>SUM(CT128:CT132)*1</f>
        <v>84878.915999999997</v>
      </c>
      <c r="CW129" s="46"/>
      <c r="CX129" s="56">
        <v>1</v>
      </c>
      <c r="CY129" s="56">
        <f>4884.67*1.2</f>
        <v>5861.6040000000003</v>
      </c>
      <c r="CZ129" s="44"/>
      <c r="DA129" s="403">
        <f>SUM(CY128:CY132)*1</f>
        <v>84878.915999999997</v>
      </c>
    </row>
    <row r="130" spans="1:105" ht="15" customHeight="1">
      <c r="A130" s="256"/>
      <c r="B130" s="215">
        <v>41916045</v>
      </c>
      <c r="C130" s="45" t="s">
        <v>195</v>
      </c>
      <c r="D130" s="216" t="s">
        <v>13</v>
      </c>
      <c r="E130" s="22"/>
      <c r="F130" s="110">
        <f>H130/G130</f>
        <v>5.3077193407658756</v>
      </c>
      <c r="G130" s="128">
        <v>8252</v>
      </c>
      <c r="H130" s="128">
        <v>43799.3</v>
      </c>
      <c r="I130" s="81"/>
      <c r="J130" s="88"/>
      <c r="K130" s="110">
        <f>M130/L130</f>
        <v>5.3685475406919867</v>
      </c>
      <c r="L130" s="128">
        <v>11243</v>
      </c>
      <c r="M130" s="128">
        <v>60358.58</v>
      </c>
      <c r="N130" s="81" t="s">
        <v>201</v>
      </c>
      <c r="O130" s="88"/>
      <c r="P130" s="110">
        <f>R130/Q130</f>
        <v>4.9663927837813695</v>
      </c>
      <c r="Q130" s="128">
        <v>11197</v>
      </c>
      <c r="R130" s="128">
        <v>55608.7</v>
      </c>
      <c r="S130" s="128" t="s">
        <v>205</v>
      </c>
      <c r="T130" s="88"/>
      <c r="U130" s="121">
        <f>W130/V130</f>
        <v>5.1477596404069077</v>
      </c>
      <c r="V130" s="128">
        <v>12681</v>
      </c>
      <c r="W130" s="128">
        <v>65278.74</v>
      </c>
      <c r="X130" s="81">
        <f>50000+66039.14</f>
        <v>116039.14</v>
      </c>
      <c r="Y130" s="81"/>
      <c r="Z130" s="98">
        <f>AB130/AA130</f>
        <v>4.6829522383997819</v>
      </c>
      <c r="AA130" s="128">
        <v>14698</v>
      </c>
      <c r="AB130" s="128">
        <f>1.2*57358.36</f>
        <v>68830.031999999992</v>
      </c>
      <c r="AC130" s="81" t="s">
        <v>226</v>
      </c>
      <c r="AD130" s="81"/>
      <c r="AE130" s="98">
        <f>AG130/AF130</f>
        <v>4.8199437901498934</v>
      </c>
      <c r="AF130" s="408">
        <v>14944</v>
      </c>
      <c r="AG130" s="408">
        <v>72029.240000000005</v>
      </c>
      <c r="AH130" s="81">
        <v>73781.820000000007</v>
      </c>
      <c r="AI130" s="81"/>
      <c r="AJ130" s="98">
        <f>AL130/AK130</f>
        <v>4.9792196509372983</v>
      </c>
      <c r="AK130" s="408">
        <v>15470</v>
      </c>
      <c r="AL130" s="408">
        <f>1.2*64190.44</f>
        <v>77028.528000000006</v>
      </c>
      <c r="AM130" s="81">
        <f>1.2*67306.57</f>
        <v>80767.884000000005</v>
      </c>
      <c r="AN130" s="44"/>
      <c r="AO130" s="98">
        <f>AQ130/AP130</f>
        <v>5.9466964507321922</v>
      </c>
      <c r="AP130" s="408">
        <v>16116</v>
      </c>
      <c r="AQ130" s="408">
        <v>95836.96</v>
      </c>
      <c r="AR130" s="81">
        <v>105836.96</v>
      </c>
      <c r="AS130" s="44"/>
      <c r="AT130" s="98">
        <f>AV130/AU130</f>
        <v>6.6107638157894737</v>
      </c>
      <c r="AU130" s="408">
        <v>18240</v>
      </c>
      <c r="AV130" s="408">
        <f>1.2*100483.61</f>
        <v>120580.33199999999</v>
      </c>
      <c r="AW130" s="44"/>
      <c r="AX130" s="81"/>
      <c r="AY130" s="98">
        <f>BA130/AZ130</f>
        <v>6.2413441984056686</v>
      </c>
      <c r="AZ130" s="408">
        <v>16935</v>
      </c>
      <c r="BA130" s="408">
        <f>1.2*88080.97</f>
        <v>105697.164</v>
      </c>
      <c r="BB130" s="81" t="s">
        <v>348</v>
      </c>
      <c r="BC130" s="81"/>
      <c r="BD130" s="98">
        <f>BF130/BE130</f>
        <v>6.3628443423319929</v>
      </c>
      <c r="BE130" s="408">
        <v>15669</v>
      </c>
      <c r="BF130" s="408">
        <v>99699.407999999996</v>
      </c>
      <c r="BG130" s="81" t="s">
        <v>348</v>
      </c>
      <c r="BH130" s="81"/>
      <c r="BI130" s="98">
        <f>BK130/BJ130</f>
        <v>6.7715881294964024</v>
      </c>
      <c r="BJ130" s="408">
        <v>8896</v>
      </c>
      <c r="BK130" s="408">
        <f>1.2*50200.04</f>
        <v>60240.047999999995</v>
      </c>
      <c r="BL130" s="372" t="s">
        <v>366</v>
      </c>
      <c r="BM130" s="81"/>
      <c r="BN130" s="98">
        <f>BP130/BO130</f>
        <v>6.3746282121377797</v>
      </c>
      <c r="BO130" s="408">
        <v>21948</v>
      </c>
      <c r="BP130" s="408">
        <f>1.2*116591.95</f>
        <v>139910.34</v>
      </c>
      <c r="BQ130" s="372" t="s">
        <v>388</v>
      </c>
      <c r="BR130" s="81"/>
      <c r="BS130" s="98">
        <f>BU130/BT130</f>
        <v>6.0268796791443844</v>
      </c>
      <c r="BT130" s="408">
        <v>16456</v>
      </c>
      <c r="BU130" s="408">
        <f>1.2*82648.61</f>
        <v>99178.331999999995</v>
      </c>
      <c r="BV130" s="81" t="s">
        <v>431</v>
      </c>
      <c r="BW130" s="81"/>
      <c r="BX130" s="98">
        <f>BZ130/BY130</f>
        <v>4.6710722451958153</v>
      </c>
      <c r="BY130" s="56">
        <v>16444</v>
      </c>
      <c r="BZ130" s="56">
        <f>1.2*64009.26</f>
        <v>76811.111999999994</v>
      </c>
      <c r="CA130" s="44"/>
      <c r="CB130" s="81"/>
      <c r="CC130" s="98">
        <f>CE130/CD130</f>
        <v>4.6710722451958153</v>
      </c>
      <c r="CD130" s="56">
        <v>16444</v>
      </c>
      <c r="CE130" s="56">
        <f>1.2*64009.26</f>
        <v>76811.111999999994</v>
      </c>
      <c r="CF130" s="44"/>
      <c r="CG130" s="81"/>
      <c r="CH130" s="98">
        <f>CJ130/CI130</f>
        <v>4.6710722451958153</v>
      </c>
      <c r="CI130" s="56">
        <v>16444</v>
      </c>
      <c r="CJ130" s="56">
        <f>1.2*64009.26</f>
        <v>76811.111999999994</v>
      </c>
      <c r="CK130" s="44"/>
      <c r="CL130" s="81"/>
      <c r="CM130" s="98">
        <f>CO130/CN130</f>
        <v>4.6710722451958153</v>
      </c>
      <c r="CN130" s="56">
        <v>16444</v>
      </c>
      <c r="CO130" s="56">
        <f>1.2*64009.26</f>
        <v>76811.111999999994</v>
      </c>
      <c r="CP130" s="44"/>
      <c r="CQ130" s="81"/>
      <c r="CR130" s="98">
        <f>CT130/CS130</f>
        <v>4.6710722451958153</v>
      </c>
      <c r="CS130" s="56">
        <v>16444</v>
      </c>
      <c r="CT130" s="56">
        <f>1.2*64009.26</f>
        <v>76811.111999999994</v>
      </c>
      <c r="CU130" s="44"/>
      <c r="CV130" s="81"/>
      <c r="CW130" s="98">
        <f>CY130/CX130</f>
        <v>4.6710722451958153</v>
      </c>
      <c r="CX130" s="56">
        <v>16444</v>
      </c>
      <c r="CY130" s="56">
        <f>1.2*64009.26</f>
        <v>76811.111999999994</v>
      </c>
      <c r="CZ130" s="44"/>
      <c r="DA130" s="81"/>
    </row>
    <row r="131" spans="1:105" ht="15" customHeight="1">
      <c r="A131" s="256"/>
      <c r="B131" s="215">
        <v>41946011</v>
      </c>
      <c r="C131" s="45" t="s">
        <v>200</v>
      </c>
      <c r="D131" s="216" t="s">
        <v>15</v>
      </c>
      <c r="E131" s="22"/>
      <c r="F131" s="103"/>
      <c r="G131" s="128">
        <v>0</v>
      </c>
      <c r="H131" s="128">
        <v>462.12</v>
      </c>
      <c r="I131" s="81"/>
      <c r="J131" s="88"/>
      <c r="K131" s="103"/>
      <c r="L131" s="128">
        <v>0</v>
      </c>
      <c r="M131" s="128">
        <v>646.85</v>
      </c>
      <c r="N131" s="81"/>
      <c r="O131" s="88"/>
      <c r="P131" s="103"/>
      <c r="Q131" s="128">
        <v>0</v>
      </c>
      <c r="R131" s="128">
        <v>691.92</v>
      </c>
      <c r="S131" s="81"/>
      <c r="T131" s="88"/>
      <c r="U131" s="47"/>
      <c r="V131" s="128">
        <v>0</v>
      </c>
      <c r="W131" s="128">
        <v>889.58</v>
      </c>
      <c r="X131" s="81"/>
      <c r="Y131" s="81"/>
      <c r="Z131" s="46"/>
      <c r="AA131" s="128">
        <v>1</v>
      </c>
      <c r="AB131" s="128" t="s">
        <v>232</v>
      </c>
      <c r="AC131" s="81"/>
      <c r="AD131" s="81"/>
      <c r="AE131" s="406"/>
      <c r="AF131" s="128">
        <v>0</v>
      </c>
      <c r="AG131" s="128">
        <v>1299.48</v>
      </c>
      <c r="AH131" s="81"/>
      <c r="AI131" s="81"/>
      <c r="AJ131" s="46"/>
      <c r="AK131" s="128">
        <v>0</v>
      </c>
      <c r="AL131" s="128">
        <v>1229.9000000000001</v>
      </c>
      <c r="AM131" s="81"/>
      <c r="AN131" s="81"/>
      <c r="AO131" s="46"/>
      <c r="AP131" s="128">
        <v>0</v>
      </c>
      <c r="AQ131" s="128">
        <v>2891.94</v>
      </c>
      <c r="AR131" s="81"/>
      <c r="AS131" s="81"/>
      <c r="AT131" s="46"/>
      <c r="AU131" s="128">
        <v>0</v>
      </c>
      <c r="AV131" s="128" t="s">
        <v>332</v>
      </c>
      <c r="AW131" s="81"/>
      <c r="AX131" s="81"/>
      <c r="AY131" s="46"/>
      <c r="AZ131" s="408">
        <v>0</v>
      </c>
      <c r="BA131" s="408">
        <v>3298.78</v>
      </c>
      <c r="BB131" s="44"/>
      <c r="BC131" s="81"/>
      <c r="BD131" s="46"/>
      <c r="BE131" s="408">
        <v>0</v>
      </c>
      <c r="BF131" s="525">
        <v>2395.19</v>
      </c>
      <c r="BG131" s="511"/>
      <c r="BH131" s="81"/>
      <c r="BI131" s="46"/>
      <c r="BJ131" s="56">
        <v>0</v>
      </c>
      <c r="BK131" s="56">
        <v>462.12</v>
      </c>
      <c r="BL131" s="44"/>
      <c r="BM131" s="81"/>
      <c r="BN131" s="46"/>
      <c r="BO131" s="56">
        <v>0</v>
      </c>
      <c r="BP131" s="56">
        <v>462.12</v>
      </c>
      <c r="BQ131" s="44"/>
      <c r="BR131" s="81"/>
      <c r="BS131" s="46"/>
      <c r="BT131" s="408">
        <v>0</v>
      </c>
      <c r="BU131" s="408" t="s">
        <v>451</v>
      </c>
      <c r="BV131" s="44"/>
      <c r="BW131" s="81"/>
      <c r="BX131" s="46"/>
      <c r="BY131" s="56">
        <v>0</v>
      </c>
      <c r="BZ131" s="56">
        <v>462.12</v>
      </c>
      <c r="CA131" s="44"/>
      <c r="CB131" s="81"/>
      <c r="CC131" s="46"/>
      <c r="CD131" s="56">
        <v>0</v>
      </c>
      <c r="CE131" s="56">
        <v>462.12</v>
      </c>
      <c r="CF131" s="44"/>
      <c r="CG131" s="81"/>
      <c r="CH131" s="46"/>
      <c r="CI131" s="56">
        <v>0</v>
      </c>
      <c r="CJ131" s="56">
        <v>462.12</v>
      </c>
      <c r="CK131" s="44"/>
      <c r="CL131" s="81"/>
      <c r="CM131" s="46"/>
      <c r="CN131" s="56">
        <v>0</v>
      </c>
      <c r="CO131" s="56">
        <v>462.12</v>
      </c>
      <c r="CP131" s="44"/>
      <c r="CQ131" s="81"/>
      <c r="CR131" s="46"/>
      <c r="CS131" s="56">
        <v>0</v>
      </c>
      <c r="CT131" s="56">
        <v>462.12</v>
      </c>
      <c r="CU131" s="44"/>
      <c r="CV131" s="81"/>
      <c r="CW131" s="46"/>
      <c r="CX131" s="56">
        <v>0</v>
      </c>
      <c r="CY131" s="56">
        <v>462.12</v>
      </c>
      <c r="CZ131" s="44"/>
      <c r="DA131" s="81"/>
    </row>
    <row r="132" spans="1:105" s="264" customFormat="1" ht="15" customHeight="1" thickBot="1">
      <c r="A132" s="257"/>
      <c r="B132" s="258">
        <v>42962597</v>
      </c>
      <c r="C132" s="20" t="s">
        <v>82</v>
      </c>
      <c r="D132" s="259" t="s">
        <v>17</v>
      </c>
      <c r="E132" s="23"/>
      <c r="F132" s="168">
        <f>H132/G132</f>
        <v>33.540000000000006</v>
      </c>
      <c r="G132" s="177">
        <v>52</v>
      </c>
      <c r="H132" s="177">
        <f>(481+240.24+732.16)*1.2</f>
        <v>1744.0800000000002</v>
      </c>
      <c r="I132" s="48"/>
      <c r="J132" s="49"/>
      <c r="K132" s="168">
        <f>M132/L132</f>
        <v>33.540000000000006</v>
      </c>
      <c r="L132" s="177">
        <v>52</v>
      </c>
      <c r="M132" s="177">
        <f>(481+240.24+732.16)*1.2</f>
        <v>1744.0800000000002</v>
      </c>
      <c r="N132" s="48"/>
      <c r="O132" s="49"/>
      <c r="P132" s="168" t="e">
        <f>R132/Q132</f>
        <v>#DIV/0!</v>
      </c>
      <c r="Q132" s="172">
        <v>0</v>
      </c>
      <c r="R132" s="172">
        <v>0</v>
      </c>
      <c r="S132" s="179"/>
      <c r="T132" s="182"/>
      <c r="U132" s="209">
        <f>W132/V132</f>
        <v>33.540000000000006</v>
      </c>
      <c r="V132" s="397">
        <v>52</v>
      </c>
      <c r="W132" s="397">
        <f>(481+240.24+732.16)*1.2</f>
        <v>1744.0800000000002</v>
      </c>
      <c r="X132" s="399"/>
      <c r="Y132" s="399"/>
      <c r="Z132" s="3">
        <f>AB132/AA132</f>
        <v>33.540000000000006</v>
      </c>
      <c r="AA132" s="397">
        <v>52</v>
      </c>
      <c r="AB132" s="397">
        <f>(481+240.24+732.16)*1.2</f>
        <v>1744.0800000000002</v>
      </c>
      <c r="AC132" s="399"/>
      <c r="AD132" s="399"/>
      <c r="AE132" s="3">
        <f>AG132/AF132</f>
        <v>30.383981481481481</v>
      </c>
      <c r="AF132" s="172">
        <v>108</v>
      </c>
      <c r="AG132" s="172">
        <v>3281.47</v>
      </c>
      <c r="AH132" s="179"/>
      <c r="AI132" s="179"/>
      <c r="AJ132" s="3">
        <f>AL132/AK132</f>
        <v>43.68</v>
      </c>
      <c r="AK132" s="177">
        <v>22</v>
      </c>
      <c r="AL132" s="177">
        <v>960.96</v>
      </c>
      <c r="AM132" s="48"/>
      <c r="AN132" s="48"/>
      <c r="AO132" s="3"/>
      <c r="AP132" s="177"/>
      <c r="AQ132" s="177"/>
      <c r="AR132" s="48"/>
      <c r="AS132" s="48"/>
      <c r="AT132" s="3"/>
      <c r="AU132" s="177"/>
      <c r="AV132" s="177"/>
      <c r="AW132" s="48"/>
      <c r="AX132" s="399"/>
      <c r="AY132" s="3"/>
      <c r="AZ132" s="177"/>
      <c r="BA132" s="177"/>
      <c r="BB132" s="48"/>
      <c r="BC132" s="399"/>
      <c r="BD132" s="3">
        <f>BF132/BE132</f>
        <v>33.540000000000006</v>
      </c>
      <c r="BE132" s="177">
        <v>52</v>
      </c>
      <c r="BF132" s="177">
        <f>(481+240.24+732.16)*1.2</f>
        <v>1744.0800000000002</v>
      </c>
      <c r="BG132" s="48"/>
      <c r="BH132" s="399"/>
      <c r="BI132" s="3">
        <f>BK132/BJ132</f>
        <v>33.540000000000006</v>
      </c>
      <c r="BJ132" s="177">
        <v>52</v>
      </c>
      <c r="BK132" s="177">
        <f>(481+240.24+732.16)*1.2</f>
        <v>1744.0800000000002</v>
      </c>
      <c r="BL132" s="48"/>
      <c r="BM132" s="399"/>
      <c r="BN132" s="3">
        <f>BP132/BO132</f>
        <v>49.63115384615385</v>
      </c>
      <c r="BO132" s="172">
        <v>52</v>
      </c>
      <c r="BP132" s="172">
        <v>2580.8200000000002</v>
      </c>
      <c r="BQ132" s="179"/>
      <c r="BR132" s="399"/>
      <c r="BS132" s="3">
        <f>BU132/BT132</f>
        <v>33.540000000000006</v>
      </c>
      <c r="BT132" s="177">
        <v>52</v>
      </c>
      <c r="BU132" s="177">
        <f>(481+240.24+732.16)*1.2</f>
        <v>1744.0800000000002</v>
      </c>
      <c r="BV132" s="48"/>
      <c r="BW132" s="399"/>
      <c r="BX132" s="3">
        <f>BZ132/BY132</f>
        <v>33.540000000000006</v>
      </c>
      <c r="BY132" s="177">
        <v>52</v>
      </c>
      <c r="BZ132" s="177">
        <f>(481+240.24+732.16)*1.2</f>
        <v>1744.0800000000002</v>
      </c>
      <c r="CA132" s="48"/>
      <c r="CB132" s="399"/>
      <c r="CC132" s="3">
        <f>CE132/CD132</f>
        <v>33.540000000000006</v>
      </c>
      <c r="CD132" s="177">
        <v>52</v>
      </c>
      <c r="CE132" s="177">
        <f>(481+240.24+732.16)*1.2</f>
        <v>1744.0800000000002</v>
      </c>
      <c r="CF132" s="48"/>
      <c r="CG132" s="399"/>
      <c r="CH132" s="3">
        <f>CJ132/CI132</f>
        <v>33.540000000000006</v>
      </c>
      <c r="CI132" s="177">
        <v>52</v>
      </c>
      <c r="CJ132" s="177">
        <f>(481+240.24+732.16)*1.2</f>
        <v>1744.0800000000002</v>
      </c>
      <c r="CK132" s="48"/>
      <c r="CL132" s="399"/>
      <c r="CM132" s="3">
        <f>CO132/CN132</f>
        <v>33.540000000000006</v>
      </c>
      <c r="CN132" s="177">
        <v>52</v>
      </c>
      <c r="CO132" s="177">
        <f>(481+240.24+732.16)*1.2</f>
        <v>1744.0800000000002</v>
      </c>
      <c r="CP132" s="48"/>
      <c r="CQ132" s="399"/>
      <c r="CR132" s="3">
        <f>CT132/CS132</f>
        <v>33.540000000000006</v>
      </c>
      <c r="CS132" s="177">
        <v>52</v>
      </c>
      <c r="CT132" s="177">
        <f>(481+240.24+732.16)*1.2</f>
        <v>1744.0800000000002</v>
      </c>
      <c r="CU132" s="48"/>
      <c r="CV132" s="399"/>
      <c r="CW132" s="3">
        <f>CY132/CX132</f>
        <v>33.540000000000006</v>
      </c>
      <c r="CX132" s="177">
        <v>52</v>
      </c>
      <c r="CY132" s="177">
        <f>(481+240.24+732.16)*1.2</f>
        <v>1744.0800000000002</v>
      </c>
      <c r="CZ132" s="48"/>
      <c r="DA132" s="399"/>
    </row>
    <row r="133" spans="1:105" s="249" customFormat="1" ht="15" customHeight="1">
      <c r="A133" s="265" t="s">
        <v>152</v>
      </c>
      <c r="B133" s="11" t="s">
        <v>83</v>
      </c>
      <c r="C133" s="6" t="s">
        <v>25</v>
      </c>
      <c r="D133" s="7" t="s">
        <v>10</v>
      </c>
      <c r="E133" s="4"/>
      <c r="F133" s="196"/>
      <c r="G133" s="200"/>
      <c r="H133" s="197"/>
      <c r="I133" s="38"/>
      <c r="J133" s="206"/>
      <c r="K133" s="196"/>
      <c r="L133" s="200"/>
      <c r="M133" s="197"/>
      <c r="N133" s="38"/>
      <c r="O133" s="206"/>
      <c r="P133" s="196"/>
      <c r="Q133" s="200"/>
      <c r="R133" s="197"/>
      <c r="S133" s="38"/>
      <c r="T133" s="206"/>
      <c r="U133" s="207"/>
      <c r="V133" s="200"/>
      <c r="W133" s="197"/>
      <c r="X133" s="38"/>
      <c r="Y133" s="384">
        <f>SUM(W133:W136)*1.1</f>
        <v>77812.328000000009</v>
      </c>
      <c r="Z133" s="36"/>
      <c r="AA133" s="200"/>
      <c r="AB133" s="197"/>
      <c r="AC133" s="38"/>
      <c r="AD133" s="384">
        <f>SUM(AB133:AB136)*1.1</f>
        <v>75151.857000000004</v>
      </c>
      <c r="AE133" s="36"/>
      <c r="AF133" s="200"/>
      <c r="AG133" s="197"/>
      <c r="AH133" s="38"/>
      <c r="AI133" s="384">
        <f>AI134*1.1</f>
        <v>85648.44200000001</v>
      </c>
      <c r="AJ133" s="36"/>
      <c r="AK133" s="200"/>
      <c r="AL133" s="197"/>
      <c r="AM133" s="38"/>
      <c r="AN133" s="384">
        <f>AN134*1.1</f>
        <v>85177.377999999997</v>
      </c>
      <c r="AO133" s="36"/>
      <c r="AP133" s="200"/>
      <c r="AQ133" s="197"/>
      <c r="AR133" s="38"/>
      <c r="AS133" s="384">
        <f>SUM(AQ133:AQ136)*1.1</f>
        <v>103679.092</v>
      </c>
      <c r="AT133" s="36"/>
      <c r="AU133" s="200"/>
      <c r="AV133" s="197"/>
      <c r="AW133" s="38"/>
      <c r="AX133" s="384">
        <f>SUM(AV133:AV136)*1.1</f>
        <v>136592.929</v>
      </c>
      <c r="AY133" s="36"/>
      <c r="AZ133" s="200"/>
      <c r="BA133" s="197"/>
      <c r="BB133" s="38"/>
      <c r="BC133" s="384">
        <f>SUM(BA133:BA136)*1.1</f>
        <v>110530.31000000001</v>
      </c>
      <c r="BD133" s="36"/>
      <c r="BE133" s="200"/>
      <c r="BF133" s="197"/>
      <c r="BG133" s="38"/>
      <c r="BH133" s="384">
        <f>SUM(BF133:BF136)*1.1</f>
        <v>121247.21400000002</v>
      </c>
      <c r="BI133" s="36"/>
      <c r="BJ133" s="200"/>
      <c r="BK133" s="197"/>
      <c r="BL133" s="38"/>
      <c r="BM133" s="384">
        <f>SUM(BK133:BK136)*1.1</f>
        <v>116715.44500000001</v>
      </c>
      <c r="BN133" s="36"/>
      <c r="BO133" s="200"/>
      <c r="BP133" s="197"/>
      <c r="BQ133" s="38"/>
      <c r="BR133" s="384">
        <f>SUM(BP133:BP136)*1.1</f>
        <v>119484.299</v>
      </c>
      <c r="BS133" s="36"/>
      <c r="BT133" s="200"/>
      <c r="BU133" s="197"/>
      <c r="BV133" s="38"/>
      <c r="BW133" s="384">
        <f>SUM(BU133:BU136)*1.1</f>
        <v>152501.63500000004</v>
      </c>
      <c r="BX133" s="36"/>
      <c r="BY133" s="200"/>
      <c r="BZ133" s="197"/>
      <c r="CA133" s="38"/>
      <c r="CB133" s="384">
        <f>SUM(BZ133:BZ136)*1.1</f>
        <v>41943.968000000001</v>
      </c>
      <c r="CC133" s="36"/>
      <c r="CD133" s="200"/>
      <c r="CE133" s="197"/>
      <c r="CF133" s="38"/>
      <c r="CG133" s="384">
        <f>SUM(CE133:CE136)*1.1</f>
        <v>41943.968000000001</v>
      </c>
      <c r="CH133" s="36"/>
      <c r="CI133" s="200"/>
      <c r="CJ133" s="197"/>
      <c r="CK133" s="38"/>
      <c r="CL133" s="384">
        <f>SUM(CJ133:CJ136)*1.1</f>
        <v>41943.968000000001</v>
      </c>
      <c r="CM133" s="36"/>
      <c r="CN133" s="200"/>
      <c r="CO133" s="197"/>
      <c r="CP133" s="38"/>
      <c r="CQ133" s="384">
        <f>SUM(CO133:CO136)*1.1</f>
        <v>41943.968000000001</v>
      </c>
      <c r="CR133" s="36"/>
      <c r="CS133" s="200"/>
      <c r="CT133" s="197"/>
      <c r="CU133" s="38"/>
      <c r="CV133" s="384">
        <f>SUM(CT133:CT136)*1.1</f>
        <v>41943.968000000001</v>
      </c>
      <c r="CW133" s="36"/>
      <c r="CX133" s="200"/>
      <c r="CY133" s="197"/>
      <c r="CZ133" s="38"/>
      <c r="DA133" s="384">
        <f>SUM(CY133:CY136)*1.1</f>
        <v>41943.968000000001</v>
      </c>
    </row>
    <row r="134" spans="1:105" ht="15" customHeight="1">
      <c r="A134" s="256" t="s">
        <v>333</v>
      </c>
      <c r="B134" s="232">
        <v>43594384</v>
      </c>
      <c r="C134" s="233" t="s">
        <v>84</v>
      </c>
      <c r="D134" s="216" t="s">
        <v>11</v>
      </c>
      <c r="E134" s="22"/>
      <c r="F134" s="103"/>
      <c r="G134" s="128">
        <v>571.20000000000005</v>
      </c>
      <c r="H134" s="74">
        <f>5751.98</f>
        <v>5751.98</v>
      </c>
      <c r="I134" s="81"/>
      <c r="J134" s="88"/>
      <c r="K134" s="103"/>
      <c r="L134" s="128">
        <v>571.20000000000005</v>
      </c>
      <c r="M134" s="74">
        <f>5751.98</f>
        <v>5751.98</v>
      </c>
      <c r="N134" s="81"/>
      <c r="O134" s="88"/>
      <c r="P134" s="103"/>
      <c r="Q134" s="128">
        <v>571.20000000000005</v>
      </c>
      <c r="R134" s="74">
        <f>5751.98</f>
        <v>5751.98</v>
      </c>
      <c r="S134" s="81"/>
      <c r="T134" s="88"/>
      <c r="U134" s="47"/>
      <c r="V134" s="128">
        <v>571.20000000000005</v>
      </c>
      <c r="W134" s="74">
        <f>5751.98</f>
        <v>5751.98</v>
      </c>
      <c r="X134" s="81"/>
      <c r="Y134" s="403">
        <f>SUM(W133:W136)*1</f>
        <v>70738.48</v>
      </c>
      <c r="Z134" s="46"/>
      <c r="AA134" s="128">
        <v>571.20000000000005</v>
      </c>
      <c r="AB134" s="74">
        <f>5751.98</f>
        <v>5751.98</v>
      </c>
      <c r="AC134" s="81"/>
      <c r="AD134" s="403">
        <f>SUM(AB133:AB136)*1</f>
        <v>68319.87</v>
      </c>
      <c r="AE134" s="46"/>
      <c r="AF134" s="128">
        <v>571.20000000000005</v>
      </c>
      <c r="AG134" s="74">
        <f>5751.98</f>
        <v>5751.98</v>
      </c>
      <c r="AH134" s="81"/>
      <c r="AI134" s="403">
        <f>SUM(AG133:AG136)*1</f>
        <v>77862.22</v>
      </c>
      <c r="AJ134" s="46"/>
      <c r="AK134" s="128">
        <v>571.20000000000005</v>
      </c>
      <c r="AL134" s="74">
        <f>5751.98</f>
        <v>5751.98</v>
      </c>
      <c r="AM134" s="81"/>
      <c r="AN134" s="403">
        <f>SUM(AL133:AL136)*1</f>
        <v>77433.98</v>
      </c>
      <c r="AO134" s="46"/>
      <c r="AP134" s="128">
        <v>571.20000000000005</v>
      </c>
      <c r="AQ134" s="74">
        <f>5751.98</f>
        <v>5751.98</v>
      </c>
      <c r="AR134" s="81"/>
      <c r="AS134" s="403">
        <f>SUM(AQ133:AQ136)*1</f>
        <v>94253.72</v>
      </c>
      <c r="AT134" s="46"/>
      <c r="AU134" s="128">
        <v>571.20000000000005</v>
      </c>
      <c r="AV134" s="74">
        <f>5751.98</f>
        <v>5751.98</v>
      </c>
      <c r="AW134" s="81"/>
      <c r="AX134" s="403">
        <f>SUM(AV133:AV136)*1</f>
        <v>124175.39</v>
      </c>
      <c r="AY134" s="46"/>
      <c r="AZ134" s="128">
        <v>571.20000000000005</v>
      </c>
      <c r="BA134" s="74">
        <f>5751.98</f>
        <v>5751.98</v>
      </c>
      <c r="BB134" s="81"/>
      <c r="BC134" s="403">
        <f>SUM(BA133:BA136)*1</f>
        <v>100482.1</v>
      </c>
      <c r="BD134" s="46"/>
      <c r="BE134" s="128">
        <v>571.20000000000005</v>
      </c>
      <c r="BF134" s="74">
        <f>5751.98</f>
        <v>5751.98</v>
      </c>
      <c r="BG134" s="81">
        <v>114408</v>
      </c>
      <c r="BH134" s="403">
        <f>SUM(BF133:BF136)*1</f>
        <v>110224.74</v>
      </c>
      <c r="BI134" s="46"/>
      <c r="BJ134" s="128">
        <v>571.20000000000005</v>
      </c>
      <c r="BK134" s="74">
        <f>5751.98</f>
        <v>5751.98</v>
      </c>
      <c r="BL134" s="81"/>
      <c r="BM134" s="403">
        <f>SUM(BK133:BK136)*1</f>
        <v>106104.95</v>
      </c>
      <c r="BN134" s="46"/>
      <c r="BO134" s="128">
        <v>571.20000000000005</v>
      </c>
      <c r="BP134" s="74">
        <f>5751.98</f>
        <v>5751.98</v>
      </c>
      <c r="BQ134" s="81"/>
      <c r="BR134" s="403">
        <f>SUM(BP133:BP136)*1</f>
        <v>108622.09</v>
      </c>
      <c r="BS134" s="46"/>
      <c r="BT134" s="128">
        <v>571.20000000000005</v>
      </c>
      <c r="BU134" s="74">
        <f>5751.98</f>
        <v>5751.98</v>
      </c>
      <c r="BV134" s="81"/>
      <c r="BW134" s="403">
        <f>SUM(BU133:BU136)*1</f>
        <v>138637.85000000003</v>
      </c>
      <c r="BX134" s="46"/>
      <c r="BY134" s="56">
        <v>571.20000000000005</v>
      </c>
      <c r="BZ134" s="57">
        <f>5751.98</f>
        <v>5751.98</v>
      </c>
      <c r="CA134" s="44"/>
      <c r="CB134" s="403">
        <f>SUM(BZ133:BZ136)*1</f>
        <v>38130.879999999997</v>
      </c>
      <c r="CC134" s="46"/>
      <c r="CD134" s="56">
        <v>571.20000000000005</v>
      </c>
      <c r="CE134" s="57">
        <f>5751.98</f>
        <v>5751.98</v>
      </c>
      <c r="CF134" s="44"/>
      <c r="CG134" s="403">
        <f>SUM(CE133:CE136)*1</f>
        <v>38130.879999999997</v>
      </c>
      <c r="CH134" s="46"/>
      <c r="CI134" s="56">
        <v>571.20000000000005</v>
      </c>
      <c r="CJ134" s="57">
        <f>5751.98</f>
        <v>5751.98</v>
      </c>
      <c r="CK134" s="44"/>
      <c r="CL134" s="403">
        <f>SUM(CJ133:CJ136)*1</f>
        <v>38130.879999999997</v>
      </c>
      <c r="CM134" s="46"/>
      <c r="CN134" s="56">
        <v>571.20000000000005</v>
      </c>
      <c r="CO134" s="57">
        <f>5751.98</f>
        <v>5751.98</v>
      </c>
      <c r="CP134" s="44"/>
      <c r="CQ134" s="403">
        <f>SUM(CO133:CO136)*1</f>
        <v>38130.879999999997</v>
      </c>
      <c r="CR134" s="46"/>
      <c r="CS134" s="56">
        <v>571.20000000000005</v>
      </c>
      <c r="CT134" s="57">
        <f>5751.98</f>
        <v>5751.98</v>
      </c>
      <c r="CU134" s="44"/>
      <c r="CV134" s="403">
        <f>SUM(CT133:CT136)*1</f>
        <v>38130.879999999997</v>
      </c>
      <c r="CW134" s="46"/>
      <c r="CX134" s="56">
        <v>571.20000000000005</v>
      </c>
      <c r="CY134" s="57">
        <f>5751.98</f>
        <v>5751.98</v>
      </c>
      <c r="CZ134" s="44"/>
      <c r="DA134" s="403">
        <f>SUM(CY133:CY136)*1</f>
        <v>38130.879999999997</v>
      </c>
    </row>
    <row r="135" spans="1:105" ht="15" customHeight="1">
      <c r="A135" s="256"/>
      <c r="B135" s="232"/>
      <c r="C135" s="233"/>
      <c r="D135" s="216" t="s">
        <v>13</v>
      </c>
      <c r="E135" s="22"/>
      <c r="F135" s="104">
        <f>H135/G135</f>
        <v>5.12</v>
      </c>
      <c r="G135" s="128">
        <f>2696+3539</f>
        <v>6235</v>
      </c>
      <c r="H135" s="128">
        <f>13803.52+18119.68</f>
        <v>31923.200000000001</v>
      </c>
      <c r="I135" s="81"/>
      <c r="J135" s="88"/>
      <c r="K135" s="104">
        <f>M135/L135</f>
        <v>5.28</v>
      </c>
      <c r="L135" s="128">
        <f>3589+5058</f>
        <v>8647</v>
      </c>
      <c r="M135" s="128">
        <f>18949.92+26706.24</f>
        <v>45656.160000000003</v>
      </c>
      <c r="N135" s="81"/>
      <c r="O135" s="88"/>
      <c r="P135" s="104">
        <f>R135/Q135</f>
        <v>4.8899999999999997</v>
      </c>
      <c r="Q135" s="128">
        <v>13135</v>
      </c>
      <c r="R135" s="128">
        <f>20919.42+43310.73</f>
        <v>64230.15</v>
      </c>
      <c r="S135" s="81"/>
      <c r="T135" s="88"/>
      <c r="U135" s="115">
        <f>W135/V135</f>
        <v>5.07</v>
      </c>
      <c r="V135" s="128">
        <f>4657+8047</f>
        <v>12704</v>
      </c>
      <c r="W135" s="128">
        <f>23610.99+40798.29</f>
        <v>64409.279999999999</v>
      </c>
      <c r="X135" s="81"/>
      <c r="Y135" s="81"/>
      <c r="Z135" s="92">
        <f>AB135/AA135</f>
        <v>4.6099999999999994</v>
      </c>
      <c r="AA135" s="128">
        <f>4819+8628</f>
        <v>13447</v>
      </c>
      <c r="AB135" s="128">
        <f>22215.59+39775.08</f>
        <v>61990.67</v>
      </c>
      <c r="AC135" s="81"/>
      <c r="AD135" s="81"/>
      <c r="AE135" s="92">
        <f>AG135/AF135</f>
        <v>4.75</v>
      </c>
      <c r="AF135" s="128">
        <f>5662+9372</f>
        <v>15034</v>
      </c>
      <c r="AG135" s="128">
        <f>26894.5+44517</f>
        <v>71411.5</v>
      </c>
      <c r="AH135" s="81"/>
      <c r="AI135" s="81"/>
      <c r="AJ135" s="92">
        <f>AL135/AK135</f>
        <v>4.9099999999999993</v>
      </c>
      <c r="AK135" s="128">
        <f>5130+9364</f>
        <v>14494</v>
      </c>
      <c r="AL135" s="128">
        <f>25188.3+45977.24</f>
        <v>71165.539999999994</v>
      </c>
      <c r="AM135" s="81"/>
      <c r="AN135" s="81"/>
      <c r="AO135" s="92">
        <f>AQ135/AP135</f>
        <v>5.86</v>
      </c>
      <c r="AP135" s="128">
        <f>5080+9919</f>
        <v>14999</v>
      </c>
      <c r="AQ135" s="128">
        <f>29768.8+58125.34</f>
        <v>87894.14</v>
      </c>
      <c r="AR135" s="81"/>
      <c r="AS135" s="81"/>
      <c r="AT135" s="92">
        <f>AV135/AU135</f>
        <v>6.5100000000000007</v>
      </c>
      <c r="AU135" s="128">
        <f>5661+12432</f>
        <v>18093</v>
      </c>
      <c r="AV135" s="128">
        <f>36853.11+80932.32</f>
        <v>117785.43000000001</v>
      </c>
      <c r="AW135" s="81"/>
      <c r="AX135" s="81"/>
      <c r="AY135" s="92">
        <f>BA135/AZ135</f>
        <v>6.24</v>
      </c>
      <c r="AZ135" s="128">
        <f>5040+10034</f>
        <v>15074</v>
      </c>
      <c r="BA135" s="128">
        <f>31449.6+62612.16</f>
        <v>94061.760000000009</v>
      </c>
      <c r="BB135" s="81"/>
      <c r="BC135" s="81"/>
      <c r="BD135" s="92">
        <f>BF135/BE135</f>
        <v>6.36</v>
      </c>
      <c r="BE135" s="128">
        <f>10391+5940</f>
        <v>16331</v>
      </c>
      <c r="BF135" s="128">
        <f>66086.76+37778.4</f>
        <v>103865.16</v>
      </c>
      <c r="BG135" s="81"/>
      <c r="BH135" s="81"/>
      <c r="BI135" s="92">
        <f>BK135/BJ135</f>
        <v>6.7700000000000005</v>
      </c>
      <c r="BJ135" s="128">
        <v>14711</v>
      </c>
      <c r="BK135" s="128">
        <f>35095.68+64497.79</f>
        <v>99593.47</v>
      </c>
      <c r="BL135" s="81"/>
      <c r="BM135" s="81"/>
      <c r="BN135" s="92">
        <f>BP135/BO135</f>
        <v>6.37</v>
      </c>
      <c r="BO135" s="128">
        <f>5186+10863</f>
        <v>16049</v>
      </c>
      <c r="BP135" s="128">
        <f>33034.82+69197.31</f>
        <v>102232.13</v>
      </c>
      <c r="BQ135" s="81"/>
      <c r="BR135" s="81"/>
      <c r="BS135" s="92">
        <f>BU135/BT135</f>
        <v>7.2900000000000009</v>
      </c>
      <c r="BT135" s="128">
        <f>5948+12193</f>
        <v>18141</v>
      </c>
      <c r="BU135" s="128">
        <f>88886.97+43360.92</f>
        <v>132247.89000000001</v>
      </c>
      <c r="BV135" s="81"/>
      <c r="BW135" s="81"/>
      <c r="BX135" s="92">
        <f>BZ135/BY135</f>
        <v>5.12</v>
      </c>
      <c r="BY135" s="56">
        <f>2696+3539</f>
        <v>6235</v>
      </c>
      <c r="BZ135" s="56">
        <f>13803.52+18119.68</f>
        <v>31923.200000000001</v>
      </c>
      <c r="CA135" s="44"/>
      <c r="CB135" s="81"/>
      <c r="CC135" s="92">
        <f>CE135/CD135</f>
        <v>5.12</v>
      </c>
      <c r="CD135" s="56">
        <f>2696+3539</f>
        <v>6235</v>
      </c>
      <c r="CE135" s="56">
        <f>13803.52+18119.68</f>
        <v>31923.200000000001</v>
      </c>
      <c r="CF135" s="44"/>
      <c r="CG135" s="81"/>
      <c r="CH135" s="92">
        <f>CJ135/CI135</f>
        <v>5.12</v>
      </c>
      <c r="CI135" s="56">
        <f>2696+3539</f>
        <v>6235</v>
      </c>
      <c r="CJ135" s="56">
        <f>13803.52+18119.68</f>
        <v>31923.200000000001</v>
      </c>
      <c r="CK135" s="44"/>
      <c r="CL135" s="81"/>
      <c r="CM135" s="92">
        <f>CO135/CN135</f>
        <v>5.12</v>
      </c>
      <c r="CN135" s="56">
        <f>2696+3539</f>
        <v>6235</v>
      </c>
      <c r="CO135" s="56">
        <f>13803.52+18119.68</f>
        <v>31923.200000000001</v>
      </c>
      <c r="CP135" s="44"/>
      <c r="CQ135" s="81"/>
      <c r="CR135" s="92">
        <f>CT135/CS135</f>
        <v>5.12</v>
      </c>
      <c r="CS135" s="56">
        <f>2696+3539</f>
        <v>6235</v>
      </c>
      <c r="CT135" s="56">
        <f>13803.52+18119.68</f>
        <v>31923.200000000001</v>
      </c>
      <c r="CU135" s="44"/>
      <c r="CV135" s="81"/>
      <c r="CW135" s="92">
        <f>CY135/CX135</f>
        <v>5.12</v>
      </c>
      <c r="CX135" s="56">
        <f>2696+3539</f>
        <v>6235</v>
      </c>
      <c r="CY135" s="56">
        <f>13803.52+18119.68</f>
        <v>31923.200000000001</v>
      </c>
      <c r="CZ135" s="44"/>
      <c r="DA135" s="81"/>
    </row>
    <row r="136" spans="1:105" s="264" customFormat="1" ht="15" customHeight="1" thickBot="1">
      <c r="A136" s="257"/>
      <c r="B136" s="8"/>
      <c r="C136" s="287"/>
      <c r="D136" s="259" t="s">
        <v>17</v>
      </c>
      <c r="E136" s="23"/>
      <c r="F136" s="168">
        <f>H136/G136</f>
        <v>30.38</v>
      </c>
      <c r="G136" s="172">
        <f>11+4</f>
        <v>15</v>
      </c>
      <c r="H136" s="172">
        <f>334.18+121.52</f>
        <v>455.7</v>
      </c>
      <c r="I136" s="179"/>
      <c r="J136" s="182"/>
      <c r="K136" s="168">
        <f>M136/L136</f>
        <v>30.380000000000003</v>
      </c>
      <c r="L136" s="172">
        <f>5+12</f>
        <v>17</v>
      </c>
      <c r="M136" s="172">
        <f>151.9+364.56</f>
        <v>516.46</v>
      </c>
      <c r="N136" s="179"/>
      <c r="O136" s="182"/>
      <c r="P136" s="168">
        <f>R136/Q136</f>
        <v>30.380000000000003</v>
      </c>
      <c r="Q136" s="172">
        <f>13+7</f>
        <v>20</v>
      </c>
      <c r="R136" s="172">
        <f>212.66+394.94</f>
        <v>607.6</v>
      </c>
      <c r="S136" s="179"/>
      <c r="T136" s="182"/>
      <c r="U136" s="209">
        <f>W136/V136</f>
        <v>30.380000000000003</v>
      </c>
      <c r="V136" s="172">
        <f>6+13</f>
        <v>19</v>
      </c>
      <c r="W136" s="172">
        <f>182.28+394.94</f>
        <v>577.22</v>
      </c>
      <c r="X136" s="179"/>
      <c r="Y136" s="179"/>
      <c r="Z136" s="3">
        <f>AB136/AA136</f>
        <v>30.380000000000003</v>
      </c>
      <c r="AA136" s="172">
        <f>13+6</f>
        <v>19</v>
      </c>
      <c r="AB136" s="172">
        <f>394.94+182.28</f>
        <v>577.22</v>
      </c>
      <c r="AC136" s="179"/>
      <c r="AD136" s="179"/>
      <c r="AE136" s="3">
        <f>AG136/AF136</f>
        <v>30.38</v>
      </c>
      <c r="AF136" s="172">
        <f>16+7</f>
        <v>23</v>
      </c>
      <c r="AG136" s="172">
        <f>212.66+486.08</f>
        <v>698.74</v>
      </c>
      <c r="AH136" s="179"/>
      <c r="AI136" s="179"/>
      <c r="AJ136" s="3">
        <f>AL136/AK136</f>
        <v>30.380000000000003</v>
      </c>
      <c r="AK136" s="172">
        <f>10+7</f>
        <v>17</v>
      </c>
      <c r="AL136" s="172">
        <f>212.66+303.8</f>
        <v>516.46</v>
      </c>
      <c r="AM136" s="179"/>
      <c r="AN136" s="179"/>
      <c r="AO136" s="3">
        <f>AQ136/AP136</f>
        <v>30.380000000000003</v>
      </c>
      <c r="AP136" s="172">
        <f>14+6</f>
        <v>20</v>
      </c>
      <c r="AQ136" s="172">
        <f>425.32+182.28</f>
        <v>607.6</v>
      </c>
      <c r="AR136" s="179"/>
      <c r="AS136" s="179"/>
      <c r="AT136" s="3">
        <f>AV136/AU136</f>
        <v>30.380000000000003</v>
      </c>
      <c r="AU136" s="172">
        <f>13+8</f>
        <v>21</v>
      </c>
      <c r="AV136" s="172">
        <f>394.94+243.04</f>
        <v>637.98</v>
      </c>
      <c r="AW136" s="179"/>
      <c r="AX136" s="179"/>
      <c r="AY136" s="3">
        <f>BA136/AZ136</f>
        <v>30.38</v>
      </c>
      <c r="AZ136" s="172">
        <f>15+7</f>
        <v>22</v>
      </c>
      <c r="BA136" s="172">
        <f>212.66+455.7</f>
        <v>668.36</v>
      </c>
      <c r="BB136" s="179"/>
      <c r="BC136" s="179"/>
      <c r="BD136" s="3">
        <f>BF136/BE136</f>
        <v>30.380000000000003</v>
      </c>
      <c r="BE136" s="172">
        <f>13+7</f>
        <v>20</v>
      </c>
      <c r="BF136" s="172">
        <f>212.66+394.94</f>
        <v>607.6</v>
      </c>
      <c r="BG136" s="179"/>
      <c r="BH136" s="179"/>
      <c r="BI136" s="3">
        <f>BK136/BJ136</f>
        <v>30.38</v>
      </c>
      <c r="BJ136" s="172">
        <f>18+7</f>
        <v>25</v>
      </c>
      <c r="BK136" s="172">
        <f>546.84+212.66</f>
        <v>759.5</v>
      </c>
      <c r="BL136" s="179"/>
      <c r="BM136" s="179"/>
      <c r="BN136" s="3">
        <f>BP136/BO136</f>
        <v>30.380000000000003</v>
      </c>
      <c r="BO136" s="172">
        <f>13+8</f>
        <v>21</v>
      </c>
      <c r="BP136" s="172">
        <f>394.94+243.04</f>
        <v>637.98</v>
      </c>
      <c r="BQ136" s="179"/>
      <c r="BR136" s="179"/>
      <c r="BS136" s="3">
        <f>BU136/BT136</f>
        <v>30.380000000000003</v>
      </c>
      <c r="BT136" s="172">
        <f>14+7</f>
        <v>21</v>
      </c>
      <c r="BU136" s="172">
        <f>425.32+212.66</f>
        <v>637.98</v>
      </c>
      <c r="BV136" s="179"/>
      <c r="BW136" s="179"/>
      <c r="BX136" s="3">
        <f>BZ136/BY136</f>
        <v>30.38</v>
      </c>
      <c r="BY136" s="177">
        <f>11+4</f>
        <v>15</v>
      </c>
      <c r="BZ136" s="177">
        <f>334.18+121.52</f>
        <v>455.7</v>
      </c>
      <c r="CA136" s="48"/>
      <c r="CB136" s="179"/>
      <c r="CC136" s="3">
        <f>CE136/CD136</f>
        <v>30.38</v>
      </c>
      <c r="CD136" s="177">
        <f>11+4</f>
        <v>15</v>
      </c>
      <c r="CE136" s="177">
        <f>334.18+121.52</f>
        <v>455.7</v>
      </c>
      <c r="CF136" s="48"/>
      <c r="CG136" s="179"/>
      <c r="CH136" s="3">
        <f>CJ136/CI136</f>
        <v>30.38</v>
      </c>
      <c r="CI136" s="177">
        <f>11+4</f>
        <v>15</v>
      </c>
      <c r="CJ136" s="177">
        <f>334.18+121.52</f>
        <v>455.7</v>
      </c>
      <c r="CK136" s="48"/>
      <c r="CL136" s="179"/>
      <c r="CM136" s="3">
        <f>CO136/CN136</f>
        <v>30.38</v>
      </c>
      <c r="CN136" s="177">
        <f>11+4</f>
        <v>15</v>
      </c>
      <c r="CO136" s="177">
        <f>334.18+121.52</f>
        <v>455.7</v>
      </c>
      <c r="CP136" s="48"/>
      <c r="CQ136" s="179"/>
      <c r="CR136" s="3">
        <f>CT136/CS136</f>
        <v>30.38</v>
      </c>
      <c r="CS136" s="177">
        <f>11+4</f>
        <v>15</v>
      </c>
      <c r="CT136" s="177">
        <f>334.18+121.52</f>
        <v>455.7</v>
      </c>
      <c r="CU136" s="48"/>
      <c r="CV136" s="179"/>
      <c r="CW136" s="3">
        <f>CY136/CX136</f>
        <v>30.38</v>
      </c>
      <c r="CX136" s="177">
        <f>11+4</f>
        <v>15</v>
      </c>
      <c r="CY136" s="177">
        <f>334.18+121.52</f>
        <v>455.7</v>
      </c>
      <c r="CZ136" s="48"/>
      <c r="DA136" s="179"/>
    </row>
    <row r="137" spans="1:105" s="249" customFormat="1" ht="15" customHeight="1">
      <c r="A137" s="288" t="s">
        <v>314</v>
      </c>
      <c r="B137" s="5" t="s">
        <v>85</v>
      </c>
      <c r="C137" s="6" t="s">
        <v>86</v>
      </c>
      <c r="D137" s="7" t="s">
        <v>10</v>
      </c>
      <c r="E137" s="4"/>
      <c r="F137" s="196"/>
      <c r="G137" s="200">
        <v>0</v>
      </c>
      <c r="H137" s="200">
        <v>0</v>
      </c>
      <c r="I137" s="38"/>
      <c r="J137" s="206"/>
      <c r="K137" s="196"/>
      <c r="L137" s="200">
        <v>0</v>
      </c>
      <c r="M137" s="200">
        <v>0</v>
      </c>
      <c r="N137" s="38"/>
      <c r="O137" s="206"/>
      <c r="P137" s="196"/>
      <c r="Q137" s="200">
        <v>0</v>
      </c>
      <c r="R137" s="200">
        <v>0</v>
      </c>
      <c r="S137" s="38"/>
      <c r="T137" s="206"/>
      <c r="U137" s="207"/>
      <c r="V137" s="200">
        <v>0</v>
      </c>
      <c r="W137" s="200">
        <v>0</v>
      </c>
      <c r="X137" s="38"/>
      <c r="Y137" s="38"/>
      <c r="Z137" s="36"/>
      <c r="AA137" s="200">
        <v>0</v>
      </c>
      <c r="AB137" s="200">
        <v>0</v>
      </c>
      <c r="AC137" s="38"/>
      <c r="AD137" s="38"/>
      <c r="AE137" s="36"/>
      <c r="AF137" s="200">
        <v>0</v>
      </c>
      <c r="AG137" s="200">
        <v>0</v>
      </c>
      <c r="AH137" s="38"/>
      <c r="AI137" s="38"/>
      <c r="AJ137" s="36"/>
      <c r="AK137" s="200">
        <v>0</v>
      </c>
      <c r="AL137" s="200">
        <v>0</v>
      </c>
      <c r="AM137" s="38"/>
      <c r="AN137" s="38"/>
      <c r="AO137" s="36"/>
      <c r="AP137" s="200">
        <v>0</v>
      </c>
      <c r="AQ137" s="200">
        <v>0</v>
      </c>
      <c r="AR137" s="38"/>
      <c r="AS137" s="38"/>
      <c r="AT137" s="36"/>
      <c r="AU137" s="200">
        <v>0</v>
      </c>
      <c r="AV137" s="200">
        <v>0</v>
      </c>
      <c r="AW137" s="38"/>
      <c r="AX137" s="38"/>
      <c r="AY137" s="36"/>
      <c r="AZ137" s="200">
        <v>0</v>
      </c>
      <c r="BA137" s="200">
        <v>0</v>
      </c>
      <c r="BB137" s="38"/>
      <c r="BC137" s="38"/>
      <c r="BD137" s="36"/>
      <c r="BE137" s="200">
        <v>0</v>
      </c>
      <c r="BF137" s="200">
        <v>0</v>
      </c>
      <c r="BG137" s="38"/>
      <c r="BH137" s="38"/>
      <c r="BI137" s="36"/>
      <c r="BJ137" s="200">
        <v>0</v>
      </c>
      <c r="BK137" s="200">
        <v>0</v>
      </c>
      <c r="BL137" s="38"/>
      <c r="BM137" s="38"/>
      <c r="BN137" s="36"/>
      <c r="BO137" s="200">
        <v>0</v>
      </c>
      <c r="BP137" s="200">
        <v>0</v>
      </c>
      <c r="BQ137" s="38"/>
      <c r="BR137" s="38"/>
      <c r="BS137" s="36"/>
      <c r="BT137" s="200">
        <v>0</v>
      </c>
      <c r="BU137" s="200">
        <v>0</v>
      </c>
      <c r="BV137" s="38"/>
      <c r="BW137" s="38"/>
      <c r="BX137" s="36"/>
      <c r="BY137" s="200">
        <v>0</v>
      </c>
      <c r="BZ137" s="200">
        <v>0</v>
      </c>
      <c r="CA137" s="38"/>
      <c r="CB137" s="38"/>
      <c r="CC137" s="36"/>
      <c r="CD137" s="200">
        <v>0</v>
      </c>
      <c r="CE137" s="200">
        <v>0</v>
      </c>
      <c r="CF137" s="38"/>
      <c r="CG137" s="38"/>
      <c r="CH137" s="36"/>
      <c r="CI137" s="200">
        <v>0</v>
      </c>
      <c r="CJ137" s="200">
        <v>0</v>
      </c>
      <c r="CK137" s="38"/>
      <c r="CL137" s="38"/>
      <c r="CM137" s="36"/>
      <c r="CN137" s="200">
        <v>0</v>
      </c>
      <c r="CO137" s="200">
        <v>0</v>
      </c>
      <c r="CP137" s="38"/>
      <c r="CQ137" s="38"/>
      <c r="CR137" s="36"/>
      <c r="CS137" s="200">
        <v>0</v>
      </c>
      <c r="CT137" s="200">
        <v>0</v>
      </c>
      <c r="CU137" s="38"/>
      <c r="CV137" s="38"/>
      <c r="CW137" s="36"/>
      <c r="CX137" s="200">
        <v>0</v>
      </c>
      <c r="CY137" s="200">
        <v>0</v>
      </c>
      <c r="CZ137" s="38"/>
      <c r="DA137" s="38"/>
    </row>
    <row r="138" spans="1:105" ht="15" customHeight="1">
      <c r="A138" s="276"/>
      <c r="B138" s="215"/>
      <c r="C138" s="45" t="s">
        <v>86</v>
      </c>
      <c r="D138" s="216" t="s">
        <v>11</v>
      </c>
      <c r="E138" s="22"/>
      <c r="F138" s="103"/>
      <c r="G138" s="57">
        <v>0</v>
      </c>
      <c r="H138" s="57">
        <v>0</v>
      </c>
      <c r="I138" s="44"/>
      <c r="J138" s="86"/>
      <c r="K138" s="103"/>
      <c r="L138" s="57">
        <v>0</v>
      </c>
      <c r="M138" s="57">
        <v>0</v>
      </c>
      <c r="N138" s="44"/>
      <c r="O138" s="86"/>
      <c r="P138" s="103"/>
      <c r="Q138" s="57">
        <v>0</v>
      </c>
      <c r="R138" s="57">
        <v>0</v>
      </c>
      <c r="S138" s="44"/>
      <c r="T138" s="86"/>
      <c r="U138" s="47"/>
      <c r="V138" s="57">
        <v>0</v>
      </c>
      <c r="W138" s="57">
        <v>0</v>
      </c>
      <c r="X138" s="44"/>
      <c r="Y138" s="44"/>
      <c r="Z138" s="46"/>
      <c r="AA138" s="57">
        <v>0</v>
      </c>
      <c r="AB138" s="57">
        <v>0</v>
      </c>
      <c r="AC138" s="44"/>
      <c r="AD138" s="44"/>
      <c r="AE138" s="46"/>
      <c r="AF138" s="57">
        <v>0</v>
      </c>
      <c r="AG138" s="57">
        <v>0</v>
      </c>
      <c r="AH138" s="44"/>
      <c r="AI138" s="44"/>
      <c r="AJ138" s="46"/>
      <c r="AK138" s="57">
        <v>0</v>
      </c>
      <c r="AL138" s="57">
        <v>0</v>
      </c>
      <c r="AM138" s="44"/>
      <c r="AN138" s="44"/>
      <c r="AO138" s="46"/>
      <c r="AP138" s="57">
        <v>0</v>
      </c>
      <c r="AQ138" s="57">
        <v>0</v>
      </c>
      <c r="AR138" s="44"/>
      <c r="AS138" s="44"/>
      <c r="AT138" s="46"/>
      <c r="AU138" s="57">
        <v>0</v>
      </c>
      <c r="AV138" s="57">
        <v>0</v>
      </c>
      <c r="AW138" s="44"/>
      <c r="AX138" s="44"/>
      <c r="AY138" s="46"/>
      <c r="AZ138" s="57">
        <v>0</v>
      </c>
      <c r="BA138" s="57">
        <v>0</v>
      </c>
      <c r="BB138" s="44"/>
      <c r="BC138" s="44"/>
      <c r="BD138" s="46"/>
      <c r="BE138" s="57">
        <v>0</v>
      </c>
      <c r="BF138" s="57">
        <v>0</v>
      </c>
      <c r="BG138" s="44"/>
      <c r="BH138" s="44"/>
      <c r="BI138" s="46"/>
      <c r="BJ138" s="57">
        <v>0</v>
      </c>
      <c r="BK138" s="57">
        <v>0</v>
      </c>
      <c r="BL138" s="44"/>
      <c r="BM138" s="44"/>
      <c r="BN138" s="46"/>
      <c r="BO138" s="57">
        <v>0</v>
      </c>
      <c r="BP138" s="57">
        <v>0</v>
      </c>
      <c r="BQ138" s="44"/>
      <c r="BR138" s="44"/>
      <c r="BS138" s="46"/>
      <c r="BT138" s="57">
        <v>0</v>
      </c>
      <c r="BU138" s="57">
        <v>0</v>
      </c>
      <c r="BV138" s="44"/>
      <c r="BW138" s="44"/>
      <c r="BX138" s="46"/>
      <c r="BY138" s="57">
        <v>0</v>
      </c>
      <c r="BZ138" s="57">
        <v>0</v>
      </c>
      <c r="CA138" s="44"/>
      <c r="CB138" s="44"/>
      <c r="CC138" s="46"/>
      <c r="CD138" s="57">
        <v>0</v>
      </c>
      <c r="CE138" s="57">
        <v>0</v>
      </c>
      <c r="CF138" s="44"/>
      <c r="CG138" s="44"/>
      <c r="CH138" s="46"/>
      <c r="CI138" s="57">
        <v>0</v>
      </c>
      <c r="CJ138" s="57">
        <v>0</v>
      </c>
      <c r="CK138" s="44"/>
      <c r="CL138" s="44"/>
      <c r="CM138" s="46"/>
      <c r="CN138" s="57">
        <v>0</v>
      </c>
      <c r="CO138" s="57">
        <v>0</v>
      </c>
      <c r="CP138" s="44"/>
      <c r="CQ138" s="44"/>
      <c r="CR138" s="46"/>
      <c r="CS138" s="57">
        <v>0</v>
      </c>
      <c r="CT138" s="57">
        <v>0</v>
      </c>
      <c r="CU138" s="44"/>
      <c r="CV138" s="44"/>
      <c r="CW138" s="46"/>
      <c r="CX138" s="57">
        <v>0</v>
      </c>
      <c r="CY138" s="57">
        <v>0</v>
      </c>
      <c r="CZ138" s="44"/>
      <c r="DA138" s="44"/>
    </row>
    <row r="139" spans="1:105" ht="15" customHeight="1">
      <c r="A139" s="276"/>
      <c r="B139" s="215"/>
      <c r="C139" s="45" t="s">
        <v>69</v>
      </c>
      <c r="D139" s="216" t="s">
        <v>13</v>
      </c>
      <c r="E139" s="22"/>
      <c r="F139" s="104"/>
      <c r="G139" s="56">
        <v>0</v>
      </c>
      <c r="H139" s="56">
        <v>0</v>
      </c>
      <c r="I139" s="44"/>
      <c r="J139" s="86"/>
      <c r="K139" s="104"/>
      <c r="L139" s="56">
        <v>0</v>
      </c>
      <c r="M139" s="56">
        <v>0</v>
      </c>
      <c r="N139" s="44"/>
      <c r="O139" s="86"/>
      <c r="P139" s="104"/>
      <c r="Q139" s="56">
        <v>0</v>
      </c>
      <c r="R139" s="56">
        <v>0</v>
      </c>
      <c r="S139" s="44"/>
      <c r="T139" s="86"/>
      <c r="U139" s="115"/>
      <c r="V139" s="56">
        <v>0</v>
      </c>
      <c r="W139" s="56">
        <v>0</v>
      </c>
      <c r="X139" s="44"/>
      <c r="Y139" s="44"/>
      <c r="Z139" s="92"/>
      <c r="AA139" s="56">
        <v>0</v>
      </c>
      <c r="AB139" s="56">
        <v>0</v>
      </c>
      <c r="AC139" s="44"/>
      <c r="AD139" s="44"/>
      <c r="AE139" s="92"/>
      <c r="AF139" s="56">
        <v>0</v>
      </c>
      <c r="AG139" s="56">
        <v>0</v>
      </c>
      <c r="AH139" s="44"/>
      <c r="AI139" s="44"/>
      <c r="AJ139" s="92"/>
      <c r="AK139" s="56">
        <v>0</v>
      </c>
      <c r="AL139" s="56">
        <v>0</v>
      </c>
      <c r="AM139" s="44"/>
      <c r="AN139" s="44"/>
      <c r="AO139" s="92"/>
      <c r="AP139" s="56">
        <v>0</v>
      </c>
      <c r="AQ139" s="56">
        <v>0</v>
      </c>
      <c r="AR139" s="44"/>
      <c r="AS139" s="44"/>
      <c r="AT139" s="92"/>
      <c r="AU139" s="56">
        <v>0</v>
      </c>
      <c r="AV139" s="56">
        <v>0</v>
      </c>
      <c r="AW139" s="44"/>
      <c r="AX139" s="44"/>
      <c r="AY139" s="92"/>
      <c r="AZ139" s="56">
        <v>0</v>
      </c>
      <c r="BA139" s="56">
        <v>0</v>
      </c>
      <c r="BB139" s="44"/>
      <c r="BC139" s="44"/>
      <c r="BD139" s="92"/>
      <c r="BE139" s="56">
        <v>0</v>
      </c>
      <c r="BF139" s="56">
        <v>0</v>
      </c>
      <c r="BG139" s="44"/>
      <c r="BH139" s="44"/>
      <c r="BI139" s="92"/>
      <c r="BJ139" s="56">
        <v>0</v>
      </c>
      <c r="BK139" s="56">
        <v>0</v>
      </c>
      <c r="BL139" s="44"/>
      <c r="BM139" s="44"/>
      <c r="BN139" s="92"/>
      <c r="BO139" s="56">
        <v>0</v>
      </c>
      <c r="BP139" s="56">
        <v>0</v>
      </c>
      <c r="BQ139" s="44"/>
      <c r="BR139" s="44"/>
      <c r="BS139" s="92"/>
      <c r="BT139" s="56">
        <v>0</v>
      </c>
      <c r="BU139" s="56">
        <v>0</v>
      </c>
      <c r="BV139" s="44"/>
      <c r="BW139" s="44"/>
      <c r="BX139" s="92"/>
      <c r="BY139" s="56">
        <v>0</v>
      </c>
      <c r="BZ139" s="56">
        <v>0</v>
      </c>
      <c r="CA139" s="44"/>
      <c r="CB139" s="44"/>
      <c r="CC139" s="92"/>
      <c r="CD139" s="56">
        <v>0</v>
      </c>
      <c r="CE139" s="56">
        <v>0</v>
      </c>
      <c r="CF139" s="44"/>
      <c r="CG139" s="44"/>
      <c r="CH139" s="92"/>
      <c r="CI139" s="56">
        <v>0</v>
      </c>
      <c r="CJ139" s="56">
        <v>0</v>
      </c>
      <c r="CK139" s="44"/>
      <c r="CL139" s="44"/>
      <c r="CM139" s="92"/>
      <c r="CN139" s="56">
        <v>0</v>
      </c>
      <c r="CO139" s="56">
        <v>0</v>
      </c>
      <c r="CP139" s="44"/>
      <c r="CQ139" s="44"/>
      <c r="CR139" s="92"/>
      <c r="CS139" s="56">
        <v>0</v>
      </c>
      <c r="CT139" s="56">
        <v>0</v>
      </c>
      <c r="CU139" s="44"/>
      <c r="CV139" s="44"/>
      <c r="CW139" s="92"/>
      <c r="CX139" s="56">
        <v>0</v>
      </c>
      <c r="CY139" s="56">
        <v>0</v>
      </c>
      <c r="CZ139" s="44"/>
      <c r="DA139" s="44"/>
    </row>
    <row r="140" spans="1:105" ht="15" customHeight="1">
      <c r="A140" s="276"/>
      <c r="B140" s="215"/>
      <c r="C140" s="45" t="s">
        <v>38</v>
      </c>
      <c r="D140" s="216" t="s">
        <v>15</v>
      </c>
      <c r="E140" s="22"/>
      <c r="F140" s="103"/>
      <c r="G140" s="56">
        <v>0</v>
      </c>
      <c r="H140" s="56">
        <v>0</v>
      </c>
      <c r="I140" s="44"/>
      <c r="J140" s="86"/>
      <c r="K140" s="103"/>
      <c r="L140" s="56">
        <v>0</v>
      </c>
      <c r="M140" s="56">
        <v>0</v>
      </c>
      <c r="N140" s="44"/>
      <c r="O140" s="86"/>
      <c r="P140" s="103"/>
      <c r="Q140" s="56">
        <v>0</v>
      </c>
      <c r="R140" s="56">
        <v>0</v>
      </c>
      <c r="S140" s="44"/>
      <c r="T140" s="86"/>
      <c r="U140" s="47"/>
      <c r="V140" s="56">
        <v>0</v>
      </c>
      <c r="W140" s="56">
        <v>0</v>
      </c>
      <c r="X140" s="44"/>
      <c r="Y140" s="44"/>
      <c r="Z140" s="46"/>
      <c r="AA140" s="56">
        <v>0</v>
      </c>
      <c r="AB140" s="56">
        <v>0</v>
      </c>
      <c r="AC140" s="44"/>
      <c r="AD140" s="44"/>
      <c r="AE140" s="46"/>
      <c r="AF140" s="56">
        <v>0</v>
      </c>
      <c r="AG140" s="56">
        <v>0</v>
      </c>
      <c r="AH140" s="44"/>
      <c r="AI140" s="44"/>
      <c r="AJ140" s="46"/>
      <c r="AK140" s="56">
        <v>0</v>
      </c>
      <c r="AL140" s="56">
        <v>0</v>
      </c>
      <c r="AM140" s="44"/>
      <c r="AN140" s="44"/>
      <c r="AO140" s="46"/>
      <c r="AP140" s="56">
        <v>0</v>
      </c>
      <c r="AQ140" s="56">
        <v>0</v>
      </c>
      <c r="AR140" s="44"/>
      <c r="AS140" s="44"/>
      <c r="AT140" s="46"/>
      <c r="AU140" s="56">
        <v>0</v>
      </c>
      <c r="AV140" s="56">
        <v>0</v>
      </c>
      <c r="AW140" s="44"/>
      <c r="AX140" s="44"/>
      <c r="AY140" s="46"/>
      <c r="AZ140" s="56">
        <v>0</v>
      </c>
      <c r="BA140" s="56">
        <v>0</v>
      </c>
      <c r="BB140" s="44"/>
      <c r="BC140" s="44"/>
      <c r="BD140" s="46"/>
      <c r="BE140" s="56">
        <v>0</v>
      </c>
      <c r="BF140" s="56">
        <v>0</v>
      </c>
      <c r="BG140" s="44"/>
      <c r="BH140" s="44"/>
      <c r="BI140" s="46"/>
      <c r="BJ140" s="56">
        <v>0</v>
      </c>
      <c r="BK140" s="56">
        <v>0</v>
      </c>
      <c r="BL140" s="44"/>
      <c r="BM140" s="44"/>
      <c r="BN140" s="46"/>
      <c r="BO140" s="56">
        <v>0</v>
      </c>
      <c r="BP140" s="56">
        <v>0</v>
      </c>
      <c r="BQ140" s="44"/>
      <c r="BR140" s="44"/>
      <c r="BS140" s="46"/>
      <c r="BT140" s="56">
        <v>0</v>
      </c>
      <c r="BU140" s="56">
        <v>0</v>
      </c>
      <c r="BV140" s="44"/>
      <c r="BW140" s="44"/>
      <c r="BX140" s="46"/>
      <c r="BY140" s="56">
        <v>0</v>
      </c>
      <c r="BZ140" s="56">
        <v>0</v>
      </c>
      <c r="CA140" s="44"/>
      <c r="CB140" s="44"/>
      <c r="CC140" s="46"/>
      <c r="CD140" s="56">
        <v>0</v>
      </c>
      <c r="CE140" s="56">
        <v>0</v>
      </c>
      <c r="CF140" s="44"/>
      <c r="CG140" s="44"/>
      <c r="CH140" s="46"/>
      <c r="CI140" s="56">
        <v>0</v>
      </c>
      <c r="CJ140" s="56">
        <v>0</v>
      </c>
      <c r="CK140" s="44"/>
      <c r="CL140" s="44"/>
      <c r="CM140" s="46"/>
      <c r="CN140" s="56">
        <v>0</v>
      </c>
      <c r="CO140" s="56">
        <v>0</v>
      </c>
      <c r="CP140" s="44"/>
      <c r="CQ140" s="44"/>
      <c r="CR140" s="46"/>
      <c r="CS140" s="56">
        <v>0</v>
      </c>
      <c r="CT140" s="56">
        <v>0</v>
      </c>
      <c r="CU140" s="44"/>
      <c r="CV140" s="44"/>
      <c r="CW140" s="46"/>
      <c r="CX140" s="56">
        <v>0</v>
      </c>
      <c r="CY140" s="56">
        <v>0</v>
      </c>
      <c r="CZ140" s="44"/>
      <c r="DA140" s="44"/>
    </row>
    <row r="141" spans="1:105" s="264" customFormat="1" ht="15" customHeight="1" thickBot="1">
      <c r="A141" s="289"/>
      <c r="B141" s="258"/>
      <c r="C141" s="20" t="s">
        <v>86</v>
      </c>
      <c r="D141" s="259" t="s">
        <v>17</v>
      </c>
      <c r="E141" s="23"/>
      <c r="F141" s="112"/>
      <c r="G141" s="169">
        <v>0</v>
      </c>
      <c r="H141" s="169">
        <v>0</v>
      </c>
      <c r="I141" s="48"/>
      <c r="J141" s="49"/>
      <c r="K141" s="112"/>
      <c r="L141" s="169">
        <v>0</v>
      </c>
      <c r="M141" s="169">
        <v>0</v>
      </c>
      <c r="N141" s="48"/>
      <c r="O141" s="49"/>
      <c r="P141" s="112"/>
      <c r="Q141" s="169">
        <v>0</v>
      </c>
      <c r="R141" s="169">
        <v>0</v>
      </c>
      <c r="S141" s="48"/>
      <c r="T141" s="49"/>
      <c r="U141" s="123"/>
      <c r="V141" s="169">
        <v>0</v>
      </c>
      <c r="W141" s="169">
        <v>0</v>
      </c>
      <c r="X141" s="48"/>
      <c r="Y141" s="48"/>
      <c r="Z141" s="290"/>
      <c r="AA141" s="169">
        <v>0</v>
      </c>
      <c r="AB141" s="169">
        <v>0</v>
      </c>
      <c r="AC141" s="48"/>
      <c r="AD141" s="48"/>
      <c r="AE141" s="290"/>
      <c r="AF141" s="169">
        <v>0</v>
      </c>
      <c r="AG141" s="169">
        <v>0</v>
      </c>
      <c r="AH141" s="48"/>
      <c r="AI141" s="48"/>
      <c r="AJ141" s="290"/>
      <c r="AK141" s="169">
        <v>0</v>
      </c>
      <c r="AL141" s="169">
        <v>0</v>
      </c>
      <c r="AM141" s="48"/>
      <c r="AN141" s="48"/>
      <c r="AO141" s="290"/>
      <c r="AP141" s="169">
        <v>0</v>
      </c>
      <c r="AQ141" s="169">
        <v>0</v>
      </c>
      <c r="AR141" s="48"/>
      <c r="AS141" s="48"/>
      <c r="AT141" s="290"/>
      <c r="AU141" s="169">
        <v>0</v>
      </c>
      <c r="AV141" s="169">
        <v>0</v>
      </c>
      <c r="AW141" s="48"/>
      <c r="AX141" s="48"/>
      <c r="AY141" s="290"/>
      <c r="AZ141" s="169">
        <v>0</v>
      </c>
      <c r="BA141" s="169">
        <v>0</v>
      </c>
      <c r="BB141" s="48"/>
      <c r="BC141" s="48"/>
      <c r="BD141" s="290"/>
      <c r="BE141" s="169">
        <v>0</v>
      </c>
      <c r="BF141" s="169">
        <v>0</v>
      </c>
      <c r="BG141" s="48"/>
      <c r="BH141" s="48"/>
      <c r="BI141" s="290"/>
      <c r="BJ141" s="169">
        <v>0</v>
      </c>
      <c r="BK141" s="169">
        <v>0</v>
      </c>
      <c r="BL141" s="48"/>
      <c r="BM141" s="48"/>
      <c r="BN141" s="290"/>
      <c r="BO141" s="169">
        <v>0</v>
      </c>
      <c r="BP141" s="169">
        <v>0</v>
      </c>
      <c r="BQ141" s="48"/>
      <c r="BR141" s="48"/>
      <c r="BS141" s="290"/>
      <c r="BT141" s="169">
        <v>0</v>
      </c>
      <c r="BU141" s="169">
        <v>0</v>
      </c>
      <c r="BV141" s="48"/>
      <c r="BW141" s="48"/>
      <c r="BX141" s="290"/>
      <c r="BY141" s="169">
        <v>0</v>
      </c>
      <c r="BZ141" s="169">
        <v>0</v>
      </c>
      <c r="CA141" s="48"/>
      <c r="CB141" s="48"/>
      <c r="CC141" s="290"/>
      <c r="CD141" s="169">
        <v>0</v>
      </c>
      <c r="CE141" s="169">
        <v>0</v>
      </c>
      <c r="CF141" s="48"/>
      <c r="CG141" s="48"/>
      <c r="CH141" s="290"/>
      <c r="CI141" s="169">
        <v>0</v>
      </c>
      <c r="CJ141" s="169">
        <v>0</v>
      </c>
      <c r="CK141" s="48"/>
      <c r="CL141" s="48"/>
      <c r="CM141" s="290"/>
      <c r="CN141" s="169">
        <v>0</v>
      </c>
      <c r="CO141" s="169">
        <v>0</v>
      </c>
      <c r="CP141" s="48"/>
      <c r="CQ141" s="48"/>
      <c r="CR141" s="290"/>
      <c r="CS141" s="169">
        <v>0</v>
      </c>
      <c r="CT141" s="169">
        <v>0</v>
      </c>
      <c r="CU141" s="48"/>
      <c r="CV141" s="48"/>
      <c r="CW141" s="290"/>
      <c r="CX141" s="169">
        <v>0</v>
      </c>
      <c r="CY141" s="169">
        <v>0</v>
      </c>
      <c r="CZ141" s="48"/>
      <c r="DA141" s="48"/>
    </row>
    <row r="142" spans="1:105" s="255" customFormat="1" ht="15" customHeight="1">
      <c r="A142" s="291" t="s">
        <v>114</v>
      </c>
      <c r="B142" s="251" t="s">
        <v>87</v>
      </c>
      <c r="C142" s="26" t="s">
        <v>35</v>
      </c>
      <c r="D142" s="253" t="s">
        <v>10</v>
      </c>
      <c r="E142" s="21"/>
      <c r="F142" s="164"/>
      <c r="G142" s="165"/>
      <c r="H142" s="165"/>
      <c r="I142" s="166"/>
      <c r="J142" s="167"/>
      <c r="K142" s="164"/>
      <c r="L142" s="165"/>
      <c r="M142" s="165"/>
      <c r="N142" s="166"/>
      <c r="O142" s="167"/>
      <c r="P142" s="164"/>
      <c r="Q142" s="165"/>
      <c r="R142" s="165"/>
      <c r="S142" s="166"/>
      <c r="T142" s="167"/>
      <c r="U142" s="208"/>
      <c r="V142" s="165"/>
      <c r="W142" s="165"/>
      <c r="X142" s="166"/>
      <c r="Y142" s="166"/>
      <c r="Z142" s="2"/>
      <c r="AA142" s="165"/>
      <c r="AB142" s="165"/>
      <c r="AC142" s="166"/>
      <c r="AD142" s="166"/>
      <c r="AE142" s="2"/>
      <c r="AF142" s="165"/>
      <c r="AG142" s="165"/>
      <c r="AH142" s="166"/>
      <c r="AI142" s="166"/>
      <c r="AJ142" s="2"/>
      <c r="AK142" s="165"/>
      <c r="AL142" s="165"/>
      <c r="AM142" s="166"/>
      <c r="AN142" s="166"/>
      <c r="AO142" s="2"/>
      <c r="AP142" s="165"/>
      <c r="AQ142" s="165"/>
      <c r="AR142" s="166"/>
      <c r="AS142" s="166"/>
      <c r="AT142" s="2"/>
      <c r="AU142" s="165"/>
      <c r="AV142" s="165"/>
      <c r="AW142" s="166"/>
      <c r="AX142" s="166"/>
      <c r="AY142" s="2"/>
      <c r="AZ142" s="165"/>
      <c r="BA142" s="165"/>
      <c r="BB142" s="166"/>
      <c r="BC142" s="166"/>
      <c r="BD142" s="2"/>
      <c r="BE142" s="165"/>
      <c r="BF142" s="165"/>
      <c r="BG142" s="166"/>
      <c r="BH142" s="166"/>
      <c r="BI142" s="2"/>
      <c r="BJ142" s="165"/>
      <c r="BK142" s="165"/>
      <c r="BL142" s="166"/>
      <c r="BM142" s="166"/>
      <c r="BN142" s="2"/>
      <c r="BO142" s="165"/>
      <c r="BP142" s="165"/>
      <c r="BQ142" s="166"/>
      <c r="BR142" s="166"/>
      <c r="BS142" s="2"/>
      <c r="BT142" s="165"/>
      <c r="BU142" s="165"/>
      <c r="BV142" s="166"/>
      <c r="BW142" s="166"/>
      <c r="BX142" s="2"/>
      <c r="BY142" s="165"/>
      <c r="BZ142" s="165"/>
      <c r="CA142" s="166"/>
      <c r="CB142" s="166"/>
      <c r="CC142" s="2"/>
      <c r="CD142" s="165"/>
      <c r="CE142" s="165"/>
      <c r="CF142" s="166"/>
      <c r="CG142" s="166"/>
      <c r="CH142" s="2"/>
      <c r="CI142" s="165"/>
      <c r="CJ142" s="165"/>
      <c r="CK142" s="166"/>
      <c r="CL142" s="166"/>
      <c r="CM142" s="2"/>
      <c r="CN142" s="165"/>
      <c r="CO142" s="165"/>
      <c r="CP142" s="166"/>
      <c r="CQ142" s="166"/>
      <c r="CR142" s="2"/>
      <c r="CS142" s="165"/>
      <c r="CT142" s="165"/>
      <c r="CU142" s="166"/>
      <c r="CV142" s="166"/>
      <c r="CW142" s="2"/>
      <c r="CX142" s="165"/>
      <c r="CY142" s="165"/>
      <c r="CZ142" s="166"/>
      <c r="DA142" s="166"/>
    </row>
    <row r="143" spans="1:105" ht="15" customHeight="1">
      <c r="A143" s="292"/>
      <c r="B143" s="215"/>
      <c r="C143" s="45" t="s">
        <v>64</v>
      </c>
      <c r="D143" s="216" t="s">
        <v>13</v>
      </c>
      <c r="E143" s="22"/>
      <c r="F143" s="104"/>
      <c r="G143" s="56">
        <v>0</v>
      </c>
      <c r="H143" s="56">
        <v>0</v>
      </c>
      <c r="I143" s="44"/>
      <c r="J143" s="86"/>
      <c r="K143" s="104"/>
      <c r="L143" s="56">
        <v>0</v>
      </c>
      <c r="M143" s="56">
        <v>0</v>
      </c>
      <c r="N143" s="44"/>
      <c r="O143" s="86"/>
      <c r="P143" s="104"/>
      <c r="Q143" s="56">
        <v>0</v>
      </c>
      <c r="R143" s="56">
        <v>0</v>
      </c>
      <c r="S143" s="44"/>
      <c r="T143" s="86"/>
      <c r="U143" s="115"/>
      <c r="V143" s="56">
        <v>0</v>
      </c>
      <c r="W143" s="56">
        <v>0</v>
      </c>
      <c r="X143" s="44"/>
      <c r="Y143" s="44"/>
      <c r="Z143" s="92"/>
      <c r="AA143" s="56">
        <v>0</v>
      </c>
      <c r="AB143" s="56">
        <v>0</v>
      </c>
      <c r="AC143" s="44"/>
      <c r="AD143" s="44"/>
      <c r="AE143" s="92"/>
      <c r="AF143" s="56">
        <v>0</v>
      </c>
      <c r="AG143" s="56">
        <v>0</v>
      </c>
      <c r="AH143" s="44"/>
      <c r="AI143" s="44"/>
      <c r="AJ143" s="92"/>
      <c r="AK143" s="56">
        <v>0</v>
      </c>
      <c r="AL143" s="56">
        <v>0</v>
      </c>
      <c r="AM143" s="44"/>
      <c r="AN143" s="44"/>
      <c r="AO143" s="92"/>
      <c r="AP143" s="56">
        <v>0</v>
      </c>
      <c r="AQ143" s="56">
        <v>0</v>
      </c>
      <c r="AR143" s="44"/>
      <c r="AS143" s="44"/>
      <c r="AT143" s="92"/>
      <c r="AU143" s="56">
        <v>0</v>
      </c>
      <c r="AV143" s="56">
        <v>0</v>
      </c>
      <c r="AW143" s="44"/>
      <c r="AX143" s="44"/>
      <c r="AY143" s="92"/>
      <c r="AZ143" s="56">
        <v>0</v>
      </c>
      <c r="BA143" s="56">
        <v>0</v>
      </c>
      <c r="BB143" s="44"/>
      <c r="BC143" s="44"/>
      <c r="BD143" s="92"/>
      <c r="BE143" s="56">
        <v>0</v>
      </c>
      <c r="BF143" s="56">
        <v>0</v>
      </c>
      <c r="BG143" s="44"/>
      <c r="BH143" s="44"/>
      <c r="BI143" s="92"/>
      <c r="BJ143" s="56">
        <v>0</v>
      </c>
      <c r="BK143" s="56">
        <v>0</v>
      </c>
      <c r="BL143" s="44"/>
      <c r="BM143" s="44"/>
      <c r="BN143" s="92"/>
      <c r="BO143" s="56">
        <v>0</v>
      </c>
      <c r="BP143" s="56">
        <v>0</v>
      </c>
      <c r="BQ143" s="44"/>
      <c r="BR143" s="44"/>
      <c r="BS143" s="92"/>
      <c r="BT143" s="56">
        <v>0</v>
      </c>
      <c r="BU143" s="56">
        <v>0</v>
      </c>
      <c r="BV143" s="44"/>
      <c r="BW143" s="44"/>
      <c r="BX143" s="92"/>
      <c r="BY143" s="56">
        <v>0</v>
      </c>
      <c r="BZ143" s="56">
        <v>0</v>
      </c>
      <c r="CA143" s="44"/>
      <c r="CB143" s="44"/>
      <c r="CC143" s="92"/>
      <c r="CD143" s="56">
        <v>0</v>
      </c>
      <c r="CE143" s="56">
        <v>0</v>
      </c>
      <c r="CF143" s="44"/>
      <c r="CG143" s="44"/>
      <c r="CH143" s="92"/>
      <c r="CI143" s="56">
        <v>0</v>
      </c>
      <c r="CJ143" s="56">
        <v>0</v>
      </c>
      <c r="CK143" s="44"/>
      <c r="CL143" s="44"/>
      <c r="CM143" s="92"/>
      <c r="CN143" s="56">
        <v>0</v>
      </c>
      <c r="CO143" s="56">
        <v>0</v>
      </c>
      <c r="CP143" s="44"/>
      <c r="CQ143" s="44"/>
      <c r="CR143" s="92"/>
      <c r="CS143" s="56">
        <v>0</v>
      </c>
      <c r="CT143" s="56">
        <v>0</v>
      </c>
      <c r="CU143" s="44"/>
      <c r="CV143" s="44"/>
      <c r="CW143" s="92"/>
      <c r="CX143" s="56">
        <v>0</v>
      </c>
      <c r="CY143" s="56">
        <v>0</v>
      </c>
      <c r="CZ143" s="44"/>
      <c r="DA143" s="44"/>
    </row>
    <row r="144" spans="1:105" ht="15" customHeight="1">
      <c r="A144" s="292"/>
      <c r="B144" s="215"/>
      <c r="C144" s="45"/>
      <c r="D144" s="216" t="s">
        <v>15</v>
      </c>
      <c r="E144" s="22"/>
      <c r="F144" s="103"/>
      <c r="G144" s="56">
        <v>0</v>
      </c>
      <c r="H144" s="56">
        <v>0</v>
      </c>
      <c r="I144" s="44"/>
      <c r="J144" s="86"/>
      <c r="K144" s="103"/>
      <c r="L144" s="56">
        <v>0</v>
      </c>
      <c r="M144" s="56">
        <v>0</v>
      </c>
      <c r="N144" s="44"/>
      <c r="O144" s="86"/>
      <c r="P144" s="103"/>
      <c r="Q144" s="56">
        <v>0</v>
      </c>
      <c r="R144" s="56">
        <v>0</v>
      </c>
      <c r="S144" s="44"/>
      <c r="T144" s="86"/>
      <c r="U144" s="47"/>
      <c r="V144" s="56">
        <v>0</v>
      </c>
      <c r="W144" s="56">
        <v>0</v>
      </c>
      <c r="X144" s="44"/>
      <c r="Y144" s="44"/>
      <c r="Z144" s="46"/>
      <c r="AA144" s="56">
        <v>0</v>
      </c>
      <c r="AB144" s="56">
        <v>0</v>
      </c>
      <c r="AC144" s="44"/>
      <c r="AD144" s="44"/>
      <c r="AE144" s="46"/>
      <c r="AF144" s="56">
        <v>0</v>
      </c>
      <c r="AG144" s="56">
        <v>0</v>
      </c>
      <c r="AH144" s="44"/>
      <c r="AI144" s="44"/>
      <c r="AJ144" s="46"/>
      <c r="AK144" s="56">
        <v>0</v>
      </c>
      <c r="AL144" s="56">
        <v>0</v>
      </c>
      <c r="AM144" s="44"/>
      <c r="AN144" s="44"/>
      <c r="AO144" s="46"/>
      <c r="AP144" s="56">
        <v>0</v>
      </c>
      <c r="AQ144" s="56">
        <v>0</v>
      </c>
      <c r="AR144" s="44"/>
      <c r="AS144" s="44"/>
      <c r="AT144" s="46"/>
      <c r="AU144" s="56">
        <v>0</v>
      </c>
      <c r="AV144" s="56">
        <v>0</v>
      </c>
      <c r="AW144" s="44"/>
      <c r="AX144" s="44"/>
      <c r="AY144" s="46"/>
      <c r="AZ144" s="56">
        <v>0</v>
      </c>
      <c r="BA144" s="56">
        <v>0</v>
      </c>
      <c r="BB144" s="44"/>
      <c r="BC144" s="44"/>
      <c r="BD144" s="46"/>
      <c r="BE144" s="56">
        <v>0</v>
      </c>
      <c r="BF144" s="56">
        <v>0</v>
      </c>
      <c r="BG144" s="44"/>
      <c r="BH144" s="44"/>
      <c r="BI144" s="46"/>
      <c r="BJ144" s="56">
        <v>0</v>
      </c>
      <c r="BK144" s="56">
        <v>0</v>
      </c>
      <c r="BL144" s="44"/>
      <c r="BM144" s="44"/>
      <c r="BN144" s="46"/>
      <c r="BO144" s="56">
        <v>0</v>
      </c>
      <c r="BP144" s="56">
        <v>0</v>
      </c>
      <c r="BQ144" s="44"/>
      <c r="BR144" s="44"/>
      <c r="BS144" s="46"/>
      <c r="BT144" s="56">
        <v>0</v>
      </c>
      <c r="BU144" s="56">
        <v>0</v>
      </c>
      <c r="BV144" s="44"/>
      <c r="BW144" s="44"/>
      <c r="BX144" s="46"/>
      <c r="BY144" s="56">
        <v>0</v>
      </c>
      <c r="BZ144" s="56">
        <v>0</v>
      </c>
      <c r="CA144" s="44"/>
      <c r="CB144" s="44"/>
      <c r="CC144" s="46"/>
      <c r="CD144" s="56">
        <v>0</v>
      </c>
      <c r="CE144" s="56">
        <v>0</v>
      </c>
      <c r="CF144" s="44"/>
      <c r="CG144" s="44"/>
      <c r="CH144" s="46"/>
      <c r="CI144" s="56">
        <v>0</v>
      </c>
      <c r="CJ144" s="56">
        <v>0</v>
      </c>
      <c r="CK144" s="44"/>
      <c r="CL144" s="44"/>
      <c r="CM144" s="46"/>
      <c r="CN144" s="56">
        <v>0</v>
      </c>
      <c r="CO144" s="56">
        <v>0</v>
      </c>
      <c r="CP144" s="44"/>
      <c r="CQ144" s="44"/>
      <c r="CR144" s="46"/>
      <c r="CS144" s="56">
        <v>0</v>
      </c>
      <c r="CT144" s="56">
        <v>0</v>
      </c>
      <c r="CU144" s="44"/>
      <c r="CV144" s="44"/>
      <c r="CW144" s="46"/>
      <c r="CX144" s="56">
        <v>0</v>
      </c>
      <c r="CY144" s="56">
        <v>0</v>
      </c>
      <c r="CZ144" s="44"/>
      <c r="DA144" s="44"/>
    </row>
    <row r="145" spans="1:105" s="264" customFormat="1" ht="15" customHeight="1" thickBot="1">
      <c r="A145" s="293"/>
      <c r="B145" s="258"/>
      <c r="C145" s="20" t="s">
        <v>39</v>
      </c>
      <c r="D145" s="259" t="s">
        <v>17</v>
      </c>
      <c r="E145" s="23"/>
      <c r="F145" s="168"/>
      <c r="G145" s="177">
        <v>0</v>
      </c>
      <c r="H145" s="177">
        <v>0</v>
      </c>
      <c r="I145" s="48"/>
      <c r="J145" s="49"/>
      <c r="K145" s="168"/>
      <c r="L145" s="177">
        <v>0</v>
      </c>
      <c r="M145" s="177">
        <v>0</v>
      </c>
      <c r="N145" s="48"/>
      <c r="O145" s="49"/>
      <c r="P145" s="168"/>
      <c r="Q145" s="177">
        <v>0</v>
      </c>
      <c r="R145" s="177">
        <v>0</v>
      </c>
      <c r="S145" s="48"/>
      <c r="T145" s="49"/>
      <c r="U145" s="209"/>
      <c r="V145" s="177">
        <v>0</v>
      </c>
      <c r="W145" s="177">
        <v>0</v>
      </c>
      <c r="X145" s="48"/>
      <c r="Y145" s="48"/>
      <c r="Z145" s="3"/>
      <c r="AA145" s="177">
        <v>0</v>
      </c>
      <c r="AB145" s="177">
        <v>0</v>
      </c>
      <c r="AC145" s="48"/>
      <c r="AD145" s="48"/>
      <c r="AE145" s="3"/>
      <c r="AF145" s="177">
        <v>0</v>
      </c>
      <c r="AG145" s="177">
        <v>0</v>
      </c>
      <c r="AH145" s="48"/>
      <c r="AI145" s="48"/>
      <c r="AJ145" s="3"/>
      <c r="AK145" s="177">
        <v>0</v>
      </c>
      <c r="AL145" s="177">
        <v>0</v>
      </c>
      <c r="AM145" s="48"/>
      <c r="AN145" s="48"/>
      <c r="AO145" s="3"/>
      <c r="AP145" s="177">
        <v>0</v>
      </c>
      <c r="AQ145" s="177">
        <v>0</v>
      </c>
      <c r="AR145" s="48"/>
      <c r="AS145" s="48"/>
      <c r="AT145" s="3"/>
      <c r="AU145" s="177">
        <v>0</v>
      </c>
      <c r="AV145" s="177">
        <v>0</v>
      </c>
      <c r="AW145" s="48"/>
      <c r="AX145" s="48"/>
      <c r="AY145" s="3"/>
      <c r="AZ145" s="177">
        <v>0</v>
      </c>
      <c r="BA145" s="177">
        <v>0</v>
      </c>
      <c r="BB145" s="48"/>
      <c r="BC145" s="48"/>
      <c r="BD145" s="3"/>
      <c r="BE145" s="177">
        <v>0</v>
      </c>
      <c r="BF145" s="177">
        <v>0</v>
      </c>
      <c r="BG145" s="48"/>
      <c r="BH145" s="48"/>
      <c r="BI145" s="3"/>
      <c r="BJ145" s="177">
        <v>0</v>
      </c>
      <c r="BK145" s="177">
        <v>0</v>
      </c>
      <c r="BL145" s="48"/>
      <c r="BM145" s="48"/>
      <c r="BN145" s="3"/>
      <c r="BO145" s="177">
        <v>0</v>
      </c>
      <c r="BP145" s="177">
        <v>0</v>
      </c>
      <c r="BQ145" s="48"/>
      <c r="BR145" s="48"/>
      <c r="BS145" s="3"/>
      <c r="BT145" s="177">
        <v>0</v>
      </c>
      <c r="BU145" s="177">
        <v>0</v>
      </c>
      <c r="BV145" s="48"/>
      <c r="BW145" s="48"/>
      <c r="BX145" s="3"/>
      <c r="BY145" s="177">
        <v>0</v>
      </c>
      <c r="BZ145" s="177">
        <v>0</v>
      </c>
      <c r="CA145" s="48"/>
      <c r="CB145" s="48"/>
      <c r="CC145" s="3"/>
      <c r="CD145" s="177">
        <v>0</v>
      </c>
      <c r="CE145" s="177">
        <v>0</v>
      </c>
      <c r="CF145" s="48"/>
      <c r="CG145" s="48"/>
      <c r="CH145" s="3"/>
      <c r="CI145" s="177">
        <v>0</v>
      </c>
      <c r="CJ145" s="177">
        <v>0</v>
      </c>
      <c r="CK145" s="48"/>
      <c r="CL145" s="48"/>
      <c r="CM145" s="3"/>
      <c r="CN145" s="177">
        <v>0</v>
      </c>
      <c r="CO145" s="177">
        <v>0</v>
      </c>
      <c r="CP145" s="48"/>
      <c r="CQ145" s="48"/>
      <c r="CR145" s="3"/>
      <c r="CS145" s="177">
        <v>0</v>
      </c>
      <c r="CT145" s="177">
        <v>0</v>
      </c>
      <c r="CU145" s="48"/>
      <c r="CV145" s="48"/>
      <c r="CW145" s="3"/>
      <c r="CX145" s="177">
        <v>0</v>
      </c>
      <c r="CY145" s="177">
        <v>0</v>
      </c>
      <c r="CZ145" s="48"/>
      <c r="DA145" s="48"/>
    </row>
    <row r="146" spans="1:105" s="249" customFormat="1" ht="15" customHeight="1">
      <c r="A146" s="288" t="s">
        <v>111</v>
      </c>
      <c r="B146" s="5" t="s">
        <v>88</v>
      </c>
      <c r="C146" s="6" t="s">
        <v>35</v>
      </c>
      <c r="D146" s="7" t="s">
        <v>10</v>
      </c>
      <c r="E146" s="4"/>
      <c r="F146" s="196"/>
      <c r="G146" s="200"/>
      <c r="H146" s="200"/>
      <c r="I146" s="38"/>
      <c r="J146" s="206"/>
      <c r="K146" s="196"/>
      <c r="L146" s="200"/>
      <c r="M146" s="200"/>
      <c r="N146" s="38"/>
      <c r="O146" s="206"/>
      <c r="P146" s="196"/>
      <c r="Q146" s="200"/>
      <c r="R146" s="200"/>
      <c r="S146" s="38"/>
      <c r="T146" s="206"/>
      <c r="U146" s="207"/>
      <c r="V146" s="200"/>
      <c r="W146" s="200"/>
      <c r="X146" s="38"/>
      <c r="Y146" s="38"/>
      <c r="Z146" s="36"/>
      <c r="AA146" s="200"/>
      <c r="AB146" s="200"/>
      <c r="AC146" s="38"/>
      <c r="AD146" s="38"/>
      <c r="AE146" s="36"/>
      <c r="AF146" s="200"/>
      <c r="AG146" s="200"/>
      <c r="AH146" s="38"/>
      <c r="AI146" s="38"/>
      <c r="AJ146" s="36"/>
      <c r="AK146" s="200"/>
      <c r="AL146" s="200"/>
      <c r="AM146" s="38"/>
      <c r="AN146" s="38"/>
      <c r="AO146" s="36"/>
      <c r="AP146" s="200"/>
      <c r="AQ146" s="200"/>
      <c r="AR146" s="38"/>
      <c r="AS146" s="38"/>
      <c r="AT146" s="36"/>
      <c r="AU146" s="200"/>
      <c r="AV146" s="200"/>
      <c r="AW146" s="38"/>
      <c r="AX146" s="38"/>
      <c r="AY146" s="36"/>
      <c r="AZ146" s="200"/>
      <c r="BA146" s="200"/>
      <c r="BB146" s="38"/>
      <c r="BC146" s="38"/>
      <c r="BD146" s="36"/>
      <c r="BE146" s="200"/>
      <c r="BF146" s="200"/>
      <c r="BG146" s="38"/>
      <c r="BH146" s="38"/>
      <c r="BI146" s="36"/>
      <c r="BJ146" s="200"/>
      <c r="BK146" s="200"/>
      <c r="BL146" s="38"/>
      <c r="BM146" s="38"/>
      <c r="BN146" s="36"/>
      <c r="BO146" s="200"/>
      <c r="BP146" s="200"/>
      <c r="BQ146" s="38"/>
      <c r="BR146" s="38"/>
      <c r="BS146" s="36"/>
      <c r="BT146" s="200"/>
      <c r="BU146" s="200"/>
      <c r="BV146" s="38"/>
      <c r="BW146" s="38"/>
      <c r="BX146" s="36"/>
      <c r="BY146" s="200"/>
      <c r="BZ146" s="200"/>
      <c r="CA146" s="38"/>
      <c r="CB146" s="38"/>
      <c r="CC146" s="36"/>
      <c r="CD146" s="200"/>
      <c r="CE146" s="200"/>
      <c r="CF146" s="38"/>
      <c r="CG146" s="38"/>
      <c r="CH146" s="36"/>
      <c r="CI146" s="200"/>
      <c r="CJ146" s="200"/>
      <c r="CK146" s="38"/>
      <c r="CL146" s="38"/>
      <c r="CM146" s="36"/>
      <c r="CN146" s="200"/>
      <c r="CO146" s="200"/>
      <c r="CP146" s="38"/>
      <c r="CQ146" s="38"/>
      <c r="CR146" s="36"/>
      <c r="CS146" s="200"/>
      <c r="CT146" s="200"/>
      <c r="CU146" s="38"/>
      <c r="CV146" s="38"/>
      <c r="CW146" s="36"/>
      <c r="CX146" s="200"/>
      <c r="CY146" s="200"/>
      <c r="CZ146" s="38"/>
      <c r="DA146" s="38"/>
    </row>
    <row r="147" spans="1:105" ht="15" customHeight="1">
      <c r="A147" s="276"/>
      <c r="B147" s="215"/>
      <c r="C147" s="45" t="s">
        <v>37</v>
      </c>
      <c r="D147" s="216" t="s">
        <v>13</v>
      </c>
      <c r="E147" s="22"/>
      <c r="F147" s="104"/>
      <c r="G147" s="71">
        <v>0</v>
      </c>
      <c r="H147" s="58">
        <v>0</v>
      </c>
      <c r="I147" s="44"/>
      <c r="J147" s="86"/>
      <c r="K147" s="104"/>
      <c r="L147" s="71">
        <v>0</v>
      </c>
      <c r="M147" s="58">
        <v>0</v>
      </c>
      <c r="N147" s="44"/>
      <c r="O147" s="86"/>
      <c r="P147" s="104"/>
      <c r="Q147" s="71">
        <v>0</v>
      </c>
      <c r="R147" s="58">
        <v>0</v>
      </c>
      <c r="S147" s="44"/>
      <c r="T147" s="86"/>
      <c r="U147" s="115"/>
      <c r="V147" s="71">
        <v>0</v>
      </c>
      <c r="W147" s="58">
        <v>0</v>
      </c>
      <c r="X147" s="44"/>
      <c r="Y147" s="44"/>
      <c r="Z147" s="92"/>
      <c r="AA147" s="71">
        <v>0</v>
      </c>
      <c r="AB147" s="58">
        <v>0</v>
      </c>
      <c r="AC147" s="44"/>
      <c r="AD147" s="44"/>
      <c r="AE147" s="92"/>
      <c r="AF147" s="71">
        <v>0</v>
      </c>
      <c r="AG147" s="58">
        <v>0</v>
      </c>
      <c r="AH147" s="44"/>
      <c r="AI147" s="44"/>
      <c r="AJ147" s="92"/>
      <c r="AK147" s="71">
        <v>0</v>
      </c>
      <c r="AL147" s="58">
        <v>0</v>
      </c>
      <c r="AM147" s="44"/>
      <c r="AN147" s="44"/>
      <c r="AO147" s="92"/>
      <c r="AP147" s="71">
        <v>0</v>
      </c>
      <c r="AQ147" s="58">
        <v>0</v>
      </c>
      <c r="AR147" s="44"/>
      <c r="AS147" s="44"/>
      <c r="AT147" s="92"/>
      <c r="AU147" s="71">
        <v>0</v>
      </c>
      <c r="AV147" s="58">
        <v>0</v>
      </c>
      <c r="AW147" s="44"/>
      <c r="AX147" s="44"/>
      <c r="AY147" s="92"/>
      <c r="AZ147" s="71">
        <v>0</v>
      </c>
      <c r="BA147" s="58">
        <v>0</v>
      </c>
      <c r="BB147" s="44"/>
      <c r="BC147" s="44"/>
      <c r="BD147" s="92"/>
      <c r="BE147" s="71">
        <v>0</v>
      </c>
      <c r="BF147" s="58">
        <v>0</v>
      </c>
      <c r="BG147" s="44"/>
      <c r="BH147" s="44"/>
      <c r="BI147" s="92"/>
      <c r="BJ147" s="71">
        <v>0</v>
      </c>
      <c r="BK147" s="58">
        <v>0</v>
      </c>
      <c r="BL147" s="44"/>
      <c r="BM147" s="44"/>
      <c r="BN147" s="92"/>
      <c r="BO147" s="71">
        <v>0</v>
      </c>
      <c r="BP147" s="58">
        <v>0</v>
      </c>
      <c r="BQ147" s="44"/>
      <c r="BR147" s="44"/>
      <c r="BS147" s="92"/>
      <c r="BT147" s="71">
        <v>0</v>
      </c>
      <c r="BU147" s="58">
        <v>0</v>
      </c>
      <c r="BV147" s="44"/>
      <c r="BW147" s="44"/>
      <c r="BX147" s="92"/>
      <c r="BY147" s="71">
        <v>0</v>
      </c>
      <c r="BZ147" s="58">
        <v>0</v>
      </c>
      <c r="CA147" s="44"/>
      <c r="CB147" s="44"/>
      <c r="CC147" s="92"/>
      <c r="CD147" s="71">
        <v>0</v>
      </c>
      <c r="CE147" s="58">
        <v>0</v>
      </c>
      <c r="CF147" s="44"/>
      <c r="CG147" s="44"/>
      <c r="CH147" s="92"/>
      <c r="CI147" s="71">
        <v>0</v>
      </c>
      <c r="CJ147" s="58">
        <v>0</v>
      </c>
      <c r="CK147" s="44"/>
      <c r="CL147" s="44"/>
      <c r="CM147" s="92"/>
      <c r="CN147" s="71">
        <v>0</v>
      </c>
      <c r="CO147" s="58">
        <v>0</v>
      </c>
      <c r="CP147" s="44"/>
      <c r="CQ147" s="44"/>
      <c r="CR147" s="92"/>
      <c r="CS147" s="71">
        <v>0</v>
      </c>
      <c r="CT147" s="58">
        <v>0</v>
      </c>
      <c r="CU147" s="44"/>
      <c r="CV147" s="44"/>
      <c r="CW147" s="92"/>
      <c r="CX147" s="71">
        <v>0</v>
      </c>
      <c r="CY147" s="58">
        <v>0</v>
      </c>
      <c r="CZ147" s="44"/>
      <c r="DA147" s="44"/>
    </row>
    <row r="148" spans="1:105" ht="15" customHeight="1">
      <c r="A148" s="276"/>
      <c r="B148" s="215"/>
      <c r="C148" s="45" t="s">
        <v>22</v>
      </c>
      <c r="D148" s="216" t="s">
        <v>15</v>
      </c>
      <c r="E148" s="22"/>
      <c r="F148" s="104"/>
      <c r="G148" s="71">
        <v>0</v>
      </c>
      <c r="H148" s="58">
        <v>0</v>
      </c>
      <c r="I148" s="44"/>
      <c r="J148" s="86"/>
      <c r="K148" s="104"/>
      <c r="L148" s="71">
        <v>0</v>
      </c>
      <c r="M148" s="58">
        <v>0</v>
      </c>
      <c r="N148" s="44"/>
      <c r="O148" s="86"/>
      <c r="P148" s="104"/>
      <c r="Q148" s="71">
        <v>0</v>
      </c>
      <c r="R148" s="58">
        <v>0</v>
      </c>
      <c r="S148" s="44"/>
      <c r="T148" s="86"/>
      <c r="U148" s="115"/>
      <c r="V148" s="71">
        <v>0</v>
      </c>
      <c r="W148" s="58">
        <v>0</v>
      </c>
      <c r="X148" s="44"/>
      <c r="Y148" s="44"/>
      <c r="Z148" s="92"/>
      <c r="AA148" s="71">
        <v>0</v>
      </c>
      <c r="AB148" s="58">
        <v>0</v>
      </c>
      <c r="AC148" s="44"/>
      <c r="AD148" s="44"/>
      <c r="AE148" s="92"/>
      <c r="AF148" s="71">
        <v>0</v>
      </c>
      <c r="AG148" s="58">
        <v>0</v>
      </c>
      <c r="AH148" s="44"/>
      <c r="AI148" s="44"/>
      <c r="AJ148" s="92"/>
      <c r="AK148" s="71">
        <v>0</v>
      </c>
      <c r="AL148" s="58">
        <v>0</v>
      </c>
      <c r="AM148" s="44"/>
      <c r="AN148" s="44"/>
      <c r="AO148" s="92"/>
      <c r="AP148" s="71">
        <v>0</v>
      </c>
      <c r="AQ148" s="58">
        <v>0</v>
      </c>
      <c r="AR148" s="44"/>
      <c r="AS148" s="44"/>
      <c r="AT148" s="92"/>
      <c r="AU148" s="71">
        <v>0</v>
      </c>
      <c r="AV148" s="58">
        <v>0</v>
      </c>
      <c r="AW148" s="44"/>
      <c r="AX148" s="44"/>
      <c r="AY148" s="92"/>
      <c r="AZ148" s="71">
        <v>0</v>
      </c>
      <c r="BA148" s="58">
        <v>0</v>
      </c>
      <c r="BB148" s="44"/>
      <c r="BC148" s="44"/>
      <c r="BD148" s="92"/>
      <c r="BE148" s="71">
        <v>0</v>
      </c>
      <c r="BF148" s="58">
        <v>0</v>
      </c>
      <c r="BG148" s="44"/>
      <c r="BH148" s="44"/>
      <c r="BI148" s="92"/>
      <c r="BJ148" s="71">
        <v>0</v>
      </c>
      <c r="BK148" s="58">
        <v>0</v>
      </c>
      <c r="BL148" s="44"/>
      <c r="BM148" s="44"/>
      <c r="BN148" s="92"/>
      <c r="BO148" s="71">
        <v>0</v>
      </c>
      <c r="BP148" s="58">
        <v>0</v>
      </c>
      <c r="BQ148" s="44"/>
      <c r="BR148" s="44"/>
      <c r="BS148" s="92"/>
      <c r="BT148" s="71">
        <v>0</v>
      </c>
      <c r="BU148" s="58">
        <v>0</v>
      </c>
      <c r="BV148" s="44"/>
      <c r="BW148" s="44"/>
      <c r="BX148" s="92"/>
      <c r="BY148" s="71">
        <v>0</v>
      </c>
      <c r="BZ148" s="58">
        <v>0</v>
      </c>
      <c r="CA148" s="44"/>
      <c r="CB148" s="44"/>
      <c r="CC148" s="92"/>
      <c r="CD148" s="71">
        <v>0</v>
      </c>
      <c r="CE148" s="58">
        <v>0</v>
      </c>
      <c r="CF148" s="44"/>
      <c r="CG148" s="44"/>
      <c r="CH148" s="92"/>
      <c r="CI148" s="71">
        <v>0</v>
      </c>
      <c r="CJ148" s="58">
        <v>0</v>
      </c>
      <c r="CK148" s="44"/>
      <c r="CL148" s="44"/>
      <c r="CM148" s="92"/>
      <c r="CN148" s="71">
        <v>0</v>
      </c>
      <c r="CO148" s="58">
        <v>0</v>
      </c>
      <c r="CP148" s="44"/>
      <c r="CQ148" s="44"/>
      <c r="CR148" s="92"/>
      <c r="CS148" s="71">
        <v>0</v>
      </c>
      <c r="CT148" s="58">
        <v>0</v>
      </c>
      <c r="CU148" s="44"/>
      <c r="CV148" s="44"/>
      <c r="CW148" s="92"/>
      <c r="CX148" s="71">
        <v>0</v>
      </c>
      <c r="CY148" s="58">
        <v>0</v>
      </c>
      <c r="CZ148" s="44"/>
      <c r="DA148" s="44"/>
    </row>
    <row r="149" spans="1:105" s="264" customFormat="1" ht="15" customHeight="1" thickBot="1">
      <c r="A149" s="289"/>
      <c r="B149" s="258"/>
      <c r="C149" s="20" t="s">
        <v>89</v>
      </c>
      <c r="D149" s="259" t="s">
        <v>17</v>
      </c>
      <c r="E149" s="23"/>
      <c r="F149" s="168"/>
      <c r="G149" s="177">
        <v>0</v>
      </c>
      <c r="H149" s="177">
        <v>0</v>
      </c>
      <c r="I149" s="48"/>
      <c r="J149" s="49"/>
      <c r="K149" s="168"/>
      <c r="L149" s="177">
        <v>0</v>
      </c>
      <c r="M149" s="177">
        <v>0</v>
      </c>
      <c r="N149" s="48"/>
      <c r="O149" s="49"/>
      <c r="P149" s="168"/>
      <c r="Q149" s="177">
        <v>0</v>
      </c>
      <c r="R149" s="177">
        <v>0</v>
      </c>
      <c r="S149" s="48"/>
      <c r="T149" s="49"/>
      <c r="U149" s="209"/>
      <c r="V149" s="177">
        <v>0</v>
      </c>
      <c r="W149" s="177">
        <v>0</v>
      </c>
      <c r="X149" s="48"/>
      <c r="Y149" s="48"/>
      <c r="Z149" s="3"/>
      <c r="AA149" s="177">
        <v>0</v>
      </c>
      <c r="AB149" s="177">
        <v>0</v>
      </c>
      <c r="AC149" s="48"/>
      <c r="AD149" s="48"/>
      <c r="AE149" s="3"/>
      <c r="AF149" s="177">
        <v>0</v>
      </c>
      <c r="AG149" s="177">
        <v>0</v>
      </c>
      <c r="AH149" s="48"/>
      <c r="AI149" s="48"/>
      <c r="AJ149" s="3"/>
      <c r="AK149" s="177">
        <v>0</v>
      </c>
      <c r="AL149" s="177">
        <v>0</v>
      </c>
      <c r="AM149" s="48"/>
      <c r="AN149" s="48"/>
      <c r="AO149" s="3"/>
      <c r="AP149" s="177">
        <v>0</v>
      </c>
      <c r="AQ149" s="177">
        <v>0</v>
      </c>
      <c r="AR149" s="48"/>
      <c r="AS149" s="48"/>
      <c r="AT149" s="3"/>
      <c r="AU149" s="177">
        <v>0</v>
      </c>
      <c r="AV149" s="177">
        <v>0</v>
      </c>
      <c r="AW149" s="48"/>
      <c r="AX149" s="48"/>
      <c r="AY149" s="3"/>
      <c r="AZ149" s="177">
        <v>0</v>
      </c>
      <c r="BA149" s="177">
        <v>0</v>
      </c>
      <c r="BB149" s="48"/>
      <c r="BC149" s="48"/>
      <c r="BD149" s="3"/>
      <c r="BE149" s="177">
        <v>0</v>
      </c>
      <c r="BF149" s="177">
        <v>0</v>
      </c>
      <c r="BG149" s="48"/>
      <c r="BH149" s="48"/>
      <c r="BI149" s="3"/>
      <c r="BJ149" s="177">
        <v>0</v>
      </c>
      <c r="BK149" s="177">
        <v>0</v>
      </c>
      <c r="BL149" s="48"/>
      <c r="BM149" s="48"/>
      <c r="BN149" s="3"/>
      <c r="BO149" s="177">
        <v>0</v>
      </c>
      <c r="BP149" s="177">
        <v>0</v>
      </c>
      <c r="BQ149" s="48"/>
      <c r="BR149" s="48"/>
      <c r="BS149" s="3"/>
      <c r="BT149" s="177">
        <v>0</v>
      </c>
      <c r="BU149" s="177">
        <v>0</v>
      </c>
      <c r="BV149" s="48"/>
      <c r="BW149" s="48"/>
      <c r="BX149" s="3"/>
      <c r="BY149" s="177">
        <v>0</v>
      </c>
      <c r="BZ149" s="177">
        <v>0</v>
      </c>
      <c r="CA149" s="48"/>
      <c r="CB149" s="48"/>
      <c r="CC149" s="3"/>
      <c r="CD149" s="177">
        <v>0</v>
      </c>
      <c r="CE149" s="177">
        <v>0</v>
      </c>
      <c r="CF149" s="48"/>
      <c r="CG149" s="48"/>
      <c r="CH149" s="3"/>
      <c r="CI149" s="177">
        <v>0</v>
      </c>
      <c r="CJ149" s="177">
        <v>0</v>
      </c>
      <c r="CK149" s="48"/>
      <c r="CL149" s="48"/>
      <c r="CM149" s="3"/>
      <c r="CN149" s="177">
        <v>0</v>
      </c>
      <c r="CO149" s="177">
        <v>0</v>
      </c>
      <c r="CP149" s="48"/>
      <c r="CQ149" s="48"/>
      <c r="CR149" s="3"/>
      <c r="CS149" s="177">
        <v>0</v>
      </c>
      <c r="CT149" s="177">
        <v>0</v>
      </c>
      <c r="CU149" s="48"/>
      <c r="CV149" s="48"/>
      <c r="CW149" s="3"/>
      <c r="CX149" s="177">
        <v>0</v>
      </c>
      <c r="CY149" s="177">
        <v>0</v>
      </c>
      <c r="CZ149" s="48"/>
      <c r="DA149" s="48"/>
    </row>
    <row r="150" spans="1:105" s="249" customFormat="1" ht="15" customHeight="1">
      <c r="A150" s="295" t="s">
        <v>315</v>
      </c>
      <c r="B150" s="294" t="s">
        <v>90</v>
      </c>
      <c r="C150" s="32" t="s">
        <v>25</v>
      </c>
      <c r="D150" s="279" t="s">
        <v>10</v>
      </c>
      <c r="E150" s="310"/>
      <c r="F150" s="205"/>
      <c r="G150" s="197"/>
      <c r="H150" s="197"/>
      <c r="I150" s="38"/>
      <c r="J150" s="206"/>
      <c r="K150" s="205"/>
      <c r="L150" s="197"/>
      <c r="M150" s="197"/>
      <c r="N150" s="38"/>
      <c r="O150" s="206"/>
      <c r="P150" s="205"/>
      <c r="Q150" s="197"/>
      <c r="R150" s="197"/>
      <c r="S150" s="38"/>
      <c r="T150" s="206"/>
      <c r="U150" s="210"/>
      <c r="V150" s="197"/>
      <c r="W150" s="204">
        <v>1518</v>
      </c>
      <c r="X150" s="38"/>
      <c r="Y150" s="384">
        <f>SUM(W150:W154)*1.1</f>
        <v>108414.482</v>
      </c>
      <c r="Z150" s="280"/>
      <c r="AA150" s="197"/>
      <c r="AB150" s="204">
        <v>1518</v>
      </c>
      <c r="AC150" s="38"/>
      <c r="AD150" s="384">
        <f>SUM(AB150:AB154)*1.1</f>
        <v>87517.221000000005</v>
      </c>
      <c r="AE150" s="280"/>
      <c r="AF150" s="197"/>
      <c r="AG150" s="204">
        <v>759</v>
      </c>
      <c r="AH150" s="38"/>
      <c r="AI150" s="384">
        <f>AI151*1.1</f>
        <v>97242.629000000001</v>
      </c>
      <c r="AJ150" s="280"/>
      <c r="AK150" s="204"/>
      <c r="AL150" s="204">
        <v>506</v>
      </c>
      <c r="AM150" s="427"/>
      <c r="AN150" s="384">
        <f>AN151*1.2</f>
        <v>103797.98399999998</v>
      </c>
      <c r="AO150" s="280"/>
      <c r="AP150" s="197"/>
      <c r="AQ150" s="197"/>
      <c r="AR150" s="38"/>
      <c r="AS150" s="384">
        <f>SUM(AQ150:AQ154)*1.1</f>
        <v>119050.94300000001</v>
      </c>
      <c r="AT150" s="280"/>
      <c r="AU150" s="197"/>
      <c r="AV150" s="197"/>
      <c r="AW150" s="38"/>
      <c r="AX150" s="384">
        <f>SUM(AV150:AV154)*1.1</f>
        <v>133449.01900000003</v>
      </c>
      <c r="AY150" s="280"/>
      <c r="AZ150" s="197"/>
      <c r="BA150" s="197"/>
      <c r="BB150" s="38"/>
      <c r="BC150" s="384">
        <f>SUM(BA150:BA154)*1.1</f>
        <v>133687.565</v>
      </c>
      <c r="BD150" s="280"/>
      <c r="BE150" s="197"/>
      <c r="BF150" s="197"/>
      <c r="BG150" s="38"/>
      <c r="BH150" s="384">
        <f>SUM(BF150:BF154)*1.1</f>
        <v>126574.80000000002</v>
      </c>
      <c r="BI150" s="280"/>
      <c r="BJ150" s="197"/>
      <c r="BK150" s="197"/>
      <c r="BL150" s="38"/>
      <c r="BM150" s="384">
        <f>SUM(BK150:BK154)*1.1</f>
        <v>126392.69500000001</v>
      </c>
      <c r="BN150" s="280"/>
      <c r="BO150" s="197"/>
      <c r="BP150" s="197"/>
      <c r="BQ150" s="38"/>
      <c r="BR150" s="384">
        <f>SUM(BP150:BP154)*1.1</f>
        <v>157482.391</v>
      </c>
      <c r="BS150" s="280"/>
      <c r="BT150" s="197"/>
      <c r="BU150" s="197"/>
      <c r="BV150" s="38"/>
      <c r="BW150" s="384">
        <f>SUM(BU150:BU154)*1.1</f>
        <v>159455.70300000004</v>
      </c>
      <c r="BX150" s="280"/>
      <c r="BY150" s="197"/>
      <c r="BZ150" s="197"/>
      <c r="CA150" s="38"/>
      <c r="CB150" s="384">
        <f>SUM(BZ150:BZ154)*1.1</f>
        <v>77662.717000000004</v>
      </c>
      <c r="CC150" s="280"/>
      <c r="CD150" s="197"/>
      <c r="CE150" s="197"/>
      <c r="CF150" s="38"/>
      <c r="CG150" s="384">
        <f>SUM(CE150:CE154)*1.1</f>
        <v>77662.717000000004</v>
      </c>
      <c r="CH150" s="280"/>
      <c r="CI150" s="197"/>
      <c r="CJ150" s="197"/>
      <c r="CK150" s="38"/>
      <c r="CL150" s="384">
        <f>SUM(CJ150:CJ154)*1.1</f>
        <v>77662.717000000004</v>
      </c>
      <c r="CM150" s="280"/>
      <c r="CN150" s="197"/>
      <c r="CO150" s="197"/>
      <c r="CP150" s="38"/>
      <c r="CQ150" s="384">
        <f>SUM(CO150:CO154)*1.1</f>
        <v>77662.717000000004</v>
      </c>
      <c r="CR150" s="280"/>
      <c r="CS150" s="197"/>
      <c r="CT150" s="197"/>
      <c r="CU150" s="38"/>
      <c r="CV150" s="384">
        <f>SUM(CT150:CT154)*1.1</f>
        <v>77662.717000000004</v>
      </c>
      <c r="CW150" s="280"/>
      <c r="CX150" s="197"/>
      <c r="CY150" s="197"/>
      <c r="CZ150" s="38"/>
      <c r="DA150" s="384">
        <f>SUM(CY150:CY154)*1.1</f>
        <v>77662.717000000004</v>
      </c>
    </row>
    <row r="151" spans="1:105" s="336" customFormat="1" ht="15" customHeight="1">
      <c r="A151" s="256"/>
      <c r="B151" s="234">
        <v>34427001</v>
      </c>
      <c r="C151" s="220" t="s">
        <v>91</v>
      </c>
      <c r="D151" s="231" t="s">
        <v>330</v>
      </c>
      <c r="E151" s="29"/>
      <c r="F151" s="109"/>
      <c r="G151" s="128">
        <v>1</v>
      </c>
      <c r="H151" s="74">
        <v>1647.64</v>
      </c>
      <c r="I151" s="81"/>
      <c r="J151" s="88"/>
      <c r="K151" s="109"/>
      <c r="L151" s="128">
        <v>1</v>
      </c>
      <c r="M151" s="74">
        <v>1647.64</v>
      </c>
      <c r="N151" s="81"/>
      <c r="O151" s="88"/>
      <c r="P151" s="109"/>
      <c r="Q151" s="128">
        <v>1</v>
      </c>
      <c r="R151" s="74">
        <v>1647.64</v>
      </c>
      <c r="S151" s="81"/>
      <c r="T151" s="88"/>
      <c r="U151" s="120"/>
      <c r="V151" s="128">
        <v>1</v>
      </c>
      <c r="W151" s="74">
        <v>1647.64</v>
      </c>
      <c r="X151" s="81"/>
      <c r="Y151" s="403">
        <f>SUM(W150:W154)*1</f>
        <v>98558.62</v>
      </c>
      <c r="Z151" s="97"/>
      <c r="AA151" s="128">
        <v>1</v>
      </c>
      <c r="AB151" s="74">
        <v>1647.64</v>
      </c>
      <c r="AC151" s="81"/>
      <c r="AD151" s="403">
        <f>SUM(AB150:AB154)*1</f>
        <v>79561.11</v>
      </c>
      <c r="AE151" s="97"/>
      <c r="AF151" s="128">
        <v>1</v>
      </c>
      <c r="AG151" s="74">
        <v>1647.64</v>
      </c>
      <c r="AH151" s="81"/>
      <c r="AI151" s="403">
        <f>SUM(AG150:AG154)*1</f>
        <v>88402.39</v>
      </c>
      <c r="AJ151" s="97"/>
      <c r="AK151" s="128">
        <v>1</v>
      </c>
      <c r="AL151" s="74">
        <v>1647.64</v>
      </c>
      <c r="AM151" s="81"/>
      <c r="AN151" s="403">
        <f>SUM(AL150:AL154)*1</f>
        <v>86498.319999999992</v>
      </c>
      <c r="AO151" s="97"/>
      <c r="AP151" s="128">
        <v>1</v>
      </c>
      <c r="AQ151" s="74">
        <v>1647.64</v>
      </c>
      <c r="AR151" s="81"/>
      <c r="AS151" s="403">
        <f>SUM(AQ150:AQ154)*1</f>
        <v>108228.13</v>
      </c>
      <c r="AT151" s="97"/>
      <c r="AU151" s="128">
        <v>1</v>
      </c>
      <c r="AV151" s="516">
        <v>1647.64</v>
      </c>
      <c r="AW151" s="81"/>
      <c r="AX151" s="403">
        <f>SUM(AV150:AV154)*1</f>
        <v>121317.29000000001</v>
      </c>
      <c r="AY151" s="97"/>
      <c r="AZ151" s="128">
        <v>1</v>
      </c>
      <c r="BA151" s="74">
        <v>1647.64</v>
      </c>
      <c r="BB151" s="81"/>
      <c r="BC151" s="403">
        <f>SUM(BA150:BA154)*1</f>
        <v>121534.15</v>
      </c>
      <c r="BD151" s="97"/>
      <c r="BE151" s="128">
        <v>1</v>
      </c>
      <c r="BF151" s="74">
        <v>1647.64</v>
      </c>
      <c r="BG151" s="81"/>
      <c r="BH151" s="403">
        <f>SUM(BF150:BF154)*1</f>
        <v>115068</v>
      </c>
      <c r="BI151" s="97"/>
      <c r="BJ151" s="128">
        <v>1</v>
      </c>
      <c r="BK151" s="74">
        <v>1647.64</v>
      </c>
      <c r="BL151" s="81"/>
      <c r="BM151" s="403">
        <f>SUM(BK150:BK154)*1</f>
        <v>114902.45</v>
      </c>
      <c r="BN151" s="97"/>
      <c r="BO151" s="128">
        <v>1</v>
      </c>
      <c r="BP151" s="74">
        <v>1647.64</v>
      </c>
      <c r="BQ151" s="81"/>
      <c r="BR151" s="403">
        <f>SUM(BP150:BP154)*1</f>
        <v>143165.81</v>
      </c>
      <c r="BS151" s="406"/>
      <c r="BT151" s="128">
        <v>1</v>
      </c>
      <c r="BU151" s="74">
        <v>1647.64</v>
      </c>
      <c r="BV151" s="81"/>
      <c r="BW151" s="403">
        <f>SUM(BU150:BU154)*1</f>
        <v>144959.73000000001</v>
      </c>
      <c r="BX151" s="406"/>
      <c r="BY151" s="128">
        <v>1</v>
      </c>
      <c r="BZ151" s="74">
        <v>1647.64</v>
      </c>
      <c r="CA151" s="81"/>
      <c r="CB151" s="403">
        <f>SUM(BZ150:BZ154)*1</f>
        <v>70602.47</v>
      </c>
      <c r="CC151" s="97"/>
      <c r="CD151" s="56">
        <v>1</v>
      </c>
      <c r="CE151" s="57">
        <v>1647.64</v>
      </c>
      <c r="CF151" s="44"/>
      <c r="CG151" s="403">
        <f>SUM(CE150:CE154)*1</f>
        <v>70602.47</v>
      </c>
      <c r="CH151" s="97"/>
      <c r="CI151" s="56">
        <v>1</v>
      </c>
      <c r="CJ151" s="57">
        <v>1647.64</v>
      </c>
      <c r="CK151" s="44"/>
      <c r="CL151" s="403">
        <f>SUM(CJ150:CJ154)*1</f>
        <v>70602.47</v>
      </c>
      <c r="CM151" s="97"/>
      <c r="CN151" s="56">
        <v>1</v>
      </c>
      <c r="CO151" s="57">
        <v>1647.64</v>
      </c>
      <c r="CP151" s="44"/>
      <c r="CQ151" s="403">
        <f>SUM(CO150:CO154)*1</f>
        <v>70602.47</v>
      </c>
      <c r="CR151" s="97"/>
      <c r="CS151" s="56">
        <v>1</v>
      </c>
      <c r="CT151" s="57">
        <v>1647.64</v>
      </c>
      <c r="CU151" s="44"/>
      <c r="CV151" s="403">
        <f>SUM(CT150:CT154)*1</f>
        <v>70602.47</v>
      </c>
      <c r="CW151" s="97"/>
      <c r="CX151" s="56">
        <v>1</v>
      </c>
      <c r="CY151" s="57">
        <v>1647.64</v>
      </c>
      <c r="CZ151" s="44"/>
      <c r="DA151" s="403">
        <f>SUM(CY150:CY154)*1</f>
        <v>70602.47</v>
      </c>
    </row>
    <row r="152" spans="1:105" ht="15" customHeight="1">
      <c r="A152" s="296" t="s">
        <v>333</v>
      </c>
      <c r="B152" s="234"/>
      <c r="C152" s="220"/>
      <c r="D152" s="231" t="s">
        <v>13</v>
      </c>
      <c r="E152" s="29"/>
      <c r="F152" s="110">
        <f>H152/G152</f>
        <v>5.2443954037800689</v>
      </c>
      <c r="G152" s="143">
        <v>9312</v>
      </c>
      <c r="H152" s="144">
        <v>48835.81</v>
      </c>
      <c r="I152" s="81"/>
      <c r="J152" s="88"/>
      <c r="K152" s="110">
        <f>M152/L152</f>
        <v>5.3410320547210297</v>
      </c>
      <c r="L152" s="143">
        <v>14912</v>
      </c>
      <c r="M152" s="144">
        <v>79645.47</v>
      </c>
      <c r="N152" s="81"/>
      <c r="O152" s="88"/>
      <c r="P152" s="110">
        <f>R152/Q152</f>
        <v>5.3220597901655928</v>
      </c>
      <c r="Q152" s="360">
        <v>15822</v>
      </c>
      <c r="R152" s="361">
        <v>84205.63</v>
      </c>
      <c r="S152" s="81"/>
      <c r="T152" s="88"/>
      <c r="U152" s="121">
        <f>W152/V152</f>
        <v>5.2186440491270583</v>
      </c>
      <c r="V152" s="143">
        <v>18157</v>
      </c>
      <c r="W152" s="144">
        <v>94754.92</v>
      </c>
      <c r="X152" s="81"/>
      <c r="Y152" s="81"/>
      <c r="Z152" s="98">
        <f>AB152/AA152</f>
        <v>5.0528519975988795</v>
      </c>
      <c r="AA152" s="143">
        <v>14993</v>
      </c>
      <c r="AB152" s="144">
        <v>75757.41</v>
      </c>
      <c r="AC152" s="81"/>
      <c r="AD152" s="81"/>
      <c r="AE152" s="98">
        <f>AG152/AF152</f>
        <v>4.8780597614131684</v>
      </c>
      <c r="AF152" s="143">
        <v>17436</v>
      </c>
      <c r="AG152" s="144">
        <v>85053.85</v>
      </c>
      <c r="AH152" s="81"/>
      <c r="AI152" s="81"/>
      <c r="AJ152" s="98">
        <f>AL152/AK152</f>
        <v>5.2582082782082775</v>
      </c>
      <c r="AK152" s="143">
        <v>15873</v>
      </c>
      <c r="AL152" s="144">
        <v>83463.539999999994</v>
      </c>
      <c r="AM152" s="81"/>
      <c r="AN152" s="81"/>
      <c r="AO152" s="98">
        <f>AQ152/AP152</f>
        <v>5.7092522255192879</v>
      </c>
      <c r="AP152" s="143">
        <v>18535</v>
      </c>
      <c r="AQ152" s="144">
        <v>105820.99</v>
      </c>
      <c r="AR152" s="81"/>
      <c r="AS152" s="81"/>
      <c r="AT152" s="98">
        <f>AV152/AU152</f>
        <v>6.4623241007781465</v>
      </c>
      <c r="AU152" s="514">
        <v>18377</v>
      </c>
      <c r="AV152" s="517">
        <v>118758.13</v>
      </c>
      <c r="AW152" s="515"/>
      <c r="AX152" s="81"/>
      <c r="AY152" s="98">
        <f>BA152/AZ152</f>
        <v>6.5000519551544977</v>
      </c>
      <c r="AZ152" s="143">
        <v>18285</v>
      </c>
      <c r="BA152" s="144">
        <v>118853.45</v>
      </c>
      <c r="BB152" s="81"/>
      <c r="BC152" s="81"/>
      <c r="BD152" s="98">
        <f>BF152/BE152</f>
        <v>6.7637999518536356</v>
      </c>
      <c r="BE152" s="143">
        <v>16616</v>
      </c>
      <c r="BF152" s="144">
        <v>112387.3</v>
      </c>
      <c r="BG152" s="81"/>
      <c r="BH152" s="81"/>
      <c r="BI152" s="98">
        <f>BK152/BJ152</f>
        <v>6.9075595858096932</v>
      </c>
      <c r="BJ152" s="143">
        <v>16321</v>
      </c>
      <c r="BK152" s="361">
        <v>112738.28</v>
      </c>
      <c r="BL152" s="81">
        <v>120005.04</v>
      </c>
      <c r="BM152" s="81"/>
      <c r="BN152" s="98">
        <f>BP152/BO152</f>
        <v>7.0374482758620687</v>
      </c>
      <c r="BO152" s="143">
        <v>20010</v>
      </c>
      <c r="BP152" s="361">
        <v>140819.34</v>
      </c>
      <c r="BQ152" s="81"/>
      <c r="BR152" s="81"/>
      <c r="BS152" s="98">
        <f>BU152/BT152</f>
        <v>6.2480640090817801</v>
      </c>
      <c r="BT152" s="143">
        <v>22903</v>
      </c>
      <c r="BU152" s="361">
        <v>143099.41</v>
      </c>
      <c r="BV152" s="81"/>
      <c r="BW152" s="81"/>
      <c r="BX152" s="98">
        <f>BZ152/BY152</f>
        <v>4.221909759316282</v>
      </c>
      <c r="BY152" s="75">
        <v>15913</v>
      </c>
      <c r="BZ152" s="76">
        <v>67183.25</v>
      </c>
      <c r="CA152" s="44"/>
      <c r="CB152" s="81"/>
      <c r="CC152" s="98">
        <f>CE152/CD152</f>
        <v>4.221909759316282</v>
      </c>
      <c r="CD152" s="75">
        <v>15913</v>
      </c>
      <c r="CE152" s="76">
        <v>67183.25</v>
      </c>
      <c r="CF152" s="44"/>
      <c r="CG152" s="81"/>
      <c r="CH152" s="98">
        <f>CJ152/CI152</f>
        <v>4.221909759316282</v>
      </c>
      <c r="CI152" s="75">
        <v>15913</v>
      </c>
      <c r="CJ152" s="76">
        <v>67183.25</v>
      </c>
      <c r="CK152" s="44"/>
      <c r="CL152" s="81"/>
      <c r="CM152" s="98">
        <f>CO152/CN152</f>
        <v>4.221909759316282</v>
      </c>
      <c r="CN152" s="75">
        <v>15913</v>
      </c>
      <c r="CO152" s="76">
        <v>67183.25</v>
      </c>
      <c r="CP152" s="44"/>
      <c r="CQ152" s="81"/>
      <c r="CR152" s="98">
        <f>CT152/CS152</f>
        <v>4.221909759316282</v>
      </c>
      <c r="CS152" s="75">
        <v>15913</v>
      </c>
      <c r="CT152" s="76">
        <v>67183.25</v>
      </c>
      <c r="CU152" s="44"/>
      <c r="CV152" s="81"/>
      <c r="CW152" s="98">
        <f>CY152/CX152</f>
        <v>4.221909759316282</v>
      </c>
      <c r="CX152" s="75">
        <v>15913</v>
      </c>
      <c r="CY152" s="76">
        <v>67183.25</v>
      </c>
      <c r="CZ152" s="44"/>
      <c r="DA152" s="81"/>
    </row>
    <row r="153" spans="1:105" ht="15" customHeight="1">
      <c r="A153" s="296"/>
      <c r="B153" s="234"/>
      <c r="C153" s="220"/>
      <c r="D153" s="231" t="s">
        <v>15</v>
      </c>
      <c r="E153" s="29"/>
      <c r="F153" s="109"/>
      <c r="G153" s="56">
        <v>1</v>
      </c>
      <c r="H153" s="57">
        <v>616.99</v>
      </c>
      <c r="I153" s="44"/>
      <c r="J153" s="86"/>
      <c r="K153" s="109"/>
      <c r="L153" s="128">
        <v>0</v>
      </c>
      <c r="M153" s="74">
        <v>0</v>
      </c>
      <c r="N153" s="81"/>
      <c r="O153" s="88"/>
      <c r="P153" s="109"/>
      <c r="Q153" s="128">
        <v>0</v>
      </c>
      <c r="R153" s="74">
        <v>0</v>
      </c>
      <c r="S153" s="81"/>
      <c r="T153" s="88"/>
      <c r="U153" s="120"/>
      <c r="V153" s="128">
        <v>0</v>
      </c>
      <c r="W153" s="74">
        <v>0</v>
      </c>
      <c r="X153" s="81"/>
      <c r="Y153" s="81"/>
      <c r="Z153" s="97"/>
      <c r="AA153" s="128">
        <v>0</v>
      </c>
      <c r="AB153" s="74">
        <v>0</v>
      </c>
      <c r="AC153" s="81"/>
      <c r="AD153" s="81"/>
      <c r="AE153" s="97"/>
      <c r="AF153" s="128">
        <v>0</v>
      </c>
      <c r="AG153" s="74">
        <v>0</v>
      </c>
      <c r="AH153" s="81"/>
      <c r="AI153" s="81"/>
      <c r="AJ153" s="97"/>
      <c r="AK153" s="128">
        <v>0</v>
      </c>
      <c r="AL153" s="74">
        <v>0</v>
      </c>
      <c r="AM153" s="81"/>
      <c r="AN153" s="81"/>
      <c r="AO153" s="97"/>
      <c r="AP153" s="56">
        <v>1</v>
      </c>
      <c r="AQ153" s="57">
        <v>0</v>
      </c>
      <c r="AR153" s="44"/>
      <c r="AS153" s="44"/>
      <c r="AT153" s="97"/>
      <c r="AU153" s="128">
        <v>1</v>
      </c>
      <c r="AV153" s="380">
        <v>0</v>
      </c>
      <c r="AW153" s="81"/>
      <c r="AX153" s="81"/>
      <c r="AY153" s="97"/>
      <c r="AZ153" s="128">
        <v>1</v>
      </c>
      <c r="BA153" s="74">
        <v>0</v>
      </c>
      <c r="BB153" s="81"/>
      <c r="BC153" s="81"/>
      <c r="BD153" s="97"/>
      <c r="BE153" s="128">
        <v>0</v>
      </c>
      <c r="BF153" s="74">
        <v>0</v>
      </c>
      <c r="BG153" s="81"/>
      <c r="BH153" s="81"/>
      <c r="BI153" s="97"/>
      <c r="BJ153" s="128">
        <v>1</v>
      </c>
      <c r="BK153" s="74">
        <v>0</v>
      </c>
      <c r="BL153" s="81"/>
      <c r="BM153" s="81"/>
      <c r="BN153" s="97"/>
      <c r="BO153" s="56">
        <v>0</v>
      </c>
      <c r="BP153" s="57">
        <v>0</v>
      </c>
      <c r="BQ153" s="44"/>
      <c r="BR153" s="81"/>
      <c r="BS153" s="97"/>
      <c r="BT153" s="56">
        <v>1</v>
      </c>
      <c r="BU153" s="57">
        <v>0</v>
      </c>
      <c r="BV153" s="44"/>
      <c r="BW153" s="81"/>
      <c r="BX153" s="97"/>
      <c r="BY153" s="56">
        <v>1</v>
      </c>
      <c r="BZ153" s="57">
        <v>616.99</v>
      </c>
      <c r="CA153" s="44"/>
      <c r="CB153" s="81"/>
      <c r="CC153" s="97"/>
      <c r="CD153" s="56">
        <v>1</v>
      </c>
      <c r="CE153" s="57">
        <v>616.99</v>
      </c>
      <c r="CF153" s="44"/>
      <c r="CG153" s="81"/>
      <c r="CH153" s="97"/>
      <c r="CI153" s="56">
        <v>1</v>
      </c>
      <c r="CJ153" s="57">
        <v>616.99</v>
      </c>
      <c r="CK153" s="44"/>
      <c r="CL153" s="81"/>
      <c r="CM153" s="97"/>
      <c r="CN153" s="56">
        <v>1</v>
      </c>
      <c r="CO153" s="57">
        <v>616.99</v>
      </c>
      <c r="CP153" s="44"/>
      <c r="CQ153" s="81"/>
      <c r="CR153" s="97"/>
      <c r="CS153" s="56">
        <v>1</v>
      </c>
      <c r="CT153" s="57">
        <v>616.99</v>
      </c>
      <c r="CU153" s="44"/>
      <c r="CV153" s="81"/>
      <c r="CW153" s="97"/>
      <c r="CX153" s="56">
        <v>1</v>
      </c>
      <c r="CY153" s="57">
        <v>616.99</v>
      </c>
      <c r="CZ153" s="44"/>
      <c r="DA153" s="81"/>
    </row>
    <row r="154" spans="1:105" s="264" customFormat="1" ht="15" customHeight="1" thickBot="1">
      <c r="A154" s="297"/>
      <c r="B154" s="298"/>
      <c r="C154" s="43"/>
      <c r="D154" s="284" t="s">
        <v>17</v>
      </c>
      <c r="E154" s="31"/>
      <c r="F154" s="178">
        <f>H154/G154</f>
        <v>1154.5899999999999</v>
      </c>
      <c r="G154" s="172">
        <v>1</v>
      </c>
      <c r="H154" s="172">
        <v>1154.5899999999999</v>
      </c>
      <c r="I154" s="179"/>
      <c r="J154" s="182"/>
      <c r="K154" s="178">
        <f>M154/L154</f>
        <v>30.383939393939393</v>
      </c>
      <c r="L154" s="172">
        <v>33</v>
      </c>
      <c r="M154" s="172">
        <v>1002.67</v>
      </c>
      <c r="N154" s="179"/>
      <c r="O154" s="182"/>
      <c r="P154" s="178">
        <f>R154/Q154</f>
        <v>30.383939393939393</v>
      </c>
      <c r="Q154" s="172">
        <v>33</v>
      </c>
      <c r="R154" s="172">
        <v>1002.67</v>
      </c>
      <c r="S154" s="179"/>
      <c r="T154" s="182"/>
      <c r="U154" s="318">
        <f>W154/V154</f>
        <v>30.383809523809521</v>
      </c>
      <c r="V154" s="172">
        <v>21</v>
      </c>
      <c r="W154" s="172">
        <v>638.05999999999995</v>
      </c>
      <c r="X154" s="179"/>
      <c r="Y154" s="179"/>
      <c r="Z154" s="285">
        <f>AB154/AA154</f>
        <v>30.383809523809521</v>
      </c>
      <c r="AA154" s="172">
        <v>21</v>
      </c>
      <c r="AB154" s="172">
        <v>638.05999999999995</v>
      </c>
      <c r="AC154" s="179"/>
      <c r="AD154" s="179"/>
      <c r="AE154" s="285">
        <f>AG154/AF154</f>
        <v>30.383870967741935</v>
      </c>
      <c r="AF154" s="172">
        <v>31</v>
      </c>
      <c r="AG154" s="172">
        <v>941.9</v>
      </c>
      <c r="AH154" s="179"/>
      <c r="AI154" s="179"/>
      <c r="AJ154" s="285">
        <f>AL154/AK154</f>
        <v>30.384137931034481</v>
      </c>
      <c r="AK154" s="172">
        <v>29</v>
      </c>
      <c r="AL154" s="172">
        <v>881.14</v>
      </c>
      <c r="AM154" s="179"/>
      <c r="AN154" s="179"/>
      <c r="AO154" s="285">
        <f>AQ154/AP154</f>
        <v>30.38</v>
      </c>
      <c r="AP154" s="172">
        <v>25</v>
      </c>
      <c r="AQ154" s="361">
        <v>759.5</v>
      </c>
      <c r="AR154" s="179"/>
      <c r="AS154" s="48"/>
      <c r="AT154" s="285">
        <f>AV154/AU154</f>
        <v>30.384</v>
      </c>
      <c r="AU154" s="172">
        <v>30</v>
      </c>
      <c r="AV154" s="361">
        <v>911.52</v>
      </c>
      <c r="AW154" s="179"/>
      <c r="AX154" s="179"/>
      <c r="AY154" s="285">
        <f>BA154/AZ154</f>
        <v>30.384117647058822</v>
      </c>
      <c r="AZ154" s="172">
        <v>34</v>
      </c>
      <c r="BA154" s="172">
        <v>1033.06</v>
      </c>
      <c r="BB154" s="179"/>
      <c r="BC154" s="179"/>
      <c r="BD154" s="285">
        <f>BF154/BE154</f>
        <v>30.384117647058822</v>
      </c>
      <c r="BE154" s="172">
        <v>34</v>
      </c>
      <c r="BF154" s="172">
        <v>1033.06</v>
      </c>
      <c r="BG154" s="179"/>
      <c r="BH154" s="179"/>
      <c r="BI154" s="285">
        <f>BK154/BJ154</f>
        <v>30.384117647058822</v>
      </c>
      <c r="BJ154" s="172">
        <v>17</v>
      </c>
      <c r="BK154" s="361">
        <v>516.53</v>
      </c>
      <c r="BL154" s="179"/>
      <c r="BM154" s="179"/>
      <c r="BN154" s="285">
        <f>BP154/BO154</f>
        <v>30.383913043478262</v>
      </c>
      <c r="BO154" s="172">
        <v>23</v>
      </c>
      <c r="BP154" s="172">
        <v>698.83</v>
      </c>
      <c r="BQ154" s="179"/>
      <c r="BR154" s="179"/>
      <c r="BS154" s="285">
        <f>BU154/BT154</f>
        <v>5.1873170731707319</v>
      </c>
      <c r="BT154" s="611">
        <v>41</v>
      </c>
      <c r="BU154" s="611">
        <v>212.68</v>
      </c>
      <c r="BV154" s="551"/>
      <c r="BW154" s="179"/>
      <c r="BX154" s="285">
        <f>BZ154/BY154</f>
        <v>28.160731707317073</v>
      </c>
      <c r="BY154" s="177">
        <v>41</v>
      </c>
      <c r="BZ154" s="177">
        <v>1154.5899999999999</v>
      </c>
      <c r="CA154" s="48"/>
      <c r="CB154" s="179"/>
      <c r="CC154" s="285">
        <f>CE154/CD154</f>
        <v>1154.5899999999999</v>
      </c>
      <c r="CD154" s="177">
        <v>1</v>
      </c>
      <c r="CE154" s="177">
        <v>1154.5899999999999</v>
      </c>
      <c r="CF154" s="48"/>
      <c r="CG154" s="179"/>
      <c r="CH154" s="285">
        <f>CJ154/CI154</f>
        <v>1154.5899999999999</v>
      </c>
      <c r="CI154" s="177">
        <v>1</v>
      </c>
      <c r="CJ154" s="177">
        <v>1154.5899999999999</v>
      </c>
      <c r="CK154" s="48"/>
      <c r="CL154" s="179"/>
      <c r="CM154" s="285">
        <f>CO154/CN154</f>
        <v>1154.5899999999999</v>
      </c>
      <c r="CN154" s="177">
        <v>1</v>
      </c>
      <c r="CO154" s="177">
        <v>1154.5899999999999</v>
      </c>
      <c r="CP154" s="48"/>
      <c r="CQ154" s="179"/>
      <c r="CR154" s="285">
        <f>CT154/CS154</f>
        <v>1154.5899999999999</v>
      </c>
      <c r="CS154" s="177">
        <v>1</v>
      </c>
      <c r="CT154" s="177">
        <v>1154.5899999999999</v>
      </c>
      <c r="CU154" s="48"/>
      <c r="CV154" s="179"/>
      <c r="CW154" s="285">
        <f>CY154/CX154</f>
        <v>1154.5899999999999</v>
      </c>
      <c r="CX154" s="177">
        <v>1</v>
      </c>
      <c r="CY154" s="177">
        <v>1154.5899999999999</v>
      </c>
      <c r="CZ154" s="48"/>
      <c r="DA154" s="179"/>
    </row>
    <row r="155" spans="1:105" s="255" customFormat="1" ht="15" customHeight="1">
      <c r="A155" s="250" t="s">
        <v>316</v>
      </c>
      <c r="B155" s="251" t="s">
        <v>92</v>
      </c>
      <c r="C155" s="26" t="s">
        <v>25</v>
      </c>
      <c r="D155" s="253" t="s">
        <v>10</v>
      </c>
      <c r="E155" s="21"/>
      <c r="F155" s="164"/>
      <c r="G155" s="165"/>
      <c r="H155" s="165"/>
      <c r="I155" s="166"/>
      <c r="J155" s="167"/>
      <c r="K155" s="164"/>
      <c r="L155" s="165"/>
      <c r="M155" s="165"/>
      <c r="N155" s="166"/>
      <c r="O155" s="167"/>
      <c r="P155" s="164"/>
      <c r="Q155" s="165"/>
      <c r="R155" s="165"/>
      <c r="S155" s="166"/>
      <c r="T155" s="167"/>
      <c r="U155" s="208"/>
      <c r="V155" s="165"/>
      <c r="W155" s="373">
        <v>506</v>
      </c>
      <c r="X155" s="166"/>
      <c r="Y155" s="384">
        <f>SUM(W155:W159)*1.1</f>
        <v>77834.944000000018</v>
      </c>
      <c r="Z155" s="2"/>
      <c r="AA155" s="165"/>
      <c r="AB155" s="373">
        <v>1012</v>
      </c>
      <c r="AC155" s="166"/>
      <c r="AD155" s="384">
        <f>SUM(AB155:AB159)*1.1</f>
        <v>79605.944000000018</v>
      </c>
      <c r="AE155" s="2"/>
      <c r="AF155" s="165"/>
      <c r="AG155" s="373">
        <v>1012</v>
      </c>
      <c r="AH155" s="166"/>
      <c r="AI155" s="384">
        <f>AI156*1.1</f>
        <v>88270.199600000007</v>
      </c>
      <c r="AJ155" s="2"/>
      <c r="AK155" s="373"/>
      <c r="AL155" s="373">
        <v>1012</v>
      </c>
      <c r="AM155" s="512"/>
      <c r="AN155" s="384">
        <f>AN156*1.2</f>
        <v>98409.273600000015</v>
      </c>
      <c r="AO155" s="2"/>
      <c r="AP155" s="165"/>
      <c r="AQ155" s="165"/>
      <c r="AR155" s="166"/>
      <c r="AS155" s="384">
        <f>SUM(AQ155:AQ159)*1.1</f>
        <v>116132.94000000002</v>
      </c>
      <c r="AT155" s="2"/>
      <c r="AU155" s="165"/>
      <c r="AV155" s="165"/>
      <c r="AW155" s="166"/>
      <c r="AX155" s="384">
        <f>SUM(AV155:AV159)*1.1</f>
        <v>126006.55319999998</v>
      </c>
      <c r="AY155" s="2"/>
      <c r="AZ155" s="165"/>
      <c r="BA155" s="165"/>
      <c r="BB155" s="166"/>
      <c r="BC155" s="384">
        <f>SUM(BA155:BA159)*1.1</f>
        <v>112582.29839999999</v>
      </c>
      <c r="BD155" s="2"/>
      <c r="BE155" s="165"/>
      <c r="BF155" s="165"/>
      <c r="BG155" s="166"/>
      <c r="BH155" s="384">
        <f>SUM(BF155:BF159)*1.1</f>
        <v>102718.59839999999</v>
      </c>
      <c r="BI155" s="2"/>
      <c r="BJ155" s="165"/>
      <c r="BK155" s="165"/>
      <c r="BL155" s="166"/>
      <c r="BM155" s="384">
        <f>SUM(BK155:BK159)*1.1</f>
        <v>100914.99000000002</v>
      </c>
      <c r="BN155" s="2"/>
      <c r="BO155" s="165"/>
      <c r="BP155" s="165"/>
      <c r="BQ155" s="166"/>
      <c r="BR155" s="384">
        <f>SUM(BP155:BP159)*1.1</f>
        <v>115043.35920000001</v>
      </c>
      <c r="BS155" s="2"/>
      <c r="BT155" s="165"/>
      <c r="BU155" s="165"/>
      <c r="BV155" s="166"/>
      <c r="BW155" s="384">
        <f>SUM(BU155:BU159)*1.1</f>
        <v>127619.13120000002</v>
      </c>
      <c r="BX155" s="2"/>
      <c r="BY155" s="165"/>
      <c r="BZ155" s="165"/>
      <c r="CA155" s="166"/>
      <c r="CB155" s="384">
        <f>SUM(BZ155:BZ159)*1.1</f>
        <v>47506.6944</v>
      </c>
      <c r="CC155" s="2"/>
      <c r="CD155" s="165"/>
      <c r="CE155" s="165"/>
      <c r="CF155" s="166"/>
      <c r="CG155" s="384">
        <f>SUM(CE155:CE159)*1.1</f>
        <v>47506.6944</v>
      </c>
      <c r="CH155" s="2"/>
      <c r="CI155" s="165"/>
      <c r="CJ155" s="165"/>
      <c r="CK155" s="166"/>
      <c r="CL155" s="384">
        <f>SUM(CJ155:CJ159)*1.1</f>
        <v>47506.6944</v>
      </c>
      <c r="CM155" s="2"/>
      <c r="CN155" s="165"/>
      <c r="CO155" s="165"/>
      <c r="CP155" s="166"/>
      <c r="CQ155" s="384">
        <f>SUM(CO155:CO159)*1.1</f>
        <v>47506.6944</v>
      </c>
      <c r="CR155" s="2"/>
      <c r="CS155" s="165"/>
      <c r="CT155" s="165"/>
      <c r="CU155" s="166"/>
      <c r="CV155" s="384">
        <f>SUM(CT155:CT159)*1.1</f>
        <v>47506.6944</v>
      </c>
      <c r="CW155" s="2"/>
      <c r="CX155" s="165"/>
      <c r="CY155" s="165"/>
      <c r="CZ155" s="166"/>
      <c r="DA155" s="384">
        <f>SUM(CY155:CY159)*1.1</f>
        <v>47506.6944</v>
      </c>
    </row>
    <row r="156" spans="1:105" ht="15" customHeight="1">
      <c r="A156" s="256" t="s">
        <v>335</v>
      </c>
      <c r="B156" s="215">
        <v>20587378</v>
      </c>
      <c r="C156" s="45" t="s">
        <v>93</v>
      </c>
      <c r="D156" s="216" t="s">
        <v>13</v>
      </c>
      <c r="E156" s="22"/>
      <c r="F156" s="110">
        <f>H156/G156</f>
        <v>5.8804412751677848</v>
      </c>
      <c r="G156" s="70">
        <v>7152</v>
      </c>
      <c r="H156" s="69">
        <f>1.2*(28763.69+6283.74)</f>
        <v>42056.915999999997</v>
      </c>
      <c r="I156" s="81"/>
      <c r="J156" s="88"/>
      <c r="K156" s="110">
        <f>M156/L156</f>
        <v>5.949684133382191</v>
      </c>
      <c r="L156" s="70">
        <v>8187</v>
      </c>
      <c r="M156" s="69">
        <f>1.2*(32577.96+8013.76)</f>
        <v>48710.063999999998</v>
      </c>
      <c r="N156" s="81"/>
      <c r="O156" s="88"/>
      <c r="P156" s="110">
        <f>R156/Q156</f>
        <v>5.673455067470571</v>
      </c>
      <c r="Q156" s="70">
        <v>10449</v>
      </c>
      <c r="R156" s="69">
        <f>1.2*(39173.72+10227.89)</f>
        <v>59281.932000000001</v>
      </c>
      <c r="S156" s="81"/>
      <c r="T156" s="88"/>
      <c r="U156" s="121">
        <f>W156/V156</f>
        <v>5.8776224761577458</v>
      </c>
      <c r="V156" s="70">
        <v>11639</v>
      </c>
      <c r="W156" s="69">
        <f>1.2*(45615.33+11392.71)</f>
        <v>68409.648000000001</v>
      </c>
      <c r="X156" s="81"/>
      <c r="Y156" s="403">
        <f>SUM(W155:W158)*1</f>
        <v>70759.040000000008</v>
      </c>
      <c r="Z156" s="98">
        <f>AB156/AA156</f>
        <v>5.491319818745529</v>
      </c>
      <c r="AA156" s="70">
        <v>12579</v>
      </c>
      <c r="AB156" s="69">
        <f>1.2*(12312.83+45249.93)</f>
        <v>69075.312000000005</v>
      </c>
      <c r="AC156" s="81"/>
      <c r="AD156" s="403">
        <f>SUM(AB155:AB158)*1</f>
        <v>72369.040000000008</v>
      </c>
      <c r="AE156" s="98">
        <f>AG156/AF156</f>
        <v>5.5513439826526927</v>
      </c>
      <c r="AF156" s="70">
        <v>13835</v>
      </c>
      <c r="AG156" s="69">
        <f>1.2*(50460.12+13542.25)</f>
        <v>76802.843999999997</v>
      </c>
      <c r="AH156" s="81"/>
      <c r="AI156" s="403">
        <f>SUM(AG155:AG158)*1</f>
        <v>80245.635999999999</v>
      </c>
      <c r="AJ156" s="98">
        <f>AL156/AK156</f>
        <v>5.8293835788850235</v>
      </c>
      <c r="AK156" s="70">
        <v>13507</v>
      </c>
      <c r="AL156" s="69">
        <f>1.2*(49939.43+15675.14)</f>
        <v>78737.484000000011</v>
      </c>
      <c r="AM156" s="81"/>
      <c r="AN156" s="403">
        <f>SUM(AL155:AL158)*1</f>
        <v>82007.728000000017</v>
      </c>
      <c r="AO156" s="98">
        <f>AQ156/AP156</f>
        <v>6.9642357707109586</v>
      </c>
      <c r="AP156" s="70">
        <v>14811</v>
      </c>
      <c r="AQ156" s="69">
        <f>1.2*(64472.58+21483.5)</f>
        <v>103147.296</v>
      </c>
      <c r="AR156" s="81"/>
      <c r="AS156" s="403">
        <f>SUM(AQ155:AQ158)*1</f>
        <v>105575.40000000001</v>
      </c>
      <c r="AT156" s="98">
        <f>AV156/AU156</f>
        <v>7.5645484524935789</v>
      </c>
      <c r="AU156" s="70">
        <v>14798</v>
      </c>
      <c r="AV156" s="69">
        <f>1.2*(21464.65+71818.84)</f>
        <v>111940.18799999998</v>
      </c>
      <c r="AW156" s="81"/>
      <c r="AX156" s="403">
        <f>SUM(AV155:AV158)*1</f>
        <v>114551.41199999997</v>
      </c>
      <c r="AY156" s="98">
        <f>BA156/AZ156</f>
        <v>7.3604397688546443</v>
      </c>
      <c r="AZ156" s="70">
        <v>13498</v>
      </c>
      <c r="BA156" s="69">
        <f>1.2*(19578.98+63213.7)</f>
        <v>99351.215999999986</v>
      </c>
      <c r="BB156" s="81"/>
      <c r="BC156" s="403">
        <f>SUM(BA155:BA158)*1</f>
        <v>102347.54399999998</v>
      </c>
      <c r="BD156" s="98">
        <f>BF156/BE156</f>
        <v>7.4709595868513805</v>
      </c>
      <c r="BE156" s="70">
        <v>12199</v>
      </c>
      <c r="BF156" s="69">
        <f>1.2*(58253.76+17694.77)</f>
        <v>91138.23599999999</v>
      </c>
      <c r="BG156" s="81"/>
      <c r="BH156" s="403">
        <f>SUM(BF155:BF158)*1</f>
        <v>93380.54399999998</v>
      </c>
      <c r="BI156" s="98">
        <f>BK156/BJ156</f>
        <v>7.7472244792116864</v>
      </c>
      <c r="BJ156" s="70">
        <v>11569</v>
      </c>
      <c r="BK156" s="69">
        <f>1.2*(57908.75+16780.95)</f>
        <v>89627.64</v>
      </c>
      <c r="BL156" s="81"/>
      <c r="BM156" s="403">
        <f>SUM(BK155:BK158)*1</f>
        <v>91740.900000000009</v>
      </c>
      <c r="BN156" s="98">
        <f>BP156/BO156</f>
        <v>7.3748629602888087</v>
      </c>
      <c r="BO156" s="70">
        <v>13850</v>
      </c>
      <c r="BP156" s="69">
        <f>1.2*(65028.65+20089.56)</f>
        <v>102141.852</v>
      </c>
      <c r="BQ156" s="81"/>
      <c r="BR156" s="403">
        <f>SUM(BP155:BP158)*1</f>
        <v>104584.872</v>
      </c>
      <c r="BS156" s="98">
        <f>BU156/BT156</f>
        <v>7.1970238352507474</v>
      </c>
      <c r="BT156" s="70">
        <v>15733</v>
      </c>
      <c r="BU156" s="69">
        <f>1.2*(69163.05+25195.93)</f>
        <v>113230.77600000001</v>
      </c>
      <c r="BV156" s="81"/>
      <c r="BW156" s="403">
        <f>SUM(BU155:BU158)*1</f>
        <v>116017.39200000001</v>
      </c>
      <c r="BX156" s="98">
        <f>BZ156/BY156</f>
        <v>5.8804412751677848</v>
      </c>
      <c r="BY156" s="62">
        <v>7152</v>
      </c>
      <c r="BZ156" s="58">
        <f>1.2*(28763.69+6283.74)</f>
        <v>42056.915999999997</v>
      </c>
      <c r="CA156" s="44"/>
      <c r="CB156" s="403">
        <f>SUM(BZ155:BZ158)*1</f>
        <v>43187.903999999995</v>
      </c>
      <c r="CC156" s="98">
        <f>CE156/CD156</f>
        <v>5.8804412751677848</v>
      </c>
      <c r="CD156" s="62">
        <v>7152</v>
      </c>
      <c r="CE156" s="58">
        <f>1.2*(28763.69+6283.74)</f>
        <v>42056.915999999997</v>
      </c>
      <c r="CF156" s="44"/>
      <c r="CG156" s="403">
        <f>SUM(CE155:CE158)*1</f>
        <v>43187.903999999995</v>
      </c>
      <c r="CH156" s="98">
        <f>CJ156/CI156</f>
        <v>5.8804412751677848</v>
      </c>
      <c r="CI156" s="62">
        <v>7152</v>
      </c>
      <c r="CJ156" s="58">
        <f>1.2*(28763.69+6283.74)</f>
        <v>42056.915999999997</v>
      </c>
      <c r="CK156" s="44"/>
      <c r="CL156" s="403">
        <f>SUM(CJ155:CJ158)*1</f>
        <v>43187.903999999995</v>
      </c>
      <c r="CM156" s="98">
        <f>CO156/CN156</f>
        <v>5.8804412751677848</v>
      </c>
      <c r="CN156" s="62">
        <v>7152</v>
      </c>
      <c r="CO156" s="58">
        <f>1.2*(28763.69+6283.74)</f>
        <v>42056.915999999997</v>
      </c>
      <c r="CP156" s="44"/>
      <c r="CQ156" s="403">
        <f>SUM(CO155:CO158)*1</f>
        <v>43187.903999999995</v>
      </c>
      <c r="CR156" s="98">
        <f>CT156/CS156</f>
        <v>5.8804412751677848</v>
      </c>
      <c r="CS156" s="62">
        <v>7152</v>
      </c>
      <c r="CT156" s="58">
        <f>1.2*(28763.69+6283.74)</f>
        <v>42056.915999999997</v>
      </c>
      <c r="CU156" s="44"/>
      <c r="CV156" s="403">
        <f>SUM(CT155:CT158)*1</f>
        <v>43187.903999999995</v>
      </c>
      <c r="CW156" s="98">
        <f>CY156/CX156</f>
        <v>5.8804412751677848</v>
      </c>
      <c r="CX156" s="62">
        <v>7152</v>
      </c>
      <c r="CY156" s="58">
        <f>1.2*(28763.69+6283.74)</f>
        <v>42056.915999999997</v>
      </c>
      <c r="CZ156" s="44"/>
      <c r="DA156" s="403">
        <f>SUM(CY155:CY158)*1</f>
        <v>43187.903999999995</v>
      </c>
    </row>
    <row r="157" spans="1:105" ht="15" customHeight="1">
      <c r="A157" s="256"/>
      <c r="B157" s="215"/>
      <c r="C157" s="45"/>
      <c r="D157" s="216" t="s">
        <v>15</v>
      </c>
      <c r="E157" s="22"/>
      <c r="F157" s="103"/>
      <c r="G157" s="70">
        <v>7067</v>
      </c>
      <c r="H157" s="69">
        <f>1.2*493.09</f>
        <v>591.70799999999997</v>
      </c>
      <c r="I157" s="81"/>
      <c r="J157" s="88"/>
      <c r="K157" s="103"/>
      <c r="L157" s="70">
        <v>2487</v>
      </c>
      <c r="M157" s="69">
        <f>1.2*602.72</f>
        <v>723.26400000000001</v>
      </c>
      <c r="N157" s="81"/>
      <c r="O157" s="88"/>
      <c r="P157" s="103"/>
      <c r="Q157" s="70">
        <v>3150</v>
      </c>
      <c r="R157" s="69">
        <f>1.2*800.29</f>
        <v>960.34799999999996</v>
      </c>
      <c r="S157" s="81"/>
      <c r="T157" s="88"/>
      <c r="U157" s="47"/>
      <c r="V157" s="70">
        <v>7067</v>
      </c>
      <c r="W157" s="69">
        <f>1.2*842.8</f>
        <v>1011.3599999999999</v>
      </c>
      <c r="X157" s="81"/>
      <c r="Y157" s="81"/>
      <c r="Z157" s="46"/>
      <c r="AA157" s="70">
        <v>4936</v>
      </c>
      <c r="AB157" s="69">
        <f>1.2*1208.08</f>
        <v>1449.6959999999999</v>
      </c>
      <c r="AC157" s="81"/>
      <c r="AD157" s="81"/>
      <c r="AE157" s="46"/>
      <c r="AF157" s="70">
        <v>5895</v>
      </c>
      <c r="AG157" s="69">
        <f>1.2*1319.46</f>
        <v>1583.3520000000001</v>
      </c>
      <c r="AH157" s="81"/>
      <c r="AI157" s="81"/>
      <c r="AJ157" s="46"/>
      <c r="AK157" s="70">
        <v>5772</v>
      </c>
      <c r="AL157" s="69">
        <f>1.2*1227.03</f>
        <v>1472.4359999999999</v>
      </c>
      <c r="AM157" s="81"/>
      <c r="AN157" s="81"/>
      <c r="AO157" s="46"/>
      <c r="AP157" s="70">
        <v>6373</v>
      </c>
      <c r="AQ157" s="69">
        <f>1.2*1445.62</f>
        <v>1734.7439999999999</v>
      </c>
      <c r="AR157" s="81"/>
      <c r="AS157" s="81"/>
      <c r="AT157" s="46"/>
      <c r="AU157" s="70">
        <v>1</v>
      </c>
      <c r="AV157" s="69">
        <f>1.2*1623.9</f>
        <v>1948.68</v>
      </c>
      <c r="AW157" s="81"/>
      <c r="AX157" s="81"/>
      <c r="AY157" s="46"/>
      <c r="AZ157" s="70">
        <v>1</v>
      </c>
      <c r="BA157" s="69">
        <f>1.2*1649.5</f>
        <v>1979.3999999999999</v>
      </c>
      <c r="BB157" s="81"/>
      <c r="BC157" s="81"/>
      <c r="BD157" s="46"/>
      <c r="BE157" s="70">
        <v>1</v>
      </c>
      <c r="BF157" s="69">
        <f>1.2*1277.95</f>
        <v>1533.54</v>
      </c>
      <c r="BG157" s="81"/>
      <c r="BH157" s="81"/>
      <c r="BI157" s="46"/>
      <c r="BJ157" s="70">
        <v>1</v>
      </c>
      <c r="BK157" s="69">
        <f>1.2*1144.73</f>
        <v>1373.6759999999999</v>
      </c>
      <c r="BL157" s="81"/>
      <c r="BM157" s="81"/>
      <c r="BN157" s="46"/>
      <c r="BO157" s="70">
        <v>4439</v>
      </c>
      <c r="BP157" s="69">
        <f>1.2*1419.53</f>
        <v>1703.4359999999999</v>
      </c>
      <c r="BQ157" s="81"/>
      <c r="BR157" s="81"/>
      <c r="BS157" s="46"/>
      <c r="BT157" s="70">
        <v>5163</v>
      </c>
      <c r="BU157" s="69">
        <f>1.2*1680.18</f>
        <v>2016.2159999999999</v>
      </c>
      <c r="BV157" s="81"/>
      <c r="BW157" s="81"/>
      <c r="BX157" s="46"/>
      <c r="BY157" s="62">
        <v>7067</v>
      </c>
      <c r="BZ157" s="58">
        <f>1.2*493.09</f>
        <v>591.70799999999997</v>
      </c>
      <c r="CA157" s="44"/>
      <c r="CB157" s="81"/>
      <c r="CC157" s="46"/>
      <c r="CD157" s="62">
        <v>7067</v>
      </c>
      <c r="CE157" s="58">
        <f>1.2*493.09</f>
        <v>591.70799999999997</v>
      </c>
      <c r="CF157" s="44"/>
      <c r="CG157" s="81"/>
      <c r="CH157" s="46"/>
      <c r="CI157" s="62">
        <v>7067</v>
      </c>
      <c r="CJ157" s="58">
        <f>1.2*493.09</f>
        <v>591.70799999999997</v>
      </c>
      <c r="CK157" s="44"/>
      <c r="CL157" s="81"/>
      <c r="CM157" s="46"/>
      <c r="CN157" s="62">
        <v>7067</v>
      </c>
      <c r="CO157" s="58">
        <f>1.2*493.09</f>
        <v>591.70799999999997</v>
      </c>
      <c r="CP157" s="44"/>
      <c r="CQ157" s="81"/>
      <c r="CR157" s="46"/>
      <c r="CS157" s="62">
        <v>7067</v>
      </c>
      <c r="CT157" s="58">
        <f>1.2*493.09</f>
        <v>591.70799999999997</v>
      </c>
      <c r="CU157" s="44"/>
      <c r="CV157" s="81"/>
      <c r="CW157" s="46"/>
      <c r="CX157" s="62">
        <v>7067</v>
      </c>
      <c r="CY157" s="58">
        <f>1.2*493.09</f>
        <v>591.70799999999997</v>
      </c>
      <c r="CZ157" s="44"/>
      <c r="DA157" s="81"/>
    </row>
    <row r="158" spans="1:105" ht="15" customHeight="1">
      <c r="A158" s="256"/>
      <c r="B158" s="215"/>
      <c r="C158" s="45"/>
      <c r="D158" s="216" t="s">
        <v>17</v>
      </c>
      <c r="E158" s="22"/>
      <c r="F158" s="104">
        <f>H158/G158</f>
        <v>9.9866666666666664</v>
      </c>
      <c r="G158" s="128">
        <v>54</v>
      </c>
      <c r="H158" s="74">
        <f>1.2*449.4</f>
        <v>539.28</v>
      </c>
      <c r="I158" s="81"/>
      <c r="J158" s="88"/>
      <c r="K158" s="104">
        <f>M158/L158</f>
        <v>15.407999999999998</v>
      </c>
      <c r="L158" s="128">
        <v>46</v>
      </c>
      <c r="M158" s="74">
        <f>1.2*590.64</f>
        <v>708.76799999999992</v>
      </c>
      <c r="N158" s="81"/>
      <c r="O158" s="88"/>
      <c r="P158" s="104">
        <f>R158/Q158</f>
        <v>15.407999999999998</v>
      </c>
      <c r="Q158" s="128">
        <v>46</v>
      </c>
      <c r="R158" s="74">
        <f>1.2*590.64</f>
        <v>708.76799999999992</v>
      </c>
      <c r="S158" s="81"/>
      <c r="T158" s="88"/>
      <c r="U158" s="115">
        <f>W158/V158</f>
        <v>15.408000000000001</v>
      </c>
      <c r="V158" s="128">
        <v>54</v>
      </c>
      <c r="W158" s="74">
        <f>1.2*693.36</f>
        <v>832.03200000000004</v>
      </c>
      <c r="X158" s="81"/>
      <c r="Y158" s="81"/>
      <c r="Z158" s="92">
        <f>AB158/AA158</f>
        <v>15.408000000000001</v>
      </c>
      <c r="AA158" s="128">
        <v>54</v>
      </c>
      <c r="AB158" s="74">
        <f>1.2*693.36</f>
        <v>832.03200000000004</v>
      </c>
      <c r="AC158" s="81"/>
      <c r="AD158" s="81"/>
      <c r="AE158" s="92">
        <f>AG158/AF158</f>
        <v>15.408000000000001</v>
      </c>
      <c r="AF158" s="128">
        <v>55</v>
      </c>
      <c r="AG158" s="74">
        <f>1.2*706.2</f>
        <v>847.44</v>
      </c>
      <c r="AH158" s="81"/>
      <c r="AI158" s="81"/>
      <c r="AJ158" s="92">
        <f>AL158/AK158</f>
        <v>15.407999999999999</v>
      </c>
      <c r="AK158" s="128">
        <v>51</v>
      </c>
      <c r="AL158" s="74">
        <f>1.2*654.84</f>
        <v>785.80799999999999</v>
      </c>
      <c r="AM158" s="81"/>
      <c r="AN158" s="81"/>
      <c r="AO158" s="92">
        <f>AQ158/AP158</f>
        <v>15.407999999999998</v>
      </c>
      <c r="AP158" s="128">
        <v>45</v>
      </c>
      <c r="AQ158" s="74">
        <f>1.2*577.8</f>
        <v>693.3599999999999</v>
      </c>
      <c r="AR158" s="81"/>
      <c r="AS158" s="81"/>
      <c r="AT158" s="92">
        <f>AV158/AU158</f>
        <v>15.407999999999999</v>
      </c>
      <c r="AU158" s="128">
        <v>43</v>
      </c>
      <c r="AV158" s="74">
        <f>1.2*552.12</f>
        <v>662.54399999999998</v>
      </c>
      <c r="AW158" s="81"/>
      <c r="AX158" s="81"/>
      <c r="AY158" s="92">
        <f>BA158/AZ158</f>
        <v>15.407999999999999</v>
      </c>
      <c r="AZ158" s="128">
        <v>66</v>
      </c>
      <c r="BA158" s="74">
        <f>1.2*847.44</f>
        <v>1016.928</v>
      </c>
      <c r="BB158" s="81"/>
      <c r="BC158" s="81"/>
      <c r="BD158" s="92">
        <f>BF158/BE158</f>
        <v>15.407999999999998</v>
      </c>
      <c r="BE158" s="128">
        <v>46</v>
      </c>
      <c r="BF158" s="74">
        <f>1.2*590.64</f>
        <v>708.76799999999992</v>
      </c>
      <c r="BG158" s="81"/>
      <c r="BH158" s="81"/>
      <c r="BI158" s="92">
        <f>BK158/BJ158</f>
        <v>15.408000000000001</v>
      </c>
      <c r="BJ158" s="128">
        <v>48</v>
      </c>
      <c r="BK158" s="74">
        <f>1.2*616.32</f>
        <v>739.58400000000006</v>
      </c>
      <c r="BL158" s="81"/>
      <c r="BM158" s="81"/>
      <c r="BN158" s="92">
        <f>BP158/BO158</f>
        <v>15.408000000000001</v>
      </c>
      <c r="BO158" s="128">
        <v>48</v>
      </c>
      <c r="BP158" s="74">
        <f>1.2*616.32</f>
        <v>739.58400000000006</v>
      </c>
      <c r="BQ158" s="81"/>
      <c r="BR158" s="81"/>
      <c r="BS158" s="92">
        <f>BU158/BT158</f>
        <v>15.407999999999999</v>
      </c>
      <c r="BT158" s="128">
        <v>50</v>
      </c>
      <c r="BU158" s="74">
        <f>1.2*642</f>
        <v>770.4</v>
      </c>
      <c r="BV158" s="81"/>
      <c r="BW158" s="81"/>
      <c r="BX158" s="92">
        <f>BZ158/BY158</f>
        <v>9.9866666666666664</v>
      </c>
      <c r="BY158" s="56">
        <v>54</v>
      </c>
      <c r="BZ158" s="57">
        <f>1.2*449.4</f>
        <v>539.28</v>
      </c>
      <c r="CA158" s="44"/>
      <c r="CB158" s="81"/>
      <c r="CC158" s="92">
        <f>CE158/CD158</f>
        <v>9.9866666666666664</v>
      </c>
      <c r="CD158" s="56">
        <v>54</v>
      </c>
      <c r="CE158" s="57">
        <f>1.2*449.4</f>
        <v>539.28</v>
      </c>
      <c r="CF158" s="44"/>
      <c r="CG158" s="81"/>
      <c r="CH158" s="92">
        <f>CJ158/CI158</f>
        <v>9.9866666666666664</v>
      </c>
      <c r="CI158" s="56">
        <v>54</v>
      </c>
      <c r="CJ158" s="57">
        <f>1.2*449.4</f>
        <v>539.28</v>
      </c>
      <c r="CK158" s="44"/>
      <c r="CL158" s="81"/>
      <c r="CM158" s="92">
        <f>CO158/CN158</f>
        <v>9.9866666666666664</v>
      </c>
      <c r="CN158" s="56">
        <v>54</v>
      </c>
      <c r="CO158" s="57">
        <f>1.2*449.4</f>
        <v>539.28</v>
      </c>
      <c r="CP158" s="44"/>
      <c r="CQ158" s="81"/>
      <c r="CR158" s="92">
        <f>CT158/CS158</f>
        <v>9.9866666666666664</v>
      </c>
      <c r="CS158" s="56">
        <v>54</v>
      </c>
      <c r="CT158" s="57">
        <f>1.2*449.4</f>
        <v>539.28</v>
      </c>
      <c r="CU158" s="44"/>
      <c r="CV158" s="81"/>
      <c r="CW158" s="92">
        <f>CY158/CX158</f>
        <v>9.9866666666666664</v>
      </c>
      <c r="CX158" s="56">
        <v>54</v>
      </c>
      <c r="CY158" s="57">
        <f>1.2*449.4</f>
        <v>539.28</v>
      </c>
      <c r="CZ158" s="44"/>
      <c r="DA158" s="81"/>
    </row>
    <row r="159" spans="1:105" s="264" customFormat="1" ht="15" customHeight="1" thickBot="1">
      <c r="A159" s="257"/>
      <c r="B159" s="258"/>
      <c r="C159" s="20"/>
      <c r="D159" s="259"/>
      <c r="E159" s="23"/>
      <c r="F159" s="112"/>
      <c r="G159" s="177"/>
      <c r="H159" s="177"/>
      <c r="I159" s="48"/>
      <c r="J159" s="49"/>
      <c r="K159" s="112"/>
      <c r="L159" s="177"/>
      <c r="M159" s="177"/>
      <c r="N159" s="48"/>
      <c r="O159" s="49"/>
      <c r="P159" s="112"/>
      <c r="Q159" s="177"/>
      <c r="R159" s="177"/>
      <c r="S159" s="48"/>
      <c r="T159" s="49"/>
      <c r="U159" s="123"/>
      <c r="V159" s="177"/>
      <c r="W159" s="177"/>
      <c r="X159" s="48"/>
      <c r="Y159" s="48"/>
      <c r="Z159" s="290"/>
      <c r="AA159" s="177"/>
      <c r="AB159" s="177"/>
      <c r="AC159" s="48"/>
      <c r="AD159" s="48"/>
      <c r="AE159" s="290"/>
      <c r="AF159" s="177"/>
      <c r="AG159" s="177"/>
      <c r="AH159" s="48"/>
      <c r="AI159" s="48"/>
      <c r="AJ159" s="290"/>
      <c r="AK159" s="177"/>
      <c r="AL159" s="177"/>
      <c r="AM159" s="48"/>
      <c r="AN159" s="48"/>
      <c r="AO159" s="290"/>
      <c r="AP159" s="177"/>
      <c r="AQ159" s="177"/>
      <c r="AR159" s="48"/>
      <c r="AS159" s="48"/>
      <c r="AT159" s="290"/>
      <c r="AU159" s="177"/>
      <c r="AV159" s="177"/>
      <c r="AW159" s="48"/>
      <c r="AX159" s="48"/>
      <c r="AY159" s="290"/>
      <c r="AZ159" s="177"/>
      <c r="BA159" s="177"/>
      <c r="BB159" s="48"/>
      <c r="BC159" s="48"/>
      <c r="BD159" s="290"/>
      <c r="BE159" s="177"/>
      <c r="BF159" s="177"/>
      <c r="BG159" s="48"/>
      <c r="BH159" s="48"/>
      <c r="BI159" s="290"/>
      <c r="BJ159" s="177"/>
      <c r="BK159" s="177"/>
      <c r="BL159" s="48"/>
      <c r="BM159" s="48"/>
      <c r="BN159" s="290"/>
      <c r="BO159" s="177"/>
      <c r="BP159" s="177"/>
      <c r="BQ159" s="48"/>
      <c r="BR159" s="48"/>
      <c r="BS159" s="290"/>
      <c r="BT159" s="177"/>
      <c r="BU159" s="177"/>
      <c r="BV159" s="48"/>
      <c r="BW159" s="48"/>
      <c r="BX159" s="290"/>
      <c r="BY159" s="177"/>
      <c r="BZ159" s="177"/>
      <c r="CA159" s="48"/>
      <c r="CB159" s="48"/>
      <c r="CC159" s="290"/>
      <c r="CD159" s="177"/>
      <c r="CE159" s="177"/>
      <c r="CF159" s="48"/>
      <c r="CG159" s="48"/>
      <c r="CH159" s="290"/>
      <c r="CI159" s="177"/>
      <c r="CJ159" s="177"/>
      <c r="CK159" s="48"/>
      <c r="CL159" s="48"/>
      <c r="CM159" s="290"/>
      <c r="CN159" s="177"/>
      <c r="CO159" s="177"/>
      <c r="CP159" s="48"/>
      <c r="CQ159" s="48"/>
      <c r="CR159" s="290"/>
      <c r="CS159" s="177"/>
      <c r="CT159" s="177"/>
      <c r="CU159" s="48"/>
      <c r="CV159" s="48"/>
      <c r="CW159" s="290"/>
      <c r="CX159" s="177"/>
      <c r="CY159" s="177"/>
      <c r="CZ159" s="48"/>
      <c r="DA159" s="48"/>
    </row>
    <row r="160" spans="1:105" s="249" customFormat="1" ht="15" customHeight="1">
      <c r="A160" s="265" t="s">
        <v>317</v>
      </c>
      <c r="B160" s="5" t="s">
        <v>94</v>
      </c>
      <c r="C160" s="6" t="s">
        <v>19</v>
      </c>
      <c r="D160" s="7" t="s">
        <v>10</v>
      </c>
      <c r="E160" s="4"/>
      <c r="F160" s="196"/>
      <c r="G160" s="197"/>
      <c r="H160" s="197"/>
      <c r="I160" s="38"/>
      <c r="J160" s="206"/>
      <c r="K160" s="196"/>
      <c r="L160" s="197"/>
      <c r="M160" s="197"/>
      <c r="N160" s="38"/>
      <c r="O160" s="206"/>
      <c r="P160" s="196"/>
      <c r="Q160" s="197"/>
      <c r="R160" s="197"/>
      <c r="S160" s="38"/>
      <c r="T160" s="206"/>
      <c r="U160" s="207"/>
      <c r="V160" s="197"/>
      <c r="W160" s="204">
        <v>3536.3</v>
      </c>
      <c r="X160" s="38"/>
      <c r="Y160" s="385"/>
      <c r="Z160" s="36"/>
      <c r="AA160" s="197"/>
      <c r="AB160" s="204">
        <v>3757.5</v>
      </c>
      <c r="AC160" s="38"/>
      <c r="AD160" s="385">
        <v>870000</v>
      </c>
      <c r="AE160" s="36"/>
      <c r="AF160" s="204"/>
      <c r="AG160" s="204">
        <v>1990</v>
      </c>
      <c r="AH160" s="427"/>
      <c r="AI160" s="384">
        <f>AI161*1.1</f>
        <v>466249.28900000005</v>
      </c>
      <c r="AJ160" s="36"/>
      <c r="AK160" s="204"/>
      <c r="AL160" s="204">
        <v>1545.6</v>
      </c>
      <c r="AM160" s="427"/>
      <c r="AN160" s="384">
        <f>AN161*1.2</f>
        <v>945566.49600000004</v>
      </c>
      <c r="AO160" s="36"/>
      <c r="AP160" s="197"/>
      <c r="AQ160" s="204">
        <v>883.3</v>
      </c>
      <c r="AR160" s="38"/>
      <c r="AS160" s="385"/>
      <c r="AT160" s="36"/>
      <c r="AU160" s="197"/>
      <c r="AV160" s="197"/>
      <c r="AW160" s="38"/>
      <c r="AX160" s="385"/>
      <c r="AY160" s="36"/>
      <c r="AZ160" s="197"/>
      <c r="BA160" s="197"/>
      <c r="BB160" s="38"/>
      <c r="BC160" s="385"/>
      <c r="BD160" s="36"/>
      <c r="BE160" s="197"/>
      <c r="BF160" s="197"/>
      <c r="BG160" s="38"/>
      <c r="BH160" s="385"/>
      <c r="BI160" s="36"/>
      <c r="BJ160" s="197"/>
      <c r="BK160" s="197"/>
      <c r="BL160" s="38"/>
      <c r="BM160" s="385"/>
      <c r="BN160" s="36"/>
      <c r="BO160" s="197"/>
      <c r="BP160" s="197"/>
      <c r="BQ160" s="38"/>
      <c r="BR160" s="385"/>
      <c r="BS160" s="36"/>
      <c r="BT160" s="197"/>
      <c r="BU160" s="197"/>
      <c r="BV160" s="38"/>
      <c r="BW160" s="385"/>
      <c r="BX160" s="36"/>
      <c r="BY160" s="197"/>
      <c r="BZ160" s="197"/>
      <c r="CA160" s="38"/>
      <c r="CB160" s="385"/>
      <c r="CC160" s="36"/>
      <c r="CD160" s="197"/>
      <c r="CE160" s="197"/>
      <c r="CF160" s="38"/>
      <c r="CG160" s="385"/>
      <c r="CH160" s="36"/>
      <c r="CI160" s="197"/>
      <c r="CJ160" s="197"/>
      <c r="CK160" s="38"/>
      <c r="CL160" s="385"/>
      <c r="CM160" s="36"/>
      <c r="CN160" s="197"/>
      <c r="CO160" s="197"/>
      <c r="CP160" s="38"/>
      <c r="CQ160" s="385"/>
      <c r="CR160" s="36"/>
      <c r="CS160" s="197"/>
      <c r="CT160" s="197"/>
      <c r="CU160" s="38"/>
      <c r="CV160" s="385"/>
      <c r="CW160" s="36"/>
      <c r="CX160" s="197"/>
      <c r="CY160" s="197"/>
      <c r="CZ160" s="38"/>
      <c r="DA160" s="385"/>
    </row>
    <row r="161" spans="1:105" ht="17.25" customHeight="1">
      <c r="A161" s="256"/>
      <c r="B161" s="215">
        <v>30183664</v>
      </c>
      <c r="C161" s="229" t="s">
        <v>391</v>
      </c>
      <c r="D161" s="230" t="s">
        <v>390</v>
      </c>
      <c r="E161" s="27"/>
      <c r="F161" s="103"/>
      <c r="G161" s="57"/>
      <c r="H161" s="57"/>
      <c r="I161" s="44"/>
      <c r="J161" s="86"/>
      <c r="K161" s="103"/>
      <c r="L161" s="57"/>
      <c r="M161" s="57"/>
      <c r="N161" s="44"/>
      <c r="O161" s="86"/>
      <c r="P161" s="103"/>
      <c r="Q161" s="57"/>
      <c r="R161" s="57"/>
      <c r="S161" s="44"/>
      <c r="T161" s="86"/>
      <c r="U161" s="47"/>
      <c r="V161" s="57"/>
      <c r="W161" s="57"/>
      <c r="X161" s="44"/>
      <c r="Y161" s="44"/>
      <c r="Z161" s="46"/>
      <c r="AA161" s="57"/>
      <c r="AB161" s="57"/>
      <c r="AC161" s="44"/>
      <c r="AD161" s="44"/>
      <c r="AE161" s="46"/>
      <c r="AF161" s="57"/>
      <c r="AG161" s="57"/>
      <c r="AH161" s="44"/>
      <c r="AI161" s="403">
        <f>SUM(AG160:AG164)</f>
        <v>423862.99</v>
      </c>
      <c r="AJ161" s="46"/>
      <c r="AK161" s="57"/>
      <c r="AL161" s="57"/>
      <c r="AM161" s="44"/>
      <c r="AN161" s="403">
        <f>SUM(AL160:AL164)+AM162</f>
        <v>787972.08000000007</v>
      </c>
      <c r="AO161" s="46"/>
      <c r="AP161" s="57"/>
      <c r="AQ161" s="57"/>
      <c r="AR161" s="44"/>
      <c r="AS161" s="44"/>
      <c r="AT161" s="46"/>
      <c r="AU161" s="57"/>
      <c r="AV161" s="57"/>
      <c r="AW161" s="44"/>
      <c r="AX161" s="44"/>
      <c r="AY161" s="46"/>
      <c r="AZ161" s="57"/>
      <c r="BA161" s="57"/>
      <c r="BB161" s="44"/>
      <c r="BC161" s="44"/>
      <c r="BD161" s="46"/>
      <c r="BE161" s="57"/>
      <c r="BF161" s="57"/>
      <c r="BG161" s="44"/>
      <c r="BH161" s="44"/>
      <c r="BI161" s="46"/>
      <c r="BJ161" s="57"/>
      <c r="BK161" s="57"/>
      <c r="BL161" s="44"/>
      <c r="BM161" s="44"/>
      <c r="BN161" s="46"/>
      <c r="BO161" s="74">
        <v>1</v>
      </c>
      <c r="BP161" s="74">
        <v>25000.02</v>
      </c>
      <c r="BQ161" s="81"/>
      <c r="BR161" s="44"/>
      <c r="BS161" s="46"/>
      <c r="BT161" s="74">
        <v>1</v>
      </c>
      <c r="BU161" s="74">
        <v>25000.02</v>
      </c>
      <c r="BV161" s="81"/>
      <c r="BW161" s="44"/>
      <c r="BX161" s="46"/>
      <c r="BY161" s="57"/>
      <c r="BZ161" s="57"/>
      <c r="CA161" s="44"/>
      <c r="CB161" s="44"/>
      <c r="CC161" s="46"/>
      <c r="CD161" s="57"/>
      <c r="CE161" s="57"/>
      <c r="CF161" s="44"/>
      <c r="CG161" s="44"/>
      <c r="CH161" s="46"/>
      <c r="CI161" s="57"/>
      <c r="CJ161" s="57"/>
      <c r="CK161" s="44"/>
      <c r="CL161" s="44"/>
      <c r="CM161" s="46"/>
      <c r="CN161" s="57"/>
      <c r="CO161" s="57"/>
      <c r="CP161" s="44"/>
      <c r="CQ161" s="44"/>
      <c r="CR161" s="46"/>
      <c r="CS161" s="57"/>
      <c r="CT161" s="57"/>
      <c r="CU161" s="44"/>
      <c r="CV161" s="44"/>
      <c r="CW161" s="46"/>
      <c r="CX161" s="57"/>
      <c r="CY161" s="57"/>
      <c r="CZ161" s="44"/>
      <c r="DA161" s="44"/>
    </row>
    <row r="162" spans="1:105" ht="15" customHeight="1">
      <c r="A162" s="256"/>
      <c r="B162" s="215">
        <v>44878589</v>
      </c>
      <c r="C162" s="222"/>
      <c r="D162" s="221" t="s">
        <v>13</v>
      </c>
      <c r="E162" s="29"/>
      <c r="F162" s="110">
        <f>H162/G162</f>
        <v>4.3588100026562442</v>
      </c>
      <c r="G162" s="57">
        <v>39529.5</v>
      </c>
      <c r="H162" s="57">
        <v>172301.58</v>
      </c>
      <c r="I162" s="44"/>
      <c r="J162" s="86"/>
      <c r="K162" s="110">
        <f>M162/L162</f>
        <v>4.3588100026562442</v>
      </c>
      <c r="L162" s="57">
        <v>39529.5</v>
      </c>
      <c r="M162" s="57">
        <v>172301.58</v>
      </c>
      <c r="N162" s="44"/>
      <c r="O162" s="86"/>
      <c r="P162" s="110">
        <f>R162/Q162</f>
        <v>4.3588100026562442</v>
      </c>
      <c r="Q162" s="57">
        <v>39529.5</v>
      </c>
      <c r="R162" s="57">
        <v>172301.58</v>
      </c>
      <c r="S162" s="44"/>
      <c r="T162" s="86"/>
      <c r="U162" s="121">
        <f>W162/V162</f>
        <v>4.3588100026562442</v>
      </c>
      <c r="V162" s="57">
        <v>39529.5</v>
      </c>
      <c r="W162" s="57">
        <v>172301.58</v>
      </c>
      <c r="X162" s="44"/>
      <c r="Y162" s="44"/>
      <c r="Z162" s="98">
        <f>AB162/AA162</f>
        <v>4.3588100026562442</v>
      </c>
      <c r="AA162" s="57">
        <v>39529.5</v>
      </c>
      <c r="AB162" s="57">
        <v>172301.58</v>
      </c>
      <c r="AC162" s="44"/>
      <c r="AD162" s="44"/>
      <c r="AE162" s="98"/>
      <c r="AF162" s="74">
        <v>1</v>
      </c>
      <c r="AG162" s="144">
        <v>420000</v>
      </c>
      <c r="AH162" s="81"/>
      <c r="AI162" s="81"/>
      <c r="AJ162" s="98" t="e">
        <f>AL162/AK162</f>
        <v>#DIV/0!</v>
      </c>
      <c r="AK162" s="74">
        <v>0</v>
      </c>
      <c r="AL162" s="74">
        <v>420000</v>
      </c>
      <c r="AM162" s="81">
        <f>182732.76*2</f>
        <v>365465.52</v>
      </c>
      <c r="AN162" s="81"/>
      <c r="AO162" s="98"/>
      <c r="AP162" s="57">
        <v>0</v>
      </c>
      <c r="AQ162" s="57">
        <v>0</v>
      </c>
      <c r="AR162" s="81">
        <v>224986.68</v>
      </c>
      <c r="AS162" s="44"/>
      <c r="AT162" s="98"/>
      <c r="AU162" s="57"/>
      <c r="AV162" s="57"/>
      <c r="AW162" s="44"/>
      <c r="AX162" s="44"/>
      <c r="AY162" s="98"/>
      <c r="AZ162" s="57"/>
      <c r="BA162" s="57"/>
      <c r="BB162" s="81" t="s">
        <v>354</v>
      </c>
      <c r="BC162" s="44"/>
      <c r="BD162" s="98">
        <f>BF162/BE162</f>
        <v>7.1203884476534292</v>
      </c>
      <c r="BE162" s="522">
        <v>2770</v>
      </c>
      <c r="BF162" s="522">
        <v>19723.475999999999</v>
      </c>
      <c r="BG162" s="81" t="s">
        <v>354</v>
      </c>
      <c r="BH162" s="44"/>
      <c r="BI162" s="98">
        <f>BK162/BJ162</f>
        <v>6.2700806577916985</v>
      </c>
      <c r="BJ162" s="522">
        <f>1.2*(5071+7699)</f>
        <v>15324</v>
      </c>
      <c r="BK162" s="522">
        <f>(48273.35+31795.58)*1.2</f>
        <v>96082.715999999986</v>
      </c>
      <c r="BL162" s="81">
        <v>164755.70000000001</v>
      </c>
      <c r="BM162" s="44"/>
      <c r="BN162" s="98">
        <f>BP162/BO162</f>
        <v>7.0861198467432951</v>
      </c>
      <c r="BO162" s="553">
        <f>15146+4429</f>
        <v>19575</v>
      </c>
      <c r="BP162" s="522">
        <f>115592.33*1.2</f>
        <v>138710.796</v>
      </c>
      <c r="BQ162" s="44"/>
      <c r="BR162" s="44"/>
      <c r="BS162" s="98">
        <f>BU162/BT162</f>
        <v>7.0130005268703899</v>
      </c>
      <c r="BT162" s="553">
        <v>26572</v>
      </c>
      <c r="BU162" s="522">
        <v>186349.45</v>
      </c>
      <c r="BV162" s="130">
        <f>117896.76+68452.69</f>
        <v>186349.45</v>
      </c>
      <c r="BW162" s="44"/>
      <c r="BX162" s="98">
        <f>BZ162/BY162</f>
        <v>4.3588100026562442</v>
      </c>
      <c r="BY162" s="57">
        <v>39529.5</v>
      </c>
      <c r="BZ162" s="57">
        <v>172301.58</v>
      </c>
      <c r="CA162" s="130">
        <v>105341.6</v>
      </c>
      <c r="CB162" s="44"/>
      <c r="CC162" s="98">
        <f>CE162/CD162</f>
        <v>4.3588100026562442</v>
      </c>
      <c r="CD162" s="57">
        <v>39529.5</v>
      </c>
      <c r="CE162" s="57">
        <v>172301.58</v>
      </c>
      <c r="CF162" s="44"/>
      <c r="CG162" s="44"/>
      <c r="CH162" s="98">
        <f>CJ162/CI162</f>
        <v>4.3588100026562442</v>
      </c>
      <c r="CI162" s="57">
        <v>39529.5</v>
      </c>
      <c r="CJ162" s="57">
        <v>172301.58</v>
      </c>
      <c r="CK162" s="44"/>
      <c r="CL162" s="44"/>
      <c r="CM162" s="98">
        <f>CO162/CN162</f>
        <v>4.3588100026562442</v>
      </c>
      <c r="CN162" s="57">
        <v>39529.5</v>
      </c>
      <c r="CO162" s="57">
        <v>172301.58</v>
      </c>
      <c r="CP162" s="44"/>
      <c r="CQ162" s="44"/>
      <c r="CR162" s="98">
        <f>CT162/CS162</f>
        <v>4.3588100026562442</v>
      </c>
      <c r="CS162" s="57">
        <v>39529.5</v>
      </c>
      <c r="CT162" s="57">
        <v>172301.58</v>
      </c>
      <c r="CU162" s="44"/>
      <c r="CV162" s="44"/>
      <c r="CW162" s="98">
        <f>CY162/CX162</f>
        <v>4.3588100026562442</v>
      </c>
      <c r="CX162" s="57">
        <v>39529.5</v>
      </c>
      <c r="CY162" s="57">
        <v>172301.58</v>
      </c>
      <c r="CZ162" s="44"/>
      <c r="DA162" s="44"/>
    </row>
    <row r="163" spans="1:105" ht="15" customHeight="1">
      <c r="A163" s="256"/>
      <c r="B163" s="215">
        <v>23243188</v>
      </c>
      <c r="C163" s="220" t="s">
        <v>38</v>
      </c>
      <c r="D163" s="231" t="s">
        <v>15</v>
      </c>
      <c r="E163" s="29"/>
      <c r="F163" s="103"/>
      <c r="G163" s="57"/>
      <c r="H163" s="57"/>
      <c r="I163" s="44"/>
      <c r="J163" s="86"/>
      <c r="K163" s="103"/>
      <c r="L163" s="57"/>
      <c r="M163" s="57"/>
      <c r="N163" s="44"/>
      <c r="O163" s="86"/>
      <c r="P163" s="103"/>
      <c r="Q163" s="57"/>
      <c r="R163" s="57"/>
      <c r="S163" s="44"/>
      <c r="T163" s="86"/>
      <c r="U163" s="47"/>
      <c r="V163" s="57"/>
      <c r="W163" s="57"/>
      <c r="X163" s="44"/>
      <c r="Y163" s="44"/>
      <c r="Z163" s="46"/>
      <c r="AA163" s="57"/>
      <c r="AB163" s="57"/>
      <c r="AC163" s="44"/>
      <c r="AD163" s="44"/>
      <c r="AE163" s="46"/>
      <c r="AF163" s="57"/>
      <c r="AG163" s="57"/>
      <c r="AH163" s="44"/>
      <c r="AI163" s="44"/>
      <c r="AJ163" s="46"/>
      <c r="AK163" s="74"/>
      <c r="AL163" s="74"/>
      <c r="AM163" s="81"/>
      <c r="AN163" s="81"/>
      <c r="AO163" s="46"/>
      <c r="AP163" s="57"/>
      <c r="AQ163" s="57"/>
      <c r="AR163" s="44"/>
      <c r="AS163" s="44"/>
      <c r="AT163" s="46"/>
      <c r="AU163" s="74"/>
      <c r="AV163" s="74">
        <v>526.5</v>
      </c>
      <c r="AW163" s="81"/>
      <c r="AX163" s="81"/>
      <c r="AY163" s="46"/>
      <c r="AZ163" s="74">
        <v>0</v>
      </c>
      <c r="BA163" s="74">
        <v>519.29999999999995</v>
      </c>
      <c r="BB163" s="81"/>
      <c r="BC163" s="44"/>
      <c r="BD163" s="46"/>
      <c r="BE163" s="57"/>
      <c r="BF163" s="57"/>
      <c r="BG163" s="44"/>
      <c r="BH163" s="44"/>
      <c r="BI163" s="46"/>
      <c r="BJ163" s="57"/>
      <c r="BK163" s="513">
        <v>401.66</v>
      </c>
      <c r="BL163" s="44"/>
      <c r="BM163" s="44"/>
      <c r="BN163" s="46"/>
      <c r="BO163" s="522"/>
      <c r="BP163" s="522">
        <v>437.24</v>
      </c>
      <c r="BQ163" s="511"/>
      <c r="BR163" s="44"/>
      <c r="BS163" s="46"/>
      <c r="BT163" s="57"/>
      <c r="BU163" s="522">
        <v>430.79</v>
      </c>
      <c r="BV163" s="44"/>
      <c r="BW163" s="44"/>
      <c r="BX163" s="46"/>
      <c r="BY163" s="57"/>
      <c r="BZ163" s="57"/>
      <c r="CA163" s="44"/>
      <c r="CB163" s="44"/>
      <c r="CC163" s="46"/>
      <c r="CD163" s="57"/>
      <c r="CE163" s="57"/>
      <c r="CF163" s="44"/>
      <c r="CG163" s="44"/>
      <c r="CH163" s="46"/>
      <c r="CI163" s="57"/>
      <c r="CJ163" s="57"/>
      <c r="CK163" s="44"/>
      <c r="CL163" s="44"/>
      <c r="CM163" s="46"/>
      <c r="CN163" s="57"/>
      <c r="CO163" s="57"/>
      <c r="CP163" s="44"/>
      <c r="CQ163" s="44"/>
      <c r="CR163" s="46"/>
      <c r="CS163" s="57"/>
      <c r="CT163" s="57"/>
      <c r="CU163" s="44"/>
      <c r="CV163" s="44"/>
      <c r="CW163" s="46"/>
      <c r="CX163" s="57"/>
      <c r="CY163" s="57"/>
      <c r="CZ163" s="44"/>
      <c r="DA163" s="44"/>
    </row>
    <row r="164" spans="1:105" s="264" customFormat="1" ht="15" customHeight="1" thickBot="1">
      <c r="A164" s="257"/>
      <c r="B164" s="258">
        <v>39278125</v>
      </c>
      <c r="C164" s="20" t="s">
        <v>170</v>
      </c>
      <c r="D164" s="259" t="s">
        <v>17</v>
      </c>
      <c r="E164" s="23"/>
      <c r="F164" s="178">
        <f>H164/G164</f>
        <v>31.05</v>
      </c>
      <c r="G164" s="170">
        <v>73</v>
      </c>
      <c r="H164" s="170">
        <v>2266.65</v>
      </c>
      <c r="I164" s="179"/>
      <c r="J164" s="182"/>
      <c r="K164" s="168">
        <f>M164/L164</f>
        <v>43.68</v>
      </c>
      <c r="L164" s="170">
        <v>28</v>
      </c>
      <c r="M164" s="170">
        <v>1223.04</v>
      </c>
      <c r="N164" s="179"/>
      <c r="O164" s="182"/>
      <c r="P164" s="168">
        <f>R164/Q164</f>
        <v>43.68</v>
      </c>
      <c r="Q164" s="170">
        <v>19</v>
      </c>
      <c r="R164" s="170">
        <v>829.92</v>
      </c>
      <c r="S164" s="179"/>
      <c r="T164" s="182"/>
      <c r="U164" s="209">
        <f>W164/V164</f>
        <v>43.68</v>
      </c>
      <c r="V164" s="170">
        <v>44</v>
      </c>
      <c r="W164" s="170">
        <v>1921.92</v>
      </c>
      <c r="X164" s="179"/>
      <c r="Y164" s="179"/>
      <c r="Z164" s="3">
        <f>AB164/AA164</f>
        <v>43.68</v>
      </c>
      <c r="AA164" s="170">
        <v>31</v>
      </c>
      <c r="AB164" s="369">
        <v>1354.08</v>
      </c>
      <c r="AC164" s="179"/>
      <c r="AD164" s="179"/>
      <c r="AE164" s="3">
        <f>AG164/AF164</f>
        <v>104.05500000000001</v>
      </c>
      <c r="AF164" s="170">
        <v>18</v>
      </c>
      <c r="AG164" s="170">
        <f>1086.75+786.24</f>
        <v>1872.99</v>
      </c>
      <c r="AH164" s="179"/>
      <c r="AI164" s="179"/>
      <c r="AJ164" s="3">
        <f>AL164/AK164</f>
        <v>43.68</v>
      </c>
      <c r="AK164" s="170">
        <v>22</v>
      </c>
      <c r="AL164" s="170">
        <v>960.96</v>
      </c>
      <c r="AM164" s="179"/>
      <c r="AN164" s="179"/>
      <c r="AO164" s="3">
        <f>AQ164/AP164</f>
        <v>43.68</v>
      </c>
      <c r="AP164" s="170">
        <v>3</v>
      </c>
      <c r="AQ164" s="170">
        <v>131.04</v>
      </c>
      <c r="AR164" s="179"/>
      <c r="AS164" s="179"/>
      <c r="AT164" s="3">
        <f>AV164/AU164</f>
        <v>43.68</v>
      </c>
      <c r="AU164" s="170">
        <v>5</v>
      </c>
      <c r="AV164" s="170">
        <v>218.4</v>
      </c>
      <c r="AW164" s="179"/>
      <c r="AX164" s="179"/>
      <c r="AY164" s="3">
        <f>BA164/AZ164</f>
        <v>43.68</v>
      </c>
      <c r="AZ164" s="170">
        <v>3</v>
      </c>
      <c r="BA164" s="170">
        <v>131.04</v>
      </c>
      <c r="BB164" s="179"/>
      <c r="BC164" s="179"/>
      <c r="BD164" s="3" t="e">
        <f>BF164/BE164</f>
        <v>#DIV/0!</v>
      </c>
      <c r="BE164" s="550">
        <v>0</v>
      </c>
      <c r="BF164" s="550">
        <v>0</v>
      </c>
      <c r="BG164" s="551"/>
      <c r="BH164" s="179"/>
      <c r="BI164" s="3">
        <f>BK164/BJ164</f>
        <v>43.68</v>
      </c>
      <c r="BJ164" s="170">
        <v>34</v>
      </c>
      <c r="BK164" s="369">
        <v>1485.12</v>
      </c>
      <c r="BL164" s="179"/>
      <c r="BM164" s="179"/>
      <c r="BN164" s="3">
        <f>BP164/BO164</f>
        <v>31.05</v>
      </c>
      <c r="BO164" s="169">
        <v>35</v>
      </c>
      <c r="BP164" s="169">
        <v>1086.75</v>
      </c>
      <c r="BQ164" s="48"/>
      <c r="BR164" s="179"/>
      <c r="BS164" s="3">
        <f>BU164/BT164</f>
        <v>31.05</v>
      </c>
      <c r="BT164" s="169">
        <v>35</v>
      </c>
      <c r="BU164" s="169">
        <v>1086.75</v>
      </c>
      <c r="BV164" s="48"/>
      <c r="BW164" s="179"/>
      <c r="BX164" s="3">
        <f>BZ164/BY164</f>
        <v>31.05</v>
      </c>
      <c r="BY164" s="169">
        <v>35</v>
      </c>
      <c r="BZ164" s="169">
        <v>1086.75</v>
      </c>
      <c r="CA164" s="48"/>
      <c r="CB164" s="179"/>
      <c r="CC164" s="3">
        <f>CE164/CD164</f>
        <v>31.05</v>
      </c>
      <c r="CD164" s="169">
        <v>35</v>
      </c>
      <c r="CE164" s="169">
        <v>1086.75</v>
      </c>
      <c r="CF164" s="48"/>
      <c r="CG164" s="179"/>
      <c r="CH164" s="3">
        <f>CJ164/CI164</f>
        <v>31.05</v>
      </c>
      <c r="CI164" s="169">
        <v>35</v>
      </c>
      <c r="CJ164" s="169">
        <v>1086.75</v>
      </c>
      <c r="CK164" s="48"/>
      <c r="CL164" s="179"/>
      <c r="CM164" s="3">
        <f>CO164/CN164</f>
        <v>31.05</v>
      </c>
      <c r="CN164" s="169">
        <v>35</v>
      </c>
      <c r="CO164" s="169">
        <v>1086.75</v>
      </c>
      <c r="CP164" s="48"/>
      <c r="CQ164" s="179"/>
      <c r="CR164" s="3">
        <f>CT164/CS164</f>
        <v>31.05</v>
      </c>
      <c r="CS164" s="169">
        <v>35</v>
      </c>
      <c r="CT164" s="169">
        <v>1086.75</v>
      </c>
      <c r="CU164" s="48"/>
      <c r="CV164" s="179"/>
      <c r="CW164" s="3">
        <f>CY164/CX164</f>
        <v>31.05</v>
      </c>
      <c r="CX164" s="169">
        <v>35</v>
      </c>
      <c r="CY164" s="169">
        <v>1086.75</v>
      </c>
      <c r="CZ164" s="48"/>
      <c r="DA164" s="179"/>
    </row>
    <row r="165" spans="1:105" s="249" customFormat="1" ht="15" customHeight="1">
      <c r="A165" s="265" t="s">
        <v>318</v>
      </c>
      <c r="B165" s="5" t="s">
        <v>95</v>
      </c>
      <c r="C165" s="6" t="s">
        <v>25</v>
      </c>
      <c r="D165" s="7" t="s">
        <v>10</v>
      </c>
      <c r="E165" s="4"/>
      <c r="F165" s="196"/>
      <c r="G165" s="197"/>
      <c r="H165" s="197"/>
      <c r="I165" s="38"/>
      <c r="J165" s="206"/>
      <c r="K165" s="196"/>
      <c r="L165" s="197"/>
      <c r="M165" s="197"/>
      <c r="N165" s="38"/>
      <c r="O165" s="206"/>
      <c r="P165" s="196"/>
      <c r="Q165" s="197"/>
      <c r="R165" s="197"/>
      <c r="S165" s="38"/>
      <c r="T165" s="206"/>
      <c r="U165" s="207"/>
      <c r="V165" s="197"/>
      <c r="W165" s="204">
        <v>1518.26</v>
      </c>
      <c r="X165" s="38"/>
      <c r="Y165" s="384">
        <f>SUM(W165:W169)*1.1</f>
        <v>163068.25480000002</v>
      </c>
      <c r="Z165" s="36"/>
      <c r="AA165" s="197"/>
      <c r="AB165" s="204">
        <v>1518.21</v>
      </c>
      <c r="AC165" s="38"/>
      <c r="AD165" s="384">
        <f>SUM(AB165:AB169)*1.1</f>
        <v>188254.55660000001</v>
      </c>
      <c r="AE165" s="36"/>
      <c r="AF165" s="204"/>
      <c r="AG165" s="204">
        <v>2530.2600000000002</v>
      </c>
      <c r="AH165" s="427"/>
      <c r="AI165" s="384">
        <f>AI166*1.1</f>
        <v>207732.53600000002</v>
      </c>
      <c r="AJ165" s="36"/>
      <c r="AK165" s="204"/>
      <c r="AL165" s="204">
        <v>1518.21</v>
      </c>
      <c r="AM165" s="427"/>
      <c r="AN165" s="384">
        <f>AN166*1.2</f>
        <v>234441.87600000002</v>
      </c>
      <c r="AO165" s="36"/>
      <c r="AP165" s="197"/>
      <c r="AQ165" s="197"/>
      <c r="AR165" s="38"/>
      <c r="AS165" s="384">
        <f>SUM(AQ165:AQ169)*1.1</f>
        <v>260265.3548</v>
      </c>
      <c r="AT165" s="36"/>
      <c r="AU165" s="197"/>
      <c r="AV165" s="197"/>
      <c r="AW165" s="38"/>
      <c r="AX165" s="384">
        <f>SUM(AV165:AV169)*1.1</f>
        <v>285617.9656</v>
      </c>
      <c r="AY165" s="36"/>
      <c r="AZ165" s="197"/>
      <c r="BA165" s="197"/>
      <c r="BB165" s="38"/>
      <c r="BC165" s="384">
        <f>SUM(BA165:BA169)*1.1</f>
        <v>271604.02280000004</v>
      </c>
      <c r="BD165" s="36"/>
      <c r="BE165" s="197"/>
      <c r="BF165" s="197"/>
      <c r="BG165" s="38"/>
      <c r="BH165" s="384">
        <f>SUM(BF165:BF169)*1.1</f>
        <v>265945.90880000003</v>
      </c>
      <c r="BI165" s="36"/>
      <c r="BJ165" s="197"/>
      <c r="BK165" s="197"/>
      <c r="BL165" s="38"/>
      <c r="BM165" s="384">
        <f>SUM(BK165:BK169)*1.1</f>
        <v>292186.75640000001</v>
      </c>
      <c r="BN165" s="36"/>
      <c r="BO165" s="197"/>
      <c r="BP165" s="197"/>
      <c r="BQ165" s="38"/>
      <c r="BR165" s="384">
        <f>SUM(BP165:BP169)*1.1</f>
        <v>301016.13299999997</v>
      </c>
      <c r="BS165" s="36"/>
      <c r="BT165" s="197"/>
      <c r="BU165" s="197"/>
      <c r="BV165" s="38"/>
      <c r="BW165" s="384">
        <f>SUM(BU165:BU168)*1.1</f>
        <v>234145.04300000003</v>
      </c>
      <c r="BX165" s="36"/>
      <c r="BY165" s="197"/>
      <c r="BZ165" s="197"/>
      <c r="CA165" s="38"/>
      <c r="CB165" s="384">
        <f>SUM(BZ165:BZ169)*1.1</f>
        <v>176746.52600000001</v>
      </c>
      <c r="CC165" s="36"/>
      <c r="CD165" s="197"/>
      <c r="CE165" s="197"/>
      <c r="CF165" s="38"/>
      <c r="CG165" s="384">
        <f>SUM(CE165:CE169)*1.1</f>
        <v>176746.52600000001</v>
      </c>
      <c r="CH165" s="36"/>
      <c r="CI165" s="197"/>
      <c r="CJ165" s="197"/>
      <c r="CK165" s="38"/>
      <c r="CL165" s="384">
        <f>SUM(CJ165:CJ169)*1.1</f>
        <v>176746.52600000001</v>
      </c>
      <c r="CM165" s="36"/>
      <c r="CN165" s="197"/>
      <c r="CO165" s="197"/>
      <c r="CP165" s="38"/>
      <c r="CQ165" s="384">
        <f>SUM(CO165:CO169)*1.1</f>
        <v>176746.52600000001</v>
      </c>
      <c r="CR165" s="36"/>
      <c r="CS165" s="197"/>
      <c r="CT165" s="197"/>
      <c r="CU165" s="38"/>
      <c r="CV165" s="384">
        <f>SUM(CT165:CT169)*1.1</f>
        <v>176746.52600000001</v>
      </c>
      <c r="CW165" s="36"/>
      <c r="CX165" s="197"/>
      <c r="CY165" s="197"/>
      <c r="CZ165" s="38"/>
      <c r="DA165" s="384">
        <f>SUM(CY165:CY169)*1.1</f>
        <v>176746.52600000001</v>
      </c>
    </row>
    <row r="166" spans="1:105" ht="15" customHeight="1">
      <c r="A166" s="256"/>
      <c r="B166" s="215">
        <v>41788990</v>
      </c>
      <c r="C166" s="45" t="s">
        <v>96</v>
      </c>
      <c r="D166" s="218" t="s">
        <v>11</v>
      </c>
      <c r="E166" s="24"/>
      <c r="F166" s="103"/>
      <c r="G166" s="74">
        <v>841.83</v>
      </c>
      <c r="H166" s="74">
        <v>35538.699999999997</v>
      </c>
      <c r="I166" s="81"/>
      <c r="J166" s="88"/>
      <c r="K166" s="103"/>
      <c r="L166" s="74">
        <v>841.83</v>
      </c>
      <c r="M166" s="74">
        <v>35538.699999999997</v>
      </c>
      <c r="N166" s="81"/>
      <c r="O166" s="88"/>
      <c r="P166" s="103"/>
      <c r="Q166" s="74">
        <v>841.83</v>
      </c>
      <c r="R166" s="74" t="s">
        <v>211</v>
      </c>
      <c r="S166" s="81"/>
      <c r="T166" s="88"/>
      <c r="U166" s="120"/>
      <c r="V166" s="74">
        <v>841.83</v>
      </c>
      <c r="W166" s="74" t="s">
        <v>211</v>
      </c>
      <c r="X166" s="81"/>
      <c r="Y166" s="403">
        <f>SUM(W165:W169)*1</f>
        <v>148243.86800000002</v>
      </c>
      <c r="Z166" s="97"/>
      <c r="AA166" s="74">
        <v>841.83</v>
      </c>
      <c r="AB166" s="74">
        <v>35538.699999999997</v>
      </c>
      <c r="AC166" s="81"/>
      <c r="AD166" s="403">
        <f>SUM(AB165:AB169)*1</f>
        <v>171140.50599999999</v>
      </c>
      <c r="AE166" s="97"/>
      <c r="AF166" s="74">
        <v>841.83</v>
      </c>
      <c r="AG166" s="74">
        <v>35538.699999999997</v>
      </c>
      <c r="AH166" s="81"/>
      <c r="AI166" s="403">
        <f>SUM(AG165:AG169)*1</f>
        <v>188847.76</v>
      </c>
      <c r="AJ166" s="97"/>
      <c r="AK166" s="74">
        <v>841.83</v>
      </c>
      <c r="AL166" s="74">
        <v>35538.699999999997</v>
      </c>
      <c r="AM166" s="81"/>
      <c r="AN166" s="403">
        <f>SUM(AL165:AL169)*1</f>
        <v>195368.23</v>
      </c>
      <c r="AO166" s="97"/>
      <c r="AP166" s="74">
        <v>841.83</v>
      </c>
      <c r="AQ166" s="74">
        <v>35538.699999999997</v>
      </c>
      <c r="AR166" s="81"/>
      <c r="AS166" s="403">
        <f>SUM(AQ165:AQ169)*1</f>
        <v>236604.86799999999</v>
      </c>
      <c r="AT166" s="406"/>
      <c r="AU166" s="74">
        <v>841.83</v>
      </c>
      <c r="AV166" s="74">
        <v>22772.3</v>
      </c>
      <c r="AW166" s="81"/>
      <c r="AX166" s="403">
        <f>SUM(AV165:AV169)*1</f>
        <v>259652.696</v>
      </c>
      <c r="AY166" s="97"/>
      <c r="AZ166" s="74">
        <v>841.83</v>
      </c>
      <c r="BA166" s="74">
        <v>35538.699999999997</v>
      </c>
      <c r="BB166" s="81"/>
      <c r="BC166" s="403">
        <f>SUM(BA165:BA169)*1</f>
        <v>246912.74800000002</v>
      </c>
      <c r="BD166" s="97"/>
      <c r="BE166" s="74">
        <v>841.83</v>
      </c>
      <c r="BF166" s="74">
        <v>35538.699999999997</v>
      </c>
      <c r="BG166" s="81"/>
      <c r="BH166" s="403">
        <f>SUM(BF165:BF169)*1</f>
        <v>241769.008</v>
      </c>
      <c r="BI166" s="97"/>
      <c r="BJ166" s="74">
        <v>841.83</v>
      </c>
      <c r="BK166" s="74">
        <v>35538.699999999997</v>
      </c>
      <c r="BL166" s="81"/>
      <c r="BM166" s="403">
        <f>SUM(BK165:BK169)*1</f>
        <v>265624.32399999996</v>
      </c>
      <c r="BN166" s="97"/>
      <c r="BO166" s="74">
        <v>841.83</v>
      </c>
      <c r="BP166" s="74">
        <v>35538.699999999997</v>
      </c>
      <c r="BQ166" s="81"/>
      <c r="BR166" s="403">
        <f>SUM(BP165:BP169)*1</f>
        <v>273651.02999999997</v>
      </c>
      <c r="BS166" s="97"/>
      <c r="BT166" s="74">
        <v>841.83</v>
      </c>
      <c r="BU166" s="74">
        <v>35538.699999999997</v>
      </c>
      <c r="BV166" s="81"/>
      <c r="BW166" s="403">
        <f>SUM(BU165:BU168)*1</f>
        <v>212859.13</v>
      </c>
      <c r="BX166" s="97"/>
      <c r="BY166" s="57">
        <v>841.83</v>
      </c>
      <c r="BZ166" s="57">
        <v>35538.699999999997</v>
      </c>
      <c r="CA166" s="44"/>
      <c r="CB166" s="403">
        <f>SUM(BZ165:BZ169)*1</f>
        <v>160678.66</v>
      </c>
      <c r="CC166" s="97"/>
      <c r="CD166" s="57">
        <v>841.83</v>
      </c>
      <c r="CE166" s="57">
        <v>35538.699999999997</v>
      </c>
      <c r="CF166" s="44"/>
      <c r="CG166" s="403">
        <f>SUM(CE165:CE169)*1</f>
        <v>160678.66</v>
      </c>
      <c r="CH166" s="97"/>
      <c r="CI166" s="57">
        <v>841.83</v>
      </c>
      <c r="CJ166" s="57">
        <v>35538.699999999997</v>
      </c>
      <c r="CK166" s="44"/>
      <c r="CL166" s="403">
        <f>SUM(CJ165:CJ169)*1</f>
        <v>160678.66</v>
      </c>
      <c r="CM166" s="97"/>
      <c r="CN166" s="57">
        <v>841.83</v>
      </c>
      <c r="CO166" s="57">
        <v>35538.699999999997</v>
      </c>
      <c r="CP166" s="44"/>
      <c r="CQ166" s="403">
        <f>SUM(CO165:CO169)*1</f>
        <v>160678.66</v>
      </c>
      <c r="CR166" s="97"/>
      <c r="CS166" s="57">
        <v>841.83</v>
      </c>
      <c r="CT166" s="57">
        <v>35538.699999999997</v>
      </c>
      <c r="CU166" s="44"/>
      <c r="CV166" s="403">
        <f>SUM(CT165:CT169)*1</f>
        <v>160678.66</v>
      </c>
      <c r="CW166" s="97"/>
      <c r="CX166" s="57">
        <v>841.83</v>
      </c>
      <c r="CY166" s="57">
        <v>35538.699999999997</v>
      </c>
      <c r="CZ166" s="44"/>
      <c r="DA166" s="403">
        <f>SUM(CY165:CY169)*1</f>
        <v>160678.66</v>
      </c>
    </row>
    <row r="167" spans="1:105" ht="30" customHeight="1">
      <c r="A167" s="256"/>
      <c r="B167" s="215" t="s">
        <v>339</v>
      </c>
      <c r="C167" s="45" t="s">
        <v>96</v>
      </c>
      <c r="D167" s="216" t="s">
        <v>13</v>
      </c>
      <c r="E167" s="22"/>
      <c r="F167" s="104">
        <f>H167/G167</f>
        <v>5.0014108450319776</v>
      </c>
      <c r="G167" s="128">
        <v>20406.21</v>
      </c>
      <c r="H167" s="337">
        <v>102059.84</v>
      </c>
      <c r="I167" s="81"/>
      <c r="J167" s="88"/>
      <c r="K167" s="104">
        <f>M167/L167</f>
        <v>4.9798439872856743</v>
      </c>
      <c r="L167" s="128">
        <v>24482.62</v>
      </c>
      <c r="M167" s="74">
        <f>101599.69*1.2</f>
        <v>121919.628</v>
      </c>
      <c r="N167" s="81"/>
      <c r="O167" s="88"/>
      <c r="P167" s="104">
        <f>R167/Q167</f>
        <v>4.3277008855362409</v>
      </c>
      <c r="Q167" s="128">
        <v>27441</v>
      </c>
      <c r="R167" s="74">
        <f>1.2*98963.7</f>
        <v>118756.43999999999</v>
      </c>
      <c r="S167" s="81"/>
      <c r="T167" s="88"/>
      <c r="U167" s="115">
        <f>W167/V167</f>
        <v>4.989960421165911</v>
      </c>
      <c r="V167" s="128">
        <v>28694.63</v>
      </c>
      <c r="W167" s="134">
        <f>1.2*119320.89</f>
        <v>143185.068</v>
      </c>
      <c r="X167" s="81"/>
      <c r="Y167" s="81"/>
      <c r="Z167" s="92">
        <f>AB167/AA167</f>
        <v>4.54524029919979</v>
      </c>
      <c r="AA167" s="128">
        <v>29189.86</v>
      </c>
      <c r="AB167" s="74">
        <f>1.2*110562.44</f>
        <v>132674.92799999999</v>
      </c>
      <c r="AC167" s="81"/>
      <c r="AD167" s="81"/>
      <c r="AE167" s="92">
        <f>AG167/AF167</f>
        <v>4.5073278987658068</v>
      </c>
      <c r="AF167" s="128">
        <v>32848.980000000003</v>
      </c>
      <c r="AG167" s="81">
        <f>1.2*123384.27</f>
        <v>148061.12400000001</v>
      </c>
      <c r="AH167" s="81"/>
      <c r="AI167" s="81"/>
      <c r="AJ167" s="92">
        <f>AL167/AK167</f>
        <v>4.8888722897480026</v>
      </c>
      <c r="AK167" s="128">
        <v>31782.1</v>
      </c>
      <c r="AL167" s="134">
        <f>1.2*129482.19</f>
        <v>155378.628</v>
      </c>
      <c r="AM167" s="81"/>
      <c r="AN167" s="81"/>
      <c r="AO167" s="92">
        <f>AQ167/AP167</f>
        <v>5.8389118931545658</v>
      </c>
      <c r="AP167" s="128">
        <v>33909.17</v>
      </c>
      <c r="AQ167" s="134">
        <f>1.2*164993.88</f>
        <v>197992.65599999999</v>
      </c>
      <c r="AR167" s="81"/>
      <c r="AS167" s="81"/>
      <c r="AT167" s="92">
        <f>AV167/AU167</f>
        <v>6.4870074293118511</v>
      </c>
      <c r="AU167" s="128">
        <v>36102.94</v>
      </c>
      <c r="AV167" s="134">
        <f>1.2*195166.7</f>
        <v>234200.04</v>
      </c>
      <c r="AW167" s="81"/>
      <c r="AX167" s="81"/>
      <c r="AY167" s="92">
        <f>BA167/AZ167</f>
        <v>6.2179197684517273</v>
      </c>
      <c r="AZ167" s="128">
        <v>33541.17</v>
      </c>
      <c r="BA167" s="134">
        <f>1.2*173796.92</f>
        <v>208556.304</v>
      </c>
      <c r="BB167" s="81"/>
      <c r="BC167" s="81"/>
      <c r="BD167" s="92">
        <f>BF167/BE167</f>
        <v>6.3388191463311037</v>
      </c>
      <c r="BE167" s="128">
        <v>32016.16</v>
      </c>
      <c r="BF167" s="372">
        <f>1.2*169120.54</f>
        <v>202944.64800000002</v>
      </c>
      <c r="BG167" s="81"/>
      <c r="BH167" s="81"/>
      <c r="BI167" s="92">
        <f>BK167/BJ167</f>
        <v>6.7455610738725342</v>
      </c>
      <c r="BJ167" s="128">
        <v>33677.74</v>
      </c>
      <c r="BK167" s="74">
        <f>1.2*189312.71</f>
        <v>227175.25199999998</v>
      </c>
      <c r="BL167" s="81"/>
      <c r="BM167" s="81"/>
      <c r="BN167" s="92">
        <f>BP167/BO167</f>
        <v>6.3505560064920816</v>
      </c>
      <c r="BO167" s="128">
        <v>37035.269</v>
      </c>
      <c r="BP167" s="74">
        <v>235194.55</v>
      </c>
      <c r="BQ167" s="81"/>
      <c r="BR167" s="81"/>
      <c r="BS167" s="92">
        <f>BU167/BT167</f>
        <v>5.0041298828696679</v>
      </c>
      <c r="BT167" s="128">
        <v>35189.86</v>
      </c>
      <c r="BU167" s="134">
        <v>176094.63</v>
      </c>
      <c r="BV167" s="81"/>
      <c r="BW167" s="81"/>
      <c r="BX167" s="92">
        <f>BZ167/BY167</f>
        <v>4.5600000000000005</v>
      </c>
      <c r="BY167" s="56">
        <v>27441</v>
      </c>
      <c r="BZ167" s="57">
        <v>125130.96</v>
      </c>
      <c r="CA167" s="44"/>
      <c r="CB167" s="81"/>
      <c r="CC167" s="92">
        <f>CE167/CD167</f>
        <v>4.5600000000000005</v>
      </c>
      <c r="CD167" s="56">
        <v>27441</v>
      </c>
      <c r="CE167" s="57">
        <v>125130.96</v>
      </c>
      <c r="CF167" s="44"/>
      <c r="CG167" s="81"/>
      <c r="CH167" s="92">
        <f>CJ167/CI167</f>
        <v>4.5600000000000005</v>
      </c>
      <c r="CI167" s="56">
        <v>27441</v>
      </c>
      <c r="CJ167" s="57">
        <v>125130.96</v>
      </c>
      <c r="CK167" s="44"/>
      <c r="CL167" s="81"/>
      <c r="CM167" s="92">
        <f>CO167/CN167</f>
        <v>4.5600000000000005</v>
      </c>
      <c r="CN167" s="56">
        <v>27441</v>
      </c>
      <c r="CO167" s="57">
        <v>125130.96</v>
      </c>
      <c r="CP167" s="44"/>
      <c r="CQ167" s="81"/>
      <c r="CR167" s="92">
        <f>CT167/CS167</f>
        <v>4.5600000000000005</v>
      </c>
      <c r="CS167" s="56">
        <v>27441</v>
      </c>
      <c r="CT167" s="57">
        <v>125130.96</v>
      </c>
      <c r="CU167" s="44"/>
      <c r="CV167" s="81"/>
      <c r="CW167" s="92">
        <f>CY167/CX167</f>
        <v>4.5600000000000005</v>
      </c>
      <c r="CX167" s="56">
        <v>27441</v>
      </c>
      <c r="CY167" s="57">
        <v>125130.96</v>
      </c>
      <c r="CZ167" s="44"/>
      <c r="DA167" s="81"/>
    </row>
    <row r="168" spans="1:105" ht="15" customHeight="1">
      <c r="A168" s="256"/>
      <c r="B168" s="215"/>
      <c r="C168" s="45"/>
      <c r="D168" s="216" t="s">
        <v>15</v>
      </c>
      <c r="E168" s="22"/>
      <c r="F168" s="103"/>
      <c r="G168" s="57"/>
      <c r="H168" s="57"/>
      <c r="I168" s="44"/>
      <c r="J168" s="86"/>
      <c r="K168" s="103"/>
      <c r="L168" s="74">
        <v>1</v>
      </c>
      <c r="M168" s="74">
        <f>363.74*1.2</f>
        <v>436.488</v>
      </c>
      <c r="N168" s="81"/>
      <c r="O168" s="88"/>
      <c r="P168" s="103"/>
      <c r="Q168" s="74"/>
      <c r="R168" s="74">
        <f>1.2*432.71</f>
        <v>519.25199999999995</v>
      </c>
      <c r="S168" s="81"/>
      <c r="T168" s="88"/>
      <c r="U168" s="47"/>
      <c r="V168" s="74"/>
      <c r="W168" s="74">
        <f>1.2*546.41</f>
        <v>655.69199999999989</v>
      </c>
      <c r="X168" s="81"/>
      <c r="Y168" s="81"/>
      <c r="Z168" s="46"/>
      <c r="AA168" s="74"/>
      <c r="AB168" s="74">
        <f>1.2*518.85</f>
        <v>622.62</v>
      </c>
      <c r="AC168" s="81"/>
      <c r="AD168" s="81"/>
      <c r="AE168" s="46"/>
      <c r="AF168" s="74"/>
      <c r="AG168" s="74">
        <v>621.17999999999995</v>
      </c>
      <c r="AH168" s="81"/>
      <c r="AI168" s="81"/>
      <c r="AJ168" s="46"/>
      <c r="AK168" s="74">
        <v>1</v>
      </c>
      <c r="AL168" s="134">
        <f>1.2*696.83</f>
        <v>836.19600000000003</v>
      </c>
      <c r="AM168" s="81"/>
      <c r="AN168" s="81"/>
      <c r="AO168" s="46"/>
      <c r="AP168" s="74"/>
      <c r="AQ168" s="74">
        <f>1.2*814.18</f>
        <v>977.01599999999985</v>
      </c>
      <c r="AR168" s="81"/>
      <c r="AS168" s="81"/>
      <c r="AT168" s="46"/>
      <c r="AU168" s="74"/>
      <c r="AV168" s="74">
        <f>1.2*841.03</f>
        <v>1009.2359999999999</v>
      </c>
      <c r="AW168" s="81"/>
      <c r="AX168" s="81"/>
      <c r="AY168" s="46"/>
      <c r="AZ168" s="74"/>
      <c r="BA168" s="134">
        <f>1.2*1031.48</f>
        <v>1237.7760000000001</v>
      </c>
      <c r="BB168" s="81"/>
      <c r="BC168" s="81"/>
      <c r="BD168" s="46"/>
      <c r="BE168" s="74"/>
      <c r="BF168" s="74">
        <f>1.2*990.97</f>
        <v>1189.164</v>
      </c>
      <c r="BG168" s="81"/>
      <c r="BH168" s="81"/>
      <c r="BI168" s="46"/>
      <c r="BJ168" s="74"/>
      <c r="BK168" s="134">
        <f>1.2*1032.71</f>
        <v>1239.252</v>
      </c>
      <c r="BL168" s="81"/>
      <c r="BM168" s="81"/>
      <c r="BN168" s="46"/>
      <c r="BO168" s="74"/>
      <c r="BP168" s="74">
        <v>1094.74</v>
      </c>
      <c r="BQ168" s="81"/>
      <c r="BR168" s="81"/>
      <c r="BS168" s="46"/>
      <c r="BT168" s="74"/>
      <c r="BU168" s="74">
        <v>1225.8</v>
      </c>
      <c r="BV168" s="81"/>
      <c r="BW168" s="81"/>
      <c r="BX168" s="46"/>
      <c r="BY168" s="57"/>
      <c r="BZ168" s="57"/>
      <c r="CA168" s="44"/>
      <c r="CB168" s="81"/>
      <c r="CC168" s="46"/>
      <c r="CD168" s="57"/>
      <c r="CE168" s="57"/>
      <c r="CF168" s="44"/>
      <c r="CG168" s="81"/>
      <c r="CH168" s="46"/>
      <c r="CI168" s="57"/>
      <c r="CJ168" s="57"/>
      <c r="CK168" s="44"/>
      <c r="CL168" s="81"/>
      <c r="CM168" s="46"/>
      <c r="CN168" s="57"/>
      <c r="CO168" s="57"/>
      <c r="CP168" s="44"/>
      <c r="CQ168" s="81"/>
      <c r="CR168" s="46"/>
      <c r="CS168" s="57"/>
      <c r="CT168" s="57"/>
      <c r="CU168" s="44"/>
      <c r="CV168" s="81"/>
      <c r="CW168" s="46"/>
      <c r="CX168" s="57"/>
      <c r="CY168" s="57"/>
      <c r="CZ168" s="44"/>
      <c r="DA168" s="81"/>
    </row>
    <row r="169" spans="1:105" s="264" customFormat="1" ht="15" customHeight="1" thickBot="1">
      <c r="A169" s="257"/>
      <c r="B169" s="258"/>
      <c r="C169" s="20"/>
      <c r="D169" s="259" t="s">
        <v>17</v>
      </c>
      <c r="E169" s="23"/>
      <c r="F169" s="168">
        <f>H169/G169</f>
        <v>9</v>
      </c>
      <c r="G169" s="169">
        <v>1</v>
      </c>
      <c r="H169" s="169">
        <v>9</v>
      </c>
      <c r="I169" s="48"/>
      <c r="J169" s="49"/>
      <c r="K169" s="168">
        <f>M169/L169</f>
        <v>30.384024789120332</v>
      </c>
      <c r="L169" s="170">
        <v>174.27</v>
      </c>
      <c r="M169" s="170">
        <f>4412.52*1.2</f>
        <v>5295.0240000000003</v>
      </c>
      <c r="N169" s="179"/>
      <c r="O169" s="182"/>
      <c r="P169" s="168">
        <f>R169/Q169</f>
        <v>1888.6680000000001</v>
      </c>
      <c r="Q169" s="170">
        <v>1</v>
      </c>
      <c r="R169" s="170">
        <f>1.2*1573.89</f>
        <v>1888.6680000000001</v>
      </c>
      <c r="S169" s="179"/>
      <c r="T169" s="182"/>
      <c r="U169" s="209">
        <v>30.38</v>
      </c>
      <c r="V169" s="170">
        <v>72.959999999999994</v>
      </c>
      <c r="W169" s="170">
        <f>1.2*(1539.46+864.58)</f>
        <v>2884.848</v>
      </c>
      <c r="X169" s="179"/>
      <c r="Y169" s="179"/>
      <c r="Z169" s="3">
        <v>30.38</v>
      </c>
      <c r="AA169" s="170">
        <v>60</v>
      </c>
      <c r="AB169" s="170">
        <f>1.2*655.04</f>
        <v>786.04799999999989</v>
      </c>
      <c r="AC169" s="179"/>
      <c r="AD169" s="179"/>
      <c r="AE169" s="3">
        <f>AG169/AF169</f>
        <v>30.383999999999993</v>
      </c>
      <c r="AF169" s="170">
        <v>69</v>
      </c>
      <c r="AG169" s="170">
        <f>1.2*1747.08</f>
        <v>2096.4959999999996</v>
      </c>
      <c r="AH169" s="179"/>
      <c r="AI169" s="179"/>
      <c r="AJ169" s="3">
        <f>AL169/AK169</f>
        <v>2096.4959999999996</v>
      </c>
      <c r="AK169" s="170">
        <v>1</v>
      </c>
      <c r="AL169" s="369">
        <f>1.2*1747.08</f>
        <v>2096.4959999999996</v>
      </c>
      <c r="AM169" s="179"/>
      <c r="AN169" s="179"/>
      <c r="AO169" s="3">
        <f>AQ169/AP169</f>
        <v>30.830823529411759</v>
      </c>
      <c r="AP169" s="170">
        <v>68</v>
      </c>
      <c r="AQ169" s="369">
        <f>1.2*1747.08</f>
        <v>2096.4959999999996</v>
      </c>
      <c r="AR169" s="179"/>
      <c r="AS169" s="179"/>
      <c r="AT169" s="3">
        <f>AV169/AU169</f>
        <v>30.383999999999997</v>
      </c>
      <c r="AU169" s="170">
        <v>55</v>
      </c>
      <c r="AV169" s="369">
        <f>1.2*1392.6</f>
        <v>1671.12</v>
      </c>
      <c r="AW169" s="179"/>
      <c r="AX169" s="179"/>
      <c r="AY169" s="3">
        <f>BA169/AZ169</f>
        <v>30.384</v>
      </c>
      <c r="AZ169" s="170">
        <v>52</v>
      </c>
      <c r="BA169" s="170">
        <f>1.2*(1316.64)</f>
        <v>1579.9680000000001</v>
      </c>
      <c r="BB169" s="179"/>
      <c r="BC169" s="179"/>
      <c r="BD169" s="3">
        <f>BF169/BE169</f>
        <v>30.383999999999993</v>
      </c>
      <c r="BE169" s="170">
        <v>69</v>
      </c>
      <c r="BF169" s="170">
        <f>1.2*1747.08</f>
        <v>2096.4959999999996</v>
      </c>
      <c r="BG169" s="179"/>
      <c r="BH169" s="179"/>
      <c r="BI169" s="3">
        <f>BK169/BJ169</f>
        <v>30.383999999999997</v>
      </c>
      <c r="BJ169" s="170">
        <v>55</v>
      </c>
      <c r="BK169" s="369">
        <f>1.2*1392.6</f>
        <v>1671.12</v>
      </c>
      <c r="BL169" s="179"/>
      <c r="BM169" s="179"/>
      <c r="BN169" s="3">
        <f>BP169/BO169</f>
        <v>30.384</v>
      </c>
      <c r="BO169" s="170">
        <v>60</v>
      </c>
      <c r="BP169" s="170">
        <v>1823.04</v>
      </c>
      <c r="BQ169" s="179"/>
      <c r="BR169" s="179"/>
      <c r="BS169" s="3">
        <f>BU168/BT169</f>
        <v>20.095081967213115</v>
      </c>
      <c r="BT169" s="170">
        <v>61</v>
      </c>
      <c r="BU169" s="369">
        <f>1.2*1544.52</f>
        <v>1853.424</v>
      </c>
      <c r="BV169" s="179"/>
      <c r="BW169" s="179"/>
      <c r="BX169" s="3">
        <f>BZ169/BY169</f>
        <v>9</v>
      </c>
      <c r="BY169" s="169">
        <v>1</v>
      </c>
      <c r="BZ169" s="169">
        <v>9</v>
      </c>
      <c r="CA169" s="48"/>
      <c r="CB169" s="179"/>
      <c r="CC169" s="3">
        <f>CE169/CD169</f>
        <v>9</v>
      </c>
      <c r="CD169" s="169">
        <v>1</v>
      </c>
      <c r="CE169" s="169">
        <v>9</v>
      </c>
      <c r="CF169" s="48"/>
      <c r="CG169" s="179"/>
      <c r="CH169" s="3">
        <f>CJ169/CI169</f>
        <v>9</v>
      </c>
      <c r="CI169" s="169">
        <v>1</v>
      </c>
      <c r="CJ169" s="169">
        <v>9</v>
      </c>
      <c r="CK169" s="48"/>
      <c r="CL169" s="179"/>
      <c r="CM169" s="3">
        <f>CO169/CN169</f>
        <v>9</v>
      </c>
      <c r="CN169" s="169">
        <v>1</v>
      </c>
      <c r="CO169" s="169">
        <v>9</v>
      </c>
      <c r="CP169" s="48"/>
      <c r="CQ169" s="179"/>
      <c r="CR169" s="3">
        <f>CT169/CS169</f>
        <v>9</v>
      </c>
      <c r="CS169" s="169">
        <v>1</v>
      </c>
      <c r="CT169" s="169">
        <v>9</v>
      </c>
      <c r="CU169" s="48"/>
      <c r="CV169" s="179"/>
      <c r="CW169" s="3">
        <f>CY169/CX169</f>
        <v>9</v>
      </c>
      <c r="CX169" s="169">
        <v>1</v>
      </c>
      <c r="CY169" s="169">
        <v>9</v>
      </c>
      <c r="CZ169" s="48"/>
      <c r="DA169" s="179"/>
    </row>
    <row r="170" spans="1:105" s="249" customFormat="1" ht="15" customHeight="1">
      <c r="A170" s="295" t="s">
        <v>319</v>
      </c>
      <c r="B170" s="294" t="s">
        <v>97</v>
      </c>
      <c r="C170" s="32" t="s">
        <v>221</v>
      </c>
      <c r="D170" s="279" t="s">
        <v>10</v>
      </c>
      <c r="E170" s="310"/>
      <c r="F170" s="205"/>
      <c r="G170" s="199">
        <v>26.4</v>
      </c>
      <c r="H170" s="299">
        <v>0</v>
      </c>
      <c r="I170" s="199"/>
      <c r="J170" s="326"/>
      <c r="K170" s="205"/>
      <c r="L170" s="199">
        <v>26.4</v>
      </c>
      <c r="M170" s="299">
        <v>0</v>
      </c>
      <c r="N170" s="199"/>
      <c r="O170" s="326"/>
      <c r="P170" s="205"/>
      <c r="Q170" s="199">
        <v>26.4</v>
      </c>
      <c r="R170" s="299">
        <v>0</v>
      </c>
      <c r="S170" s="199"/>
      <c r="T170" s="326"/>
      <c r="U170" s="210"/>
      <c r="V170" s="199"/>
      <c r="W170" s="381">
        <v>1628</v>
      </c>
      <c r="X170" s="199"/>
      <c r="Y170" s="384">
        <f>SUM(W170:W173)*1.1</f>
        <v>271816.38</v>
      </c>
      <c r="Z170" s="280"/>
      <c r="AA170" s="199">
        <v>26.4</v>
      </c>
      <c r="AB170" s="299">
        <v>0</v>
      </c>
      <c r="AC170" s="199"/>
      <c r="AD170" s="384">
        <f>SUM(AB170:AB173)*1.1</f>
        <v>196741.47900000002</v>
      </c>
      <c r="AE170" s="280"/>
      <c r="AF170" s="199">
        <v>26.4</v>
      </c>
      <c r="AG170" s="299">
        <v>0</v>
      </c>
      <c r="AH170" s="199"/>
      <c r="AI170" s="384">
        <f>AI171*1.1</f>
        <v>197712.42700000003</v>
      </c>
      <c r="AJ170" s="280"/>
      <c r="AK170" s="199">
        <v>26.4</v>
      </c>
      <c r="AL170" s="299">
        <v>0</v>
      </c>
      <c r="AM170" s="199"/>
      <c r="AN170" s="384">
        <f>AN171*1.2</f>
        <v>256531.71599999999</v>
      </c>
      <c r="AO170" s="280"/>
      <c r="AP170" s="199">
        <v>26.4</v>
      </c>
      <c r="AQ170" s="299">
        <v>0</v>
      </c>
      <c r="AR170" s="199"/>
      <c r="AS170" s="384">
        <f>SUM(AQ170:AQ173)*1.1</f>
        <v>319647.63600000006</v>
      </c>
      <c r="AT170" s="280"/>
      <c r="AU170" s="199">
        <v>26.4</v>
      </c>
      <c r="AV170" s="299">
        <v>0</v>
      </c>
      <c r="AW170" s="199"/>
      <c r="AX170" s="384">
        <f>SUM(AV170:AV173)*1.1</f>
        <v>321080.76</v>
      </c>
      <c r="AY170" s="280"/>
      <c r="AZ170" s="199">
        <v>26.4</v>
      </c>
      <c r="BA170" s="299">
        <v>0</v>
      </c>
      <c r="BB170" s="199"/>
      <c r="BC170" s="384">
        <f>SUM(BA170:BA173)*1.1</f>
        <v>318713.47200000007</v>
      </c>
      <c r="BD170" s="280"/>
      <c r="BE170" s="199">
        <v>26.4</v>
      </c>
      <c r="BF170" s="299">
        <v>0</v>
      </c>
      <c r="BG170" s="199"/>
      <c r="BH170" s="384">
        <f>SUM(BF170:BF173)*1.1</f>
        <v>300383.94100000005</v>
      </c>
      <c r="BI170" s="280"/>
      <c r="BJ170" s="199">
        <v>26.4</v>
      </c>
      <c r="BK170" s="299">
        <v>0</v>
      </c>
      <c r="BL170" s="199"/>
      <c r="BM170" s="384">
        <f>SUM(BK170:BK173)*1.1</f>
        <v>300922.24800000002</v>
      </c>
      <c r="BN170" s="280"/>
      <c r="BO170" s="199">
        <v>26.4</v>
      </c>
      <c r="BP170" s="299">
        <v>0</v>
      </c>
      <c r="BQ170" s="199"/>
      <c r="BR170" s="384">
        <f>SUM(BP170:BP173)*1.1</f>
        <v>242931.15000000002</v>
      </c>
      <c r="BS170" s="280"/>
      <c r="BT170" s="199">
        <v>26.4</v>
      </c>
      <c r="BU170" s="299">
        <v>0</v>
      </c>
      <c r="BV170" s="199"/>
      <c r="BW170" s="384">
        <f>SUM(BU170:BU173)*1.1</f>
        <v>295890.67200000002</v>
      </c>
      <c r="BX170" s="280"/>
      <c r="BY170" s="199">
        <v>26.4</v>
      </c>
      <c r="BZ170" s="299">
        <v>0</v>
      </c>
      <c r="CA170" s="199"/>
      <c r="CB170" s="384">
        <f>SUM(BZ170:BZ173)*1.1</f>
        <v>95916.744000000006</v>
      </c>
      <c r="CC170" s="280"/>
      <c r="CD170" s="199">
        <v>26.4</v>
      </c>
      <c r="CE170" s="299">
        <v>0</v>
      </c>
      <c r="CF170" s="199"/>
      <c r="CG170" s="384">
        <f>SUM(CE170:CE173)*1.1</f>
        <v>95916.744000000006</v>
      </c>
      <c r="CH170" s="280"/>
      <c r="CI170" s="199">
        <v>26.4</v>
      </c>
      <c r="CJ170" s="299">
        <v>0</v>
      </c>
      <c r="CK170" s="199"/>
      <c r="CL170" s="384">
        <f>SUM(CJ170:CJ173)*1.1</f>
        <v>95916.744000000006</v>
      </c>
      <c r="CM170" s="280"/>
      <c r="CN170" s="199">
        <v>26.4</v>
      </c>
      <c r="CO170" s="299">
        <v>0</v>
      </c>
      <c r="CP170" s="199"/>
      <c r="CQ170" s="384">
        <f>SUM(CO170:CO173)*1.1</f>
        <v>95916.744000000006</v>
      </c>
      <c r="CR170" s="280"/>
      <c r="CS170" s="199">
        <v>26.4</v>
      </c>
      <c r="CT170" s="299">
        <v>0</v>
      </c>
      <c r="CU170" s="199"/>
      <c r="CV170" s="384">
        <f>SUM(CT170:CT173)*1.1</f>
        <v>95916.744000000006</v>
      </c>
      <c r="CW170" s="280"/>
      <c r="CX170" s="199">
        <v>26.4</v>
      </c>
      <c r="CY170" s="299">
        <v>0</v>
      </c>
      <c r="CZ170" s="199"/>
      <c r="DA170" s="384">
        <f>SUM(CY170:CY173)*1.1</f>
        <v>95916.744000000006</v>
      </c>
    </row>
    <row r="171" spans="1:105" ht="15" customHeight="1">
      <c r="A171" s="256"/>
      <c r="B171" s="215">
        <v>40232047</v>
      </c>
      <c r="C171" s="220" t="s">
        <v>181</v>
      </c>
      <c r="D171" s="231" t="s">
        <v>11</v>
      </c>
      <c r="E171" s="29"/>
      <c r="F171" s="109"/>
      <c r="G171" s="132">
        <v>1</v>
      </c>
      <c r="H171" s="132" t="s">
        <v>180</v>
      </c>
      <c r="I171" s="130"/>
      <c r="J171" s="41"/>
      <c r="K171" s="109"/>
      <c r="L171" s="132">
        <v>1</v>
      </c>
      <c r="M171" s="133" t="s">
        <v>180</v>
      </c>
      <c r="N171" s="130"/>
      <c r="O171" s="41"/>
      <c r="P171" s="109"/>
      <c r="Q171" s="132">
        <v>1</v>
      </c>
      <c r="R171" s="132" t="s">
        <v>180</v>
      </c>
      <c r="S171" s="130"/>
      <c r="T171" s="41"/>
      <c r="U171" s="120"/>
      <c r="V171" s="132">
        <v>1</v>
      </c>
      <c r="W171" s="132" t="s">
        <v>180</v>
      </c>
      <c r="X171" s="130"/>
      <c r="Y171" s="403">
        <f>SUM(W170:W173)*1</f>
        <v>247105.8</v>
      </c>
      <c r="Z171" s="97"/>
      <c r="AA171" s="132">
        <v>1</v>
      </c>
      <c r="AB171" s="132" t="s">
        <v>180</v>
      </c>
      <c r="AC171" s="130"/>
      <c r="AD171" s="403">
        <f>SUM(AB170:AB173)*1</f>
        <v>178855.89</v>
      </c>
      <c r="AE171" s="97"/>
      <c r="AF171" s="132">
        <v>1</v>
      </c>
      <c r="AG171" s="132" t="s">
        <v>180</v>
      </c>
      <c r="AH171" s="130"/>
      <c r="AI171" s="403">
        <f>SUM(AG170:AG173)*1</f>
        <v>179738.57</v>
      </c>
      <c r="AJ171" s="97"/>
      <c r="AK171" s="132">
        <v>1</v>
      </c>
      <c r="AL171" s="132" t="s">
        <v>180</v>
      </c>
      <c r="AM171" s="130"/>
      <c r="AN171" s="403">
        <f>SUM(AL170:AL173)*1</f>
        <v>213776.43</v>
      </c>
      <c r="AO171" s="97"/>
      <c r="AP171" s="132">
        <v>1</v>
      </c>
      <c r="AQ171" s="132" t="s">
        <v>180</v>
      </c>
      <c r="AR171" s="130"/>
      <c r="AS171" s="403">
        <f>SUM(AQ170:AQ173)*1</f>
        <v>290588.76</v>
      </c>
      <c r="AT171" s="97"/>
      <c r="AU171" s="132">
        <v>1</v>
      </c>
      <c r="AV171" s="132" t="s">
        <v>180</v>
      </c>
      <c r="AW171" s="130"/>
      <c r="AX171" s="403">
        <f>SUM(AV170:AV173)*1</f>
        <v>291891.59999999998</v>
      </c>
      <c r="AY171" s="97"/>
      <c r="AZ171" s="77">
        <v>1</v>
      </c>
      <c r="BA171" s="77" t="s">
        <v>180</v>
      </c>
      <c r="BB171" s="64"/>
      <c r="BC171" s="403">
        <f>SUM(BA170:BA173)*1</f>
        <v>289739.52000000002</v>
      </c>
      <c r="BD171" s="97"/>
      <c r="BE171" s="132">
        <v>1</v>
      </c>
      <c r="BF171" s="132" t="s">
        <v>180</v>
      </c>
      <c r="BG171" s="130"/>
      <c r="BH171" s="403">
        <f>SUM(BF170:BF173)*1</f>
        <v>273076.31</v>
      </c>
      <c r="BI171" s="97"/>
      <c r="BJ171" s="132">
        <v>1</v>
      </c>
      <c r="BK171" s="132">
        <v>10014</v>
      </c>
      <c r="BL171" s="130"/>
      <c r="BM171" s="403">
        <f>SUM(BK170:BK173)*1</f>
        <v>273565.68</v>
      </c>
      <c r="BN171" s="97"/>
      <c r="BO171" s="132">
        <v>1</v>
      </c>
      <c r="BP171" s="132" t="s">
        <v>180</v>
      </c>
      <c r="BQ171" s="130"/>
      <c r="BR171" s="403">
        <f>SUM(BP170:BP173)*1</f>
        <v>220846.5</v>
      </c>
      <c r="BS171" s="97"/>
      <c r="BT171" s="132">
        <v>1</v>
      </c>
      <c r="BU171" s="132" t="s">
        <v>180</v>
      </c>
      <c r="BV171" s="130"/>
      <c r="BW171" s="403">
        <f>SUM(BU170:BU173)*1</f>
        <v>268991.52</v>
      </c>
      <c r="BX171" s="97"/>
      <c r="BY171" s="77">
        <v>1</v>
      </c>
      <c r="BZ171" s="77" t="s">
        <v>180</v>
      </c>
      <c r="CA171" s="64"/>
      <c r="CB171" s="403">
        <f>SUM(BZ170:BZ173)*1</f>
        <v>87197.04</v>
      </c>
      <c r="CC171" s="97"/>
      <c r="CD171" s="77">
        <v>1</v>
      </c>
      <c r="CE171" s="77" t="s">
        <v>180</v>
      </c>
      <c r="CF171" s="64"/>
      <c r="CG171" s="403">
        <f>SUM(CE170:CE173)*1</f>
        <v>87197.04</v>
      </c>
      <c r="CH171" s="97"/>
      <c r="CI171" s="77">
        <v>1</v>
      </c>
      <c r="CJ171" s="77" t="s">
        <v>180</v>
      </c>
      <c r="CK171" s="64"/>
      <c r="CL171" s="403">
        <f>SUM(CJ170:CJ173)*1</f>
        <v>87197.04</v>
      </c>
      <c r="CM171" s="97"/>
      <c r="CN171" s="77">
        <v>1</v>
      </c>
      <c r="CO171" s="77" t="s">
        <v>180</v>
      </c>
      <c r="CP171" s="64"/>
      <c r="CQ171" s="403">
        <f>SUM(CO170:CO173)*1</f>
        <v>87197.04</v>
      </c>
      <c r="CR171" s="97"/>
      <c r="CS171" s="77">
        <v>1</v>
      </c>
      <c r="CT171" s="77" t="s">
        <v>180</v>
      </c>
      <c r="CU171" s="64"/>
      <c r="CV171" s="403">
        <f>SUM(CT170:CT173)*1</f>
        <v>87197.04</v>
      </c>
      <c r="CW171" s="97"/>
      <c r="CX171" s="77">
        <v>1</v>
      </c>
      <c r="CY171" s="77" t="s">
        <v>180</v>
      </c>
      <c r="CZ171" s="64"/>
      <c r="DA171" s="403">
        <f>SUM(CY170:CY173)*1</f>
        <v>87197.04</v>
      </c>
    </row>
    <row r="172" spans="1:105" ht="15" customHeight="1">
      <c r="A172" s="256" t="s">
        <v>336</v>
      </c>
      <c r="B172" s="234" t="s">
        <v>365</v>
      </c>
      <c r="C172" s="220" t="s">
        <v>364</v>
      </c>
      <c r="D172" s="231" t="s">
        <v>13</v>
      </c>
      <c r="E172" s="29"/>
      <c r="F172" s="110">
        <f>H172/G172</f>
        <v>7.0034999999999998</v>
      </c>
      <c r="G172" s="132">
        <v>18680</v>
      </c>
      <c r="H172" s="132">
        <v>130825.38</v>
      </c>
      <c r="I172" s="130"/>
      <c r="J172" s="41"/>
      <c r="K172" s="110">
        <f>M172/L172</f>
        <v>7.6859999999999999</v>
      </c>
      <c r="L172" s="132">
        <v>14080</v>
      </c>
      <c r="M172" s="132">
        <v>108218.88</v>
      </c>
      <c r="N172" s="130"/>
      <c r="O172" s="41"/>
      <c r="P172" s="110">
        <f>R172/Q172</f>
        <v>7.9485000000000001</v>
      </c>
      <c r="Q172" s="132">
        <v>19560</v>
      </c>
      <c r="R172" s="132">
        <v>155472.66</v>
      </c>
      <c r="S172" s="130"/>
      <c r="T172" s="41"/>
      <c r="U172" s="121">
        <f>W172/V172</f>
        <v>7.665</v>
      </c>
      <c r="V172" s="132">
        <v>31720</v>
      </c>
      <c r="W172" s="132">
        <v>243133.8</v>
      </c>
      <c r="X172" s="130"/>
      <c r="Y172" s="130"/>
      <c r="Z172" s="98">
        <f>AB172/AA172</f>
        <v>7.0455000000000005</v>
      </c>
      <c r="AA172" s="132">
        <v>25240</v>
      </c>
      <c r="AB172" s="132">
        <v>177828.42</v>
      </c>
      <c r="AC172" s="130"/>
      <c r="AD172" s="130"/>
      <c r="AE172" s="98">
        <f>AG172/AF172</f>
        <v>5.7854999999999999</v>
      </c>
      <c r="AF172" s="132">
        <v>30920</v>
      </c>
      <c r="AG172" s="132">
        <v>178887.66</v>
      </c>
      <c r="AH172" s="130"/>
      <c r="AI172" s="130"/>
      <c r="AJ172" s="98">
        <f>AL172/AK172</f>
        <v>6.2580922131147538</v>
      </c>
      <c r="AK172" s="132">
        <v>34160</v>
      </c>
      <c r="AL172" s="132">
        <v>213776.43</v>
      </c>
      <c r="AM172" s="130"/>
      <c r="AN172" s="130"/>
      <c r="AO172" s="98">
        <f>AQ172/AP172</f>
        <v>7.6230000000000002</v>
      </c>
      <c r="AP172" s="132">
        <v>38120</v>
      </c>
      <c r="AQ172" s="132">
        <v>290588.76</v>
      </c>
      <c r="AR172" s="130"/>
      <c r="AS172" s="130"/>
      <c r="AT172" s="98">
        <v>7.8046600000000002</v>
      </c>
      <c r="AU172" s="132">
        <v>35640</v>
      </c>
      <c r="AV172" s="132">
        <v>291891.59999999998</v>
      </c>
      <c r="AW172" s="130"/>
      <c r="AX172" s="130"/>
      <c r="AY172" s="98">
        <f>BA172/AZ172</f>
        <v>8.0325000000000006</v>
      </c>
      <c r="AZ172" s="132">
        <v>35960</v>
      </c>
      <c r="BA172" s="132">
        <v>288848.7</v>
      </c>
      <c r="BB172" s="130"/>
      <c r="BC172" s="130"/>
      <c r="BD172" s="98">
        <f>BF172/BE172</f>
        <v>8.2004999999999999</v>
      </c>
      <c r="BE172" s="132">
        <v>33200</v>
      </c>
      <c r="BF172" s="132">
        <v>272256.59999999998</v>
      </c>
      <c r="BG172" s="130"/>
      <c r="BH172" s="130"/>
      <c r="BI172" s="98">
        <f>BK172/BJ172</f>
        <v>8.5679999999999996</v>
      </c>
      <c r="BJ172" s="132">
        <v>30760</v>
      </c>
      <c r="BK172" s="132">
        <v>263551.68</v>
      </c>
      <c r="BL172" s="130"/>
      <c r="BM172" s="130"/>
      <c r="BN172" s="98">
        <f>BP172/BO172</f>
        <v>8.1795000000000009</v>
      </c>
      <c r="BO172" s="132">
        <v>27000</v>
      </c>
      <c r="BP172" s="132">
        <v>220846.5</v>
      </c>
      <c r="BQ172" s="130"/>
      <c r="BR172" s="130"/>
      <c r="BS172" s="98">
        <f>BU172/BT172</f>
        <v>7.5390000000000006</v>
      </c>
      <c r="BT172" s="132">
        <v>35680</v>
      </c>
      <c r="BU172" s="132">
        <v>268991.52</v>
      </c>
      <c r="BV172" s="130"/>
      <c r="BW172" s="130"/>
      <c r="BX172" s="98">
        <f>BZ172/BY172</f>
        <v>4.5989999999999993</v>
      </c>
      <c r="BY172" s="77">
        <v>18960</v>
      </c>
      <c r="BZ172" s="77">
        <v>87197.04</v>
      </c>
      <c r="CA172" s="64"/>
      <c r="CB172" s="130"/>
      <c r="CC172" s="98">
        <f>CE172/CD172</f>
        <v>4.5989999999999993</v>
      </c>
      <c r="CD172" s="77">
        <v>18960</v>
      </c>
      <c r="CE172" s="77">
        <v>87197.04</v>
      </c>
      <c r="CF172" s="64"/>
      <c r="CG172" s="130"/>
      <c r="CH172" s="98">
        <f>CJ172/CI172</f>
        <v>4.5989999999999993</v>
      </c>
      <c r="CI172" s="77">
        <v>18960</v>
      </c>
      <c r="CJ172" s="77">
        <v>87197.04</v>
      </c>
      <c r="CK172" s="64"/>
      <c r="CL172" s="130"/>
      <c r="CM172" s="98">
        <f>CO172/CN172</f>
        <v>4.5989999999999993</v>
      </c>
      <c r="CN172" s="77">
        <v>18960</v>
      </c>
      <c r="CO172" s="77">
        <v>87197.04</v>
      </c>
      <c r="CP172" s="64"/>
      <c r="CQ172" s="130"/>
      <c r="CR172" s="98">
        <f>CT172/CS172</f>
        <v>4.5989999999999993</v>
      </c>
      <c r="CS172" s="77">
        <v>18960</v>
      </c>
      <c r="CT172" s="77">
        <v>87197.04</v>
      </c>
      <c r="CU172" s="64"/>
      <c r="CV172" s="130"/>
      <c r="CW172" s="98">
        <f>CY172/CX172</f>
        <v>4.5989999999999993</v>
      </c>
      <c r="CX172" s="77">
        <v>18960</v>
      </c>
      <c r="CY172" s="77">
        <v>87197.04</v>
      </c>
      <c r="CZ172" s="64"/>
      <c r="DA172" s="130"/>
    </row>
    <row r="173" spans="1:105" s="264" customFormat="1" ht="15" customHeight="1" thickBot="1">
      <c r="A173" s="297"/>
      <c r="B173" s="401" t="s">
        <v>228</v>
      </c>
      <c r="C173" s="351" t="s">
        <v>39</v>
      </c>
      <c r="D173" s="352" t="s">
        <v>17</v>
      </c>
      <c r="E173" s="31"/>
      <c r="F173" s="173">
        <f>H173/G173</f>
        <v>0</v>
      </c>
      <c r="G173" s="174">
        <v>30</v>
      </c>
      <c r="H173" s="175">
        <v>0</v>
      </c>
      <c r="I173" s="174"/>
      <c r="J173" s="176"/>
      <c r="K173" s="173">
        <f>M173/L173</f>
        <v>32.364631578947368</v>
      </c>
      <c r="L173" s="340">
        <v>190</v>
      </c>
      <c r="M173" s="341">
        <v>6149.28</v>
      </c>
      <c r="N173" s="340"/>
      <c r="O173" s="342"/>
      <c r="P173" s="173">
        <f>R173/Q173</f>
        <v>0</v>
      </c>
      <c r="Q173" s="174">
        <v>30</v>
      </c>
      <c r="R173" s="175">
        <v>0</v>
      </c>
      <c r="S173" s="340"/>
      <c r="T173" s="342"/>
      <c r="U173" s="319">
        <f>W173/V173</f>
        <v>32.555555555555557</v>
      </c>
      <c r="V173" s="340">
        <v>72</v>
      </c>
      <c r="W173" s="341">
        <v>2344</v>
      </c>
      <c r="X173" s="340"/>
      <c r="Y173" s="340"/>
      <c r="Z173" s="300">
        <f>AB173/AA173</f>
        <v>34.249000000000002</v>
      </c>
      <c r="AA173" s="340">
        <v>30</v>
      </c>
      <c r="AB173" s="341">
        <v>1027.47</v>
      </c>
      <c r="AC173" s="340"/>
      <c r="AD173" s="340"/>
      <c r="AE173" s="300">
        <f>AG173/AF173</f>
        <v>32.72730769230769</v>
      </c>
      <c r="AF173" s="340">
        <v>26</v>
      </c>
      <c r="AG173" s="341">
        <v>850.91</v>
      </c>
      <c r="AH173" s="340"/>
      <c r="AI173" s="340"/>
      <c r="AJ173" s="300">
        <f>AL173/AK173</f>
        <v>0</v>
      </c>
      <c r="AK173" s="174">
        <v>30</v>
      </c>
      <c r="AL173" s="175">
        <v>0</v>
      </c>
      <c r="AM173" s="174"/>
      <c r="AN173" s="174"/>
      <c r="AO173" s="300">
        <f>AQ173/AP173</f>
        <v>0</v>
      </c>
      <c r="AP173" s="174">
        <v>30</v>
      </c>
      <c r="AQ173" s="175">
        <v>0</v>
      </c>
      <c r="AR173" s="174"/>
      <c r="AS173" s="340"/>
      <c r="AT173" s="300">
        <f>AV173/AU173</f>
        <v>0</v>
      </c>
      <c r="AU173" s="174">
        <v>30</v>
      </c>
      <c r="AV173" s="175">
        <v>0</v>
      </c>
      <c r="AW173" s="174"/>
      <c r="AX173" s="340"/>
      <c r="AY173" s="300">
        <f>BA173/AZ173</f>
        <v>29.694000000000003</v>
      </c>
      <c r="AZ173" s="340">
        <v>30</v>
      </c>
      <c r="BA173" s="341">
        <v>890.82</v>
      </c>
      <c r="BB173" s="340"/>
      <c r="BC173" s="340"/>
      <c r="BD173" s="300">
        <f>BF173/BE173</f>
        <v>31.527307692307694</v>
      </c>
      <c r="BE173" s="340">
        <v>26</v>
      </c>
      <c r="BF173" s="341">
        <v>819.71</v>
      </c>
      <c r="BG173" s="340"/>
      <c r="BH173" s="340"/>
      <c r="BI173" s="300">
        <f>BK173/BJ173</f>
        <v>0</v>
      </c>
      <c r="BJ173" s="174">
        <v>30</v>
      </c>
      <c r="BK173" s="175">
        <v>0</v>
      </c>
      <c r="BL173" s="174"/>
      <c r="BM173" s="340"/>
      <c r="BN173" s="300">
        <f>BP173/BO173</f>
        <v>0</v>
      </c>
      <c r="BO173" s="174">
        <v>30</v>
      </c>
      <c r="BP173" s="175">
        <v>0</v>
      </c>
      <c r="BQ173" s="174"/>
      <c r="BR173" s="340"/>
      <c r="BS173" s="300">
        <f>BU173/BT173</f>
        <v>0</v>
      </c>
      <c r="BT173" s="174">
        <v>30</v>
      </c>
      <c r="BU173" s="175">
        <v>0</v>
      </c>
      <c r="BV173" s="174"/>
      <c r="BW173" s="340"/>
      <c r="BX173" s="300">
        <f>BZ173/BY173</f>
        <v>0</v>
      </c>
      <c r="BY173" s="174">
        <v>30</v>
      </c>
      <c r="BZ173" s="175">
        <v>0</v>
      </c>
      <c r="CA173" s="174"/>
      <c r="CB173" s="340"/>
      <c r="CC173" s="300">
        <f>CE173/CD173</f>
        <v>0</v>
      </c>
      <c r="CD173" s="174">
        <v>30</v>
      </c>
      <c r="CE173" s="175">
        <v>0</v>
      </c>
      <c r="CF173" s="174"/>
      <c r="CG173" s="340"/>
      <c r="CH173" s="300">
        <f>CJ173/CI173</f>
        <v>0</v>
      </c>
      <c r="CI173" s="174">
        <v>30</v>
      </c>
      <c r="CJ173" s="175">
        <v>0</v>
      </c>
      <c r="CK173" s="174"/>
      <c r="CL173" s="340"/>
      <c r="CM173" s="300">
        <f>CO173/CN173</f>
        <v>0</v>
      </c>
      <c r="CN173" s="174">
        <v>30</v>
      </c>
      <c r="CO173" s="175">
        <v>0</v>
      </c>
      <c r="CP173" s="174"/>
      <c r="CQ173" s="340"/>
      <c r="CR173" s="300">
        <f>CT173/CS173</f>
        <v>0</v>
      </c>
      <c r="CS173" s="174">
        <v>30</v>
      </c>
      <c r="CT173" s="175">
        <v>0</v>
      </c>
      <c r="CU173" s="174"/>
      <c r="CV173" s="340"/>
      <c r="CW173" s="300">
        <f>CY173/CX173</f>
        <v>0</v>
      </c>
      <c r="CX173" s="174">
        <v>30</v>
      </c>
      <c r="CY173" s="175">
        <v>0</v>
      </c>
      <c r="CZ173" s="174"/>
      <c r="DA173" s="340"/>
    </row>
    <row r="174" spans="1:105" s="249" customFormat="1" ht="15" customHeight="1">
      <c r="A174" s="265" t="s">
        <v>320</v>
      </c>
      <c r="B174" s="5" t="s">
        <v>98</v>
      </c>
      <c r="C174" s="6" t="s">
        <v>19</v>
      </c>
      <c r="D174" s="7" t="s">
        <v>10</v>
      </c>
      <c r="E174" s="4"/>
      <c r="F174" s="196"/>
      <c r="G174" s="197"/>
      <c r="H174" s="197"/>
      <c r="I174" s="38"/>
      <c r="J174" s="206"/>
      <c r="K174" s="196"/>
      <c r="L174" s="197"/>
      <c r="M174" s="197"/>
      <c r="N174" s="38"/>
      <c r="O174" s="206"/>
      <c r="P174" s="196"/>
      <c r="Q174" s="197"/>
      <c r="R174" s="197"/>
      <c r="S174" s="38"/>
      <c r="T174" s="206"/>
      <c r="U174" s="207"/>
      <c r="V174" s="197"/>
      <c r="W174" s="204">
        <v>5970</v>
      </c>
      <c r="X174" s="38"/>
      <c r="Y174" s="384">
        <f>SUM(W174:W177)*1.1</f>
        <v>301484.01360000001</v>
      </c>
      <c r="Z174" s="36"/>
      <c r="AA174" s="197"/>
      <c r="AB174" s="204">
        <v>5085</v>
      </c>
      <c r="AC174" s="38"/>
      <c r="AD174" s="384">
        <f>SUM(AB174:AB177)*1.1</f>
        <v>232952.27780000001</v>
      </c>
      <c r="AE174" s="36"/>
      <c r="AF174" s="204"/>
      <c r="AG174" s="204">
        <v>6191</v>
      </c>
      <c r="AH174" s="427"/>
      <c r="AI174" s="384">
        <f>AI175*1.1</f>
        <v>372046.67500000005</v>
      </c>
      <c r="AJ174" s="36"/>
      <c r="AK174" s="204"/>
      <c r="AL174" s="204">
        <v>5749</v>
      </c>
      <c r="AM174" s="427"/>
      <c r="AN174" s="384">
        <f>AN175*1.2</f>
        <v>384791.87279999995</v>
      </c>
      <c r="AO174" s="36"/>
      <c r="AP174" s="197"/>
      <c r="AQ174" s="204">
        <v>6412</v>
      </c>
      <c r="AR174" s="38"/>
      <c r="AS174" s="384">
        <f>SUM(AQ174:AQ177)*1.1</f>
        <v>299070.6862</v>
      </c>
      <c r="AT174" s="36"/>
      <c r="AU174" s="197"/>
      <c r="AV174" s="197"/>
      <c r="AW174" s="38"/>
      <c r="AX174" s="384">
        <f>SUM(AV174:AV177)*1.1</f>
        <v>457976.29900000006</v>
      </c>
      <c r="AY174" s="36"/>
      <c r="AZ174" s="197"/>
      <c r="BA174" s="197"/>
      <c r="BB174" s="38"/>
      <c r="BC174" s="384">
        <f>SUM(BA174:BA177)*1.1</f>
        <v>295881.10200000001</v>
      </c>
      <c r="BD174" s="36"/>
      <c r="BE174" s="197"/>
      <c r="BF174" s="197"/>
      <c r="BG174" s="38"/>
      <c r="BH174" s="384">
        <f>SUM(BF174:BF177)*1.1</f>
        <v>288831.12939999998</v>
      </c>
      <c r="BI174" s="36"/>
      <c r="BJ174" s="197"/>
      <c r="BK174" s="197"/>
      <c r="BL174" s="38"/>
      <c r="BM174" s="384">
        <f>SUM(BK174:BK177)*1.1</f>
        <v>354915.95040000003</v>
      </c>
      <c r="BN174" s="36"/>
      <c r="BO174" s="197"/>
      <c r="BP174" s="197"/>
      <c r="BQ174" s="38"/>
      <c r="BR174" s="384">
        <f>SUM(BP174:BP177)*1.1</f>
        <v>414889.30559999996</v>
      </c>
      <c r="BS174" s="36"/>
      <c r="BT174" s="197"/>
      <c r="BU174" s="197"/>
      <c r="BV174" s="38"/>
      <c r="BW174" s="384">
        <f>SUM(BU174:BU177)*1.1</f>
        <v>405964.38740000007</v>
      </c>
      <c r="BX174" s="36"/>
      <c r="BY174" s="197"/>
      <c r="BZ174" s="197"/>
      <c r="CA174" s="38"/>
      <c r="CB174" s="384">
        <f>SUM(BZ174:BZ177)*1.1</f>
        <v>271011.89280000003</v>
      </c>
      <c r="CC174" s="36"/>
      <c r="CD174" s="197"/>
      <c r="CE174" s="197"/>
      <c r="CF174" s="38"/>
      <c r="CG174" s="384">
        <f>SUM(CE174:CE177)*1.1</f>
        <v>271011.89280000003</v>
      </c>
      <c r="CH174" s="36"/>
      <c r="CI174" s="197"/>
      <c r="CJ174" s="197"/>
      <c r="CK174" s="38"/>
      <c r="CL174" s="384">
        <f>SUM(CJ174:CJ177)*1.1</f>
        <v>271011.89280000003</v>
      </c>
      <c r="CM174" s="36"/>
      <c r="CN174" s="197"/>
      <c r="CO174" s="197"/>
      <c r="CP174" s="38"/>
      <c r="CQ174" s="384">
        <f>SUM(CO174:CO177)*1.1</f>
        <v>271011.89280000003</v>
      </c>
      <c r="CR174" s="36"/>
      <c r="CS174" s="197"/>
      <c r="CT174" s="197"/>
      <c r="CU174" s="38"/>
      <c r="CV174" s="384">
        <f>SUM(CT174:CT177)*1.1</f>
        <v>271011.89280000003</v>
      </c>
      <c r="CW174" s="36"/>
      <c r="CX174" s="197"/>
      <c r="CY174" s="197"/>
      <c r="CZ174" s="38"/>
      <c r="DA174" s="384">
        <f>SUM(CY174:CY177)*1.1</f>
        <v>271011.89280000003</v>
      </c>
    </row>
    <row r="175" spans="1:105" ht="15" customHeight="1">
      <c r="A175" s="256"/>
      <c r="B175" s="215">
        <v>41916045</v>
      </c>
      <c r="C175" s="45" t="s">
        <v>195</v>
      </c>
      <c r="D175" s="216" t="s">
        <v>13</v>
      </c>
      <c r="E175" s="22"/>
      <c r="F175" s="104">
        <f>H175/G175</f>
        <v>5.3077199999999998</v>
      </c>
      <c r="G175" s="145">
        <v>44800</v>
      </c>
      <c r="H175" s="146">
        <v>237785.856</v>
      </c>
      <c r="I175" s="81">
        <v>165129.1</v>
      </c>
      <c r="J175" s="88"/>
      <c r="K175" s="104">
        <f>M175/L175</f>
        <v>5.368548065564088</v>
      </c>
      <c r="L175" s="145">
        <v>54176</v>
      </c>
      <c r="M175" s="146">
        <v>290846.46000000002</v>
      </c>
      <c r="N175" s="81">
        <v>290846.46000000002</v>
      </c>
      <c r="O175" s="88"/>
      <c r="P175" s="104">
        <f>R175/Q175</f>
        <v>4.9663920231585719</v>
      </c>
      <c r="Q175" s="145">
        <v>46635</v>
      </c>
      <c r="R175" s="146">
        <v>231607.69200000001</v>
      </c>
      <c r="S175" s="81">
        <v>231607.69200000001</v>
      </c>
      <c r="T175" s="88"/>
      <c r="U175" s="115">
        <f>W175/V175</f>
        <v>5.2077239457921234</v>
      </c>
      <c r="V175" s="145">
        <v>50251</v>
      </c>
      <c r="W175" s="146">
        <v>261693.33600000001</v>
      </c>
      <c r="X175" s="81">
        <v>261693.33599999998</v>
      </c>
      <c r="Y175" s="403">
        <f>SUM(W174:W177)*1</f>
        <v>274076.37599999999</v>
      </c>
      <c r="Z175" s="92">
        <f>AB175/AA175</f>
        <v>4.6829521901211555</v>
      </c>
      <c r="AA175" s="145">
        <v>42920</v>
      </c>
      <c r="AB175" s="146">
        <v>200992.30799999999</v>
      </c>
      <c r="AC175" s="81">
        <v>200992.30799999999</v>
      </c>
      <c r="AD175" s="403">
        <f>SUM(AB174:AB177)*1</f>
        <v>211774.79799999998</v>
      </c>
      <c r="AE175" s="92">
        <f>AG175/AF175</f>
        <v>4.819943887581001</v>
      </c>
      <c r="AF175" s="415">
        <v>41203</v>
      </c>
      <c r="AG175" s="416">
        <v>198596.14799999999</v>
      </c>
      <c r="AH175" s="81">
        <f>86246.13+36962.63+142399.8+61028.49</f>
        <v>326637.05</v>
      </c>
      <c r="AI175" s="403">
        <f>SUM(AG176:AG177)+AH175+AG174*1</f>
        <v>338224.25</v>
      </c>
      <c r="AJ175" s="92">
        <f>AL175/AK175</f>
        <v>3.9089902357876465</v>
      </c>
      <c r="AK175" s="415">
        <v>55304</v>
      </c>
      <c r="AL175" s="416">
        <v>216182.796</v>
      </c>
      <c r="AM175" s="81">
        <f>83712.37+226677.384</f>
        <v>310389.75399999996</v>
      </c>
      <c r="AN175" s="403">
        <f>SUM(AL176:AL177)+AM175+AL174*1</f>
        <v>320659.89399999997</v>
      </c>
      <c r="AO175" s="92">
        <f>AQ175/AP175</f>
        <v>5.9466959609613053</v>
      </c>
      <c r="AP175" s="415">
        <v>43649</v>
      </c>
      <c r="AQ175" s="416">
        <v>259567.33199999999</v>
      </c>
      <c r="AR175" s="81">
        <v>292719.44399999996</v>
      </c>
      <c r="AS175" s="403">
        <f>SUM(AQ174:AQ177)*1</f>
        <v>271882.44199999998</v>
      </c>
      <c r="AT175" s="92">
        <f>AV175/AU175</f>
        <v>6.6107647125268274</v>
      </c>
      <c r="AU175" s="415">
        <v>61971</v>
      </c>
      <c r="AV175" s="416">
        <v>409675.7</v>
      </c>
      <c r="AW175" s="44">
        <v>165129.1</v>
      </c>
      <c r="AX175" s="403">
        <f>SUM(AV174:AV177)*1</f>
        <v>416342.09</v>
      </c>
      <c r="AY175" s="92">
        <f>BA175/AZ175</f>
        <v>6.3494520381655297</v>
      </c>
      <c r="AZ175" s="415">
        <v>41189</v>
      </c>
      <c r="BA175" s="416">
        <v>261527.58</v>
      </c>
      <c r="BB175" s="81">
        <v>217939.65</v>
      </c>
      <c r="BC175" s="403">
        <f>SUM(BA177)+BB175*1</f>
        <v>222992.02</v>
      </c>
      <c r="BD175" s="92">
        <f>BF175/BE175</f>
        <v>6.1794479123854646</v>
      </c>
      <c r="BE175" s="415">
        <v>41363</v>
      </c>
      <c r="BF175" s="416">
        <v>255600.50399999996</v>
      </c>
      <c r="BG175" s="81">
        <v>217939.65</v>
      </c>
      <c r="BH175" s="403">
        <f>SUM(BF174:BF177)*1</f>
        <v>262573.75399999996</v>
      </c>
      <c r="BI175" s="92">
        <f>BK175/BJ175</f>
        <v>6.7239718989377453</v>
      </c>
      <c r="BJ175" s="415">
        <v>47258</v>
      </c>
      <c r="BK175" s="416">
        <v>317761.46399999998</v>
      </c>
      <c r="BL175" s="81">
        <v>164755.70000000001</v>
      </c>
      <c r="BM175" s="403">
        <f>SUM(BK174:BK177)*1</f>
        <v>322650.864</v>
      </c>
      <c r="BN175" s="92">
        <f>BP175/BO175</f>
        <v>6.5420640354268436</v>
      </c>
      <c r="BO175" s="415">
        <v>56906</v>
      </c>
      <c r="BP175" s="416">
        <v>372282.69599999994</v>
      </c>
      <c r="BQ175" s="44">
        <v>165129.1</v>
      </c>
      <c r="BR175" s="403">
        <f>SUM(BP174:BP177)*1</f>
        <v>377172.09599999996</v>
      </c>
      <c r="BS175" s="92">
        <f>BU175/BT175</f>
        <v>6.0580081378409618</v>
      </c>
      <c r="BT175" s="415">
        <v>59721</v>
      </c>
      <c r="BU175" s="416">
        <v>361790.30400000006</v>
      </c>
      <c r="BV175" s="372">
        <f>283193.51+94397.84</f>
        <v>377591.35</v>
      </c>
      <c r="BW175" s="403">
        <f>SUM(BU174:BU177)*1</f>
        <v>369058.53400000004</v>
      </c>
      <c r="BX175" s="92">
        <f>BZ175/BY175</f>
        <v>5.3077199999999998</v>
      </c>
      <c r="BY175" s="78">
        <v>44800</v>
      </c>
      <c r="BZ175" s="79">
        <v>237785.856</v>
      </c>
      <c r="CA175" s="81">
        <v>361813.4</v>
      </c>
      <c r="CB175" s="403">
        <f>SUM(BZ174:BZ177)*1</f>
        <v>246374.448</v>
      </c>
      <c r="CC175" s="92">
        <f>CE175/CD175</f>
        <v>5.3077199999999998</v>
      </c>
      <c r="CD175" s="78">
        <v>44800</v>
      </c>
      <c r="CE175" s="79">
        <v>237785.856</v>
      </c>
      <c r="CF175" s="44">
        <v>165129.1</v>
      </c>
      <c r="CG175" s="403">
        <f>SUM(CE174:CE177)*1</f>
        <v>246374.448</v>
      </c>
      <c r="CH175" s="92">
        <f>CJ175/CI175</f>
        <v>5.3077199999999998</v>
      </c>
      <c r="CI175" s="78">
        <v>44800</v>
      </c>
      <c r="CJ175" s="79">
        <v>237785.856</v>
      </c>
      <c r="CK175" s="44">
        <v>165129.1</v>
      </c>
      <c r="CL175" s="403">
        <f>SUM(CJ174:CJ177)*1</f>
        <v>246374.448</v>
      </c>
      <c r="CM175" s="92">
        <f>CO175/CN175</f>
        <v>5.3077199999999998</v>
      </c>
      <c r="CN175" s="78">
        <v>44800</v>
      </c>
      <c r="CO175" s="79">
        <v>237785.856</v>
      </c>
      <c r="CP175" s="44">
        <v>165129.1</v>
      </c>
      <c r="CQ175" s="403">
        <f>SUM(CO174:CO177)*1</f>
        <v>246374.448</v>
      </c>
      <c r="CR175" s="92">
        <f>CT175/CS175</f>
        <v>5.3077199999999998</v>
      </c>
      <c r="CS175" s="78">
        <v>44800</v>
      </c>
      <c r="CT175" s="79">
        <v>237785.856</v>
      </c>
      <c r="CU175" s="44">
        <v>165129.1</v>
      </c>
      <c r="CV175" s="403">
        <f>SUM(CT174:CT177)*1</f>
        <v>246374.448</v>
      </c>
      <c r="CW175" s="92">
        <f>CY175/CX175</f>
        <v>5.3077199999999998</v>
      </c>
      <c r="CX175" s="78">
        <v>44800</v>
      </c>
      <c r="CY175" s="79">
        <v>237785.856</v>
      </c>
      <c r="CZ175" s="44">
        <v>165129.1</v>
      </c>
      <c r="DA175" s="403">
        <f>SUM(CY174:CY177)*1</f>
        <v>246374.448</v>
      </c>
    </row>
    <row r="176" spans="1:105" ht="15" customHeight="1">
      <c r="A176" s="256"/>
      <c r="B176" s="215">
        <v>41946011</v>
      </c>
      <c r="C176" s="45" t="s">
        <v>200</v>
      </c>
      <c r="D176" s="216" t="s">
        <v>15</v>
      </c>
      <c r="E176" s="22"/>
      <c r="F176" s="103"/>
      <c r="G176" s="128"/>
      <c r="H176" s="69" t="s">
        <v>184</v>
      </c>
      <c r="I176" s="81"/>
      <c r="J176" s="88"/>
      <c r="K176" s="103"/>
      <c r="L176" s="128"/>
      <c r="M176" s="69">
        <v>1678.21</v>
      </c>
      <c r="N176" s="81"/>
      <c r="O176" s="88"/>
      <c r="P176" s="103"/>
      <c r="Q176" s="128"/>
      <c r="R176" s="69" t="s">
        <v>209</v>
      </c>
      <c r="S176" s="81"/>
      <c r="T176" s="88"/>
      <c r="U176" s="47"/>
      <c r="V176" s="128"/>
      <c r="W176" s="69">
        <v>1636.68</v>
      </c>
      <c r="X176" s="81"/>
      <c r="Y176" s="81"/>
      <c r="Z176" s="46"/>
      <c r="AA176" s="128"/>
      <c r="AB176" s="69">
        <v>1504.5</v>
      </c>
      <c r="AC176" s="81"/>
      <c r="AD176" s="81"/>
      <c r="AE176" s="46"/>
      <c r="AF176" s="128"/>
      <c r="AG176" s="69" t="s">
        <v>235</v>
      </c>
      <c r="AH176" s="81"/>
      <c r="AI176" s="81"/>
      <c r="AJ176" s="46"/>
      <c r="AK176" s="408"/>
      <c r="AL176" s="410" t="s">
        <v>288</v>
      </c>
      <c r="AM176" s="511"/>
      <c r="AN176" s="44"/>
      <c r="AO176" s="46"/>
      <c r="AP176" s="408"/>
      <c r="AQ176" s="513">
        <v>1953.19</v>
      </c>
      <c r="AR176" s="511"/>
      <c r="AS176" s="81"/>
      <c r="AT176" s="46"/>
      <c r="AU176" s="408"/>
      <c r="AV176" s="410">
        <v>2320.27</v>
      </c>
      <c r="AW176" s="511"/>
      <c r="AX176" s="81"/>
      <c r="AY176" s="46"/>
      <c r="AZ176" s="408"/>
      <c r="BA176" s="410">
        <v>2402.87</v>
      </c>
      <c r="BB176" s="511"/>
      <c r="BC176" s="81"/>
      <c r="BD176" s="46"/>
      <c r="BE176" s="408"/>
      <c r="BF176" s="410">
        <v>1920.88</v>
      </c>
      <c r="BG176" s="511"/>
      <c r="BH176" s="81"/>
      <c r="BI176" s="46"/>
      <c r="BJ176" s="408"/>
      <c r="BK176" s="410" t="s">
        <v>369</v>
      </c>
      <c r="BL176" s="511"/>
      <c r="BM176" s="81"/>
      <c r="BN176" s="46"/>
      <c r="BO176" s="408"/>
      <c r="BP176" s="410" t="s">
        <v>383</v>
      </c>
      <c r="BQ176" s="511"/>
      <c r="BR176" s="81"/>
      <c r="BS176" s="46"/>
      <c r="BT176" s="408"/>
      <c r="BU176" s="410">
        <v>2215.86</v>
      </c>
      <c r="BV176" s="44"/>
      <c r="BW176" s="81"/>
      <c r="BX176" s="46"/>
      <c r="BY176" s="56"/>
      <c r="BZ176" s="58" t="s">
        <v>184</v>
      </c>
      <c r="CA176" s="44"/>
      <c r="CB176" s="81"/>
      <c r="CC176" s="46"/>
      <c r="CD176" s="56"/>
      <c r="CE176" s="58" t="s">
        <v>184</v>
      </c>
      <c r="CF176" s="44"/>
      <c r="CG176" s="81"/>
      <c r="CH176" s="46"/>
      <c r="CI176" s="56"/>
      <c r="CJ176" s="58" t="s">
        <v>184</v>
      </c>
      <c r="CK176" s="44"/>
      <c r="CL176" s="81"/>
      <c r="CM176" s="46"/>
      <c r="CN176" s="56"/>
      <c r="CO176" s="58" t="s">
        <v>184</v>
      </c>
      <c r="CP176" s="44"/>
      <c r="CQ176" s="81"/>
      <c r="CR176" s="46"/>
      <c r="CS176" s="56"/>
      <c r="CT176" s="58" t="s">
        <v>184</v>
      </c>
      <c r="CU176" s="44"/>
      <c r="CV176" s="81"/>
      <c r="CW176" s="46"/>
      <c r="CX176" s="56"/>
      <c r="CY176" s="58" t="s">
        <v>184</v>
      </c>
      <c r="CZ176" s="44"/>
      <c r="DA176" s="81"/>
    </row>
    <row r="177" spans="1:105" s="264" customFormat="1" ht="15" customHeight="1" thickBot="1">
      <c r="A177" s="257"/>
      <c r="B177" s="365" t="s">
        <v>215</v>
      </c>
      <c r="C177" s="20" t="s">
        <v>99</v>
      </c>
      <c r="D177" s="259" t="s">
        <v>17</v>
      </c>
      <c r="E177" s="23"/>
      <c r="F177" s="168">
        <f>H177/G177</f>
        <v>36.460763358778621</v>
      </c>
      <c r="G177" s="170">
        <v>131</v>
      </c>
      <c r="H177" s="170">
        <v>4776.3599999999997</v>
      </c>
      <c r="I177" s="179"/>
      <c r="J177" s="182"/>
      <c r="K177" s="168">
        <f>M177/L177</f>
        <v>36.460777202072542</v>
      </c>
      <c r="L177" s="170">
        <v>193</v>
      </c>
      <c r="M177" s="170">
        <v>7036.93</v>
      </c>
      <c r="N177" s="179"/>
      <c r="O177" s="182"/>
      <c r="P177" s="168">
        <f>R177/Q177</f>
        <v>36.460845070422529</v>
      </c>
      <c r="Q177" s="170">
        <v>142</v>
      </c>
      <c r="R177" s="170">
        <v>5177.4399999999996</v>
      </c>
      <c r="S177" s="179"/>
      <c r="T177" s="182"/>
      <c r="U177" s="209">
        <f>W177/V177</f>
        <v>36.460763358778621</v>
      </c>
      <c r="V177" s="170">
        <v>131</v>
      </c>
      <c r="W177" s="170">
        <v>4776.3599999999997</v>
      </c>
      <c r="X177" s="179"/>
      <c r="Y177" s="179"/>
      <c r="Z177" s="3">
        <f>AB177/AA177</f>
        <v>36.460782608695652</v>
      </c>
      <c r="AA177" s="170">
        <v>115</v>
      </c>
      <c r="AB177" s="170">
        <v>4192.99</v>
      </c>
      <c r="AC177" s="179"/>
      <c r="AD177" s="179"/>
      <c r="AE177" s="3">
        <f>AG177/AF177</f>
        <v>36.460810810810813</v>
      </c>
      <c r="AF177" s="170">
        <v>148</v>
      </c>
      <c r="AG177" s="170">
        <v>5396.2</v>
      </c>
      <c r="AH177" s="179"/>
      <c r="AI177" s="179"/>
      <c r="AJ177" s="3">
        <f>AL177/AK177</f>
        <v>36.460806451612903</v>
      </c>
      <c r="AK177" s="170">
        <v>124</v>
      </c>
      <c r="AL177" s="170">
        <v>4521.1400000000003</v>
      </c>
      <c r="AM177" s="179"/>
      <c r="AN177" s="179"/>
      <c r="AO177" s="3">
        <f>AQ177/AP177</f>
        <v>36.573333333333331</v>
      </c>
      <c r="AP177" s="170">
        <v>108</v>
      </c>
      <c r="AQ177" s="170">
        <v>3949.92</v>
      </c>
      <c r="AR177" s="179"/>
      <c r="AS177" s="179"/>
      <c r="AT177" s="3">
        <f>AV177/AU177</f>
        <v>36.522016806722689</v>
      </c>
      <c r="AU177" s="170">
        <v>119</v>
      </c>
      <c r="AV177" s="170">
        <v>4346.12</v>
      </c>
      <c r="AW177" s="179"/>
      <c r="AX177" s="179"/>
      <c r="AY177" s="3">
        <f>BA177/AZ177</f>
        <v>36.611376811594205</v>
      </c>
      <c r="AZ177" s="170">
        <v>138</v>
      </c>
      <c r="BA177" s="170">
        <v>5052.37</v>
      </c>
      <c r="BB177" s="179"/>
      <c r="BC177" s="179"/>
      <c r="BD177" s="3">
        <f>BF177/BE177</f>
        <v>36.611376811594205</v>
      </c>
      <c r="BE177" s="170">
        <v>138</v>
      </c>
      <c r="BF177" s="170">
        <v>5052.37</v>
      </c>
      <c r="BG177" s="179"/>
      <c r="BH177" s="179"/>
      <c r="BI177" s="3">
        <f>BK177/BJ177</f>
        <v>36.45541306292872</v>
      </c>
      <c r="BJ177" s="170">
        <v>134.12</v>
      </c>
      <c r="BK177" s="170">
        <v>4889.3999999999996</v>
      </c>
      <c r="BL177" s="179"/>
      <c r="BM177" s="179"/>
      <c r="BN177" s="3">
        <f>BP177/BO177</f>
        <v>36.488059701492531</v>
      </c>
      <c r="BO177" s="170">
        <v>134</v>
      </c>
      <c r="BP177" s="170">
        <v>4889.3999999999996</v>
      </c>
      <c r="BQ177" s="179"/>
      <c r="BR177" s="179"/>
      <c r="BS177" s="3">
        <f>BU177/BT177</f>
        <v>36.611376811594205</v>
      </c>
      <c r="BT177" s="170">
        <v>138</v>
      </c>
      <c r="BU177" s="170">
        <v>5052.37</v>
      </c>
      <c r="BV177" s="179"/>
      <c r="BW177" s="179"/>
      <c r="BX177" s="3">
        <f>BZ177/BY177</f>
        <v>48.509415419373049</v>
      </c>
      <c r="BY177" s="169">
        <v>177.05</v>
      </c>
      <c r="BZ177" s="169">
        <f>1.2*(3394.15+3763.01)</f>
        <v>8588.5919999999987</v>
      </c>
      <c r="CA177" s="48"/>
      <c r="CB177" s="179"/>
      <c r="CC177" s="3">
        <f>CE177/CD177</f>
        <v>48.509415419373049</v>
      </c>
      <c r="CD177" s="169">
        <v>177.05</v>
      </c>
      <c r="CE177" s="169">
        <f>1.2*(3394.15+3763.01)</f>
        <v>8588.5919999999987</v>
      </c>
      <c r="CF177" s="48"/>
      <c r="CG177" s="179"/>
      <c r="CH177" s="3">
        <f>CJ177/CI177</f>
        <v>48.509415419373049</v>
      </c>
      <c r="CI177" s="169">
        <v>177.05</v>
      </c>
      <c r="CJ177" s="169">
        <f>1.2*(3394.15+3763.01)</f>
        <v>8588.5919999999987</v>
      </c>
      <c r="CK177" s="48"/>
      <c r="CL177" s="179"/>
      <c r="CM177" s="3">
        <f>CO177/CN177</f>
        <v>48.509415419373049</v>
      </c>
      <c r="CN177" s="169">
        <v>177.05</v>
      </c>
      <c r="CO177" s="169">
        <f>1.2*(3394.15+3763.01)</f>
        <v>8588.5919999999987</v>
      </c>
      <c r="CP177" s="48"/>
      <c r="CQ177" s="179"/>
      <c r="CR177" s="3">
        <f>CT177/CS177</f>
        <v>48.509415419373049</v>
      </c>
      <c r="CS177" s="169">
        <v>177.05</v>
      </c>
      <c r="CT177" s="169">
        <f>1.2*(3394.15+3763.01)</f>
        <v>8588.5919999999987</v>
      </c>
      <c r="CU177" s="48"/>
      <c r="CV177" s="179"/>
      <c r="CW177" s="3">
        <f>CY177/CX177</f>
        <v>48.509415419373049</v>
      </c>
      <c r="CX177" s="169">
        <v>177.05</v>
      </c>
      <c r="CY177" s="169">
        <f>1.2*(3394.15+3763.01)</f>
        <v>8588.5919999999987</v>
      </c>
      <c r="CZ177" s="48"/>
      <c r="DA177" s="179"/>
    </row>
    <row r="178" spans="1:105" s="249" customFormat="1" ht="15" customHeight="1">
      <c r="A178" s="265" t="s">
        <v>321</v>
      </c>
      <c r="B178" s="5" t="s">
        <v>100</v>
      </c>
      <c r="C178" s="6" t="s">
        <v>101</v>
      </c>
      <c r="D178" s="7" t="s">
        <v>10</v>
      </c>
      <c r="E178" s="4"/>
      <c r="F178" s="196"/>
      <c r="G178" s="197"/>
      <c r="H178" s="200"/>
      <c r="I178" s="38"/>
      <c r="J178" s="206"/>
      <c r="K178" s="196"/>
      <c r="L178" s="197"/>
      <c r="M178" s="200"/>
      <c r="N178" s="38"/>
      <c r="O178" s="206"/>
      <c r="P178" s="196"/>
      <c r="Q178" s="197"/>
      <c r="R178" s="200"/>
      <c r="S178" s="38"/>
      <c r="T178" s="206"/>
      <c r="U178" s="207"/>
      <c r="V178" s="197"/>
      <c r="W178" s="380">
        <v>8387</v>
      </c>
      <c r="X178" s="38"/>
      <c r="Y178" s="384">
        <f>SUM(W178:W182)*1.1</f>
        <v>410329.11040000001</v>
      </c>
      <c r="Z178" s="36"/>
      <c r="AA178" s="197"/>
      <c r="AB178" s="380">
        <v>8387.81</v>
      </c>
      <c r="AC178" s="38"/>
      <c r="AD178" s="384">
        <f>SUM(AB178:AB182)*1.1</f>
        <v>330897.29420000012</v>
      </c>
      <c r="AE178" s="36"/>
      <c r="AF178" s="204"/>
      <c r="AG178" s="380">
        <v>8387.81</v>
      </c>
      <c r="AH178" s="427"/>
      <c r="AI178" s="384">
        <f>AI179*1.1</f>
        <v>373731.40860000008</v>
      </c>
      <c r="AJ178" s="36"/>
      <c r="AK178" s="197"/>
      <c r="AL178" s="200"/>
      <c r="AM178" s="38"/>
      <c r="AN178" s="384">
        <f>AN179*1.2</f>
        <v>440399.74079999997</v>
      </c>
      <c r="AO178" s="36"/>
      <c r="AP178" s="197"/>
      <c r="AQ178" s="200"/>
      <c r="AR178" s="38"/>
      <c r="AS178" s="384">
        <f>SUM(AQ178:AQ182)*1.1</f>
        <v>513789.98439999996</v>
      </c>
      <c r="AT178" s="36"/>
      <c r="AU178" s="197"/>
      <c r="AV178" s="200"/>
      <c r="AW178" s="38"/>
      <c r="AX178" s="384">
        <f>SUM(AV178:AV182)*1.1</f>
        <v>597817.96360000002</v>
      </c>
      <c r="AY178" s="36"/>
      <c r="AZ178" s="197"/>
      <c r="BA178" s="200"/>
      <c r="BB178" s="38"/>
      <c r="BC178" s="384">
        <f>SUM(BA178:BA182)*1.1</f>
        <v>503086.15720000002</v>
      </c>
      <c r="BD178" s="36"/>
      <c r="BE178" s="197"/>
      <c r="BF178" s="200"/>
      <c r="BG178" s="38"/>
      <c r="BH178" s="384">
        <f>SUM(BF178:BF182)*1.1</f>
        <v>510939.81399999995</v>
      </c>
      <c r="BI178" s="36"/>
      <c r="BJ178" s="197"/>
      <c r="BK178" s="200"/>
      <c r="BL178" s="38"/>
      <c r="BM178" s="384">
        <f>SUM(BK178:BK182)*1.1</f>
        <v>525466.47560000001</v>
      </c>
      <c r="BN178" s="36"/>
      <c r="BO178" s="197"/>
      <c r="BP178" s="200"/>
      <c r="BQ178" s="38"/>
      <c r="BR178" s="384">
        <f>SUM(BP178:BP182)*1.1</f>
        <v>626136.7574</v>
      </c>
      <c r="BS178" s="36"/>
      <c r="BT178" s="197"/>
      <c r="BU178" s="200"/>
      <c r="BV178" s="38"/>
      <c r="BW178" s="384">
        <f>SUM(BU178:BU182)*1.1</f>
        <v>589012.04119999998</v>
      </c>
      <c r="BX178" s="36"/>
      <c r="BY178" s="197"/>
      <c r="BZ178" s="200"/>
      <c r="CA178" s="38"/>
      <c r="CB178" s="384">
        <f>SUM(BZ178:BZ182)*1.1</f>
        <v>463791.20040000003</v>
      </c>
      <c r="CC178" s="36"/>
      <c r="CD178" s="197"/>
      <c r="CE178" s="200"/>
      <c r="CF178" s="38"/>
      <c r="CG178" s="384">
        <f>SUM(CE178:CE182)*1.1</f>
        <v>463791.20040000003</v>
      </c>
      <c r="CH178" s="36"/>
      <c r="CI178" s="197"/>
      <c r="CJ178" s="200"/>
      <c r="CK178" s="38"/>
      <c r="CL178" s="384">
        <f>SUM(CJ178:CJ182)*1.1</f>
        <v>463791.20040000003</v>
      </c>
      <c r="CM178" s="36"/>
      <c r="CN178" s="197"/>
      <c r="CO178" s="200"/>
      <c r="CP178" s="38"/>
      <c r="CQ178" s="384">
        <f>SUM(CO178:CO182)*1.1</f>
        <v>463791.20040000003</v>
      </c>
      <c r="CR178" s="36"/>
      <c r="CS178" s="197"/>
      <c r="CT178" s="200"/>
      <c r="CU178" s="38"/>
      <c r="CV178" s="384">
        <f>SUM(CT178:CT182)*1.1</f>
        <v>463791.20040000003</v>
      </c>
      <c r="CW178" s="36"/>
      <c r="CX178" s="197"/>
      <c r="CY178" s="200"/>
      <c r="CZ178" s="38"/>
      <c r="DA178" s="384">
        <f>SUM(CY178:CY182)*1.1</f>
        <v>463791.20040000003</v>
      </c>
    </row>
    <row r="179" spans="1:105" ht="15" customHeight="1">
      <c r="A179" s="256"/>
      <c r="B179" s="215">
        <v>32946702</v>
      </c>
      <c r="C179" s="45" t="s">
        <v>102</v>
      </c>
      <c r="D179" s="216" t="s">
        <v>13</v>
      </c>
      <c r="E179" s="22"/>
      <c r="F179" s="104">
        <f>H179/G179</f>
        <v>4.6461264590562896</v>
      </c>
      <c r="G179" s="69">
        <v>66567</v>
      </c>
      <c r="H179" s="74">
        <v>309278.7</v>
      </c>
      <c r="I179" s="81"/>
      <c r="J179" s="88"/>
      <c r="K179" s="104">
        <f>M179/L179</f>
        <v>4.6764877328350112</v>
      </c>
      <c r="L179" s="69">
        <v>66356</v>
      </c>
      <c r="M179" s="134">
        <v>310313.02</v>
      </c>
      <c r="N179" s="81"/>
      <c r="O179" s="88"/>
      <c r="P179" s="104">
        <f>R179/Q179</f>
        <v>4.3541735930816792</v>
      </c>
      <c r="Q179" s="69">
        <v>53539</v>
      </c>
      <c r="R179" s="134">
        <v>233118.1</v>
      </c>
      <c r="S179" s="363"/>
      <c r="T179" s="364"/>
      <c r="U179" s="115">
        <f>W179/V179</f>
        <v>4.546969141840818</v>
      </c>
      <c r="V179" s="69">
        <v>56225</v>
      </c>
      <c r="W179" s="134">
        <v>255653.34</v>
      </c>
      <c r="X179" s="363"/>
      <c r="Y179" s="403">
        <f>SUM(W178:W182)*1</f>
        <v>373026.46399999998</v>
      </c>
      <c r="Z179" s="92">
        <f>AB179/AA179</f>
        <v>4.2091355541588102</v>
      </c>
      <c r="AA179" s="69">
        <v>47730</v>
      </c>
      <c r="AB179" s="134">
        <v>200902.04</v>
      </c>
      <c r="AC179" s="81"/>
      <c r="AD179" s="403">
        <f>SUM(AB178:AB182)*1</f>
        <v>300815.72200000007</v>
      </c>
      <c r="AE179" s="92">
        <f>AG179/AF179</f>
        <v>4.291146071594607</v>
      </c>
      <c r="AF179" s="69">
        <v>53775</v>
      </c>
      <c r="AG179" s="361">
        <v>230756.38</v>
      </c>
      <c r="AH179" s="81"/>
      <c r="AI179" s="403">
        <f>SUM(AG178:AG182)*1</f>
        <v>339755.82600000006</v>
      </c>
      <c r="AJ179" s="92">
        <f>AL179/AK179</f>
        <v>4.2939636710605367</v>
      </c>
      <c r="AK179" s="69">
        <v>56594</v>
      </c>
      <c r="AL179" s="361">
        <v>243012.58</v>
      </c>
      <c r="AM179" s="81"/>
      <c r="AN179" s="403">
        <f>SUM(AL178:AL182)*1</f>
        <v>366999.78399999999</v>
      </c>
      <c r="AO179" s="92">
        <f>AQ179/AP179</f>
        <v>5.1245050605608098</v>
      </c>
      <c r="AP179" s="128">
        <v>60270</v>
      </c>
      <c r="AQ179" s="134">
        <v>308853.92</v>
      </c>
      <c r="AR179" s="81"/>
      <c r="AS179" s="403">
        <f>SUM(AQ178:AQ182)*1</f>
        <v>467081.80399999995</v>
      </c>
      <c r="AT179" s="92">
        <f>AV179/AU179</f>
        <v>5.8086179570612329</v>
      </c>
      <c r="AU179" s="69">
        <v>64231</v>
      </c>
      <c r="AV179" s="361">
        <v>373093.34</v>
      </c>
      <c r="AW179" s="81"/>
      <c r="AX179" s="403">
        <f>SUM(AV178:AV182)*1</f>
        <v>543470.87599999993</v>
      </c>
      <c r="AY179" s="92">
        <f>BA179/AZ179</f>
        <v>5.5242504142352855</v>
      </c>
      <c r="AZ179" s="69">
        <v>55524</v>
      </c>
      <c r="BA179" s="134">
        <v>306728.48</v>
      </c>
      <c r="BB179" s="81"/>
      <c r="BC179" s="403">
        <f>SUM(BA178:BA182)*1</f>
        <v>457351.05199999997</v>
      </c>
      <c r="BD179" s="92">
        <f>BF179/BE179</f>
        <v>5.6273975204242515</v>
      </c>
      <c r="BE179" s="69">
        <v>55816</v>
      </c>
      <c r="BF179" s="74">
        <v>314098.82</v>
      </c>
      <c r="BG179" s="81"/>
      <c r="BH179" s="403">
        <f>SUM(BF178:BF182)*1</f>
        <v>464490.73999999993</v>
      </c>
      <c r="BI179" s="92">
        <f>BK179/BJ179</f>
        <v>5.9487372617758751</v>
      </c>
      <c r="BJ179" s="69">
        <v>58191</v>
      </c>
      <c r="BK179" s="74">
        <v>346162.97</v>
      </c>
      <c r="BL179" s="81"/>
      <c r="BM179" s="403">
        <f>SUM(BK178:BK182)*1</f>
        <v>477696.79599999997</v>
      </c>
      <c r="BN179" s="92">
        <f>BP179/BO179</f>
        <v>5.4848627870489226</v>
      </c>
      <c r="BO179" s="69">
        <v>70110</v>
      </c>
      <c r="BP179" s="134">
        <v>384543.73</v>
      </c>
      <c r="BQ179" s="81"/>
      <c r="BR179" s="403">
        <f>SUM(BP178:BP182)*1</f>
        <v>569215.23399999994</v>
      </c>
      <c r="BS179" s="92">
        <f>BU179/BT179</f>
        <v>5.1578303874517148</v>
      </c>
      <c r="BT179" s="58">
        <v>68344</v>
      </c>
      <c r="BU179" s="57">
        <v>352506.76</v>
      </c>
      <c r="BV179" s="44"/>
      <c r="BW179" s="403">
        <f>SUM(BU178:BU182)*1</f>
        <v>535465.49199999997</v>
      </c>
      <c r="BX179" s="92">
        <f>BZ179/BY179</f>
        <v>4.6461264590562896</v>
      </c>
      <c r="BY179" s="58">
        <v>66567</v>
      </c>
      <c r="BZ179" s="57">
        <v>309278.7</v>
      </c>
      <c r="CA179" s="44"/>
      <c r="CB179" s="403">
        <f>SUM(BZ178:BZ182)*1</f>
        <v>421628.364</v>
      </c>
      <c r="CC179" s="92">
        <f>CE179/CD179</f>
        <v>4.6461264590562896</v>
      </c>
      <c r="CD179" s="58">
        <v>66567</v>
      </c>
      <c r="CE179" s="57">
        <v>309278.7</v>
      </c>
      <c r="CF179" s="44"/>
      <c r="CG179" s="403">
        <f>SUM(CE178:CE182)*1</f>
        <v>421628.364</v>
      </c>
      <c r="CH179" s="92">
        <f>CJ179/CI179</f>
        <v>4.6461264590562896</v>
      </c>
      <c r="CI179" s="58">
        <v>66567</v>
      </c>
      <c r="CJ179" s="57">
        <v>309278.7</v>
      </c>
      <c r="CK179" s="44"/>
      <c r="CL179" s="403">
        <f>SUM(CJ178:CJ182)*1</f>
        <v>421628.364</v>
      </c>
      <c r="CM179" s="92">
        <f>CO179/CN179</f>
        <v>4.6461264590562896</v>
      </c>
      <c r="CN179" s="58">
        <v>66567</v>
      </c>
      <c r="CO179" s="57">
        <v>309278.7</v>
      </c>
      <c r="CP179" s="44"/>
      <c r="CQ179" s="403">
        <f>SUM(CO178:CO182)*1</f>
        <v>421628.364</v>
      </c>
      <c r="CR179" s="92">
        <f>CT179/CS179</f>
        <v>4.6461264590562896</v>
      </c>
      <c r="CS179" s="58">
        <v>66567</v>
      </c>
      <c r="CT179" s="57">
        <v>309278.7</v>
      </c>
      <c r="CU179" s="44"/>
      <c r="CV179" s="403">
        <f>SUM(CT178:CT182)*1</f>
        <v>421628.364</v>
      </c>
      <c r="CW179" s="92">
        <f>CY179/CX179</f>
        <v>4.6461264590562896</v>
      </c>
      <c r="CX179" s="58">
        <v>66567</v>
      </c>
      <c r="CY179" s="57">
        <v>309278.7</v>
      </c>
      <c r="CZ179" s="44"/>
      <c r="DA179" s="403">
        <f>SUM(CY178:CY182)*1</f>
        <v>421628.364</v>
      </c>
    </row>
    <row r="180" spans="1:105" ht="15" customHeight="1">
      <c r="A180" s="256"/>
      <c r="B180" s="215"/>
      <c r="C180" s="45"/>
      <c r="D180" s="347" t="s">
        <v>185</v>
      </c>
      <c r="E180" s="22"/>
      <c r="F180" s="104">
        <f>Таблица3[[#This Row],[Сумма]]/Таблица3[[#This Row],[Показатели]]</f>
        <v>1.6148399657487946</v>
      </c>
      <c r="G180" s="128">
        <v>66567</v>
      </c>
      <c r="H180" s="134">
        <f>1.2*89579.21</f>
        <v>107495.05200000001</v>
      </c>
      <c r="I180" s="81"/>
      <c r="J180" s="88"/>
      <c r="K180" s="104">
        <f>Таблица3[[#This Row],[Сумма]]/Таблица3[[#This Row],[Показатели]]</f>
        <v>1.6148399657487946</v>
      </c>
      <c r="L180" s="128">
        <v>66356</v>
      </c>
      <c r="M180" s="134">
        <f>1.2*98071.51</f>
        <v>117685.81199999999</v>
      </c>
      <c r="N180" s="81"/>
      <c r="O180" s="88"/>
      <c r="P180" s="104">
        <f>Таблица3[[#This Row],[Сумма]]/Таблица3[[#This Row],[Показатели]]</f>
        <v>1.6148399657487946</v>
      </c>
      <c r="Q180" s="128">
        <v>53539</v>
      </c>
      <c r="R180" s="134">
        <f>1.2*79128.5</f>
        <v>94954.2</v>
      </c>
      <c r="S180" s="81">
        <v>168487.44</v>
      </c>
      <c r="T180" s="88"/>
      <c r="U180" s="115">
        <f>Таблица3[[#This Row],[Сумма]]/Таблица3[[#This Row],[Показатели]]</f>
        <v>1.6148399657487946</v>
      </c>
      <c r="V180" s="69">
        <v>56225</v>
      </c>
      <c r="W180" s="134">
        <f>1.2*83098.3</f>
        <v>99717.96</v>
      </c>
      <c r="X180" s="81">
        <v>159619.68</v>
      </c>
      <c r="Y180" s="81"/>
      <c r="Z180" s="92">
        <f>Таблица3[[#This Row],[Сумма]]/Таблица3[[#This Row],[Показатели]]</f>
        <v>1.6148399657487946</v>
      </c>
      <c r="AA180" s="128">
        <v>47730</v>
      </c>
      <c r="AB180" s="134">
        <f>1.2*70543.03</f>
        <v>84651.635999999999</v>
      </c>
      <c r="AC180" s="81"/>
      <c r="AD180" s="81"/>
      <c r="AE180" s="92">
        <f>Таблица3[[#This Row],[Сумма]]/Таблица3[[#This Row],[Показатели]]</f>
        <v>1.6148399657487946</v>
      </c>
      <c r="AF180" s="128">
        <v>53775</v>
      </c>
      <c r="AG180" s="134">
        <f>1.2*79477.3</f>
        <v>95372.76</v>
      </c>
      <c r="AH180" s="81"/>
      <c r="AI180" s="81"/>
      <c r="AJ180" s="92">
        <f>AL180/AK180</f>
        <v>2.079648089903523</v>
      </c>
      <c r="AK180" s="128">
        <v>56594</v>
      </c>
      <c r="AL180" s="134">
        <f>1.2*98079.67</f>
        <v>117695.60399999999</v>
      </c>
      <c r="AM180" s="81"/>
      <c r="AN180" s="81"/>
      <c r="AO180" s="92">
        <f>AQ180/AP180</f>
        <v>2.5387920358387253</v>
      </c>
      <c r="AP180" s="128">
        <v>60270</v>
      </c>
      <c r="AQ180" s="134">
        <f>1.2*127510.83</f>
        <v>153012.99599999998</v>
      </c>
      <c r="AR180" s="81"/>
      <c r="AS180" s="81"/>
      <c r="AT180" s="92">
        <f>AV180/AU180</f>
        <v>2.5387920474537213</v>
      </c>
      <c r="AU180" s="128">
        <v>64231</v>
      </c>
      <c r="AV180" s="134">
        <f>1.2*135890.96</f>
        <v>163069.15199999997</v>
      </c>
      <c r="AW180" s="81"/>
      <c r="AX180" s="81"/>
      <c r="AY180" s="92">
        <f>Таблица3[[#This Row],[Сумма]]/Таблица3[[#This Row],[Показатели]]</f>
        <v>1.6148399657487946</v>
      </c>
      <c r="AZ180" s="69">
        <v>55524</v>
      </c>
      <c r="BA180" s="134">
        <f>1.2*117469.91</f>
        <v>140963.89199999999</v>
      </c>
      <c r="BB180" s="81"/>
      <c r="BC180" s="81"/>
      <c r="BD180" s="92">
        <f>Таблица3[[#This Row],[Сумма]]/Таблица3[[#This Row],[Показатели]]</f>
        <v>1.6148399657487946</v>
      </c>
      <c r="BE180" s="128">
        <v>55816</v>
      </c>
      <c r="BF180" s="134">
        <f>1.2*118083.45</f>
        <v>141700.13999999998</v>
      </c>
      <c r="BG180" s="81"/>
      <c r="BH180" s="81"/>
      <c r="BI180" s="92">
        <f>BK180/BJ180</f>
        <v>2.1156599817841246</v>
      </c>
      <c r="BJ180" s="69">
        <v>58191</v>
      </c>
      <c r="BK180" s="554">
        <v>123112.37</v>
      </c>
      <c r="BL180" s="81"/>
      <c r="BM180" s="81"/>
      <c r="BN180" s="92">
        <f>Таблица3[[#This Row],[Сумма]]/Таблица3[[#This Row],[Показатели]]</f>
        <v>1.6148399657487946</v>
      </c>
      <c r="BO180" s="69">
        <v>70110</v>
      </c>
      <c r="BP180" s="134">
        <f>1.2*148328.92</f>
        <v>177994.704</v>
      </c>
      <c r="BQ180" s="81"/>
      <c r="BR180" s="81"/>
      <c r="BS180" s="92">
        <f>Таблица3[[#This Row],[Сумма]]/Таблица3[[#This Row],[Показатели]]</f>
        <v>1.6148399657487946</v>
      </c>
      <c r="BT180" s="56">
        <v>68344</v>
      </c>
      <c r="BU180" s="72">
        <f>1.2*146751.65</f>
        <v>176101.97999999998</v>
      </c>
      <c r="BV180" s="44"/>
      <c r="BW180" s="81"/>
      <c r="BX180" s="92">
        <f>Таблица3[[#This Row],[Сумма]]/Таблица3[[#This Row],[Показатели]]</f>
        <v>1.6148399657487946</v>
      </c>
      <c r="BY180" s="56">
        <v>66567</v>
      </c>
      <c r="BZ180" s="72">
        <f>1.2*89579.21</f>
        <v>107495.05200000001</v>
      </c>
      <c r="CA180" s="44"/>
      <c r="CB180" s="81"/>
      <c r="CC180" s="92">
        <f>Таблица3[[#This Row],[Сумма]]/Таблица3[[#This Row],[Показатели]]</f>
        <v>1.6148399657487946</v>
      </c>
      <c r="CD180" s="56">
        <v>66567</v>
      </c>
      <c r="CE180" s="72">
        <f>1.2*89579.21</f>
        <v>107495.05200000001</v>
      </c>
      <c r="CF180" s="44"/>
      <c r="CG180" s="81"/>
      <c r="CH180" s="92">
        <f>Таблица3[[#This Row],[Сумма]]/Таблица3[[#This Row],[Показатели]]</f>
        <v>1.6148399657487946</v>
      </c>
      <c r="CI180" s="56">
        <v>66567</v>
      </c>
      <c r="CJ180" s="72">
        <f>1.2*89579.21</f>
        <v>107495.05200000001</v>
      </c>
      <c r="CK180" s="44"/>
      <c r="CL180" s="81"/>
      <c r="CM180" s="92">
        <f>Таблица3[[#This Row],[Сумма]]/Таблица3[[#This Row],[Показатели]]</f>
        <v>1.6148399657487946</v>
      </c>
      <c r="CN180" s="56">
        <v>66567</v>
      </c>
      <c r="CO180" s="72">
        <f>1.2*89579.21</f>
        <v>107495.05200000001</v>
      </c>
      <c r="CP180" s="44"/>
      <c r="CQ180" s="81"/>
      <c r="CR180" s="92">
        <f>Таблица3[[#This Row],[Сумма]]/Таблица3[[#This Row],[Показатели]]</f>
        <v>1.6148399657487946</v>
      </c>
      <c r="CS180" s="56">
        <v>66567</v>
      </c>
      <c r="CT180" s="72">
        <f>1.2*89579.21</f>
        <v>107495.05200000001</v>
      </c>
      <c r="CU180" s="44"/>
      <c r="CV180" s="81"/>
      <c r="CW180" s="92">
        <f>Таблица3[[#This Row],[Сумма]]/Таблица3[[#This Row],[Показатели]]</f>
        <v>1.6148399657487946</v>
      </c>
      <c r="CX180" s="56">
        <v>66567</v>
      </c>
      <c r="CY180" s="72">
        <f>1.2*89579.21</f>
        <v>107495.05200000001</v>
      </c>
      <c r="CZ180" s="44"/>
      <c r="DA180" s="81"/>
    </row>
    <row r="181" spans="1:105" ht="15" customHeight="1">
      <c r="A181" s="256"/>
      <c r="B181" s="215"/>
      <c r="C181" s="45"/>
      <c r="D181" s="216" t="s">
        <v>15</v>
      </c>
      <c r="E181" s="22"/>
      <c r="F181" s="103"/>
      <c r="G181" s="128">
        <v>20814</v>
      </c>
      <c r="H181" s="134">
        <f>1.2*2087.75</f>
        <v>2505.2999999999997</v>
      </c>
      <c r="I181" s="81"/>
      <c r="J181" s="88"/>
      <c r="K181" s="103"/>
      <c r="L181" s="128">
        <v>22940</v>
      </c>
      <c r="M181" s="134">
        <f>1.2*2608.76</f>
        <v>3130.5120000000002</v>
      </c>
      <c r="N181" s="81"/>
      <c r="O181" s="88"/>
      <c r="P181" s="103"/>
      <c r="Q181" s="128">
        <v>19657</v>
      </c>
      <c r="R181" s="134">
        <f>1.2*2433.77</f>
        <v>2920.5239999999999</v>
      </c>
      <c r="S181" s="81"/>
      <c r="T181" s="88"/>
      <c r="U181" s="47"/>
      <c r="V181" s="128">
        <v>20466</v>
      </c>
      <c r="W181" s="134">
        <f>1.2*2416.91</f>
        <v>2900.2919999999999</v>
      </c>
      <c r="X181" s="81"/>
      <c r="Y181" s="81"/>
      <c r="Z181" s="46"/>
      <c r="AA181" s="128">
        <v>19608</v>
      </c>
      <c r="AB181" s="134">
        <f>1.2*2328.21</f>
        <v>2793.8519999999999</v>
      </c>
      <c r="AC181" s="81"/>
      <c r="AD181" s="81"/>
      <c r="AE181" s="46"/>
      <c r="AF181" s="128">
        <v>20250</v>
      </c>
      <c r="AG181" s="134">
        <f>1.2*2176.13</f>
        <v>2611.3560000000002</v>
      </c>
      <c r="AH181" s="81"/>
      <c r="AI181" s="81"/>
      <c r="AJ181" s="46"/>
      <c r="AK181" s="128">
        <v>20244</v>
      </c>
      <c r="AL181" s="134">
        <f>1.2*2074.52</f>
        <v>2489.424</v>
      </c>
      <c r="AM181" s="81"/>
      <c r="AN181" s="81"/>
      <c r="AO181" s="46"/>
      <c r="AP181" s="128">
        <v>1</v>
      </c>
      <c r="AQ181" s="134">
        <f>1.2*2259.18</f>
        <v>2711.0159999999996</v>
      </c>
      <c r="AR181" s="81"/>
      <c r="AS181" s="81"/>
      <c r="AT181" s="46"/>
      <c r="AU181" s="56">
        <v>1</v>
      </c>
      <c r="AV181" s="361">
        <f>1.2*2870.32</f>
        <v>3444.384</v>
      </c>
      <c r="AW181" s="81"/>
      <c r="AX181" s="81"/>
      <c r="AY181" s="46"/>
      <c r="AZ181" s="128">
        <v>19134</v>
      </c>
      <c r="BA181" s="134">
        <f>1.2*2819.62</f>
        <v>3383.5439999999999</v>
      </c>
      <c r="BB181" s="81"/>
      <c r="BC181" s="81"/>
      <c r="BD181" s="46"/>
      <c r="BE181" s="128">
        <v>18630</v>
      </c>
      <c r="BF181" s="134">
        <f>1.2*2554.83</f>
        <v>3065.7959999999998</v>
      </c>
      <c r="BG181" s="81"/>
      <c r="BH181" s="81"/>
      <c r="BI181" s="46"/>
      <c r="BJ181" s="128">
        <v>17763</v>
      </c>
      <c r="BK181" s="134">
        <f>1.2*2638.68</f>
        <v>3166.4159999999997</v>
      </c>
      <c r="BL181" s="81"/>
      <c r="BM181" s="81"/>
      <c r="BN181" s="46"/>
      <c r="BO181" s="128">
        <v>20814</v>
      </c>
      <c r="BP181" s="134">
        <f>1.2*2936.48</f>
        <v>3523.7759999999998</v>
      </c>
      <c r="BQ181" s="81"/>
      <c r="BR181" s="81"/>
      <c r="BS181" s="46"/>
      <c r="BT181" s="56">
        <v>19835</v>
      </c>
      <c r="BU181" s="72">
        <f>1.2*3137.96</f>
        <v>3765.5519999999997</v>
      </c>
      <c r="BV181" s="44"/>
      <c r="BW181" s="81"/>
      <c r="BX181" s="46"/>
      <c r="BY181" s="56">
        <v>20814</v>
      </c>
      <c r="BZ181" s="72">
        <f>1.2*2087.75</f>
        <v>2505.2999999999997</v>
      </c>
      <c r="CA181" s="44"/>
      <c r="CB181" s="81"/>
      <c r="CC181" s="46"/>
      <c r="CD181" s="56">
        <v>20814</v>
      </c>
      <c r="CE181" s="72">
        <f>1.2*2087.75</f>
        <v>2505.2999999999997</v>
      </c>
      <c r="CF181" s="44"/>
      <c r="CG181" s="81"/>
      <c r="CH181" s="46"/>
      <c r="CI181" s="56">
        <v>20814</v>
      </c>
      <c r="CJ181" s="72">
        <f>1.2*2087.75</f>
        <v>2505.2999999999997</v>
      </c>
      <c r="CK181" s="44"/>
      <c r="CL181" s="81"/>
      <c r="CM181" s="46"/>
      <c r="CN181" s="56">
        <v>20814</v>
      </c>
      <c r="CO181" s="72">
        <f>1.2*2087.75</f>
        <v>2505.2999999999997</v>
      </c>
      <c r="CP181" s="44"/>
      <c r="CQ181" s="81"/>
      <c r="CR181" s="46"/>
      <c r="CS181" s="56">
        <v>20814</v>
      </c>
      <c r="CT181" s="72">
        <f>1.2*2087.75</f>
        <v>2505.2999999999997</v>
      </c>
      <c r="CU181" s="44"/>
      <c r="CV181" s="81"/>
      <c r="CW181" s="46"/>
      <c r="CX181" s="56">
        <v>20814</v>
      </c>
      <c r="CY181" s="72">
        <f>1.2*2087.75</f>
        <v>2505.2999999999997</v>
      </c>
      <c r="CZ181" s="44"/>
      <c r="DA181" s="81"/>
    </row>
    <row r="182" spans="1:105" s="264" customFormat="1" ht="15" customHeight="1" thickBot="1">
      <c r="A182" s="257"/>
      <c r="B182" s="258"/>
      <c r="C182" s="20"/>
      <c r="D182" s="259" t="s">
        <v>17</v>
      </c>
      <c r="E182" s="23"/>
      <c r="F182" s="168">
        <f>H182/G182</f>
        <v>30.911999999999999</v>
      </c>
      <c r="G182" s="172">
        <v>76</v>
      </c>
      <c r="H182" s="170">
        <f>1.2*(985.72+972.04)</f>
        <v>2349.3119999999999</v>
      </c>
      <c r="I182" s="179"/>
      <c r="J182" s="182"/>
      <c r="K182" s="168">
        <f>M182/L182</f>
        <v>30.911999999999999</v>
      </c>
      <c r="L182" s="172">
        <v>76</v>
      </c>
      <c r="M182" s="170">
        <f>1.2*(985.72+972.04)</f>
        <v>2349.3119999999999</v>
      </c>
      <c r="N182" s="179"/>
      <c r="O182" s="182"/>
      <c r="P182" s="168">
        <f>R182/Q182</f>
        <v>30.911999999999995</v>
      </c>
      <c r="Q182" s="172">
        <v>72</v>
      </c>
      <c r="R182" s="170">
        <f>1.2*(933.84+920.88)</f>
        <v>2225.6639999999998</v>
      </c>
      <c r="S182" s="179"/>
      <c r="T182" s="182"/>
      <c r="U182" s="209">
        <f>W182/V182</f>
        <v>30.911999999999995</v>
      </c>
      <c r="V182" s="172">
        <v>206</v>
      </c>
      <c r="W182" s="170">
        <f>1.2*(2671.82+2634.74)</f>
        <v>6367.8719999999994</v>
      </c>
      <c r="X182" s="179"/>
      <c r="Y182" s="179"/>
      <c r="Z182" s="3">
        <f>AB182/AA182</f>
        <v>30.911999999999995</v>
      </c>
      <c r="AA182" s="172">
        <v>132</v>
      </c>
      <c r="AB182" s="170">
        <f>1.2*(1712.04+1688.28)</f>
        <v>4080.3839999999996</v>
      </c>
      <c r="AC182" s="179"/>
      <c r="AD182" s="179"/>
      <c r="AE182" s="3">
        <f>AG182/AF182</f>
        <v>30.912000000000006</v>
      </c>
      <c r="AF182" s="172">
        <v>85</v>
      </c>
      <c r="AG182" s="170">
        <f>1.2*(1102.45+1087.15)</f>
        <v>2627.5200000000004</v>
      </c>
      <c r="AH182" s="179"/>
      <c r="AI182" s="179"/>
      <c r="AJ182" s="3">
        <f>AL182/AK182</f>
        <v>30.911999999999999</v>
      </c>
      <c r="AK182" s="172">
        <v>123</v>
      </c>
      <c r="AL182" s="170">
        <f>1.2*(1595.31+1573.17)</f>
        <v>3802.1759999999999</v>
      </c>
      <c r="AM182" s="179"/>
      <c r="AN182" s="179"/>
      <c r="AO182" s="3">
        <f>AQ182/AP182</f>
        <v>32.945684210526316</v>
      </c>
      <c r="AP182" s="172">
        <v>76</v>
      </c>
      <c r="AQ182" s="170">
        <f>1.2*(1050.57+1035.99)</f>
        <v>2503.8719999999998</v>
      </c>
      <c r="AR182" s="179"/>
      <c r="AS182" s="179"/>
      <c r="AT182" s="3">
        <f>AV182/AU182</f>
        <v>30.911999999999999</v>
      </c>
      <c r="AU182" s="172">
        <v>125</v>
      </c>
      <c r="AV182" s="170">
        <f>1.2*(1621.25+1598.75)</f>
        <v>3864</v>
      </c>
      <c r="AW182" s="179"/>
      <c r="AX182" s="179"/>
      <c r="AY182" s="3">
        <f>BA182/AZ182</f>
        <v>30.911999999999999</v>
      </c>
      <c r="AZ182" s="172">
        <v>203</v>
      </c>
      <c r="BA182" s="170">
        <f>1.2*(2632.91+2596.37)</f>
        <v>6275.1359999999995</v>
      </c>
      <c r="BB182" s="179"/>
      <c r="BC182" s="179"/>
      <c r="BD182" s="3">
        <f>BF182/BE182</f>
        <v>74.026105263157888</v>
      </c>
      <c r="BE182" s="172">
        <v>76</v>
      </c>
      <c r="BF182" s="170">
        <f>1.2*(2360.54+2327.78)</f>
        <v>5625.9839999999995</v>
      </c>
      <c r="BG182" s="179"/>
      <c r="BH182" s="179"/>
      <c r="BI182" s="3">
        <f>BK182/BJ182</f>
        <v>30.912000000000006</v>
      </c>
      <c r="BJ182" s="172">
        <v>170</v>
      </c>
      <c r="BK182" s="170">
        <f>1.2*(2204.9+2174.3)</f>
        <v>5255.0400000000009</v>
      </c>
      <c r="BL182" s="179"/>
      <c r="BM182" s="179"/>
      <c r="BN182" s="3">
        <f>BP182/BO182</f>
        <v>30.911999999999999</v>
      </c>
      <c r="BO182" s="172">
        <v>102</v>
      </c>
      <c r="BP182" s="170">
        <f>1.2*(1322.94+1304.58)</f>
        <v>3153.0239999999999</v>
      </c>
      <c r="BQ182" s="179"/>
      <c r="BR182" s="179"/>
      <c r="BS182" s="3">
        <f>BU182/BT182</f>
        <v>30.911999999999999</v>
      </c>
      <c r="BT182" s="177">
        <v>100</v>
      </c>
      <c r="BU182" s="169">
        <f>1.2*(1297+1279)</f>
        <v>3091.2</v>
      </c>
      <c r="BV182" s="48"/>
      <c r="BW182" s="179"/>
      <c r="BX182" s="3">
        <f>BZ182/BY182</f>
        <v>30.911999999999999</v>
      </c>
      <c r="BY182" s="177">
        <v>76</v>
      </c>
      <c r="BZ182" s="169">
        <f>1.2*(985.72+972.04)</f>
        <v>2349.3119999999999</v>
      </c>
      <c r="CA182" s="48"/>
      <c r="CB182" s="179"/>
      <c r="CC182" s="3">
        <f>CE182/CD182</f>
        <v>30.911999999999999</v>
      </c>
      <c r="CD182" s="177">
        <v>76</v>
      </c>
      <c r="CE182" s="169">
        <f>1.2*(985.72+972.04)</f>
        <v>2349.3119999999999</v>
      </c>
      <c r="CF182" s="48"/>
      <c r="CG182" s="179"/>
      <c r="CH182" s="3">
        <f>CJ182/CI182</f>
        <v>30.911999999999999</v>
      </c>
      <c r="CI182" s="177">
        <v>76</v>
      </c>
      <c r="CJ182" s="169">
        <f>1.2*(985.72+972.04)</f>
        <v>2349.3119999999999</v>
      </c>
      <c r="CK182" s="48"/>
      <c r="CL182" s="179"/>
      <c r="CM182" s="3">
        <f>CO182/CN182</f>
        <v>30.911999999999999</v>
      </c>
      <c r="CN182" s="177">
        <v>76</v>
      </c>
      <c r="CO182" s="169">
        <f>1.2*(985.72+972.04)</f>
        <v>2349.3119999999999</v>
      </c>
      <c r="CP182" s="48"/>
      <c r="CQ182" s="179"/>
      <c r="CR182" s="3">
        <f>CT182/CS182</f>
        <v>30.911999999999999</v>
      </c>
      <c r="CS182" s="177">
        <v>76</v>
      </c>
      <c r="CT182" s="169">
        <f>1.2*(985.72+972.04)</f>
        <v>2349.3119999999999</v>
      </c>
      <c r="CU182" s="48"/>
      <c r="CV182" s="179"/>
      <c r="CW182" s="3">
        <f>CY182/CX182</f>
        <v>30.911999999999999</v>
      </c>
      <c r="CX182" s="177">
        <v>76</v>
      </c>
      <c r="CY182" s="169">
        <f>1.2*(985.72+972.04)</f>
        <v>2349.3119999999999</v>
      </c>
      <c r="CZ182" s="48"/>
      <c r="DA182" s="179"/>
    </row>
    <row r="183" spans="1:105" s="249" customFormat="1" ht="15" customHeight="1">
      <c r="A183" s="288" t="s">
        <v>322</v>
      </c>
      <c r="B183" s="278" t="s">
        <v>103</v>
      </c>
      <c r="C183" s="301" t="s">
        <v>25</v>
      </c>
      <c r="D183" s="302" t="s">
        <v>10</v>
      </c>
      <c r="E183" s="311"/>
      <c r="F183" s="328"/>
      <c r="G183" s="197"/>
      <c r="H183" s="197"/>
      <c r="I183" s="38"/>
      <c r="J183" s="206"/>
      <c r="K183" s="328"/>
      <c r="L183" s="197"/>
      <c r="M183" s="197"/>
      <c r="N183" s="38"/>
      <c r="O183" s="206"/>
      <c r="P183" s="328"/>
      <c r="Q183" s="197"/>
      <c r="R183" s="197"/>
      <c r="S183" s="38"/>
      <c r="T183" s="206"/>
      <c r="U183" s="320"/>
      <c r="V183" s="197"/>
      <c r="W183" s="197"/>
      <c r="X183" s="38"/>
      <c r="Y183" s="38"/>
      <c r="Z183" s="303"/>
      <c r="AA183" s="197"/>
      <c r="AB183" s="197"/>
      <c r="AC183" s="38"/>
      <c r="AD183" s="38"/>
      <c r="AE183" s="303"/>
      <c r="AF183" s="197"/>
      <c r="AG183" s="197"/>
      <c r="AH183" s="38"/>
      <c r="AI183" s="38"/>
      <c r="AJ183" s="303"/>
      <c r="AK183" s="197"/>
      <c r="AL183" s="197"/>
      <c r="AM183" s="38"/>
      <c r="AN183" s="38"/>
      <c r="AO183" s="303"/>
      <c r="AP183" s="197"/>
      <c r="AQ183" s="197"/>
      <c r="AR183" s="38"/>
      <c r="AS183" s="38"/>
      <c r="AT183" s="303"/>
      <c r="AU183" s="197"/>
      <c r="AV183" s="197"/>
      <c r="AW183" s="38"/>
      <c r="AX183" s="38"/>
      <c r="AY183" s="303"/>
      <c r="AZ183" s="197"/>
      <c r="BA183" s="197"/>
      <c r="BB183" s="38"/>
      <c r="BC183" s="38"/>
      <c r="BD183" s="303"/>
      <c r="BE183" s="197"/>
      <c r="BF183" s="197"/>
      <c r="BG183" s="38"/>
      <c r="BH183" s="38"/>
      <c r="BI183" s="303"/>
      <c r="BJ183" s="197"/>
      <c r="BK183" s="197"/>
      <c r="BL183" s="38"/>
      <c r="BM183" s="38"/>
      <c r="BN183" s="303"/>
      <c r="BO183" s="197"/>
      <c r="BP183" s="197"/>
      <c r="BQ183" s="38"/>
      <c r="BR183" s="38"/>
      <c r="BS183" s="303"/>
      <c r="BT183" s="197"/>
      <c r="BU183" s="197"/>
      <c r="BV183" s="38"/>
      <c r="BW183" s="38"/>
      <c r="BX183" s="303"/>
      <c r="BY183" s="197"/>
      <c r="BZ183" s="197"/>
      <c r="CA183" s="38"/>
      <c r="CB183" s="38"/>
      <c r="CC183" s="303"/>
      <c r="CD183" s="197"/>
      <c r="CE183" s="197"/>
      <c r="CF183" s="38"/>
      <c r="CG183" s="38"/>
      <c r="CH183" s="303"/>
      <c r="CI183" s="197"/>
      <c r="CJ183" s="197"/>
      <c r="CK183" s="38"/>
      <c r="CL183" s="38"/>
      <c r="CM183" s="303"/>
      <c r="CN183" s="197"/>
      <c r="CO183" s="197"/>
      <c r="CP183" s="38"/>
      <c r="CQ183" s="38"/>
      <c r="CR183" s="303"/>
      <c r="CS183" s="197"/>
      <c r="CT183" s="197"/>
      <c r="CU183" s="38"/>
      <c r="CV183" s="38"/>
      <c r="CW183" s="303"/>
      <c r="CX183" s="197"/>
      <c r="CY183" s="197"/>
      <c r="CZ183" s="38"/>
      <c r="DA183" s="38"/>
    </row>
    <row r="184" spans="1:105" ht="15" customHeight="1">
      <c r="A184" s="276"/>
      <c r="B184" s="228"/>
      <c r="C184" s="229" t="s">
        <v>104</v>
      </c>
      <c r="D184" s="230" t="s">
        <v>13</v>
      </c>
      <c r="E184" s="27"/>
      <c r="F184" s="111" t="e">
        <f>H184/G184</f>
        <v>#DIV/0!</v>
      </c>
      <c r="G184" s="57">
        <v>0</v>
      </c>
      <c r="H184" s="57">
        <v>0</v>
      </c>
      <c r="I184" s="44"/>
      <c r="J184" s="86"/>
      <c r="K184" s="111" t="e">
        <f>M184/L184</f>
        <v>#DIV/0!</v>
      </c>
      <c r="L184" s="57">
        <v>0</v>
      </c>
      <c r="M184" s="57">
        <v>0</v>
      </c>
      <c r="N184" s="44"/>
      <c r="O184" s="86"/>
      <c r="P184" s="111" t="e">
        <f>R184/Q184</f>
        <v>#DIV/0!</v>
      </c>
      <c r="Q184" s="57">
        <v>0</v>
      </c>
      <c r="R184" s="57">
        <v>0</v>
      </c>
      <c r="S184" s="44"/>
      <c r="T184" s="86"/>
      <c r="U184" s="122" t="e">
        <f>W184/V184</f>
        <v>#DIV/0!</v>
      </c>
      <c r="V184" s="57">
        <v>0</v>
      </c>
      <c r="W184" s="57">
        <v>0</v>
      </c>
      <c r="X184" s="44"/>
      <c r="Y184" s="44"/>
      <c r="Z184" s="99" t="e">
        <f>AB184/AA184</f>
        <v>#DIV/0!</v>
      </c>
      <c r="AA184" s="57">
        <v>0</v>
      </c>
      <c r="AB184" s="57">
        <v>0</v>
      </c>
      <c r="AC184" s="44"/>
      <c r="AD184" s="44"/>
      <c r="AE184" s="99" t="e">
        <f>AG184/AF184</f>
        <v>#DIV/0!</v>
      </c>
      <c r="AF184" s="57">
        <v>0</v>
      </c>
      <c r="AG184" s="57">
        <v>0</v>
      </c>
      <c r="AH184" s="44"/>
      <c r="AI184" s="44"/>
      <c r="AJ184" s="99" t="e">
        <f>AL184/AK184</f>
        <v>#DIV/0!</v>
      </c>
      <c r="AK184" s="57">
        <v>0</v>
      </c>
      <c r="AL184" s="57">
        <v>0</v>
      </c>
      <c r="AM184" s="44"/>
      <c r="AN184" s="44"/>
      <c r="AO184" s="99" t="e">
        <f>AQ184/AP184</f>
        <v>#DIV/0!</v>
      </c>
      <c r="AP184" s="57">
        <v>0</v>
      </c>
      <c r="AQ184" s="57">
        <v>0</v>
      </c>
      <c r="AR184" s="44"/>
      <c r="AS184" s="44"/>
      <c r="AT184" s="99" t="e">
        <f>AV184/AU184</f>
        <v>#DIV/0!</v>
      </c>
      <c r="AU184" s="57">
        <v>0</v>
      </c>
      <c r="AV184" s="57">
        <v>0</v>
      </c>
      <c r="AW184" s="44"/>
      <c r="AX184" s="44"/>
      <c r="AY184" s="99" t="e">
        <f>BA184/AZ184</f>
        <v>#DIV/0!</v>
      </c>
      <c r="AZ184" s="57">
        <v>0</v>
      </c>
      <c r="BA184" s="57">
        <v>0</v>
      </c>
      <c r="BB184" s="44"/>
      <c r="BC184" s="44"/>
      <c r="BD184" s="99" t="e">
        <f>BF184/BE184</f>
        <v>#DIV/0!</v>
      </c>
      <c r="BE184" s="57">
        <v>0</v>
      </c>
      <c r="BF184" s="57">
        <v>0</v>
      </c>
      <c r="BG184" s="44"/>
      <c r="BH184" s="44"/>
      <c r="BI184" s="99" t="e">
        <f>BK184/BJ184</f>
        <v>#DIV/0!</v>
      </c>
      <c r="BJ184" s="57">
        <v>0</v>
      </c>
      <c r="BK184" s="57">
        <v>0</v>
      </c>
      <c r="BL184" s="44"/>
      <c r="BM184" s="44"/>
      <c r="BN184" s="99" t="e">
        <f>BP184/BO184</f>
        <v>#DIV/0!</v>
      </c>
      <c r="BO184" s="57">
        <v>0</v>
      </c>
      <c r="BP184" s="57">
        <v>0</v>
      </c>
      <c r="BQ184" s="44"/>
      <c r="BR184" s="44"/>
      <c r="BS184" s="99" t="e">
        <f>BU184/BT184</f>
        <v>#DIV/0!</v>
      </c>
      <c r="BT184" s="57">
        <v>0</v>
      </c>
      <c r="BU184" s="57">
        <v>0</v>
      </c>
      <c r="BV184" s="44"/>
      <c r="BW184" s="44"/>
      <c r="BX184" s="99" t="e">
        <f>BZ184/BY184</f>
        <v>#DIV/0!</v>
      </c>
      <c r="BY184" s="57">
        <v>0</v>
      </c>
      <c r="BZ184" s="57">
        <v>0</v>
      </c>
      <c r="CA184" s="44"/>
      <c r="CB184" s="44"/>
      <c r="CC184" s="99" t="e">
        <f>CE184/CD184</f>
        <v>#DIV/0!</v>
      </c>
      <c r="CD184" s="57">
        <v>0</v>
      </c>
      <c r="CE184" s="57">
        <v>0</v>
      </c>
      <c r="CF184" s="44"/>
      <c r="CG184" s="44"/>
      <c r="CH184" s="99" t="e">
        <f>CJ184/CI184</f>
        <v>#DIV/0!</v>
      </c>
      <c r="CI184" s="57">
        <v>0</v>
      </c>
      <c r="CJ184" s="57">
        <v>0</v>
      </c>
      <c r="CK184" s="44"/>
      <c r="CL184" s="44"/>
      <c r="CM184" s="99" t="e">
        <f>CO184/CN184</f>
        <v>#DIV/0!</v>
      </c>
      <c r="CN184" s="57">
        <v>0</v>
      </c>
      <c r="CO184" s="57">
        <v>0</v>
      </c>
      <c r="CP184" s="44"/>
      <c r="CQ184" s="44"/>
      <c r="CR184" s="99" t="e">
        <f>CT184/CS184</f>
        <v>#DIV/0!</v>
      </c>
      <c r="CS184" s="57">
        <v>0</v>
      </c>
      <c r="CT184" s="57">
        <v>0</v>
      </c>
      <c r="CU184" s="44"/>
      <c r="CV184" s="44"/>
      <c r="CW184" s="99" t="e">
        <f>CY184/CX184</f>
        <v>#DIV/0!</v>
      </c>
      <c r="CX184" s="57">
        <v>0</v>
      </c>
      <c r="CY184" s="57">
        <v>0</v>
      </c>
      <c r="CZ184" s="44"/>
      <c r="DA184" s="44"/>
    </row>
    <row r="185" spans="1:105" ht="15" customHeight="1">
      <c r="A185" s="276"/>
      <c r="B185" s="228"/>
      <c r="C185" s="229"/>
      <c r="D185" s="230" t="s">
        <v>15</v>
      </c>
      <c r="E185" s="27"/>
      <c r="F185" s="108"/>
      <c r="G185" s="57">
        <v>0</v>
      </c>
      <c r="H185" s="57">
        <v>0</v>
      </c>
      <c r="I185" s="44"/>
      <c r="J185" s="86"/>
      <c r="K185" s="108"/>
      <c r="L185" s="57">
        <v>0</v>
      </c>
      <c r="M185" s="57">
        <v>0</v>
      </c>
      <c r="N185" s="44"/>
      <c r="O185" s="86"/>
      <c r="P185" s="108"/>
      <c r="Q185" s="57">
        <v>0</v>
      </c>
      <c r="R185" s="57">
        <v>0</v>
      </c>
      <c r="S185" s="44"/>
      <c r="T185" s="86"/>
      <c r="U185" s="119"/>
      <c r="V185" s="57">
        <v>0</v>
      </c>
      <c r="W185" s="57">
        <v>0</v>
      </c>
      <c r="X185" s="44"/>
      <c r="Y185" s="44"/>
      <c r="Z185" s="96"/>
      <c r="AA185" s="57">
        <v>0</v>
      </c>
      <c r="AB185" s="57">
        <v>0</v>
      </c>
      <c r="AC185" s="44"/>
      <c r="AD185" s="44"/>
      <c r="AE185" s="96"/>
      <c r="AF185" s="57">
        <v>0</v>
      </c>
      <c r="AG185" s="57">
        <v>0</v>
      </c>
      <c r="AH185" s="44"/>
      <c r="AI185" s="44"/>
      <c r="AJ185" s="96"/>
      <c r="AK185" s="57">
        <v>0</v>
      </c>
      <c r="AL185" s="57">
        <v>0</v>
      </c>
      <c r="AM185" s="44"/>
      <c r="AN185" s="44"/>
      <c r="AO185" s="96"/>
      <c r="AP185" s="57">
        <v>0</v>
      </c>
      <c r="AQ185" s="57">
        <v>0</v>
      </c>
      <c r="AR185" s="44"/>
      <c r="AS185" s="44"/>
      <c r="AT185" s="96"/>
      <c r="AU185" s="57">
        <v>0</v>
      </c>
      <c r="AV185" s="57">
        <v>0</v>
      </c>
      <c r="AW185" s="44"/>
      <c r="AX185" s="44"/>
      <c r="AY185" s="96"/>
      <c r="AZ185" s="57">
        <v>0</v>
      </c>
      <c r="BA185" s="57">
        <v>0</v>
      </c>
      <c r="BB185" s="44"/>
      <c r="BC185" s="44"/>
      <c r="BD185" s="96"/>
      <c r="BE185" s="57">
        <v>0</v>
      </c>
      <c r="BF185" s="57">
        <v>0</v>
      </c>
      <c r="BG185" s="44"/>
      <c r="BH185" s="44"/>
      <c r="BI185" s="96"/>
      <c r="BJ185" s="57">
        <v>0</v>
      </c>
      <c r="BK185" s="57">
        <v>0</v>
      </c>
      <c r="BL185" s="44"/>
      <c r="BM185" s="44"/>
      <c r="BN185" s="96"/>
      <c r="BO185" s="57">
        <v>0</v>
      </c>
      <c r="BP185" s="57">
        <v>0</v>
      </c>
      <c r="BQ185" s="44"/>
      <c r="BR185" s="44"/>
      <c r="BS185" s="96"/>
      <c r="BT185" s="57">
        <v>0</v>
      </c>
      <c r="BU185" s="57">
        <v>0</v>
      </c>
      <c r="BV185" s="44"/>
      <c r="BW185" s="44"/>
      <c r="BX185" s="96"/>
      <c r="BY185" s="57">
        <v>0</v>
      </c>
      <c r="BZ185" s="57">
        <v>0</v>
      </c>
      <c r="CA185" s="44"/>
      <c r="CB185" s="44"/>
      <c r="CC185" s="96"/>
      <c r="CD185" s="57">
        <v>0</v>
      </c>
      <c r="CE185" s="57">
        <v>0</v>
      </c>
      <c r="CF185" s="44"/>
      <c r="CG185" s="44"/>
      <c r="CH185" s="96"/>
      <c r="CI185" s="57">
        <v>0</v>
      </c>
      <c r="CJ185" s="57">
        <v>0</v>
      </c>
      <c r="CK185" s="44"/>
      <c r="CL185" s="44"/>
      <c r="CM185" s="96"/>
      <c r="CN185" s="57">
        <v>0</v>
      </c>
      <c r="CO185" s="57">
        <v>0</v>
      </c>
      <c r="CP185" s="44"/>
      <c r="CQ185" s="44"/>
      <c r="CR185" s="96"/>
      <c r="CS185" s="57">
        <v>0</v>
      </c>
      <c r="CT185" s="57">
        <v>0</v>
      </c>
      <c r="CU185" s="44"/>
      <c r="CV185" s="44"/>
      <c r="CW185" s="96"/>
      <c r="CX185" s="57">
        <v>0</v>
      </c>
      <c r="CY185" s="57">
        <v>0</v>
      </c>
      <c r="CZ185" s="44"/>
      <c r="DA185" s="44"/>
    </row>
    <row r="186" spans="1:105" ht="15" customHeight="1">
      <c r="A186" s="276"/>
      <c r="B186" s="228"/>
      <c r="C186" s="229"/>
      <c r="D186" s="230" t="s">
        <v>33</v>
      </c>
      <c r="E186" s="27"/>
      <c r="F186" s="108"/>
      <c r="G186" s="57">
        <v>1</v>
      </c>
      <c r="H186" s="57">
        <v>0</v>
      </c>
      <c r="I186" s="44"/>
      <c r="J186" s="86"/>
      <c r="K186" s="108"/>
      <c r="L186" s="57">
        <v>1</v>
      </c>
      <c r="M186" s="57">
        <v>0</v>
      </c>
      <c r="N186" s="44"/>
      <c r="O186" s="86"/>
      <c r="P186" s="108"/>
      <c r="Q186" s="57">
        <v>1</v>
      </c>
      <c r="R186" s="57">
        <v>0</v>
      </c>
      <c r="S186" s="44"/>
      <c r="T186" s="86"/>
      <c r="U186" s="119"/>
      <c r="V186" s="57">
        <v>1</v>
      </c>
      <c r="W186" s="57">
        <v>0</v>
      </c>
      <c r="X186" s="44"/>
      <c r="Y186" s="44"/>
      <c r="Z186" s="96"/>
      <c r="AA186" s="57">
        <v>1</v>
      </c>
      <c r="AB186" s="57">
        <v>0</v>
      </c>
      <c r="AC186" s="44"/>
      <c r="AD186" s="44"/>
      <c r="AE186" s="96"/>
      <c r="AF186" s="57">
        <v>1</v>
      </c>
      <c r="AG186" s="57">
        <v>0</v>
      </c>
      <c r="AH186" s="44"/>
      <c r="AI186" s="44"/>
      <c r="AJ186" s="96"/>
      <c r="AK186" s="57">
        <v>1</v>
      </c>
      <c r="AL186" s="57">
        <v>0</v>
      </c>
      <c r="AM186" s="44"/>
      <c r="AN186" s="44"/>
      <c r="AO186" s="96"/>
      <c r="AP186" s="57">
        <v>1</v>
      </c>
      <c r="AQ186" s="57">
        <v>0</v>
      </c>
      <c r="AR186" s="44"/>
      <c r="AS186" s="44"/>
      <c r="AT186" s="96"/>
      <c r="AU186" s="57">
        <v>1</v>
      </c>
      <c r="AV186" s="57">
        <v>0</v>
      </c>
      <c r="AW186" s="44"/>
      <c r="AX186" s="44"/>
      <c r="AY186" s="96"/>
      <c r="AZ186" s="57">
        <v>1</v>
      </c>
      <c r="BA186" s="57">
        <v>0</v>
      </c>
      <c r="BB186" s="44"/>
      <c r="BC186" s="44"/>
      <c r="BD186" s="96"/>
      <c r="BE186" s="57">
        <v>1</v>
      </c>
      <c r="BF186" s="57">
        <v>0</v>
      </c>
      <c r="BG186" s="44"/>
      <c r="BH186" s="44"/>
      <c r="BI186" s="96"/>
      <c r="BJ186" s="57">
        <v>1</v>
      </c>
      <c r="BK186" s="57">
        <v>0</v>
      </c>
      <c r="BL186" s="44"/>
      <c r="BM186" s="44"/>
      <c r="BN186" s="96"/>
      <c r="BO186" s="57">
        <v>1</v>
      </c>
      <c r="BP186" s="57">
        <v>0</v>
      </c>
      <c r="BQ186" s="44"/>
      <c r="BR186" s="44"/>
      <c r="BS186" s="96"/>
      <c r="BT186" s="57">
        <v>1</v>
      </c>
      <c r="BU186" s="57">
        <v>0</v>
      </c>
      <c r="BV186" s="44"/>
      <c r="BW186" s="44"/>
      <c r="BX186" s="96"/>
      <c r="BY186" s="57">
        <v>1</v>
      </c>
      <c r="BZ186" s="57">
        <v>0</v>
      </c>
      <c r="CA186" s="44"/>
      <c r="CB186" s="44"/>
      <c r="CC186" s="96"/>
      <c r="CD186" s="57">
        <v>1</v>
      </c>
      <c r="CE186" s="57">
        <v>0</v>
      </c>
      <c r="CF186" s="44"/>
      <c r="CG186" s="44"/>
      <c r="CH186" s="96"/>
      <c r="CI186" s="57">
        <v>1</v>
      </c>
      <c r="CJ186" s="57">
        <v>0</v>
      </c>
      <c r="CK186" s="44"/>
      <c r="CL186" s="44"/>
      <c r="CM186" s="96"/>
      <c r="CN186" s="57">
        <v>1</v>
      </c>
      <c r="CO186" s="57">
        <v>0</v>
      </c>
      <c r="CP186" s="44"/>
      <c r="CQ186" s="44"/>
      <c r="CR186" s="96"/>
      <c r="CS186" s="57">
        <v>1</v>
      </c>
      <c r="CT186" s="57">
        <v>0</v>
      </c>
      <c r="CU186" s="44"/>
      <c r="CV186" s="44"/>
      <c r="CW186" s="96"/>
      <c r="CX186" s="57">
        <v>1</v>
      </c>
      <c r="CY186" s="57">
        <v>0</v>
      </c>
      <c r="CZ186" s="44"/>
      <c r="DA186" s="44"/>
    </row>
    <row r="187" spans="1:105" s="264" customFormat="1" ht="15" customHeight="1" thickBot="1">
      <c r="A187" s="289"/>
      <c r="B187" s="283"/>
      <c r="C187" s="42"/>
      <c r="D187" s="304" t="s">
        <v>17</v>
      </c>
      <c r="E187" s="28"/>
      <c r="F187" s="171" t="e">
        <f>H187/G187</f>
        <v>#DIV/0!</v>
      </c>
      <c r="G187" s="169">
        <v>0</v>
      </c>
      <c r="H187" s="169">
        <v>0</v>
      </c>
      <c r="I187" s="48"/>
      <c r="J187" s="49"/>
      <c r="K187" s="171" t="e">
        <f>M187/L187</f>
        <v>#DIV/0!</v>
      </c>
      <c r="L187" s="169">
        <v>0</v>
      </c>
      <c r="M187" s="169">
        <v>0</v>
      </c>
      <c r="N187" s="48"/>
      <c r="O187" s="49"/>
      <c r="P187" s="171" t="e">
        <f>R187/Q187</f>
        <v>#DIV/0!</v>
      </c>
      <c r="Q187" s="169">
        <v>0</v>
      </c>
      <c r="R187" s="169">
        <v>0</v>
      </c>
      <c r="S187" s="48"/>
      <c r="T187" s="49"/>
      <c r="U187" s="321" t="e">
        <f>W187/V187</f>
        <v>#DIV/0!</v>
      </c>
      <c r="V187" s="169">
        <v>0</v>
      </c>
      <c r="W187" s="169">
        <v>0</v>
      </c>
      <c r="X187" s="48"/>
      <c r="Y187" s="48"/>
      <c r="Z187" s="305" t="e">
        <f>AB187/AA187</f>
        <v>#DIV/0!</v>
      </c>
      <c r="AA187" s="169">
        <v>0</v>
      </c>
      <c r="AB187" s="169">
        <v>0</v>
      </c>
      <c r="AC187" s="48"/>
      <c r="AD187" s="48"/>
      <c r="AE187" s="305" t="e">
        <f>AG187/AF187</f>
        <v>#DIV/0!</v>
      </c>
      <c r="AF187" s="169">
        <v>0</v>
      </c>
      <c r="AG187" s="169">
        <v>0</v>
      </c>
      <c r="AH187" s="48"/>
      <c r="AI187" s="48"/>
      <c r="AJ187" s="305" t="e">
        <f>AL187/AK187</f>
        <v>#DIV/0!</v>
      </c>
      <c r="AK187" s="169">
        <v>0</v>
      </c>
      <c r="AL187" s="169">
        <v>0</v>
      </c>
      <c r="AM187" s="48"/>
      <c r="AN187" s="48"/>
      <c r="AO187" s="305" t="e">
        <f>AQ187/AP187</f>
        <v>#DIV/0!</v>
      </c>
      <c r="AP187" s="169">
        <v>0</v>
      </c>
      <c r="AQ187" s="169">
        <v>0</v>
      </c>
      <c r="AR187" s="48"/>
      <c r="AS187" s="48"/>
      <c r="AT187" s="305" t="e">
        <f>AV187/AU187</f>
        <v>#DIV/0!</v>
      </c>
      <c r="AU187" s="169">
        <v>0</v>
      </c>
      <c r="AV187" s="169">
        <v>0</v>
      </c>
      <c r="AW187" s="48"/>
      <c r="AX187" s="48"/>
      <c r="AY187" s="305" t="e">
        <f>BA187/AZ187</f>
        <v>#DIV/0!</v>
      </c>
      <c r="AZ187" s="169">
        <v>0</v>
      </c>
      <c r="BA187" s="169">
        <v>0</v>
      </c>
      <c r="BB187" s="48"/>
      <c r="BC187" s="48"/>
      <c r="BD187" s="305" t="e">
        <f>BF187/BE187</f>
        <v>#DIV/0!</v>
      </c>
      <c r="BE187" s="169">
        <v>0</v>
      </c>
      <c r="BF187" s="169">
        <v>0</v>
      </c>
      <c r="BG187" s="48"/>
      <c r="BH187" s="48"/>
      <c r="BI187" s="305" t="e">
        <f>BK187/BJ187</f>
        <v>#DIV/0!</v>
      </c>
      <c r="BJ187" s="169">
        <v>0</v>
      </c>
      <c r="BK187" s="169">
        <v>0</v>
      </c>
      <c r="BL187" s="48"/>
      <c r="BM187" s="48"/>
      <c r="BN187" s="305" t="e">
        <f>BP187/BO187</f>
        <v>#DIV/0!</v>
      </c>
      <c r="BO187" s="169">
        <v>0</v>
      </c>
      <c r="BP187" s="169">
        <v>0</v>
      </c>
      <c r="BQ187" s="48"/>
      <c r="BR187" s="48"/>
      <c r="BS187" s="305" t="e">
        <f>BU187/BT187</f>
        <v>#DIV/0!</v>
      </c>
      <c r="BT187" s="169">
        <v>0</v>
      </c>
      <c r="BU187" s="169">
        <v>0</v>
      </c>
      <c r="BV187" s="48"/>
      <c r="BW187" s="48"/>
      <c r="BX187" s="305" t="e">
        <f>BZ187/BY187</f>
        <v>#DIV/0!</v>
      </c>
      <c r="BY187" s="169">
        <v>0</v>
      </c>
      <c r="BZ187" s="169">
        <v>0</v>
      </c>
      <c r="CA187" s="48"/>
      <c r="CB187" s="48"/>
      <c r="CC187" s="305" t="e">
        <f>CE187/CD187</f>
        <v>#DIV/0!</v>
      </c>
      <c r="CD187" s="169">
        <v>0</v>
      </c>
      <c r="CE187" s="169">
        <v>0</v>
      </c>
      <c r="CF187" s="48"/>
      <c r="CG187" s="48"/>
      <c r="CH187" s="305" t="e">
        <f>CJ187/CI187</f>
        <v>#DIV/0!</v>
      </c>
      <c r="CI187" s="169">
        <v>0</v>
      </c>
      <c r="CJ187" s="169">
        <v>0</v>
      </c>
      <c r="CK187" s="48"/>
      <c r="CL187" s="48"/>
      <c r="CM187" s="305" t="e">
        <f>CO187/CN187</f>
        <v>#DIV/0!</v>
      </c>
      <c r="CN187" s="169">
        <v>0</v>
      </c>
      <c r="CO187" s="169">
        <v>0</v>
      </c>
      <c r="CP187" s="48"/>
      <c r="CQ187" s="48"/>
      <c r="CR187" s="305" t="e">
        <f>CT187/CS187</f>
        <v>#DIV/0!</v>
      </c>
      <c r="CS187" s="169">
        <v>0</v>
      </c>
      <c r="CT187" s="169">
        <v>0</v>
      </c>
      <c r="CU187" s="48"/>
      <c r="CV187" s="48"/>
      <c r="CW187" s="305" t="e">
        <f>CY187/CX187</f>
        <v>#DIV/0!</v>
      </c>
      <c r="CX187" s="169">
        <v>0</v>
      </c>
      <c r="CY187" s="169">
        <v>0</v>
      </c>
      <c r="CZ187" s="48"/>
      <c r="DA187" s="48"/>
    </row>
    <row r="188" spans="1:105" s="249" customFormat="1" ht="15" customHeight="1">
      <c r="A188" s="265" t="s">
        <v>323</v>
      </c>
      <c r="B188" s="5" t="s">
        <v>105</v>
      </c>
      <c r="C188" s="6" t="s">
        <v>25</v>
      </c>
      <c r="D188" s="7" t="s">
        <v>10</v>
      </c>
      <c r="E188" s="4"/>
      <c r="F188" s="196"/>
      <c r="G188" s="197"/>
      <c r="H188" s="197"/>
      <c r="I188" s="38"/>
      <c r="J188" s="206"/>
      <c r="K188" s="196"/>
      <c r="L188" s="197"/>
      <c r="M188" s="197"/>
      <c r="N188" s="38"/>
      <c r="O188" s="206"/>
      <c r="P188" s="196"/>
      <c r="Q188" s="197"/>
      <c r="R188" s="197"/>
      <c r="S188" s="38"/>
      <c r="T188" s="206"/>
      <c r="U188" s="207"/>
      <c r="V188" s="197"/>
      <c r="W188" s="204">
        <v>2024</v>
      </c>
      <c r="X188" s="38"/>
      <c r="Y188" s="384">
        <f>SUM(W188:W192)*1.1</f>
        <v>300629.27399999998</v>
      </c>
      <c r="Z188" s="36"/>
      <c r="AA188" s="197"/>
      <c r="AB188" s="204">
        <v>1518</v>
      </c>
      <c r="AC188" s="38"/>
      <c r="AD188" s="384">
        <f>SUM(AB188:AB192)*1.1</f>
        <v>256404.698</v>
      </c>
      <c r="AE188" s="36"/>
      <c r="AF188" s="204"/>
      <c r="AG188" s="204">
        <v>2530</v>
      </c>
      <c r="AH188" s="427"/>
      <c r="AI188" s="384">
        <f>AI189*1.1</f>
        <v>286229.174</v>
      </c>
      <c r="AJ188" s="36"/>
      <c r="AK188" s="204"/>
      <c r="AL188" s="204">
        <v>2024</v>
      </c>
      <c r="AM188" s="427"/>
      <c r="AN188" s="384">
        <f>AN189*1.2</f>
        <v>351243.38400000002</v>
      </c>
      <c r="AO188" s="36"/>
      <c r="AP188" s="197"/>
      <c r="AQ188" s="197"/>
      <c r="AR188" s="38"/>
      <c r="AS188" s="384">
        <f>SUM(AQ188:AQ192)*1.1</f>
        <v>397624.17199999996</v>
      </c>
      <c r="AT188" s="36"/>
      <c r="AU188" s="197"/>
      <c r="AV188" s="197"/>
      <c r="AW188" s="38"/>
      <c r="AX188" s="384">
        <f>SUM(AV188:AV192)*1.1</f>
        <v>467061.33100000001</v>
      </c>
      <c r="AY188" s="36"/>
      <c r="AZ188" s="197"/>
      <c r="BA188" s="197"/>
      <c r="BB188" s="38"/>
      <c r="BC188" s="384">
        <f>SUM(BA188:BA192)*1.1</f>
        <v>408773.65100000001</v>
      </c>
      <c r="BD188" s="36"/>
      <c r="BE188" s="197"/>
      <c r="BF188" s="197"/>
      <c r="BG188" s="38"/>
      <c r="BH188" s="384">
        <f>SUM(BF188:BF192)*1.1</f>
        <v>400750.658</v>
      </c>
      <c r="BI188" s="36"/>
      <c r="BJ188" s="197"/>
      <c r="BK188" s="197"/>
      <c r="BL188" s="38"/>
      <c r="BM188" s="384">
        <f>SUM(BK188:BK192)*1.1</f>
        <v>452906.179</v>
      </c>
      <c r="BN188" s="36"/>
      <c r="BO188" s="197"/>
      <c r="BP188" s="197"/>
      <c r="BQ188" s="38"/>
      <c r="BR188" s="384">
        <f>SUM(BP188:BP192)*1.1</f>
        <v>386275.14200000005</v>
      </c>
      <c r="BS188" s="36"/>
      <c r="BT188" s="197"/>
      <c r="BU188" s="197"/>
      <c r="BV188" s="38"/>
      <c r="BW188" s="384">
        <f>SUM(BU188:BU192)*1.1</f>
        <v>246074.70800000001</v>
      </c>
      <c r="BX188" s="36"/>
      <c r="BY188" s="197"/>
      <c r="BZ188" s="197"/>
      <c r="CA188" s="38"/>
      <c r="CB188" s="384">
        <f>SUM(BZ188:BZ192)*1.1</f>
        <v>246074.70800000001</v>
      </c>
      <c r="CC188" s="36"/>
      <c r="CD188" s="197"/>
      <c r="CE188" s="197"/>
      <c r="CF188" s="38"/>
      <c r="CG188" s="384">
        <f>SUM(CE188:CE192)*1.1</f>
        <v>246074.70800000001</v>
      </c>
      <c r="CH188" s="36"/>
      <c r="CI188" s="197"/>
      <c r="CJ188" s="197"/>
      <c r="CK188" s="38"/>
      <c r="CL188" s="384">
        <f>SUM(CJ188:CJ192)*1.1</f>
        <v>246074.70800000001</v>
      </c>
      <c r="CM188" s="36"/>
      <c r="CN188" s="197"/>
      <c r="CO188" s="197"/>
      <c r="CP188" s="38"/>
      <c r="CQ188" s="384">
        <f>SUM(CO188:CO192)*1.1</f>
        <v>246074.70800000001</v>
      </c>
      <c r="CR188" s="36"/>
      <c r="CS188" s="197"/>
      <c r="CT188" s="197"/>
      <c r="CU188" s="38"/>
      <c r="CV188" s="384">
        <f>SUM(CT188:CT192)*1.1</f>
        <v>246074.70800000001</v>
      </c>
      <c r="CW188" s="36"/>
      <c r="CX188" s="197"/>
      <c r="CY188" s="197"/>
      <c r="CZ188" s="38"/>
      <c r="DA188" s="384">
        <f>SUM(CY188:CY192)*1.1</f>
        <v>246074.70800000001</v>
      </c>
    </row>
    <row r="189" spans="1:105" ht="15" customHeight="1">
      <c r="A189" s="256" t="s">
        <v>359</v>
      </c>
      <c r="B189" s="215">
        <v>43126453</v>
      </c>
      <c r="C189" s="45" t="s">
        <v>436</v>
      </c>
      <c r="D189" s="216" t="s">
        <v>13</v>
      </c>
      <c r="E189" s="22"/>
      <c r="F189" s="104">
        <f>H189/G189</f>
        <v>5.7989162028855539</v>
      </c>
      <c r="G189" s="74">
        <v>37913</v>
      </c>
      <c r="H189" s="74">
        <v>219854.31</v>
      </c>
      <c r="I189" s="81"/>
      <c r="J189" s="88"/>
      <c r="K189" s="104">
        <f>M189/L189</f>
        <v>5.8685160187706389</v>
      </c>
      <c r="L189" s="74">
        <v>34522</v>
      </c>
      <c r="M189" s="74">
        <v>202592.91</v>
      </c>
      <c r="N189" s="81"/>
      <c r="O189" s="88"/>
      <c r="P189" s="104">
        <f>R189/Q189</f>
        <v>5.5922880880778836</v>
      </c>
      <c r="Q189" s="74">
        <v>39238</v>
      </c>
      <c r="R189" s="74">
        <v>219430.2</v>
      </c>
      <c r="S189" s="81"/>
      <c r="T189" s="88"/>
      <c r="U189" s="115">
        <f>W189/V189</f>
        <v>5.7964559046587212</v>
      </c>
      <c r="V189" s="74">
        <v>46150</v>
      </c>
      <c r="W189" s="372">
        <v>267506.44</v>
      </c>
      <c r="X189" s="81"/>
      <c r="Y189" s="403">
        <f>SUM(W188:W192)*1</f>
        <v>273299.33999999997</v>
      </c>
      <c r="Z189" s="92">
        <f>AB189/AA189</f>
        <v>5.3263801010857357</v>
      </c>
      <c r="AA189" s="74">
        <v>42736</v>
      </c>
      <c r="AB189" s="74">
        <v>227628.18</v>
      </c>
      <c r="AC189" s="81"/>
      <c r="AD189" s="403">
        <f>SUM(AB188:AB192)*1</f>
        <v>233095.18</v>
      </c>
      <c r="AE189" s="92">
        <f>AG189/AF189</f>
        <v>6.6892076596418111</v>
      </c>
      <c r="AF189" s="74">
        <v>37913</v>
      </c>
      <c r="AG189" s="74">
        <v>253607.93</v>
      </c>
      <c r="AH189" s="81"/>
      <c r="AI189" s="403">
        <f>SUM(AG188:AG192)*1</f>
        <v>260208.34</v>
      </c>
      <c r="AJ189" s="92">
        <f>AL189/AK189</f>
        <v>5.7478199947731339</v>
      </c>
      <c r="AK189" s="74">
        <v>49743</v>
      </c>
      <c r="AL189" s="74">
        <v>285913.81</v>
      </c>
      <c r="AM189" s="81"/>
      <c r="AN189" s="403">
        <f>SUM(AL188:AL192)*1</f>
        <v>292702.82</v>
      </c>
      <c r="AO189" s="92">
        <f>AQ189/AP189</f>
        <v>6.8830320092556878</v>
      </c>
      <c r="AP189" s="74">
        <v>51860</v>
      </c>
      <c r="AQ189" s="74">
        <v>356954.04</v>
      </c>
      <c r="AR189" s="81"/>
      <c r="AS189" s="403">
        <f>SUM(AQ188:AQ192)+AR192*1</f>
        <v>407803.75999999995</v>
      </c>
      <c r="AT189" s="92">
        <f>AV189/AU189</f>
        <v>7.5443437454964686</v>
      </c>
      <c r="AU189" s="74">
        <v>55512</v>
      </c>
      <c r="AV189" s="74">
        <v>418801.61</v>
      </c>
      <c r="AW189" s="81"/>
      <c r="AX189" s="403">
        <f>SUM(AV188:AV192)*1</f>
        <v>424601.20999999996</v>
      </c>
      <c r="AY189" s="92">
        <f>BA189/AZ189</f>
        <v>5.6198278084343656</v>
      </c>
      <c r="AZ189" s="74">
        <v>49654</v>
      </c>
      <c r="BA189" s="134">
        <v>279046.93</v>
      </c>
      <c r="BB189" s="81"/>
      <c r="BC189" s="403">
        <f>SUM(BA188:BA192)+BB191*1</f>
        <v>396821.69999999995</v>
      </c>
      <c r="BD189" s="92">
        <f>BF189/BE189</f>
        <v>5.7303479925905894</v>
      </c>
      <c r="BE189" s="74">
        <v>48047</v>
      </c>
      <c r="BF189" s="134">
        <v>275326.03000000003</v>
      </c>
      <c r="BG189" s="81"/>
      <c r="BH189" s="403">
        <f>SUM(BF188:BF192)*1</f>
        <v>364318.77999999997</v>
      </c>
      <c r="BI189" s="92">
        <f>BK189/BJ189</f>
        <v>5.9988230859926164</v>
      </c>
      <c r="BJ189" s="74">
        <v>51737</v>
      </c>
      <c r="BK189" s="134">
        <v>310361.11</v>
      </c>
      <c r="BL189" s="81" t="s">
        <v>377</v>
      </c>
      <c r="BM189" s="403">
        <f>SUM(BK188:BK192)*1</f>
        <v>411732.88999999996</v>
      </c>
      <c r="BN189" s="92">
        <f>BP189/BO189</f>
        <v>5.6274486770257788</v>
      </c>
      <c r="BO189" s="74">
        <v>61717</v>
      </c>
      <c r="BP189" s="74">
        <v>347309.25</v>
      </c>
      <c r="BQ189" s="44"/>
      <c r="BR189" s="403">
        <f>SUM(BP188:BP192)*1</f>
        <v>351159.22000000003</v>
      </c>
      <c r="BS189" s="92">
        <f>BU189/BT189</f>
        <v>3.5426089268449887</v>
      </c>
      <c r="BT189" s="57">
        <v>62060</v>
      </c>
      <c r="BU189" s="57">
        <v>219854.31</v>
      </c>
      <c r="BV189" s="44"/>
      <c r="BW189" s="403">
        <f>SUM(BU188:BU192)*1</f>
        <v>223704.28</v>
      </c>
      <c r="BX189" s="92">
        <f>BZ189/BY189</f>
        <v>5.7989162028855539</v>
      </c>
      <c r="BY189" s="57">
        <v>37913</v>
      </c>
      <c r="BZ189" s="57">
        <v>219854.31</v>
      </c>
      <c r="CA189" s="372">
        <v>263354</v>
      </c>
      <c r="CB189" s="403">
        <f>SUM(BZ188:BZ192)*1</f>
        <v>223704.28</v>
      </c>
      <c r="CC189" s="92">
        <f>CE189/CD189</f>
        <v>5.7989162028855539</v>
      </c>
      <c r="CD189" s="57">
        <v>37913</v>
      </c>
      <c r="CE189" s="57">
        <v>219854.31</v>
      </c>
      <c r="CF189" s="44"/>
      <c r="CG189" s="403">
        <f>SUM(CE188:CE192)*1</f>
        <v>223704.28</v>
      </c>
      <c r="CH189" s="92">
        <f>CJ189/CI189</f>
        <v>5.7989162028855539</v>
      </c>
      <c r="CI189" s="57">
        <v>37913</v>
      </c>
      <c r="CJ189" s="57">
        <v>219854.31</v>
      </c>
      <c r="CK189" s="44"/>
      <c r="CL189" s="403">
        <f>SUM(CJ188:CJ192)*1</f>
        <v>223704.28</v>
      </c>
      <c r="CM189" s="92">
        <f>CO189/CN189</f>
        <v>5.7989162028855539</v>
      </c>
      <c r="CN189" s="57">
        <v>37913</v>
      </c>
      <c r="CO189" s="57">
        <v>219854.31</v>
      </c>
      <c r="CP189" s="44"/>
      <c r="CQ189" s="403">
        <f>SUM(CO188:CO192)*1</f>
        <v>223704.28</v>
      </c>
      <c r="CR189" s="92">
        <f>CT189/CS189</f>
        <v>5.7989162028855539</v>
      </c>
      <c r="CS189" s="57">
        <v>37913</v>
      </c>
      <c r="CT189" s="57">
        <v>219854.31</v>
      </c>
      <c r="CU189" s="44"/>
      <c r="CV189" s="403">
        <f>SUM(CT188:CT192)*1</f>
        <v>223704.28</v>
      </c>
      <c r="CW189" s="92">
        <f>CY189/CX189</f>
        <v>5.7989162028855539</v>
      </c>
      <c r="CX189" s="57">
        <v>37913</v>
      </c>
      <c r="CY189" s="57">
        <v>219854.31</v>
      </c>
      <c r="CZ189" s="44"/>
      <c r="DA189" s="403">
        <f>SUM(CY188:CY192)*1</f>
        <v>223704.28</v>
      </c>
    </row>
    <row r="190" spans="1:105" ht="15" customHeight="1">
      <c r="A190" s="256"/>
      <c r="B190" s="215"/>
      <c r="C190" s="45"/>
      <c r="D190" s="216" t="s">
        <v>15</v>
      </c>
      <c r="E190" s="22"/>
      <c r="F190" s="103"/>
      <c r="G190" s="74">
        <v>1</v>
      </c>
      <c r="H190" s="74">
        <v>644.94000000000005</v>
      </c>
      <c r="I190" s="81"/>
      <c r="J190" s="88"/>
      <c r="K190" s="103"/>
      <c r="L190" s="74">
        <v>1</v>
      </c>
      <c r="M190" s="74">
        <v>538.21</v>
      </c>
      <c r="N190" s="81"/>
      <c r="O190" s="88"/>
      <c r="P190" s="103"/>
      <c r="Q190" s="74">
        <v>1</v>
      </c>
      <c r="R190" s="74">
        <v>604.04</v>
      </c>
      <c r="S190" s="81"/>
      <c r="T190" s="88"/>
      <c r="U190" s="47"/>
      <c r="V190" s="74">
        <v>1</v>
      </c>
      <c r="W190" s="74">
        <v>754.24</v>
      </c>
      <c r="X190" s="81"/>
      <c r="Y190" s="81"/>
      <c r="Z190" s="46"/>
      <c r="AA190" s="74">
        <v>14628</v>
      </c>
      <c r="AB190" s="74">
        <v>737.95</v>
      </c>
      <c r="AC190" s="81"/>
      <c r="AD190" s="81"/>
      <c r="AE190" s="46"/>
      <c r="AF190" s="74">
        <v>1</v>
      </c>
      <c r="AG190" s="74">
        <v>861.56</v>
      </c>
      <c r="AH190" s="81"/>
      <c r="AI190" s="81"/>
      <c r="AJ190" s="46"/>
      <c r="AK190" s="74">
        <v>12006</v>
      </c>
      <c r="AL190" s="74">
        <v>1038.52</v>
      </c>
      <c r="AM190" s="81"/>
      <c r="AN190" s="81"/>
      <c r="AO190" s="46"/>
      <c r="AP190" s="74">
        <v>12030</v>
      </c>
      <c r="AQ190" s="74">
        <v>1109.44</v>
      </c>
      <c r="AR190" s="81"/>
      <c r="AS190" s="81"/>
      <c r="AT190" s="46"/>
      <c r="AU190" s="74">
        <v>14628</v>
      </c>
      <c r="AV190" s="74">
        <v>1382.16</v>
      </c>
      <c r="AW190" s="81"/>
      <c r="AX190" s="81"/>
      <c r="AY190" s="46"/>
      <c r="AZ190" s="74">
        <v>1</v>
      </c>
      <c r="BA190" s="134">
        <v>1280.3499999999999</v>
      </c>
      <c r="BB190" s="81"/>
      <c r="BC190" s="81"/>
      <c r="BD190" s="46"/>
      <c r="BE190" s="74">
        <v>1</v>
      </c>
      <c r="BF190" s="74">
        <v>985.72</v>
      </c>
      <c r="BG190" s="81"/>
      <c r="BH190" s="81"/>
      <c r="BI190" s="46"/>
      <c r="BJ190" s="74">
        <v>14628</v>
      </c>
      <c r="BK190" s="74">
        <v>1073.48</v>
      </c>
      <c r="BL190" s="81"/>
      <c r="BM190" s="81"/>
      <c r="BN190" s="46"/>
      <c r="BO190" s="57">
        <v>14628</v>
      </c>
      <c r="BP190" s="57">
        <v>644.94000000000005</v>
      </c>
      <c r="BQ190" s="44"/>
      <c r="BR190" s="81"/>
      <c r="BS190" s="46"/>
      <c r="BT190" s="57">
        <v>14628</v>
      </c>
      <c r="BU190" s="57">
        <v>644.94000000000005</v>
      </c>
      <c r="BV190" s="44"/>
      <c r="BW190" s="81"/>
      <c r="BX190" s="46"/>
      <c r="BY190" s="57">
        <v>14628</v>
      </c>
      <c r="BZ190" s="57">
        <v>644.94000000000005</v>
      </c>
      <c r="CA190" s="44"/>
      <c r="CB190" s="81"/>
      <c r="CC190" s="46"/>
      <c r="CD190" s="57">
        <v>14628</v>
      </c>
      <c r="CE190" s="57">
        <v>644.94000000000005</v>
      </c>
      <c r="CF190" s="44"/>
      <c r="CG190" s="81"/>
      <c r="CH190" s="46"/>
      <c r="CI190" s="57">
        <v>14628</v>
      </c>
      <c r="CJ190" s="57">
        <v>644.94000000000005</v>
      </c>
      <c r="CK190" s="44"/>
      <c r="CL190" s="81"/>
      <c r="CM190" s="46"/>
      <c r="CN190" s="57">
        <v>14628</v>
      </c>
      <c r="CO190" s="57">
        <v>644.94000000000005</v>
      </c>
      <c r="CP190" s="44"/>
      <c r="CQ190" s="81"/>
      <c r="CR190" s="46"/>
      <c r="CS190" s="57">
        <v>14628</v>
      </c>
      <c r="CT190" s="57">
        <v>644.94000000000005</v>
      </c>
      <c r="CU190" s="44"/>
      <c r="CV190" s="81"/>
      <c r="CW190" s="46"/>
      <c r="CX190" s="57">
        <v>14628</v>
      </c>
      <c r="CY190" s="57">
        <v>644.94000000000005</v>
      </c>
      <c r="CZ190" s="44"/>
      <c r="DA190" s="81"/>
    </row>
    <row r="191" spans="1:105" ht="15" customHeight="1">
      <c r="A191" s="256" t="s">
        <v>360</v>
      </c>
      <c r="B191" s="215"/>
      <c r="C191" s="45"/>
      <c r="D191" s="216" t="s">
        <v>345</v>
      </c>
      <c r="E191" s="22"/>
      <c r="F191" s="103"/>
      <c r="G191" s="74"/>
      <c r="H191" s="74"/>
      <c r="I191" s="81"/>
      <c r="J191" s="88"/>
      <c r="K191" s="103"/>
      <c r="L191" s="74"/>
      <c r="M191" s="74"/>
      <c r="N191" s="81"/>
      <c r="O191" s="88"/>
      <c r="P191" s="103"/>
      <c r="Q191" s="74"/>
      <c r="R191" s="74"/>
      <c r="S191" s="81"/>
      <c r="T191" s="88"/>
      <c r="U191" s="47"/>
      <c r="V191" s="74"/>
      <c r="W191" s="74"/>
      <c r="X191" s="81"/>
      <c r="Y191" s="81"/>
      <c r="Z191" s="46"/>
      <c r="AA191" s="74"/>
      <c r="AB191" s="74"/>
      <c r="AC191" s="81"/>
      <c r="AD191" s="81"/>
      <c r="AE191" s="46"/>
      <c r="AF191" s="74"/>
      <c r="AG191" s="74"/>
      <c r="AH191" s="81"/>
      <c r="AI191" s="81"/>
      <c r="AJ191" s="46"/>
      <c r="AK191" s="74"/>
      <c r="AL191" s="74"/>
      <c r="AM191" s="81"/>
      <c r="AN191" s="81"/>
      <c r="AO191" s="46"/>
      <c r="AP191" s="74"/>
      <c r="AQ191" s="74"/>
      <c r="AR191" s="81"/>
      <c r="AS191" s="81"/>
      <c r="AT191" s="46"/>
      <c r="AU191" s="74"/>
      <c r="AV191" s="74"/>
      <c r="AW191" s="81"/>
      <c r="AX191" s="81"/>
      <c r="AY191" s="46">
        <f>BA191/AZ191</f>
        <v>1.7406122366778105</v>
      </c>
      <c r="AZ191" s="74">
        <v>49654</v>
      </c>
      <c r="BA191" s="74">
        <v>86428.36</v>
      </c>
      <c r="BB191" s="81">
        <v>25209.29</v>
      </c>
      <c r="BC191" s="81"/>
      <c r="BD191" s="46">
        <f>BF191/BE191</f>
        <v>1.7406119008470871</v>
      </c>
      <c r="BE191" s="522">
        <v>48047</v>
      </c>
      <c r="BF191" s="524">
        <v>83631.179999999993</v>
      </c>
      <c r="BG191" s="81">
        <f>75767.1+28620.89+7864.08</f>
        <v>112252.07</v>
      </c>
      <c r="BH191" s="81"/>
      <c r="BI191" s="46">
        <f>BK191/BJ191</f>
        <v>1.7406121344492336</v>
      </c>
      <c r="BJ191" s="522">
        <v>51737</v>
      </c>
      <c r="BK191" s="522">
        <v>90054.05</v>
      </c>
      <c r="BL191" s="44"/>
      <c r="BM191" s="81"/>
      <c r="BN191" s="46">
        <v>1.7406121344492336</v>
      </c>
      <c r="BO191" s="74">
        <v>61717</v>
      </c>
      <c r="BP191" s="57"/>
      <c r="BQ191" s="44"/>
      <c r="BR191" s="81"/>
      <c r="BS191" s="46"/>
      <c r="BT191" s="57"/>
      <c r="BU191" s="57"/>
      <c r="BV191" s="44"/>
      <c r="BW191" s="81"/>
      <c r="BX191" s="46"/>
      <c r="BY191" s="57"/>
      <c r="BZ191" s="57"/>
      <c r="CA191" s="44"/>
      <c r="CB191" s="81"/>
      <c r="CC191" s="46"/>
      <c r="CD191" s="57"/>
      <c r="CE191" s="57"/>
      <c r="CF191" s="44"/>
      <c r="CG191" s="81"/>
      <c r="CH191" s="46"/>
      <c r="CI191" s="57"/>
      <c r="CJ191" s="57"/>
      <c r="CK191" s="44"/>
      <c r="CL191" s="81"/>
      <c r="CM191" s="46"/>
      <c r="CN191" s="57"/>
      <c r="CO191" s="57"/>
      <c r="CP191" s="44"/>
      <c r="CQ191" s="81"/>
      <c r="CR191" s="46"/>
      <c r="CS191" s="57"/>
      <c r="CT191" s="57"/>
      <c r="CU191" s="44"/>
      <c r="CV191" s="81"/>
      <c r="CW191" s="46"/>
      <c r="CX191" s="57"/>
      <c r="CY191" s="57"/>
      <c r="CZ191" s="44"/>
      <c r="DA191" s="81"/>
    </row>
    <row r="192" spans="1:105" s="264" customFormat="1" ht="15" customHeight="1" thickBot="1">
      <c r="A192" s="257"/>
      <c r="B192" s="258"/>
      <c r="C192" s="20"/>
      <c r="D192" s="259" t="s">
        <v>17</v>
      </c>
      <c r="E192" s="23"/>
      <c r="F192" s="168">
        <f>H192/G192</f>
        <v>37.706235294117647</v>
      </c>
      <c r="G192" s="170">
        <v>85</v>
      </c>
      <c r="H192" s="170">
        <f>(1315.8+1889.23)</f>
        <v>3205.0299999999997</v>
      </c>
      <c r="I192" s="179"/>
      <c r="J192" s="182"/>
      <c r="K192" s="168">
        <f>M192/L192</f>
        <v>37.841323529411767</v>
      </c>
      <c r="L192" s="170">
        <v>68</v>
      </c>
      <c r="M192" s="170">
        <f>(1052.64+1520.57)</f>
        <v>2573.21</v>
      </c>
      <c r="N192" s="179"/>
      <c r="O192" s="182"/>
      <c r="P192" s="168">
        <f>R192/Q192</f>
        <v>30.232117647058825</v>
      </c>
      <c r="Q192" s="170">
        <v>85</v>
      </c>
      <c r="R192" s="170">
        <f>(1052.64+1517.09)</f>
        <v>2569.73</v>
      </c>
      <c r="S192" s="179"/>
      <c r="T192" s="182"/>
      <c r="U192" s="209">
        <f>W192/V192</f>
        <v>31.078969072164949</v>
      </c>
      <c r="V192" s="170">
        <v>97</v>
      </c>
      <c r="W192" s="170">
        <v>3014.66</v>
      </c>
      <c r="X192" s="179"/>
      <c r="Y192" s="179"/>
      <c r="Z192" s="3">
        <f>AB192/AA192</f>
        <v>37.777058823529416</v>
      </c>
      <c r="AA192" s="170">
        <v>85</v>
      </c>
      <c r="AB192" s="170">
        <f>(1315.8+1895.25)</f>
        <v>3211.05</v>
      </c>
      <c r="AC192" s="179"/>
      <c r="AD192" s="179"/>
      <c r="AE192" s="3">
        <f>AG192/AF192</f>
        <v>37.751176470588234</v>
      </c>
      <c r="AF192" s="170">
        <v>85</v>
      </c>
      <c r="AG192" s="170">
        <f>(1284.84+1924.01)</f>
        <v>3208.85</v>
      </c>
      <c r="AH192" s="179"/>
      <c r="AI192" s="179"/>
      <c r="AJ192" s="3">
        <f>AL192/AK192</f>
        <v>37.641313131313126</v>
      </c>
      <c r="AK192" s="170">
        <v>99</v>
      </c>
      <c r="AL192" s="170">
        <f>(1532.52+2193.97)</f>
        <v>3726.49</v>
      </c>
      <c r="AM192" s="179"/>
      <c r="AN192" s="179"/>
      <c r="AO192" s="3">
        <f>AQ192/AP192</f>
        <v>37.922666666666665</v>
      </c>
      <c r="AP192" s="170">
        <v>90</v>
      </c>
      <c r="AQ192" s="170">
        <f>(1393.2+2019.84)</f>
        <v>3413.04</v>
      </c>
      <c r="AR192" s="179">
        <v>46327.24</v>
      </c>
      <c r="AS192" s="179"/>
      <c r="AT192" s="3">
        <f>AV192/AU192</f>
        <v>38.081379310344829</v>
      </c>
      <c r="AU192" s="170">
        <v>116</v>
      </c>
      <c r="AV192" s="170">
        <f>(1795.68+2621.76)</f>
        <v>4417.4400000000005</v>
      </c>
      <c r="AW192" s="179"/>
      <c r="AX192" s="179"/>
      <c r="AY192" s="3">
        <f>BA192/AZ192</f>
        <v>37.649379844961246</v>
      </c>
      <c r="AZ192" s="170">
        <v>129</v>
      </c>
      <c r="BA192" s="170">
        <f>1996.92+2859.85</f>
        <v>4856.7700000000004</v>
      </c>
      <c r="BB192" s="179"/>
      <c r="BC192" s="179"/>
      <c r="BD192" s="3">
        <f>BF192/BE192</f>
        <v>37.722844827586208</v>
      </c>
      <c r="BE192" s="170">
        <v>116</v>
      </c>
      <c r="BF192" s="170">
        <f>(1834.5+2541.35)</f>
        <v>4375.8500000000004</v>
      </c>
      <c r="BG192" s="179"/>
      <c r="BH192" s="179"/>
      <c r="BI192" s="3">
        <f>BK192/BJ192</f>
        <v>86.086134453781511</v>
      </c>
      <c r="BJ192" s="170">
        <v>119</v>
      </c>
      <c r="BK192" s="170">
        <f>(1842.12+2658.37)+5743.76</f>
        <v>10244.25</v>
      </c>
      <c r="BL192" s="179"/>
      <c r="BM192" s="179"/>
      <c r="BN192" s="3">
        <f>BP192/BO192</f>
        <v>37.706235294117647</v>
      </c>
      <c r="BO192" s="169">
        <v>85</v>
      </c>
      <c r="BP192" s="169">
        <f>(1315.8+1889.23)</f>
        <v>3205.0299999999997</v>
      </c>
      <c r="BQ192" s="48"/>
      <c r="BR192" s="179"/>
      <c r="BS192" s="3">
        <f>BU192/BT192</f>
        <v>37.706235294117647</v>
      </c>
      <c r="BT192" s="169">
        <v>85</v>
      </c>
      <c r="BU192" s="169">
        <f>(1315.8+1889.23)</f>
        <v>3205.0299999999997</v>
      </c>
      <c r="BV192" s="48"/>
      <c r="BW192" s="179"/>
      <c r="BX192" s="3">
        <f>BZ192/BY192</f>
        <v>37.706235294117647</v>
      </c>
      <c r="BY192" s="169">
        <v>85</v>
      </c>
      <c r="BZ192" s="169">
        <f>(1315.8+1889.23)</f>
        <v>3205.0299999999997</v>
      </c>
      <c r="CA192" s="48"/>
      <c r="CB192" s="179"/>
      <c r="CC192" s="3">
        <f>CE192/CD192</f>
        <v>37.706235294117647</v>
      </c>
      <c r="CD192" s="169">
        <v>85</v>
      </c>
      <c r="CE192" s="169">
        <f>(1315.8+1889.23)</f>
        <v>3205.0299999999997</v>
      </c>
      <c r="CF192" s="48"/>
      <c r="CG192" s="179"/>
      <c r="CH192" s="3">
        <f>CJ192/CI192</f>
        <v>37.706235294117647</v>
      </c>
      <c r="CI192" s="169">
        <v>85</v>
      </c>
      <c r="CJ192" s="169">
        <f>(1315.8+1889.23)</f>
        <v>3205.0299999999997</v>
      </c>
      <c r="CK192" s="48"/>
      <c r="CL192" s="179"/>
      <c r="CM192" s="3">
        <f>CO192/CN192</f>
        <v>37.706235294117647</v>
      </c>
      <c r="CN192" s="169">
        <v>85</v>
      </c>
      <c r="CO192" s="169">
        <f>(1315.8+1889.23)</f>
        <v>3205.0299999999997</v>
      </c>
      <c r="CP192" s="48"/>
      <c r="CQ192" s="179"/>
      <c r="CR192" s="3">
        <f>CT192/CS192</f>
        <v>37.706235294117647</v>
      </c>
      <c r="CS192" s="169">
        <v>85</v>
      </c>
      <c r="CT192" s="169">
        <f>(1315.8+1889.23)</f>
        <v>3205.0299999999997</v>
      </c>
      <c r="CU192" s="48"/>
      <c r="CV192" s="179"/>
      <c r="CW192" s="3">
        <f>CY192/CX192</f>
        <v>37.706235294117647</v>
      </c>
      <c r="CX192" s="169">
        <v>85</v>
      </c>
      <c r="CY192" s="169">
        <f>(1315.8+1889.23)</f>
        <v>3205.0299999999997</v>
      </c>
      <c r="CZ192" s="48"/>
      <c r="DA192" s="179"/>
    </row>
    <row r="193" spans="1:105" s="508" customFormat="1" ht="15" customHeight="1">
      <c r="A193" s="265" t="s">
        <v>263</v>
      </c>
      <c r="B193" s="5" t="s">
        <v>292</v>
      </c>
      <c r="C193" s="6" t="s">
        <v>25</v>
      </c>
      <c r="D193" s="7" t="s">
        <v>10</v>
      </c>
      <c r="E193" s="4"/>
      <c r="F193" s="196"/>
      <c r="G193" s="197"/>
      <c r="H193" s="197"/>
      <c r="I193" s="38"/>
      <c r="J193" s="206"/>
      <c r="K193" s="205"/>
      <c r="L193" s="197"/>
      <c r="M193" s="197"/>
      <c r="N193" s="38"/>
      <c r="O193" s="206"/>
      <c r="P193" s="205"/>
      <c r="Q193" s="197"/>
      <c r="R193" s="197"/>
      <c r="S193" s="38"/>
      <c r="T193" s="206"/>
      <c r="U193" s="210"/>
      <c r="V193" s="197"/>
      <c r="W193" s="197">
        <v>2024</v>
      </c>
      <c r="X193" s="38"/>
      <c r="Y193" s="38">
        <f>SUM(W193:W197)*1.1</f>
        <v>300629.27399999998</v>
      </c>
      <c r="Z193" s="280"/>
      <c r="AA193" s="197"/>
      <c r="AB193" s="197">
        <v>1518</v>
      </c>
      <c r="AC193" s="38"/>
      <c r="AD193" s="38">
        <f>SUM(AB193:AB197)*1.1</f>
        <v>256404.698</v>
      </c>
      <c r="AE193" s="280"/>
      <c r="AF193" s="197"/>
      <c r="AG193" s="197">
        <v>2530</v>
      </c>
      <c r="AH193" s="38"/>
      <c r="AI193" s="38">
        <f>AI194*1.1</f>
        <v>286229.174</v>
      </c>
      <c r="AJ193" s="36"/>
      <c r="AK193" s="197"/>
      <c r="AL193" s="197"/>
      <c r="AM193" s="38"/>
      <c r="AN193" s="384">
        <f>AN194*1.2</f>
        <v>345335.47200000001</v>
      </c>
      <c r="AO193" s="36"/>
      <c r="AP193" s="197"/>
      <c r="AQ193" s="197"/>
      <c r="AR193" s="38"/>
      <c r="AS193" s="384">
        <f>SUM(AQ193:AQ197)*1.1</f>
        <v>22223.465000000004</v>
      </c>
      <c r="AT193" s="36"/>
      <c r="AU193" s="197"/>
      <c r="AV193" s="197"/>
      <c r="AW193" s="38"/>
      <c r="AX193" s="384">
        <f>SUM(AV193:AV197)*1.1</f>
        <v>206897.21800000002</v>
      </c>
      <c r="AY193" s="36"/>
      <c r="AZ193" s="197"/>
      <c r="BA193" s="197"/>
      <c r="BB193" s="38"/>
      <c r="BC193" s="384">
        <f>SUM(BA193:BA197)*1.1</f>
        <v>218591.56000000003</v>
      </c>
      <c r="BD193" s="36"/>
      <c r="BE193" s="197"/>
      <c r="BF193" s="197"/>
      <c r="BG193" s="38"/>
      <c r="BH193" s="384">
        <f>SUM(BF193:BF197)*1.1</f>
        <v>232498.68400000001</v>
      </c>
      <c r="BI193" s="36"/>
      <c r="BJ193" s="197"/>
      <c r="BK193" s="197"/>
      <c r="BL193" s="38"/>
      <c r="BM193" s="384">
        <f>SUM(BK193:BK197)*1.1</f>
        <v>239244.79700000005</v>
      </c>
      <c r="BN193" s="36"/>
      <c r="BO193" s="197"/>
      <c r="BP193" s="197"/>
      <c r="BQ193" s="38"/>
      <c r="BR193" s="384">
        <f>SUM(BP193:BP197)*1.1</f>
        <v>299828.52900000004</v>
      </c>
      <c r="BS193" s="36"/>
      <c r="BT193" s="197"/>
      <c r="BU193" s="197"/>
      <c r="BV193" s="38"/>
      <c r="BW193" s="384">
        <f>SUM(BU193:BU197)*1.1</f>
        <v>320112.35300000006</v>
      </c>
      <c r="BX193" s="36"/>
      <c r="BY193" s="197"/>
      <c r="BZ193" s="197"/>
      <c r="CA193" s="38"/>
      <c r="CB193" s="384">
        <f>SUM(BZ193:BZ197)*1.1</f>
        <v>246074.70800000001</v>
      </c>
      <c r="CC193" s="36"/>
      <c r="CD193" s="197"/>
      <c r="CE193" s="197"/>
      <c r="CF193" s="38"/>
      <c r="CG193" s="384">
        <f>SUM(CE193:CE197)*1.1</f>
        <v>246074.70800000001</v>
      </c>
      <c r="CH193" s="36"/>
      <c r="CI193" s="197"/>
      <c r="CJ193" s="197"/>
      <c r="CK193" s="38"/>
      <c r="CL193" s="384">
        <f>SUM(CJ193:CJ197)*1.1</f>
        <v>246074.70800000001</v>
      </c>
      <c r="CM193" s="36"/>
      <c r="CN193" s="197"/>
      <c r="CO193" s="197"/>
      <c r="CP193" s="38"/>
      <c r="CQ193" s="384">
        <f>SUM(CO193:CO197)*1.1</f>
        <v>246074.70800000001</v>
      </c>
      <c r="CR193" s="36"/>
      <c r="CS193" s="197"/>
      <c r="CT193" s="197"/>
      <c r="CU193" s="38"/>
      <c r="CV193" s="384">
        <f>SUM(CT193:CT197)*1.1</f>
        <v>246074.70800000001</v>
      </c>
      <c r="CW193" s="36"/>
      <c r="CX193" s="197"/>
      <c r="CY193" s="197"/>
      <c r="CZ193" s="38"/>
      <c r="DA193" s="384">
        <f>SUM(CY193:CY197)*1.1</f>
        <v>246074.70800000001</v>
      </c>
    </row>
    <row r="194" spans="1:105" s="508" customFormat="1" ht="15" customHeight="1">
      <c r="A194" s="256"/>
      <c r="B194" s="215"/>
      <c r="C194" s="45" t="s">
        <v>293</v>
      </c>
      <c r="D194" s="216" t="s">
        <v>13</v>
      </c>
      <c r="E194" s="22"/>
      <c r="F194" s="104">
        <f>H194/G194</f>
        <v>5.7989162028855539</v>
      </c>
      <c r="G194" s="74">
        <v>37913</v>
      </c>
      <c r="H194" s="74">
        <v>219854.31</v>
      </c>
      <c r="I194" s="81"/>
      <c r="J194" s="86"/>
      <c r="K194" s="110">
        <f>M194/L194</f>
        <v>5.8685160187706389</v>
      </c>
      <c r="L194" s="57">
        <v>34522</v>
      </c>
      <c r="M194" s="57">
        <v>202592.91</v>
      </c>
      <c r="N194" s="44"/>
      <c r="O194" s="86"/>
      <c r="P194" s="110">
        <f>R194/Q194</f>
        <v>5.5922880880778836</v>
      </c>
      <c r="Q194" s="57">
        <v>39238</v>
      </c>
      <c r="R194" s="57">
        <v>219430.2</v>
      </c>
      <c r="S194" s="44"/>
      <c r="T194" s="86"/>
      <c r="U194" s="121">
        <f>W194/V194</f>
        <v>5.7964559046587212</v>
      </c>
      <c r="V194" s="57">
        <v>46150</v>
      </c>
      <c r="W194" s="509">
        <v>267506.44</v>
      </c>
      <c r="X194" s="44"/>
      <c r="Y194" s="52">
        <f>SUM(W193:W197)*1</f>
        <v>273299.33999999997</v>
      </c>
      <c r="Z194" s="98">
        <f>AB194/AA194</f>
        <v>5.3263801010857357</v>
      </c>
      <c r="AA194" s="57">
        <v>42736</v>
      </c>
      <c r="AB194" s="57">
        <v>227628.18</v>
      </c>
      <c r="AC194" s="44"/>
      <c r="AD194" s="52">
        <f>SUM(AB193:AB197)*1</f>
        <v>233095.18</v>
      </c>
      <c r="AE194" s="98">
        <f>AG194/AF194</f>
        <v>6.6892076596418111</v>
      </c>
      <c r="AF194" s="57">
        <v>37913</v>
      </c>
      <c r="AG194" s="57">
        <v>253607.93</v>
      </c>
      <c r="AH194" s="44"/>
      <c r="AI194" s="52">
        <f>SUM(AG193:AG197)*1</f>
        <v>260208.34</v>
      </c>
      <c r="AJ194" s="92">
        <f>AL194/AK194</f>
        <v>5.7003770161692282</v>
      </c>
      <c r="AK194" s="74">
        <v>50157</v>
      </c>
      <c r="AL194" s="74">
        <v>285913.81</v>
      </c>
      <c r="AM194" s="81"/>
      <c r="AN194" s="403">
        <f>SUM(AL193:AL197)*1</f>
        <v>287779.56</v>
      </c>
      <c r="AO194" s="92">
        <f>AQ194/AP194</f>
        <v>5.2236249125262422</v>
      </c>
      <c r="AP194" s="74">
        <v>2858</v>
      </c>
      <c r="AQ194" s="74">
        <v>14929.12</v>
      </c>
      <c r="AR194" s="44"/>
      <c r="AS194" s="403">
        <f>SUM(AQ193:AQ197)*1</f>
        <v>20203.150000000001</v>
      </c>
      <c r="AT194" s="92">
        <f>AV194/AU194</f>
        <v>5.8239357984559117</v>
      </c>
      <c r="AU194" s="74">
        <v>24610</v>
      </c>
      <c r="AV194" s="134">
        <v>143327.06</v>
      </c>
      <c r="AW194" s="44"/>
      <c r="AX194" s="403">
        <f>SUM(AV193:AV197)*1</f>
        <v>188088.38</v>
      </c>
      <c r="AY194" s="92">
        <f>BA194/AZ194</f>
        <v>5.6198276252385115</v>
      </c>
      <c r="AZ194" s="74">
        <v>30921</v>
      </c>
      <c r="BA194" s="74">
        <v>173770.69</v>
      </c>
      <c r="BB194" s="44"/>
      <c r="BC194" s="403">
        <f>SUM(BA193:BA197)*1</f>
        <v>198719.6</v>
      </c>
      <c r="BD194" s="92">
        <f>BF194/BE194</f>
        <v>5.7303481422811053</v>
      </c>
      <c r="BE194" s="74">
        <v>27776</v>
      </c>
      <c r="BF194" s="74">
        <v>159166.15</v>
      </c>
      <c r="BG194" s="81"/>
      <c r="BH194" s="403">
        <f>SUM(BF193:BF197)*1</f>
        <v>211362.44</v>
      </c>
      <c r="BI194" s="92">
        <f>BK194/BJ194</f>
        <v>6.0066120517021666</v>
      </c>
      <c r="BJ194" s="553">
        <v>27465</v>
      </c>
      <c r="BK194" s="524">
        <v>164971.6</v>
      </c>
      <c r="BL194" s="44"/>
      <c r="BM194" s="403">
        <f>SUM(BK193:BK197)*1</f>
        <v>217495.27000000002</v>
      </c>
      <c r="BN194" s="92">
        <f>BP194/BO194</f>
        <v>5.7097639305972638</v>
      </c>
      <c r="BO194" s="74">
        <v>35964</v>
      </c>
      <c r="BP194" s="74">
        <v>205345.95</v>
      </c>
      <c r="BQ194" s="44"/>
      <c r="BR194" s="403">
        <f>SUM(BP193:BP197)*1</f>
        <v>272571.39</v>
      </c>
      <c r="BS194" s="92">
        <f>BU194/BT194</f>
        <v>5.2752598997493729</v>
      </c>
      <c r="BT194" s="610">
        <v>39900</v>
      </c>
      <c r="BU194" s="134">
        <v>210482.87</v>
      </c>
      <c r="BV194" s="44"/>
      <c r="BW194" s="403">
        <f>SUM(BU193:BU197)*1</f>
        <v>291011.23000000004</v>
      </c>
      <c r="BX194" s="92">
        <f>BZ194/BY194</f>
        <v>5.7989162028855539</v>
      </c>
      <c r="BY194" s="57">
        <v>37913</v>
      </c>
      <c r="BZ194" s="57">
        <v>219854.31</v>
      </c>
      <c r="CA194" s="44"/>
      <c r="CB194" s="403">
        <f>SUM(BZ193:BZ197)*1</f>
        <v>223704.28</v>
      </c>
      <c r="CC194" s="92">
        <f>CE194/CD194</f>
        <v>5.7989162028855539</v>
      </c>
      <c r="CD194" s="57">
        <v>37913</v>
      </c>
      <c r="CE194" s="57">
        <v>219854.31</v>
      </c>
      <c r="CF194" s="44"/>
      <c r="CG194" s="403">
        <f>SUM(CE193:CE197)*1</f>
        <v>223704.28</v>
      </c>
      <c r="CH194" s="92">
        <f>CJ194/CI194</f>
        <v>5.7989162028855539</v>
      </c>
      <c r="CI194" s="57">
        <v>37913</v>
      </c>
      <c r="CJ194" s="57">
        <v>219854.31</v>
      </c>
      <c r="CK194" s="44"/>
      <c r="CL194" s="403">
        <f>SUM(CJ193:CJ197)*1</f>
        <v>223704.28</v>
      </c>
      <c r="CM194" s="92">
        <f>CO194/CN194</f>
        <v>5.7989162028855539</v>
      </c>
      <c r="CN194" s="57">
        <v>37913</v>
      </c>
      <c r="CO194" s="57">
        <v>219854.31</v>
      </c>
      <c r="CP194" s="44"/>
      <c r="CQ194" s="403">
        <f>SUM(CO193:CO197)*1</f>
        <v>223704.28</v>
      </c>
      <c r="CR194" s="92">
        <f>CT194/CS194</f>
        <v>5.7989162028855539</v>
      </c>
      <c r="CS194" s="57">
        <v>37913</v>
      </c>
      <c r="CT194" s="57">
        <v>219854.31</v>
      </c>
      <c r="CU194" s="44"/>
      <c r="CV194" s="403">
        <f>SUM(CT193:CT197)*1</f>
        <v>223704.28</v>
      </c>
      <c r="CW194" s="92">
        <f>CY194/CX194</f>
        <v>5.7989162028855539</v>
      </c>
      <c r="CX194" s="57">
        <v>37913</v>
      </c>
      <c r="CY194" s="57">
        <v>219854.31</v>
      </c>
      <c r="CZ194" s="44"/>
      <c r="DA194" s="403">
        <f>SUM(CY193:CY197)*1</f>
        <v>223704.28</v>
      </c>
    </row>
    <row r="195" spans="1:105" s="508" customFormat="1" ht="15" customHeight="1">
      <c r="A195" s="256"/>
      <c r="B195" s="215"/>
      <c r="C195" s="45"/>
      <c r="D195" s="216" t="s">
        <v>15</v>
      </c>
      <c r="E195" s="22"/>
      <c r="F195" s="103"/>
      <c r="G195" s="74">
        <v>1</v>
      </c>
      <c r="H195" s="74">
        <v>644.94000000000005</v>
      </c>
      <c r="I195" s="81"/>
      <c r="J195" s="86"/>
      <c r="K195" s="109"/>
      <c r="L195" s="57">
        <v>1</v>
      </c>
      <c r="M195" s="57">
        <v>538.21</v>
      </c>
      <c r="N195" s="44"/>
      <c r="O195" s="86"/>
      <c r="P195" s="109"/>
      <c r="Q195" s="57">
        <v>1</v>
      </c>
      <c r="R195" s="57">
        <v>604.04</v>
      </c>
      <c r="S195" s="44"/>
      <c r="T195" s="86"/>
      <c r="U195" s="120"/>
      <c r="V195" s="57">
        <v>1</v>
      </c>
      <c r="W195" s="57">
        <v>754.24</v>
      </c>
      <c r="X195" s="44"/>
      <c r="Y195" s="44"/>
      <c r="Z195" s="97"/>
      <c r="AA195" s="57">
        <v>14628</v>
      </c>
      <c r="AB195" s="57">
        <v>737.95</v>
      </c>
      <c r="AC195" s="44"/>
      <c r="AD195" s="44"/>
      <c r="AE195" s="97"/>
      <c r="AF195" s="57">
        <v>1</v>
      </c>
      <c r="AG195" s="57">
        <v>861.56</v>
      </c>
      <c r="AH195" s="44"/>
      <c r="AI195" s="44"/>
      <c r="AJ195" s="46"/>
      <c r="AK195" s="74">
        <v>12006</v>
      </c>
      <c r="AL195" s="74">
        <v>1038.52</v>
      </c>
      <c r="AM195" s="81"/>
      <c r="AN195" s="81"/>
      <c r="AO195" s="46"/>
      <c r="AP195" s="522">
        <v>0</v>
      </c>
      <c r="AQ195" s="522">
        <v>0.14000000000000001</v>
      </c>
      <c r="AR195" s="44"/>
      <c r="AS195" s="81"/>
      <c r="AT195" s="46">
        <f>AV195/AU195</f>
        <v>1328.04</v>
      </c>
      <c r="AU195" s="74">
        <v>1</v>
      </c>
      <c r="AV195" s="134">
        <v>1328.04</v>
      </c>
      <c r="AW195" s="81">
        <v>1328.04</v>
      </c>
      <c r="AX195" s="81"/>
      <c r="AY195" s="46"/>
      <c r="AZ195" s="522">
        <v>1</v>
      </c>
      <c r="BA195" s="522">
        <v>1861.34</v>
      </c>
      <c r="BB195" s="81">
        <v>1861.34</v>
      </c>
      <c r="BC195" s="81"/>
      <c r="BD195" s="46"/>
      <c r="BE195" s="74">
        <v>6906</v>
      </c>
      <c r="BF195" s="74">
        <v>1560.24</v>
      </c>
      <c r="BG195" s="81">
        <v>1560.24</v>
      </c>
      <c r="BH195" s="81"/>
      <c r="BI195" s="46"/>
      <c r="BJ195" s="553">
        <v>6302</v>
      </c>
      <c r="BK195" s="524">
        <v>1512.73</v>
      </c>
      <c r="BL195" s="81">
        <v>1512.73</v>
      </c>
      <c r="BM195" s="81"/>
      <c r="BN195" s="46"/>
      <c r="BO195" s="522">
        <v>8709</v>
      </c>
      <c r="BP195" s="522">
        <v>2280.85</v>
      </c>
      <c r="BQ195" s="81">
        <f>372+2280.85</f>
        <v>2652.85</v>
      </c>
      <c r="BR195" s="81"/>
      <c r="BS195" s="46"/>
      <c r="BT195" s="57">
        <v>14628</v>
      </c>
      <c r="BU195" s="57">
        <v>644.94000000000005</v>
      </c>
      <c r="BV195" s="44"/>
      <c r="BW195" s="81"/>
      <c r="BX195" s="46"/>
      <c r="BY195" s="57">
        <v>14628</v>
      </c>
      <c r="BZ195" s="57">
        <v>644.94000000000005</v>
      </c>
      <c r="CA195" s="44"/>
      <c r="CB195" s="81"/>
      <c r="CC195" s="46"/>
      <c r="CD195" s="57">
        <v>14628</v>
      </c>
      <c r="CE195" s="57">
        <v>644.94000000000005</v>
      </c>
      <c r="CF195" s="44"/>
      <c r="CG195" s="81"/>
      <c r="CH195" s="46"/>
      <c r="CI195" s="57">
        <v>14628</v>
      </c>
      <c r="CJ195" s="57">
        <v>644.94000000000005</v>
      </c>
      <c r="CK195" s="44"/>
      <c r="CL195" s="81"/>
      <c r="CM195" s="46"/>
      <c r="CN195" s="57">
        <v>14628</v>
      </c>
      <c r="CO195" s="57">
        <v>644.94000000000005</v>
      </c>
      <c r="CP195" s="44"/>
      <c r="CQ195" s="81"/>
      <c r="CR195" s="46"/>
      <c r="CS195" s="57">
        <v>14628</v>
      </c>
      <c r="CT195" s="57">
        <v>644.94000000000005</v>
      </c>
      <c r="CU195" s="44"/>
      <c r="CV195" s="81"/>
      <c r="CW195" s="46"/>
      <c r="CX195" s="57">
        <v>14628</v>
      </c>
      <c r="CY195" s="57">
        <v>644.94000000000005</v>
      </c>
      <c r="CZ195" s="44"/>
      <c r="DA195" s="81"/>
    </row>
    <row r="196" spans="1:105" s="508" customFormat="1" ht="15" customHeight="1">
      <c r="A196" s="256"/>
      <c r="B196" s="215"/>
      <c r="C196" s="45"/>
      <c r="D196" s="216" t="s">
        <v>345</v>
      </c>
      <c r="E196" s="22"/>
      <c r="F196" s="103"/>
      <c r="G196" s="74"/>
      <c r="H196" s="74"/>
      <c r="I196" s="81"/>
      <c r="J196" s="86"/>
      <c r="K196" s="109"/>
      <c r="L196" s="57"/>
      <c r="M196" s="57"/>
      <c r="N196" s="44"/>
      <c r="O196" s="86"/>
      <c r="P196" s="109"/>
      <c r="Q196" s="57"/>
      <c r="R196" s="57"/>
      <c r="S196" s="44"/>
      <c r="T196" s="86"/>
      <c r="U196" s="120"/>
      <c r="V196" s="57"/>
      <c r="W196" s="57"/>
      <c r="X196" s="44"/>
      <c r="Y196" s="44"/>
      <c r="Z196" s="97"/>
      <c r="AA196" s="57"/>
      <c r="AB196" s="57"/>
      <c r="AC196" s="44"/>
      <c r="AD196" s="44"/>
      <c r="AE196" s="97"/>
      <c r="AF196" s="57"/>
      <c r="AG196" s="57"/>
      <c r="AH196" s="44"/>
      <c r="AI196" s="44"/>
      <c r="AJ196" s="46">
        <f>AL196/AK196</f>
        <v>1.3926131687242798</v>
      </c>
      <c r="AK196" s="74">
        <v>486</v>
      </c>
      <c r="AL196" s="74">
        <v>676.81</v>
      </c>
      <c r="AM196" s="81"/>
      <c r="AN196" s="81"/>
      <c r="AO196" s="46">
        <f>AQ196/AP196</f>
        <v>1.7406123163051086</v>
      </c>
      <c r="AP196" s="74">
        <v>2858</v>
      </c>
      <c r="AQ196" s="74">
        <v>4974.67</v>
      </c>
      <c r="AR196" s="81">
        <v>5221.84</v>
      </c>
      <c r="AS196" s="81"/>
      <c r="AT196" s="46">
        <f>AV196/AU196</f>
        <v>1.740611946363267</v>
      </c>
      <c r="AU196" s="74">
        <v>24610</v>
      </c>
      <c r="AV196" s="74">
        <v>42836.46</v>
      </c>
      <c r="AW196" s="81">
        <v>48737.14</v>
      </c>
      <c r="AX196" s="81"/>
      <c r="AY196" s="46">
        <f>BA196/AZ196</f>
        <v>0.69487888490022953</v>
      </c>
      <c r="AZ196" s="522">
        <v>30921</v>
      </c>
      <c r="BA196" s="524">
        <v>21486.35</v>
      </c>
      <c r="BB196" s="81">
        <v>48737.14</v>
      </c>
      <c r="BC196" s="81"/>
      <c r="BD196" s="46">
        <f>BF196/BE196</f>
        <v>1.7546525777649771</v>
      </c>
      <c r="BE196" s="522">
        <v>27776</v>
      </c>
      <c r="BF196" s="522">
        <v>48737.23</v>
      </c>
      <c r="BG196" s="74">
        <v>48737.14</v>
      </c>
      <c r="BH196" s="81"/>
      <c r="BI196" s="46">
        <f>BK196/BJ196</f>
        <v>1.7406120517021666</v>
      </c>
      <c r="BJ196" s="553">
        <v>27465</v>
      </c>
      <c r="BK196" s="524">
        <v>47805.91</v>
      </c>
      <c r="BL196" s="81">
        <v>55674.86</v>
      </c>
      <c r="BM196" s="81"/>
      <c r="BN196" s="46">
        <f>BP196/BO196</f>
        <v>1.7406120008897787</v>
      </c>
      <c r="BO196" s="522">
        <v>35964</v>
      </c>
      <c r="BP196" s="522">
        <v>62599.37</v>
      </c>
      <c r="BQ196" s="81">
        <f>53809.39+13862.23</f>
        <v>67671.62</v>
      </c>
      <c r="BR196" s="81"/>
      <c r="BS196" s="46">
        <f>BU196/BT196</f>
        <v>1.9217641604010025</v>
      </c>
      <c r="BT196" s="553">
        <v>39900</v>
      </c>
      <c r="BU196" s="524">
        <v>76678.39</v>
      </c>
      <c r="BV196" s="81">
        <v>19682.39</v>
      </c>
      <c r="BW196" s="81"/>
      <c r="BX196" s="46"/>
      <c r="BY196" s="57"/>
      <c r="BZ196" s="57"/>
      <c r="CA196" s="44"/>
      <c r="CB196" s="81"/>
      <c r="CC196" s="46"/>
      <c r="CD196" s="57"/>
      <c r="CE196" s="57"/>
      <c r="CF196" s="44"/>
      <c r="CG196" s="81"/>
      <c r="CH196" s="46"/>
      <c r="CI196" s="57"/>
      <c r="CJ196" s="57"/>
      <c r="CK196" s="44"/>
      <c r="CL196" s="81"/>
      <c r="CM196" s="46"/>
      <c r="CN196" s="57"/>
      <c r="CO196" s="57"/>
      <c r="CP196" s="44"/>
      <c r="CQ196" s="81"/>
      <c r="CR196" s="46"/>
      <c r="CS196" s="57"/>
      <c r="CT196" s="57"/>
      <c r="CU196" s="44"/>
      <c r="CV196" s="81"/>
      <c r="CW196" s="46"/>
      <c r="CX196" s="57"/>
      <c r="CY196" s="57"/>
      <c r="CZ196" s="44"/>
      <c r="DA196" s="81"/>
    </row>
    <row r="197" spans="1:105" s="508" customFormat="1" ht="15" customHeight="1" thickBot="1">
      <c r="A197" s="257"/>
      <c r="B197" s="258"/>
      <c r="C197" s="20"/>
      <c r="D197" s="259" t="s">
        <v>17</v>
      </c>
      <c r="E197" s="23"/>
      <c r="F197" s="168">
        <f>H197/G197</f>
        <v>37.706235294117647</v>
      </c>
      <c r="G197" s="170">
        <v>85</v>
      </c>
      <c r="H197" s="170">
        <f>(1315.8+1889.23)</f>
        <v>3205.0299999999997</v>
      </c>
      <c r="I197" s="179"/>
      <c r="J197" s="49"/>
      <c r="K197" s="178">
        <f>M197/L197</f>
        <v>37.841323529411767</v>
      </c>
      <c r="L197" s="169">
        <v>68</v>
      </c>
      <c r="M197" s="169">
        <f>(1052.64+1520.57)</f>
        <v>2573.21</v>
      </c>
      <c r="N197" s="48"/>
      <c r="O197" s="49"/>
      <c r="P197" s="178">
        <f>R197/Q197</f>
        <v>30.232117647058825</v>
      </c>
      <c r="Q197" s="169">
        <v>85</v>
      </c>
      <c r="R197" s="169">
        <f>(1052.64+1517.09)</f>
        <v>2569.73</v>
      </c>
      <c r="S197" s="48"/>
      <c r="T197" s="49"/>
      <c r="U197" s="318">
        <f>W197/V197</f>
        <v>31.078969072164949</v>
      </c>
      <c r="V197" s="169">
        <v>97</v>
      </c>
      <c r="W197" s="169">
        <v>3014.66</v>
      </c>
      <c r="X197" s="48"/>
      <c r="Y197" s="48"/>
      <c r="Z197" s="285">
        <f>AB197/AA197</f>
        <v>37.777058823529416</v>
      </c>
      <c r="AA197" s="169">
        <v>85</v>
      </c>
      <c r="AB197" s="169">
        <f>(1315.8+1895.25)</f>
        <v>3211.05</v>
      </c>
      <c r="AC197" s="48"/>
      <c r="AD197" s="48"/>
      <c r="AE197" s="285">
        <f>AG197/AF197</f>
        <v>37.751176470588234</v>
      </c>
      <c r="AF197" s="169">
        <v>85</v>
      </c>
      <c r="AG197" s="169">
        <f>(1284.84+1924.01)</f>
        <v>3208.85</v>
      </c>
      <c r="AH197" s="48"/>
      <c r="AI197" s="48"/>
      <c r="AJ197" s="3">
        <f>AL197/AK197</f>
        <v>50.139999999999993</v>
      </c>
      <c r="AK197" s="170">
        <v>3</v>
      </c>
      <c r="AL197" s="170">
        <v>150.41999999999999</v>
      </c>
      <c r="AM197" s="179"/>
      <c r="AN197" s="179"/>
      <c r="AO197" s="3">
        <f>AQ197/AP197</f>
        <v>42.745714285714293</v>
      </c>
      <c r="AP197" s="170">
        <v>7</v>
      </c>
      <c r="AQ197" s="170">
        <v>299.22000000000003</v>
      </c>
      <c r="AR197" s="179"/>
      <c r="AS197" s="179"/>
      <c r="AT197" s="3">
        <f>AV197/AU197</f>
        <v>39.788000000000004</v>
      </c>
      <c r="AU197" s="170">
        <v>15</v>
      </c>
      <c r="AV197" s="170">
        <v>596.82000000000005</v>
      </c>
      <c r="AW197" s="179"/>
      <c r="AX197" s="179"/>
      <c r="AY197" s="3">
        <f>BA197/AZ197</f>
        <v>38.124285714285712</v>
      </c>
      <c r="AZ197" s="170">
        <v>42</v>
      </c>
      <c r="BA197" s="170">
        <v>1601.22</v>
      </c>
      <c r="BB197" s="179"/>
      <c r="BC197" s="179"/>
      <c r="BD197" s="3">
        <f>BF197/BE197</f>
        <v>37.976399999999998</v>
      </c>
      <c r="BE197" s="170">
        <v>50</v>
      </c>
      <c r="BF197" s="170">
        <v>1898.82</v>
      </c>
      <c r="BG197" s="179"/>
      <c r="BH197" s="179"/>
      <c r="BI197" s="3">
        <f>BK197/BJ197</f>
        <v>37.706235294117647</v>
      </c>
      <c r="BJ197" s="169">
        <v>85</v>
      </c>
      <c r="BK197" s="169">
        <f>(1315.8+1889.23)</f>
        <v>3205.0299999999997</v>
      </c>
      <c r="BL197" s="48"/>
      <c r="BM197" s="179"/>
      <c r="BN197" s="3">
        <f>BP197/BO197</f>
        <v>37.826129032258059</v>
      </c>
      <c r="BO197" s="170">
        <v>62</v>
      </c>
      <c r="BP197" s="170">
        <v>2345.2199999999998</v>
      </c>
      <c r="BQ197" s="48"/>
      <c r="BR197" s="179"/>
      <c r="BS197" s="3">
        <f>BU197/BT197</f>
        <v>37.706235294117647</v>
      </c>
      <c r="BT197" s="169">
        <v>85</v>
      </c>
      <c r="BU197" s="169">
        <f>(1315.8+1889.23)</f>
        <v>3205.0299999999997</v>
      </c>
      <c r="BV197" s="48"/>
      <c r="BW197" s="179"/>
      <c r="BX197" s="3">
        <f>BZ197/BY197</f>
        <v>37.706235294117647</v>
      </c>
      <c r="BY197" s="169">
        <v>85</v>
      </c>
      <c r="BZ197" s="169">
        <f>(1315.8+1889.23)</f>
        <v>3205.0299999999997</v>
      </c>
      <c r="CA197" s="48"/>
      <c r="CB197" s="179"/>
      <c r="CC197" s="3">
        <f>CE197/CD197</f>
        <v>37.706235294117647</v>
      </c>
      <c r="CD197" s="169">
        <v>85</v>
      </c>
      <c r="CE197" s="169">
        <f>(1315.8+1889.23)</f>
        <v>3205.0299999999997</v>
      </c>
      <c r="CF197" s="48"/>
      <c r="CG197" s="179"/>
      <c r="CH197" s="3">
        <f>CJ197/CI197</f>
        <v>37.706235294117647</v>
      </c>
      <c r="CI197" s="169">
        <v>85</v>
      </c>
      <c r="CJ197" s="169">
        <f>(1315.8+1889.23)</f>
        <v>3205.0299999999997</v>
      </c>
      <c r="CK197" s="48"/>
      <c r="CL197" s="179"/>
      <c r="CM197" s="3">
        <f>CO197/CN197</f>
        <v>37.706235294117647</v>
      </c>
      <c r="CN197" s="169">
        <v>85</v>
      </c>
      <c r="CO197" s="169">
        <f>(1315.8+1889.23)</f>
        <v>3205.0299999999997</v>
      </c>
      <c r="CP197" s="48"/>
      <c r="CQ197" s="179"/>
      <c r="CR197" s="3">
        <f>CT197/CS197</f>
        <v>37.706235294117647</v>
      </c>
      <c r="CS197" s="169">
        <v>85</v>
      </c>
      <c r="CT197" s="169">
        <f>(1315.8+1889.23)</f>
        <v>3205.0299999999997</v>
      </c>
      <c r="CU197" s="48"/>
      <c r="CV197" s="179"/>
      <c r="CW197" s="3">
        <f>CY197/CX197</f>
        <v>37.706235294117647</v>
      </c>
      <c r="CX197" s="169">
        <v>85</v>
      </c>
      <c r="CY197" s="169">
        <f>(1315.8+1889.23)</f>
        <v>3205.0299999999997</v>
      </c>
      <c r="CZ197" s="48"/>
      <c r="DA197" s="179"/>
    </row>
    <row r="198" spans="1:105" s="249" customFormat="1" ht="15" customHeight="1">
      <c r="A198" s="265" t="s">
        <v>324</v>
      </c>
      <c r="B198" s="5" t="s">
        <v>106</v>
      </c>
      <c r="C198" s="6"/>
      <c r="D198" s="7" t="s">
        <v>10</v>
      </c>
      <c r="E198" s="4"/>
      <c r="F198" s="196"/>
      <c r="G198" s="197"/>
      <c r="H198" s="197"/>
      <c r="I198" s="38"/>
      <c r="J198" s="206"/>
      <c r="K198" s="196"/>
      <c r="L198" s="197"/>
      <c r="M198" s="197"/>
      <c r="N198" s="38"/>
      <c r="O198" s="206"/>
      <c r="P198" s="196"/>
      <c r="Q198" s="197"/>
      <c r="R198" s="197"/>
      <c r="S198" s="38"/>
      <c r="T198" s="206"/>
      <c r="U198" s="207"/>
      <c r="V198" s="197"/>
      <c r="W198" s="204">
        <v>1518.44</v>
      </c>
      <c r="X198" s="38"/>
      <c r="Y198" s="384">
        <f>SUM(W198:W202)*1.1</f>
        <v>175466.20300000004</v>
      </c>
      <c r="Z198" s="36"/>
      <c r="AA198" s="197"/>
      <c r="AB198" s="204">
        <v>1518</v>
      </c>
      <c r="AC198" s="38"/>
      <c r="AD198" s="384">
        <f>SUM(AB198:AB202)*1.1</f>
        <v>174044.58500000002</v>
      </c>
      <c r="AE198" s="36"/>
      <c r="AF198" s="204"/>
      <c r="AG198" s="204">
        <v>1771.38</v>
      </c>
      <c r="AH198" s="427"/>
      <c r="AI198" s="384">
        <f>AI199*1.1</f>
        <v>195580.18700000001</v>
      </c>
      <c r="AJ198" s="36"/>
      <c r="AK198" s="204"/>
      <c r="AL198" s="204">
        <v>1012.38</v>
      </c>
      <c r="AM198" s="427"/>
      <c r="AN198" s="384">
        <f>AN199*1.2</f>
        <v>210779.25599999999</v>
      </c>
      <c r="AO198" s="36"/>
      <c r="AP198" s="197"/>
      <c r="AQ198" s="197"/>
      <c r="AR198" s="38"/>
      <c r="AS198" s="384">
        <f>SUM(AQ198:AQ202)*1.1</f>
        <v>256496.69100000005</v>
      </c>
      <c r="AT198" s="36"/>
      <c r="AU198" s="197"/>
      <c r="AV198" s="197"/>
      <c r="AW198" s="38"/>
      <c r="AX198" s="384">
        <f>SUM(AV198:AV202)*1.1</f>
        <v>293328.94800000009</v>
      </c>
      <c r="AY198" s="36"/>
      <c r="AZ198" s="197"/>
      <c r="BA198" s="197"/>
      <c r="BB198" s="38"/>
      <c r="BC198" s="384">
        <f>SUM(BA198:BA202)*1.1</f>
        <v>260615.003</v>
      </c>
      <c r="BD198" s="36"/>
      <c r="BE198" s="197"/>
      <c r="BF198" s="197"/>
      <c r="BG198" s="38"/>
      <c r="BH198" s="384">
        <f>SUM(BF198:BF202)*1.1</f>
        <v>287073.69900000002</v>
      </c>
      <c r="BI198" s="36"/>
      <c r="BJ198" s="197"/>
      <c r="BK198" s="197"/>
      <c r="BL198" s="38"/>
      <c r="BM198" s="384">
        <f>SUM(BK198:BK202)*1.1</f>
        <v>293704.07000000007</v>
      </c>
      <c r="BN198" s="36"/>
      <c r="BO198" s="197"/>
      <c r="BP198" s="197"/>
      <c r="BQ198" s="38"/>
      <c r="BR198" s="384">
        <f>SUM(BP198:BP202)*1.1</f>
        <v>293871.60000000003</v>
      </c>
      <c r="BS198" s="36"/>
      <c r="BT198" s="197"/>
      <c r="BU198" s="197"/>
      <c r="BV198" s="38"/>
      <c r="BW198" s="384">
        <f>SUM(BU198:BU202)*1.1</f>
        <v>250591.40700000001</v>
      </c>
      <c r="BX198" s="36"/>
      <c r="BY198" s="197"/>
      <c r="BZ198" s="197"/>
      <c r="CA198" s="38"/>
      <c r="CB198" s="384">
        <f>SUM(BZ198:BZ202)*1.1</f>
        <v>90963.895000000004</v>
      </c>
      <c r="CC198" s="36"/>
      <c r="CD198" s="197"/>
      <c r="CE198" s="197"/>
      <c r="CF198" s="38"/>
      <c r="CG198" s="384">
        <f>SUM(CE198:CE202)*1.1</f>
        <v>90963.895000000004</v>
      </c>
      <c r="CH198" s="36"/>
      <c r="CI198" s="197"/>
      <c r="CJ198" s="197"/>
      <c r="CK198" s="38"/>
      <c r="CL198" s="384">
        <f>SUM(CJ198:CJ202)*1.1</f>
        <v>90963.895000000004</v>
      </c>
      <c r="CM198" s="36"/>
      <c r="CN198" s="197"/>
      <c r="CO198" s="197"/>
      <c r="CP198" s="38"/>
      <c r="CQ198" s="384">
        <f>SUM(CO198:CO202)*1.1</f>
        <v>90963.895000000004</v>
      </c>
      <c r="CR198" s="36"/>
      <c r="CS198" s="197"/>
      <c r="CT198" s="197"/>
      <c r="CU198" s="38"/>
      <c r="CV198" s="384">
        <f>SUM(CT198:CT202)*1.1</f>
        <v>90963.895000000004</v>
      </c>
      <c r="CW198" s="36"/>
      <c r="CX198" s="197"/>
      <c r="CY198" s="197"/>
      <c r="CZ198" s="38"/>
      <c r="DA198" s="384">
        <f>SUM(CY198:CY202)*1.1</f>
        <v>90963.895000000004</v>
      </c>
    </row>
    <row r="199" spans="1:105" ht="15" customHeight="1">
      <c r="A199" s="256"/>
      <c r="B199" s="215">
        <v>43766942</v>
      </c>
      <c r="C199" s="45" t="s">
        <v>107</v>
      </c>
      <c r="D199" s="216" t="s">
        <v>13</v>
      </c>
      <c r="E199" s="22"/>
      <c r="F199" s="104">
        <f>H199/G199</f>
        <v>5.5700001347127923</v>
      </c>
      <c r="G199" s="134">
        <v>14846.4</v>
      </c>
      <c r="H199" s="134">
        <v>82694.45</v>
      </c>
      <c r="I199" s="81"/>
      <c r="J199" s="88"/>
      <c r="K199" s="104">
        <f>M199/L199</f>
        <v>5.8700001155641841</v>
      </c>
      <c r="L199" s="134">
        <v>17306.400000000001</v>
      </c>
      <c r="M199" s="134">
        <v>101588.57</v>
      </c>
      <c r="N199" s="81"/>
      <c r="O199" s="88"/>
      <c r="P199" s="104">
        <f>R199/Q199</f>
        <v>5.8699998992219937</v>
      </c>
      <c r="Q199" s="134">
        <v>19845.599999999999</v>
      </c>
      <c r="R199" s="134">
        <v>116493.67</v>
      </c>
      <c r="S199" s="81"/>
      <c r="T199" s="88"/>
      <c r="U199" s="115">
        <f>W199/V199</f>
        <v>5.5600001508318382</v>
      </c>
      <c r="V199" s="134">
        <v>26519.599999999999</v>
      </c>
      <c r="W199" s="134">
        <v>147448.98000000001</v>
      </c>
      <c r="X199" s="81"/>
      <c r="Y199" s="403">
        <f>SUM(W198:W202)*1</f>
        <v>159514.73000000001</v>
      </c>
      <c r="Z199" s="92">
        <f>AB199/AA199</f>
        <v>5.6000000000000005</v>
      </c>
      <c r="AA199" s="134">
        <v>26074.799999999999</v>
      </c>
      <c r="AB199" s="134">
        <v>146018.88</v>
      </c>
      <c r="AC199" s="81"/>
      <c r="AD199" s="403">
        <f>SUM(AB198:AB202)*1</f>
        <v>158222.35</v>
      </c>
      <c r="AE199" s="92">
        <f>AG199/AF199</f>
        <v>5.1999999999999993</v>
      </c>
      <c r="AF199" s="134">
        <v>32318.400000000001</v>
      </c>
      <c r="AG199" s="134">
        <v>168055.67999999999</v>
      </c>
      <c r="AH199" s="81"/>
      <c r="AI199" s="403">
        <f>SUM(AG198:AG202)*1</f>
        <v>177800.16999999998</v>
      </c>
      <c r="AJ199" s="92">
        <f>AL199/AK199</f>
        <v>5.5460036584436372</v>
      </c>
      <c r="AK199" s="134">
        <v>31488.799999999999</v>
      </c>
      <c r="AL199" s="134">
        <v>174637</v>
      </c>
      <c r="AM199" s="81"/>
      <c r="AN199" s="403">
        <f>SUM(AL198:AL202)*1</f>
        <v>175649.38</v>
      </c>
      <c r="AO199" s="92">
        <f>AQ199/AP199</f>
        <v>6.814655957178231</v>
      </c>
      <c r="AP199" s="134">
        <v>32955.199999999997</v>
      </c>
      <c r="AQ199" s="134">
        <v>224578.35</v>
      </c>
      <c r="AR199" s="81"/>
      <c r="AS199" s="403">
        <f>SUM(AQ198:AQ202)*1</f>
        <v>233178.81000000003</v>
      </c>
      <c r="AT199" s="92">
        <f>AV199/AU199</f>
        <v>7.4172960254665403</v>
      </c>
      <c r="AU199" s="134">
        <v>34680.800000000003</v>
      </c>
      <c r="AV199" s="134">
        <v>257237.76000000001</v>
      </c>
      <c r="AW199" s="81"/>
      <c r="AX199" s="403">
        <f>SUM(AV198:AV202)*1</f>
        <v>266662.68000000005</v>
      </c>
      <c r="AY199" s="92">
        <f>BA199/AZ199</f>
        <v>7.1048160580718891</v>
      </c>
      <c r="AZ199" s="134">
        <v>30803.200000000001</v>
      </c>
      <c r="BA199" s="134">
        <v>218851.07</v>
      </c>
      <c r="BB199" s="81"/>
      <c r="BC199" s="403">
        <f>SUM(BA198:BA202)*1</f>
        <v>236922.72999999998</v>
      </c>
      <c r="BD199" s="92">
        <f>BF199/BE199</f>
        <v>7.2989999274433455</v>
      </c>
      <c r="BE199" s="134">
        <v>33077.599999999999</v>
      </c>
      <c r="BF199" s="134">
        <v>241433.4</v>
      </c>
      <c r="BG199" s="81"/>
      <c r="BH199" s="403">
        <f>SUM(BF198:BF202)*1</f>
        <v>260976.09</v>
      </c>
      <c r="BI199" s="92">
        <f>BK199/BJ199</f>
        <v>7.6566841050059526</v>
      </c>
      <c r="BJ199" s="134">
        <v>31922</v>
      </c>
      <c r="BK199" s="134">
        <v>244416.67</v>
      </c>
      <c r="BL199" s="81"/>
      <c r="BM199" s="403">
        <f>SUM(BK198:BK202)*1</f>
        <v>267003.7</v>
      </c>
      <c r="BN199" s="92">
        <f>BP199/BO199</f>
        <v>7.6566841050059526</v>
      </c>
      <c r="BO199" s="134">
        <v>31922</v>
      </c>
      <c r="BP199" s="134">
        <v>244416.67</v>
      </c>
      <c r="BQ199" s="81"/>
      <c r="BR199" s="403">
        <f>SUM(BP198:BP202)*1</f>
        <v>267156</v>
      </c>
      <c r="BS199" s="92">
        <f>BU199/BT199</f>
        <v>7.2789358629552599</v>
      </c>
      <c r="BT199" s="134">
        <v>30191.599999999999</v>
      </c>
      <c r="BU199" s="134">
        <v>219762.72</v>
      </c>
      <c r="BV199" s="81"/>
      <c r="BW199" s="403">
        <f>SUM(BU198:BU202)*1</f>
        <v>227810.37</v>
      </c>
      <c r="BX199" s="92">
        <f>BZ199/BY199</f>
        <v>5.5700001347127923</v>
      </c>
      <c r="BY199" s="72">
        <v>14846.4</v>
      </c>
      <c r="BZ199" s="72">
        <v>82694.45</v>
      </c>
      <c r="CA199" s="44"/>
      <c r="CB199" s="403">
        <f>SUM(BZ198:BZ202)*1</f>
        <v>82694.45</v>
      </c>
      <c r="CC199" s="92">
        <f>CE199/CD199</f>
        <v>5.5700001347127923</v>
      </c>
      <c r="CD199" s="72">
        <v>14846.4</v>
      </c>
      <c r="CE199" s="72">
        <v>82694.45</v>
      </c>
      <c r="CF199" s="44"/>
      <c r="CG199" s="403">
        <f>SUM(CE198:CE202)*1</f>
        <v>82694.45</v>
      </c>
      <c r="CH199" s="92">
        <f>CJ199/CI199</f>
        <v>5.5700001347127923</v>
      </c>
      <c r="CI199" s="72">
        <v>14846.4</v>
      </c>
      <c r="CJ199" s="72">
        <v>82694.45</v>
      </c>
      <c r="CK199" s="44"/>
      <c r="CL199" s="403">
        <f>SUM(CJ198:CJ202)*1</f>
        <v>82694.45</v>
      </c>
      <c r="CM199" s="92">
        <f>CO199/CN199</f>
        <v>5.5700001347127923</v>
      </c>
      <c r="CN199" s="72">
        <v>14846.4</v>
      </c>
      <c r="CO199" s="72">
        <v>82694.45</v>
      </c>
      <c r="CP199" s="44"/>
      <c r="CQ199" s="403">
        <f>SUM(CO198:CO202)*1</f>
        <v>82694.45</v>
      </c>
      <c r="CR199" s="92">
        <f>CT199/CS199</f>
        <v>5.5700001347127923</v>
      </c>
      <c r="CS199" s="72">
        <v>14846.4</v>
      </c>
      <c r="CT199" s="72">
        <v>82694.45</v>
      </c>
      <c r="CU199" s="44"/>
      <c r="CV199" s="403">
        <f>SUM(CT198:CT202)*1</f>
        <v>82694.45</v>
      </c>
      <c r="CW199" s="92">
        <f>CY199/CX199</f>
        <v>5.5700001347127923</v>
      </c>
      <c r="CX199" s="72">
        <v>14846.4</v>
      </c>
      <c r="CY199" s="72">
        <v>82694.45</v>
      </c>
      <c r="CZ199" s="44"/>
      <c r="DA199" s="403">
        <f>SUM(CY198:CY202)*1</f>
        <v>82694.45</v>
      </c>
    </row>
    <row r="200" spans="1:105" ht="15" customHeight="1">
      <c r="A200" s="256"/>
      <c r="B200" s="215"/>
      <c r="C200" s="45"/>
      <c r="D200" s="216" t="s">
        <v>15</v>
      </c>
      <c r="E200" s="22"/>
      <c r="F200" s="103"/>
      <c r="G200" s="57">
        <v>0</v>
      </c>
      <c r="H200" s="57"/>
      <c r="I200" s="44"/>
      <c r="J200" s="86"/>
      <c r="K200" s="103"/>
      <c r="L200" s="57">
        <v>0</v>
      </c>
      <c r="M200" s="57"/>
      <c r="N200" s="44"/>
      <c r="O200" s="86"/>
      <c r="P200" s="103"/>
      <c r="Q200" s="57">
        <v>0</v>
      </c>
      <c r="R200" s="57"/>
      <c r="S200" s="44"/>
      <c r="T200" s="86"/>
      <c r="U200" s="47"/>
      <c r="V200" s="57">
        <v>0</v>
      </c>
      <c r="W200" s="57"/>
      <c r="X200" s="44"/>
      <c r="Y200" s="44"/>
      <c r="Z200" s="46"/>
      <c r="AA200" s="57">
        <v>0</v>
      </c>
      <c r="AB200" s="57"/>
      <c r="AC200" s="44"/>
      <c r="AD200" s="44"/>
      <c r="AE200" s="46"/>
      <c r="AF200" s="57">
        <v>0</v>
      </c>
      <c r="AG200" s="57"/>
      <c r="AH200" s="44"/>
      <c r="AI200" s="44"/>
      <c r="AJ200" s="46"/>
      <c r="AK200" s="57">
        <v>0</v>
      </c>
      <c r="AL200" s="57"/>
      <c r="AM200" s="44"/>
      <c r="AN200" s="44"/>
      <c r="AO200" s="46"/>
      <c r="AP200" s="134"/>
      <c r="AQ200" s="74">
        <f>3055.51+3191.78</f>
        <v>6247.2900000000009</v>
      </c>
      <c r="AR200" s="81"/>
      <c r="AS200" s="81"/>
      <c r="AT200" s="406"/>
      <c r="AU200" s="134"/>
      <c r="AV200" s="134">
        <f>3130.64+3732.26</f>
        <v>6862.9</v>
      </c>
      <c r="AW200" s="81"/>
      <c r="AX200" s="81"/>
      <c r="AY200" s="46"/>
      <c r="AZ200" s="74"/>
      <c r="BA200" s="74">
        <f>3029.47+3147.43</f>
        <v>6176.9</v>
      </c>
      <c r="BB200" s="81"/>
      <c r="BC200" s="44"/>
      <c r="BD200" s="46"/>
      <c r="BE200" s="74"/>
      <c r="BF200" s="134">
        <f>1.2*2968+3465.75</f>
        <v>7027.35</v>
      </c>
      <c r="BG200" s="81"/>
      <c r="BH200" s="44"/>
      <c r="BI200" s="46"/>
      <c r="BJ200" s="74"/>
      <c r="BK200" s="74">
        <f>2817.49+3598.64</f>
        <v>6416.1299999999992</v>
      </c>
      <c r="BL200" s="81"/>
      <c r="BM200" s="44"/>
      <c r="BN200" s="46"/>
      <c r="BO200" s="74">
        <v>7788</v>
      </c>
      <c r="BP200" s="134">
        <f>2699.52+3348.3</f>
        <v>6047.82</v>
      </c>
      <c r="BQ200" s="81"/>
      <c r="BR200" s="44"/>
      <c r="BS200" s="46"/>
      <c r="BT200" s="74">
        <v>1</v>
      </c>
      <c r="BU200" s="134">
        <f>2450.26+3312.4</f>
        <v>5762.66</v>
      </c>
      <c r="BV200" s="81"/>
      <c r="BW200" s="44"/>
      <c r="BX200" s="46"/>
      <c r="BY200" s="57">
        <v>7788</v>
      </c>
      <c r="BZ200" s="57"/>
      <c r="CA200" s="44"/>
      <c r="CB200" s="44"/>
      <c r="CC200" s="46"/>
      <c r="CD200" s="57">
        <v>7788</v>
      </c>
      <c r="CE200" s="57"/>
      <c r="CF200" s="44"/>
      <c r="CG200" s="44"/>
      <c r="CH200" s="46"/>
      <c r="CI200" s="57">
        <v>7788</v>
      </c>
      <c r="CJ200" s="57"/>
      <c r="CK200" s="44"/>
      <c r="CL200" s="44"/>
      <c r="CM200" s="46"/>
      <c r="CN200" s="57">
        <v>7788</v>
      </c>
      <c r="CO200" s="57"/>
      <c r="CP200" s="44"/>
      <c r="CQ200" s="44"/>
      <c r="CR200" s="46"/>
      <c r="CS200" s="57">
        <v>7788</v>
      </c>
      <c r="CT200" s="57"/>
      <c r="CU200" s="44"/>
      <c r="CV200" s="44"/>
      <c r="CW200" s="46"/>
      <c r="CX200" s="57">
        <v>7788</v>
      </c>
      <c r="CY200" s="57"/>
      <c r="CZ200" s="44"/>
      <c r="DA200" s="44"/>
    </row>
    <row r="201" spans="1:105" ht="15" customHeight="1">
      <c r="A201" s="256"/>
      <c r="B201" s="215"/>
      <c r="C201" s="45"/>
      <c r="D201" s="216" t="s">
        <v>192</v>
      </c>
      <c r="E201" s="22"/>
      <c r="F201" s="103"/>
      <c r="G201" s="74">
        <v>1</v>
      </c>
      <c r="H201" s="134">
        <v>9993.6</v>
      </c>
      <c r="I201" s="81"/>
      <c r="J201" s="88"/>
      <c r="K201" s="103"/>
      <c r="L201" s="74">
        <v>1</v>
      </c>
      <c r="M201" s="134">
        <v>10809.7</v>
      </c>
      <c r="N201" s="81"/>
      <c r="O201" s="88"/>
      <c r="P201" s="103"/>
      <c r="Q201" s="74">
        <v>1</v>
      </c>
      <c r="R201" s="134">
        <v>7791.6</v>
      </c>
      <c r="S201" s="81"/>
      <c r="T201" s="88"/>
      <c r="U201" s="47"/>
      <c r="V201" s="74"/>
      <c r="W201" s="74">
        <v>7209.7</v>
      </c>
      <c r="X201" s="81"/>
      <c r="Y201" s="81"/>
      <c r="Z201" s="97"/>
      <c r="AA201" s="74"/>
      <c r="AB201" s="74">
        <v>7222.4</v>
      </c>
      <c r="AC201" s="81"/>
      <c r="AD201" s="81"/>
      <c r="AE201" s="46"/>
      <c r="AF201" s="423"/>
      <c r="AG201" s="424">
        <v>7222.4</v>
      </c>
      <c r="AH201" s="425"/>
      <c r="AI201" s="425"/>
      <c r="AJ201" s="46"/>
      <c r="AK201" s="74"/>
      <c r="AL201" s="74" t="s">
        <v>341</v>
      </c>
      <c r="AM201" s="81"/>
      <c r="AN201" s="425"/>
      <c r="AO201" s="46"/>
      <c r="AP201" s="74">
        <v>8406.2999999999993</v>
      </c>
      <c r="AQ201" s="74"/>
      <c r="AR201" s="81"/>
      <c r="AS201" s="81"/>
      <c r="AT201" s="46"/>
      <c r="AU201" s="134">
        <v>7122.7</v>
      </c>
      <c r="AV201" s="74"/>
      <c r="AW201" s="81"/>
      <c r="AX201" s="81"/>
      <c r="AY201" s="46"/>
      <c r="AZ201" s="74"/>
      <c r="BA201" s="134">
        <v>9209.74</v>
      </c>
      <c r="BB201" s="81"/>
      <c r="BC201" s="371"/>
      <c r="BD201" s="46"/>
      <c r="BE201" s="74"/>
      <c r="BF201" s="134">
        <v>9209.74</v>
      </c>
      <c r="BG201" s="81"/>
      <c r="BH201" s="371"/>
      <c r="BI201" s="46"/>
      <c r="BJ201" s="74"/>
      <c r="BK201" s="134">
        <v>13909.74</v>
      </c>
      <c r="BL201" s="81"/>
      <c r="BM201" s="371"/>
      <c r="BN201" s="46"/>
      <c r="BO201" s="74"/>
      <c r="BP201" s="134">
        <v>9209.74</v>
      </c>
      <c r="BQ201" s="81"/>
      <c r="BR201" s="371"/>
      <c r="BS201" s="46"/>
      <c r="BT201" s="74"/>
      <c r="BU201" s="74"/>
      <c r="BV201" s="81"/>
      <c r="BW201" s="371"/>
      <c r="BX201" s="46"/>
      <c r="BY201" s="57"/>
      <c r="BZ201" s="57"/>
      <c r="CA201" s="44"/>
      <c r="CB201" s="371"/>
      <c r="CC201" s="46"/>
      <c r="CD201" s="57"/>
      <c r="CE201" s="57"/>
      <c r="CF201" s="44"/>
      <c r="CG201" s="371"/>
      <c r="CH201" s="46"/>
      <c r="CI201" s="57"/>
      <c r="CJ201" s="57"/>
      <c r="CK201" s="44"/>
      <c r="CL201" s="371"/>
      <c r="CM201" s="46"/>
      <c r="CN201" s="57"/>
      <c r="CO201" s="57"/>
      <c r="CP201" s="44"/>
      <c r="CQ201" s="371"/>
      <c r="CR201" s="46"/>
      <c r="CS201" s="57"/>
      <c r="CT201" s="57"/>
      <c r="CU201" s="44"/>
      <c r="CV201" s="371"/>
      <c r="CW201" s="46"/>
      <c r="CX201" s="57"/>
      <c r="CY201" s="57"/>
      <c r="CZ201" s="44"/>
      <c r="DA201" s="371"/>
    </row>
    <row r="202" spans="1:105" s="264" customFormat="1" ht="15" customHeight="1" thickBot="1">
      <c r="A202" s="257"/>
      <c r="B202" s="258"/>
      <c r="C202" s="20"/>
      <c r="D202" s="259" t="s">
        <v>17</v>
      </c>
      <c r="E202" s="23"/>
      <c r="F202" s="168">
        <f>H202/G202</f>
        <v>0</v>
      </c>
      <c r="G202" s="169">
        <v>145</v>
      </c>
      <c r="H202" s="169"/>
      <c r="I202" s="48"/>
      <c r="J202" s="49"/>
      <c r="K202" s="168">
        <f>M202/L202</f>
        <v>20.500166833500167</v>
      </c>
      <c r="L202" s="170">
        <v>29.97</v>
      </c>
      <c r="M202" s="170">
        <v>614.39</v>
      </c>
      <c r="N202" s="179"/>
      <c r="O202" s="182"/>
      <c r="P202" s="168">
        <f>R202/Q202</f>
        <v>20.5</v>
      </c>
      <c r="Q202" s="170">
        <v>29</v>
      </c>
      <c r="R202" s="170">
        <v>594.5</v>
      </c>
      <c r="S202" s="179"/>
      <c r="T202" s="182"/>
      <c r="U202" s="209">
        <f>W202/V202</f>
        <v>20.50003071064431</v>
      </c>
      <c r="V202" s="170">
        <v>162.81</v>
      </c>
      <c r="W202" s="369">
        <v>3337.61</v>
      </c>
      <c r="X202" s="179"/>
      <c r="Y202" s="179"/>
      <c r="Z202" s="3">
        <f>AB202/AA202</f>
        <v>20.500029598058369</v>
      </c>
      <c r="AA202" s="170">
        <v>168.93</v>
      </c>
      <c r="AB202" s="369">
        <v>3463.07</v>
      </c>
      <c r="AC202" s="179"/>
      <c r="AD202" s="179"/>
      <c r="AE202" s="3">
        <f>AG202/AF202</f>
        <v>20.500000000000004</v>
      </c>
      <c r="AF202" s="422">
        <v>36.619999999999997</v>
      </c>
      <c r="AG202" s="369">
        <v>750.71</v>
      </c>
      <c r="AH202" s="179"/>
      <c r="AI202" s="179"/>
      <c r="AJ202" s="3">
        <f>AL202/AK202</f>
        <v>0</v>
      </c>
      <c r="AK202" s="169">
        <v>145</v>
      </c>
      <c r="AL202" s="169"/>
      <c r="AM202" s="48"/>
      <c r="AN202" s="179"/>
      <c r="AO202" s="3">
        <f>AQ202/AP202</f>
        <v>26.402733209164552</v>
      </c>
      <c r="AP202" s="170">
        <v>89.126000000000005</v>
      </c>
      <c r="AQ202" s="369">
        <v>2353.17</v>
      </c>
      <c r="AR202" s="179"/>
      <c r="AS202" s="179"/>
      <c r="AT202" s="3">
        <f>AV202/AU202</f>
        <v>26.250204918032789</v>
      </c>
      <c r="AU202" s="170">
        <v>97.6</v>
      </c>
      <c r="AV202" s="369">
        <v>2562.02</v>
      </c>
      <c r="AW202" s="179"/>
      <c r="AX202" s="179"/>
      <c r="AY202" s="3">
        <f>BA202/AZ202</f>
        <v>26.323725490196079</v>
      </c>
      <c r="AZ202" s="170">
        <v>102</v>
      </c>
      <c r="BA202" s="369">
        <v>2685.02</v>
      </c>
      <c r="BB202" s="179"/>
      <c r="BC202" s="179"/>
      <c r="BD202" s="3">
        <f>BF202/BE202</f>
        <v>50.855384615384615</v>
      </c>
      <c r="BE202" s="170">
        <v>65</v>
      </c>
      <c r="BF202" s="369">
        <v>3305.6</v>
      </c>
      <c r="BG202" s="179"/>
      <c r="BH202" s="179"/>
      <c r="BI202" s="3">
        <f>BK202/BJ202</f>
        <v>51.980689655172412</v>
      </c>
      <c r="BJ202" s="170">
        <v>43.5</v>
      </c>
      <c r="BK202" s="170">
        <v>2261.16</v>
      </c>
      <c r="BL202" s="179"/>
      <c r="BM202" s="179"/>
      <c r="BN202" s="3">
        <f>BP202/BO202</f>
        <v>51.598413793103454</v>
      </c>
      <c r="BO202" s="170">
        <v>145</v>
      </c>
      <c r="BP202" s="369">
        <v>7481.77</v>
      </c>
      <c r="BQ202" s="179"/>
      <c r="BR202" s="179"/>
      <c r="BS202" s="3">
        <f>BU202/BT202</f>
        <v>52.324021067094108</v>
      </c>
      <c r="BT202" s="170">
        <v>43.67</v>
      </c>
      <c r="BU202" s="369">
        <v>2284.9899999999998</v>
      </c>
      <c r="BV202" s="179"/>
      <c r="BW202" s="179"/>
      <c r="BX202" s="3">
        <f>BZ202/BY202</f>
        <v>0</v>
      </c>
      <c r="BY202" s="169">
        <v>145</v>
      </c>
      <c r="BZ202" s="169"/>
      <c r="CA202" s="48"/>
      <c r="CB202" s="179"/>
      <c r="CC202" s="3">
        <f>CE202/CD202</f>
        <v>0</v>
      </c>
      <c r="CD202" s="169">
        <v>145</v>
      </c>
      <c r="CE202" s="169"/>
      <c r="CF202" s="48"/>
      <c r="CG202" s="179"/>
      <c r="CH202" s="3">
        <f>CJ202/CI202</f>
        <v>0</v>
      </c>
      <c r="CI202" s="169">
        <v>145</v>
      </c>
      <c r="CJ202" s="169"/>
      <c r="CK202" s="48"/>
      <c r="CL202" s="179"/>
      <c r="CM202" s="3">
        <f>CO202/CN202</f>
        <v>0</v>
      </c>
      <c r="CN202" s="169">
        <v>145</v>
      </c>
      <c r="CO202" s="169"/>
      <c r="CP202" s="48"/>
      <c r="CQ202" s="179"/>
      <c r="CR202" s="3">
        <f>CT202/CS202</f>
        <v>0</v>
      </c>
      <c r="CS202" s="169">
        <v>145</v>
      </c>
      <c r="CT202" s="169"/>
      <c r="CU202" s="48"/>
      <c r="CV202" s="179"/>
      <c r="CW202" s="3">
        <f>CY202/CX202</f>
        <v>0</v>
      </c>
      <c r="CX202" s="169">
        <v>145</v>
      </c>
      <c r="CY202" s="169"/>
      <c r="CZ202" s="48"/>
      <c r="DA202" s="179"/>
    </row>
    <row r="203" spans="1:105" s="249" customFormat="1" ht="15" customHeight="1">
      <c r="A203" s="265" t="s">
        <v>325</v>
      </c>
      <c r="B203" s="306" t="s">
        <v>173</v>
      </c>
      <c r="C203" s="6"/>
      <c r="D203" s="7" t="s">
        <v>10</v>
      </c>
      <c r="E203" s="4"/>
      <c r="F203" s="196"/>
      <c r="G203" s="197"/>
      <c r="H203" s="197"/>
      <c r="I203" s="38"/>
      <c r="J203" s="206"/>
      <c r="K203" s="196"/>
      <c r="L203" s="197"/>
      <c r="M203" s="197"/>
      <c r="N203" s="38"/>
      <c r="O203" s="206"/>
      <c r="P203" s="196"/>
      <c r="Q203" s="197"/>
      <c r="R203" s="197"/>
      <c r="S203" s="38"/>
      <c r="T203" s="206"/>
      <c r="U203" s="207"/>
      <c r="V203" s="197"/>
      <c r="W203" s="204">
        <v>1518</v>
      </c>
      <c r="X203" s="38"/>
      <c r="Y203" s="384">
        <f>SUM(W203:W205)*1.1</f>
        <v>35542.892000000007</v>
      </c>
      <c r="Z203" s="36"/>
      <c r="AA203" s="197"/>
      <c r="AB203" s="204">
        <v>1012</v>
      </c>
      <c r="AC203" s="38"/>
      <c r="AD203" s="384">
        <f>SUM(AB203:AB205)*1.1</f>
        <v>33449.471000000005</v>
      </c>
      <c r="AE203" s="36"/>
      <c r="AF203" s="204"/>
      <c r="AG203" s="204">
        <v>1771</v>
      </c>
      <c r="AH203" s="427"/>
      <c r="AI203" s="384">
        <f>AI204*1.1</f>
        <v>32740.807000000001</v>
      </c>
      <c r="AJ203" s="36"/>
      <c r="AK203" s="204"/>
      <c r="AL203" s="204">
        <v>1518</v>
      </c>
      <c r="AM203" s="427"/>
      <c r="AN203" s="384">
        <f>AN204*1.2</f>
        <v>54675.012000000002</v>
      </c>
      <c r="AO203" s="36"/>
      <c r="AP203" s="197"/>
      <c r="AQ203" s="197"/>
      <c r="AR203" s="38"/>
      <c r="AS203" s="384">
        <f>SUM(AQ203:AQ205)*1.1</f>
        <v>60242.38</v>
      </c>
      <c r="AT203" s="36"/>
      <c r="AU203" s="197"/>
      <c r="AV203" s="197"/>
      <c r="AW203" s="38"/>
      <c r="AX203" s="384">
        <f>SUM(AV203:AV205)*1.1</f>
        <v>58372.611000000004</v>
      </c>
      <c r="AY203" s="36"/>
      <c r="AZ203" s="197"/>
      <c r="BA203" s="197"/>
      <c r="BB203" s="38"/>
      <c r="BC203" s="384">
        <f>SUM(BA203:BA205)*1.1</f>
        <v>130982.34600000001</v>
      </c>
      <c r="BD203" s="36"/>
      <c r="BE203" s="197"/>
      <c r="BF203" s="197"/>
      <c r="BG203" s="38"/>
      <c r="BH203" s="384">
        <f>SUM(BF203:BF205)*1.1</f>
        <v>118556.262</v>
      </c>
      <c r="BI203" s="36"/>
      <c r="BJ203" s="197"/>
      <c r="BK203" s="197"/>
      <c r="BL203" s="38"/>
      <c r="BM203" s="384">
        <f>SUM(BK203:BK205)*1.1</f>
        <v>151528.58599999998</v>
      </c>
      <c r="BN203" s="36"/>
      <c r="BO203" s="197"/>
      <c r="BP203" s="197"/>
      <c r="BQ203" s="38"/>
      <c r="BR203" s="384">
        <f>SUM(BP203:BP205)*1.1</f>
        <v>139382.73800000001</v>
      </c>
      <c r="BS203" s="36"/>
      <c r="BT203" s="197"/>
      <c r="BU203" s="197"/>
      <c r="BV203" s="38"/>
      <c r="BW203" s="384">
        <f>SUM(BU203:BU205)*1.1</f>
        <v>25374.250000000004</v>
      </c>
      <c r="BX203" s="36"/>
      <c r="BY203" s="197"/>
      <c r="BZ203" s="197"/>
      <c r="CA203" s="38"/>
      <c r="CB203" s="384">
        <f>SUM(BZ203:BZ205)*1.1</f>
        <v>25374.250000000004</v>
      </c>
      <c r="CC203" s="36"/>
      <c r="CD203" s="197"/>
      <c r="CE203" s="197"/>
      <c r="CF203" s="38"/>
      <c r="CG203" s="384">
        <f>SUM(CE203:CE205)*1.1</f>
        <v>25374.250000000004</v>
      </c>
      <c r="CH203" s="36"/>
      <c r="CI203" s="197"/>
      <c r="CJ203" s="197"/>
      <c r="CK203" s="38"/>
      <c r="CL203" s="384">
        <f>SUM(CJ203:CJ205)*1.1</f>
        <v>25374.250000000004</v>
      </c>
      <c r="CM203" s="36"/>
      <c r="CN203" s="197"/>
      <c r="CO203" s="197"/>
      <c r="CP203" s="38"/>
      <c r="CQ203" s="384">
        <f>SUM(CO203:CO205)*1.1</f>
        <v>25374.250000000004</v>
      </c>
      <c r="CR203" s="36"/>
      <c r="CS203" s="197"/>
      <c r="CT203" s="197"/>
      <c r="CU203" s="38"/>
      <c r="CV203" s="384">
        <f>SUM(CT203:CT205)*1.1</f>
        <v>25374.250000000004</v>
      </c>
      <c r="CW203" s="36"/>
      <c r="CX203" s="197"/>
      <c r="CY203" s="197"/>
      <c r="CZ203" s="38"/>
      <c r="DA203" s="384">
        <f>SUM(CY203:CY205)*1.1</f>
        <v>25374.250000000004</v>
      </c>
    </row>
    <row r="204" spans="1:105" ht="15" customHeight="1">
      <c r="A204" s="256"/>
      <c r="B204" s="215">
        <v>3133308437</v>
      </c>
      <c r="C204" s="45" t="s">
        <v>174</v>
      </c>
      <c r="D204" s="347" t="s">
        <v>13</v>
      </c>
      <c r="E204" s="22"/>
      <c r="F204" s="104">
        <f>H204/G204</f>
        <v>1.5956695701437575</v>
      </c>
      <c r="G204" s="134">
        <v>14121</v>
      </c>
      <c r="H204" s="134">
        <v>22532.45</v>
      </c>
      <c r="I204" s="81"/>
      <c r="J204" s="88"/>
      <c r="K204" s="104">
        <f>M204/L204</f>
        <v>1.640234268430105</v>
      </c>
      <c r="L204" s="134">
        <v>16861</v>
      </c>
      <c r="M204" s="134">
        <v>27655.99</v>
      </c>
      <c r="N204" s="81"/>
      <c r="O204" s="88"/>
      <c r="P204" s="104">
        <f>R204/Q204</f>
        <v>1.636399779127554</v>
      </c>
      <c r="Q204" s="134">
        <v>16299</v>
      </c>
      <c r="R204" s="134">
        <v>26671.68</v>
      </c>
      <c r="S204" s="81"/>
      <c r="T204" s="88"/>
      <c r="U204" s="115">
        <f>W204/V204</f>
        <v>1.6243128516517187</v>
      </c>
      <c r="V204" s="134">
        <v>17951</v>
      </c>
      <c r="W204" s="134">
        <v>29158.04</v>
      </c>
      <c r="X204" s="81"/>
      <c r="Y204" s="403">
        <f>SUM(W203:W205)*1</f>
        <v>32311.72</v>
      </c>
      <c r="Z204" s="92">
        <f>AB204/AA204</f>
        <v>1.6005861732084363</v>
      </c>
      <c r="AA204" s="134">
        <v>17401</v>
      </c>
      <c r="AB204" s="134">
        <v>27851.8</v>
      </c>
      <c r="AC204" s="81"/>
      <c r="AD204" s="403">
        <f>SUM(AB203:AB205)*1</f>
        <v>30408.61</v>
      </c>
      <c r="AE204" s="92">
        <f>AG204/AF204</f>
        <v>1.6786199210291681</v>
      </c>
      <c r="AF204" s="134">
        <v>15702</v>
      </c>
      <c r="AG204" s="134">
        <v>26357.69</v>
      </c>
      <c r="AH204" s="81"/>
      <c r="AI204" s="403">
        <f>SUM(AG203:AG205)*1</f>
        <v>29764.37</v>
      </c>
      <c r="AJ204" s="92">
        <f>AL204/AK204</f>
        <v>2.5604558352955382</v>
      </c>
      <c r="AK204" s="134">
        <v>16563</v>
      </c>
      <c r="AL204" s="134">
        <v>42408.83</v>
      </c>
      <c r="AM204" s="81"/>
      <c r="AN204" s="403">
        <f>SUM(AL203:AL205)*1</f>
        <v>45562.51</v>
      </c>
      <c r="AO204" s="92">
        <f>AQ204/AP204</f>
        <v>2.8658117495019115</v>
      </c>
      <c r="AP204" s="134">
        <f>16634+1937</f>
        <v>18571</v>
      </c>
      <c r="AQ204" s="134">
        <v>53220.99</v>
      </c>
      <c r="AR204" s="81"/>
      <c r="AS204" s="403">
        <f>SUM(AQ203:AQ205)*1</f>
        <v>54765.799999999996</v>
      </c>
      <c r="AT204" s="92">
        <f>AV204/AU204</f>
        <v>2.8020995359257479</v>
      </c>
      <c r="AU204" s="134">
        <v>18747</v>
      </c>
      <c r="AV204" s="134">
        <v>52530.96</v>
      </c>
      <c r="AW204" s="81"/>
      <c r="AX204" s="403">
        <f>SUM(AV203:AV205)*1</f>
        <v>53066.01</v>
      </c>
      <c r="AY204" s="92">
        <f>BA204/AZ204</f>
        <v>5.3073595862444432</v>
      </c>
      <c r="AZ204" s="134">
        <v>22042</v>
      </c>
      <c r="BA204" s="134">
        <v>116984.82</v>
      </c>
      <c r="BB204" s="81"/>
      <c r="BC204" s="403">
        <f>SUM(BA203:BA205)*1</f>
        <v>119074.86</v>
      </c>
      <c r="BD204" s="92">
        <f>BF204/BE204</f>
        <v>7.7622589751013313</v>
      </c>
      <c r="BE204" s="134">
        <v>13816</v>
      </c>
      <c r="BF204" s="563">
        <v>107243.37</v>
      </c>
      <c r="BG204" s="564"/>
      <c r="BH204" s="403">
        <f>SUM(BF203:BF205)*1</f>
        <v>107778.42</v>
      </c>
      <c r="BI204" s="92">
        <f>BK204/BJ204</f>
        <v>6.440657592114527</v>
      </c>
      <c r="BJ204" s="134">
        <v>21305</v>
      </c>
      <c r="BK204" s="372">
        <v>137218.21</v>
      </c>
      <c r="BL204" s="81"/>
      <c r="BM204" s="403">
        <f>SUM(BK203:BK205)*1</f>
        <v>137753.25999999998</v>
      </c>
      <c r="BN204" s="92">
        <f>BP204/BO204</f>
        <v>6.3702998939768767</v>
      </c>
      <c r="BO204" s="134">
        <v>19807</v>
      </c>
      <c r="BP204" s="134">
        <v>126176.53</v>
      </c>
      <c r="BQ204" s="81"/>
      <c r="BR204" s="403">
        <f>SUM(BP203:BP205)*1</f>
        <v>126711.58</v>
      </c>
      <c r="BS204" s="92">
        <f>BU204/BT204</f>
        <v>1.5956695701437575</v>
      </c>
      <c r="BT204" s="72">
        <v>14121</v>
      </c>
      <c r="BU204" s="72">
        <v>22532.45</v>
      </c>
      <c r="BV204" s="44"/>
      <c r="BW204" s="403">
        <f>SUM(BU203:BU205)*1</f>
        <v>23067.5</v>
      </c>
      <c r="BX204" s="92">
        <f>BZ204/BY204</f>
        <v>1.5956695701437575</v>
      </c>
      <c r="BY204" s="72">
        <v>14121</v>
      </c>
      <c r="BZ204" s="72">
        <v>22532.45</v>
      </c>
      <c r="CA204" s="44"/>
      <c r="CB204" s="403">
        <f>SUM(BZ203:BZ205)*1</f>
        <v>23067.5</v>
      </c>
      <c r="CC204" s="92">
        <f>CE204/CD204</f>
        <v>1.5956695701437575</v>
      </c>
      <c r="CD204" s="72">
        <v>14121</v>
      </c>
      <c r="CE204" s="72">
        <v>22532.45</v>
      </c>
      <c r="CF204" s="44"/>
      <c r="CG204" s="403">
        <f>SUM(CE203:CE205)*1</f>
        <v>23067.5</v>
      </c>
      <c r="CH204" s="92">
        <f>CJ204/CI204</f>
        <v>1.5956695701437575</v>
      </c>
      <c r="CI204" s="72">
        <v>14121</v>
      </c>
      <c r="CJ204" s="72">
        <v>22532.45</v>
      </c>
      <c r="CK204" s="44"/>
      <c r="CL204" s="403">
        <f>SUM(CJ203:CJ205)*1</f>
        <v>23067.5</v>
      </c>
      <c r="CM204" s="92">
        <f>CO204/CN204</f>
        <v>1.5956695701437575</v>
      </c>
      <c r="CN204" s="72">
        <v>14121</v>
      </c>
      <c r="CO204" s="72">
        <v>22532.45</v>
      </c>
      <c r="CP204" s="44"/>
      <c r="CQ204" s="403">
        <f>SUM(CO203:CO205)*1</f>
        <v>23067.5</v>
      </c>
      <c r="CR204" s="92">
        <f>CT204/CS204</f>
        <v>1.5956695701437575</v>
      </c>
      <c r="CS204" s="72">
        <v>14121</v>
      </c>
      <c r="CT204" s="72">
        <v>22532.45</v>
      </c>
      <c r="CU204" s="44"/>
      <c r="CV204" s="403">
        <f>SUM(CT203:CT205)*1</f>
        <v>23067.5</v>
      </c>
      <c r="CW204" s="92">
        <f>CY204/CX204</f>
        <v>1.5956695701437575</v>
      </c>
      <c r="CX204" s="72">
        <v>14121</v>
      </c>
      <c r="CY204" s="72">
        <v>22532.45</v>
      </c>
      <c r="CZ204" s="44"/>
      <c r="DA204" s="403">
        <f>SUM(CY203:CY205)*1</f>
        <v>23067.5</v>
      </c>
    </row>
    <row r="205" spans="1:105" s="264" customFormat="1" ht="15" customHeight="1" thickBot="1">
      <c r="A205" s="257"/>
      <c r="B205" s="258"/>
      <c r="C205" s="20"/>
      <c r="D205" s="259" t="s">
        <v>17</v>
      </c>
      <c r="E205" s="23"/>
      <c r="F205" s="168">
        <f>H205/G205</f>
        <v>65.507333333333335</v>
      </c>
      <c r="G205" s="170">
        <v>15</v>
      </c>
      <c r="H205" s="170">
        <v>982.61</v>
      </c>
      <c r="I205" s="179"/>
      <c r="J205" s="182"/>
      <c r="K205" s="168">
        <f>M205/L205</f>
        <v>65.507333333333335</v>
      </c>
      <c r="L205" s="170">
        <v>15</v>
      </c>
      <c r="M205" s="170">
        <v>982.61</v>
      </c>
      <c r="N205" s="179"/>
      <c r="O205" s="182"/>
      <c r="P205" s="168">
        <f>R205/Q205</f>
        <v>65.507142857142853</v>
      </c>
      <c r="Q205" s="170">
        <v>14</v>
      </c>
      <c r="R205" s="170">
        <v>917.1</v>
      </c>
      <c r="S205" s="179"/>
      <c r="T205" s="182"/>
      <c r="U205" s="209">
        <f>W205/V205</f>
        <v>90.871111111111119</v>
      </c>
      <c r="V205" s="170">
        <v>18</v>
      </c>
      <c r="W205" s="170">
        <v>1635.68</v>
      </c>
      <c r="X205" s="179"/>
      <c r="Y205" s="179"/>
      <c r="Z205" s="3">
        <f>AB205/AA205</f>
        <v>90.871176470588239</v>
      </c>
      <c r="AA205" s="170">
        <v>17</v>
      </c>
      <c r="AB205" s="170">
        <v>1544.81</v>
      </c>
      <c r="AC205" s="179"/>
      <c r="AD205" s="179"/>
      <c r="AE205" s="3">
        <f>AG205/AF205</f>
        <v>90.871111111111119</v>
      </c>
      <c r="AF205" s="170">
        <v>18</v>
      </c>
      <c r="AG205" s="426">
        <v>1635.68</v>
      </c>
      <c r="AH205" s="179"/>
      <c r="AI205" s="48"/>
      <c r="AJ205" s="3">
        <f>AL205/AK205</f>
        <v>90.871111111111119</v>
      </c>
      <c r="AK205" s="170">
        <v>18</v>
      </c>
      <c r="AL205" s="426">
        <v>1635.68</v>
      </c>
      <c r="AM205" s="179"/>
      <c r="AN205" s="48"/>
      <c r="AO205" s="3">
        <f>AQ205/AP205</f>
        <v>90.871176470588239</v>
      </c>
      <c r="AP205" s="170">
        <v>17</v>
      </c>
      <c r="AQ205" s="426">
        <v>1544.81</v>
      </c>
      <c r="AR205" s="179"/>
      <c r="AS205" s="179"/>
      <c r="AT205" s="3">
        <f>AV205/AU205</f>
        <v>26.752499999999998</v>
      </c>
      <c r="AU205" s="170">
        <v>20</v>
      </c>
      <c r="AV205" s="170">
        <v>535.04999999999995</v>
      </c>
      <c r="AW205" s="179"/>
      <c r="AX205" s="179"/>
      <c r="AY205" s="3">
        <f>BA205/AZ205</f>
        <v>90.871304347826083</v>
      </c>
      <c r="AZ205" s="170">
        <v>23</v>
      </c>
      <c r="BA205" s="170">
        <v>2090.04</v>
      </c>
      <c r="BB205" s="48"/>
      <c r="BC205" s="179"/>
      <c r="BD205" s="3">
        <f>BF205/BE205</f>
        <v>20.499999999999996</v>
      </c>
      <c r="BE205" s="169">
        <v>26.1</v>
      </c>
      <c r="BF205" s="562">
        <v>535.04999999999995</v>
      </c>
      <c r="BG205" s="48"/>
      <c r="BH205" s="179"/>
      <c r="BI205" s="3">
        <f>BK205/BJ205</f>
        <v>20.499999999999996</v>
      </c>
      <c r="BJ205" s="169">
        <v>26.1</v>
      </c>
      <c r="BK205" s="169">
        <v>535.04999999999995</v>
      </c>
      <c r="BL205" s="48"/>
      <c r="BM205" s="179"/>
      <c r="BN205" s="3">
        <f>BP205/BO205</f>
        <v>20.499999999999996</v>
      </c>
      <c r="BO205" s="169">
        <v>26.1</v>
      </c>
      <c r="BP205" s="169">
        <v>535.04999999999995</v>
      </c>
      <c r="BQ205" s="48"/>
      <c r="BR205" s="179"/>
      <c r="BS205" s="3">
        <f>BU205/BT205</f>
        <v>20.499999999999996</v>
      </c>
      <c r="BT205" s="169">
        <v>26.1</v>
      </c>
      <c r="BU205" s="169">
        <v>535.04999999999995</v>
      </c>
      <c r="BV205" s="48"/>
      <c r="BW205" s="179"/>
      <c r="BX205" s="3">
        <f>BZ205/BY205</f>
        <v>20.499999999999996</v>
      </c>
      <c r="BY205" s="169">
        <v>26.1</v>
      </c>
      <c r="BZ205" s="169">
        <v>535.04999999999995</v>
      </c>
      <c r="CA205" s="48"/>
      <c r="CB205" s="179"/>
      <c r="CC205" s="3">
        <f>CE205/CD205</f>
        <v>20.499999999999996</v>
      </c>
      <c r="CD205" s="169">
        <v>26.1</v>
      </c>
      <c r="CE205" s="169">
        <v>535.04999999999995</v>
      </c>
      <c r="CF205" s="48"/>
      <c r="CG205" s="179"/>
      <c r="CH205" s="3">
        <f>CJ205/CI205</f>
        <v>20.499999999999996</v>
      </c>
      <c r="CI205" s="169">
        <v>26.1</v>
      </c>
      <c r="CJ205" s="169">
        <v>535.04999999999995</v>
      </c>
      <c r="CK205" s="48"/>
      <c r="CL205" s="179"/>
      <c r="CM205" s="3">
        <f>CO205/CN205</f>
        <v>20.499999999999996</v>
      </c>
      <c r="CN205" s="169">
        <v>26.1</v>
      </c>
      <c r="CO205" s="169">
        <v>535.04999999999995</v>
      </c>
      <c r="CP205" s="48"/>
      <c r="CQ205" s="179"/>
      <c r="CR205" s="3">
        <f>CT205/CS205</f>
        <v>20.499999999999996</v>
      </c>
      <c r="CS205" s="169">
        <v>26.1</v>
      </c>
      <c r="CT205" s="169">
        <v>535.04999999999995</v>
      </c>
      <c r="CU205" s="48"/>
      <c r="CV205" s="179"/>
      <c r="CW205" s="3">
        <f>CY205/CX205</f>
        <v>20.499999999999996</v>
      </c>
      <c r="CX205" s="169">
        <v>26.1</v>
      </c>
      <c r="CY205" s="169">
        <v>535.04999999999995</v>
      </c>
      <c r="CZ205" s="48"/>
      <c r="DA205" s="179"/>
    </row>
    <row r="206" spans="1:105" s="249" customFormat="1" ht="15" customHeight="1">
      <c r="A206" s="5"/>
      <c r="B206" s="5"/>
      <c r="C206" s="6"/>
      <c r="D206" s="7"/>
      <c r="E206" s="4"/>
      <c r="F206" s="196"/>
      <c r="G206" s="37"/>
      <c r="H206" s="37"/>
      <c r="I206" s="38"/>
      <c r="J206" s="206"/>
      <c r="K206" s="196"/>
      <c r="L206" s="37"/>
      <c r="M206" s="37"/>
      <c r="N206" s="38"/>
      <c r="O206" s="206"/>
      <c r="P206" s="196"/>
      <c r="Q206" s="37"/>
      <c r="R206" s="37"/>
      <c r="S206" s="38"/>
      <c r="T206" s="206"/>
      <c r="U206" s="207"/>
      <c r="V206" s="37"/>
      <c r="W206" s="37"/>
      <c r="X206" s="384" t="s">
        <v>229</v>
      </c>
      <c r="Y206" s="384">
        <f>Y203+Y198+Y188+Y183+Y178+Y174+Y170+Y165+Y160+Y155+Y150+Y146+Y142+Y137+Y133+Y128+Y122+Y122+Y118+Y114+Y110+Y105+Y101+Y96+Y92+Y83+Y78+Y73+Y68+Y65+Y58+Y53+Y48+Y44+Y38+Y31+Y25+Y21+Y17+Y13+Y8+Y3</f>
        <v>5785395.3888400011</v>
      </c>
      <c r="Z206" s="36"/>
      <c r="AA206" s="37"/>
      <c r="AB206" s="37"/>
      <c r="AC206" s="384" t="s">
        <v>229</v>
      </c>
      <c r="AD206" s="384">
        <f>AD203+AD198+AD188+AD183+AD178+AD174+AD170+AD165+AD160+AD155+AD150+AD146+AD142+AD137+AD133+AD128+AD122+AD122+AD118+AD114+AD110+AD105+AD101+AD96+AD92+AD83+AD78+AD73+AD68+AD65+AD58+AD53+AD48+AD44+AD38+AD31+AD25+AD21+AD17+AD13+AD8+AD3</f>
        <v>5839468.0778000001</v>
      </c>
      <c r="AE206" s="36"/>
      <c r="AF206" s="37"/>
      <c r="AG206" s="37"/>
      <c r="AH206" s="384" t="s">
        <v>229</v>
      </c>
      <c r="AI206" s="384">
        <f>AI203+AI198+AI188+AI183+AI178+AI174+AI170+AI165+AI160+AI155+AI150+AI146+AI142+AI137+AI133+AI128+AI122+AI122+AI118+AI114+AI110+AI105+AI101+AI96+AI92+AI83+AI78+AI73+AI68+AI65+AI58+AI53+AI48+AI44+AI38+AI31+AI25+AI21+AI17+AI13+AI8+AI3</f>
        <v>6428227.9534000009</v>
      </c>
      <c r="AJ206" s="36"/>
      <c r="AK206" s="37"/>
      <c r="AL206" s="37"/>
      <c r="AM206" s="384" t="s">
        <v>229</v>
      </c>
      <c r="AN206" s="384">
        <f>AN203+AN198+AN188+AN183+AN178+AN174+AN170+AN165+AN160+AN155+AN150+AN146+AN142+AN137+AN133+AN128+AN122+AN122+AN118+AN114+AN110+AN105+AN101+AN96+AN92+AN83+AN78+AN73+AN68+AN65+AN58+AN53+AN48+AN44+AN38+AN31+AN25+AN21+AN17+AN13+AN8+AN3</f>
        <v>7828112.6761999996</v>
      </c>
      <c r="AO206" s="36"/>
      <c r="AP206" s="37"/>
      <c r="AQ206" s="37"/>
      <c r="AR206" s="384" t="s">
        <v>229</v>
      </c>
      <c r="AS206" s="384">
        <f>AS203+AS198+AS188+AS183+AS178+AS174+AS170+AS165+AS160+AS155+AS150+AS146+AS142+AS137+AS133+AS128+AS122+AS122+AS118+AS114+AS110+AS105+AS101+AS96+AS92+AS83+AS78+AS73+AS68+AS65+AS58+AS53+AS48+AS44+AS38+AS31+AS25+AS21+AS17+AS13+AS8+AS3</f>
        <v>7505867.4041999988</v>
      </c>
      <c r="AT206" s="36"/>
      <c r="AU206" s="37"/>
      <c r="AV206" s="37"/>
      <c r="AW206" s="384" t="s">
        <v>229</v>
      </c>
      <c r="AX206" s="384">
        <f>AX203+AX198+AX188+AX183+AX178+AX174+AX170+AX165+AX160+AX155+AX150+AX146+AX142+AX137+AX133+AX128+AX122+AX122+AX118+AX114+AX110+AX105+AX101+AX96+AX92+AX83+AX78+AX73+AX68+AX65+AX58+AX53+AX48+AX44+AX38+AX31+AX25+AX21+AX17+AX13+AX8+AX3</f>
        <v>8272765.6466999995</v>
      </c>
      <c r="AY206" s="36"/>
      <c r="AZ206" s="37"/>
      <c r="BA206" s="37"/>
      <c r="BB206" s="384" t="s">
        <v>229</v>
      </c>
      <c r="BC206" s="384">
        <f>BC203+BC198+BC188+BC183+BC178+BC174+BC170+BC165+BC160+BC155+BC150+BC146+BC142+BC137+BC133+BC128+BC122+BC122+BC118+BC114+BC110+BC105+BC101+BC96+BC92+BC83+BC78+BC73+BC68+BC65+BC58+BC53+BC48+BC44+BC38+BC31+BC25+BC21+BC17+BC13+BC8+BC3</f>
        <v>7620170.815940001</v>
      </c>
      <c r="BD206" s="36"/>
      <c r="BE206" s="37"/>
      <c r="BF206" s="37"/>
      <c r="BG206" s="384" t="s">
        <v>229</v>
      </c>
      <c r="BH206" s="384">
        <f>BH203+BH198+BH188+BH183+BH178+BH174+BH170+BH165+BH160+BH155+BH150+BH146+BH142+BH137+BH133+BH128+BH122+BH122+BH118+BH114+BH110+BH105+BH101+BH96+BH92+BH83+BH78+BH73+BH68+BH65+BH58+BH53+BH48+BH44+BH38+BH31+BH25+BH21+BH17+BH13+BH8+BH3</f>
        <v>6873040.4951999979</v>
      </c>
      <c r="BI206" s="36"/>
      <c r="BJ206" s="37"/>
      <c r="BK206" s="37"/>
      <c r="BL206" s="384" t="s">
        <v>229</v>
      </c>
      <c r="BM206" s="384">
        <f>BM203+BM198+BM188+BM183+BM178+BM174+BM170+BM165+BM160+BM155+BM150+BM146+BM142+BM137+BM133+BM128+BM122+BM122+BM118+BM114+BM110+BM105+BM101+BM96+BM92+BM83+BM78+BM73+BM68+BM65+BM58+BM53+BM48+BM44+BM38+BM31+BM25+BM21+BM17+BM13+BM8+BM3</f>
        <v>7726228.3714000015</v>
      </c>
      <c r="BN206" s="36"/>
      <c r="BO206" s="37"/>
      <c r="BP206" s="37"/>
      <c r="BQ206" s="384" t="s">
        <v>229</v>
      </c>
      <c r="BR206" s="384">
        <f>BR203+BR198+BR188+BR183+BR178+BR174+BR170+BR165+BR160+BR155+BR150+BR146+BR142+BR137+BR133+BR128+BR122+BR122+BR118+BR114+BR110+BR105+BR101+BR96+BR92+BR83+BR78+BR73+BR68+BR65+BR58+BR53+BR48+BR44+BR38+BR31+BR25+BR21+BR17+BR13+BR8+BR3</f>
        <v>8097145.3961999994</v>
      </c>
      <c r="BS206" s="36"/>
      <c r="BT206" s="37"/>
      <c r="BU206" s="37"/>
      <c r="BV206" s="384" t="s">
        <v>229</v>
      </c>
      <c r="BW206" s="384">
        <f>BW203+BW198+BW188+BW183+BW178+BW174+BW170+BW165+BW160+BW155+BW150+BW146+BW142+BW137+BW133+BW128+BW122+BW122+BW118+BW114+BW110+BW105+BW101+BW96+BW92+BW83+BW78+BW73+BW68+BW65+BW58+BW53+BW48+BW44+BW38+BW31+BW25+BW21+BW17+BW13+BW8+BW3</f>
        <v>7457303.0491999993</v>
      </c>
      <c r="BX206" s="36"/>
      <c r="BY206" s="37"/>
      <c r="BZ206" s="37"/>
      <c r="CA206" s="384" t="s">
        <v>229</v>
      </c>
      <c r="CB206" s="384">
        <f>CB203+CB198+CB188+CB183+CB178+CB174+CB170+CB165+CB160+CB155+CB150+CB146+CB142+CB137+CB133+CB128+CB122+CB122+CB118+CB114+CB110+CB105+CB101+CB96+CB92+CB83+CB78+CB73+CB68+CB65+CB58+CB53+CB48+CB44+CB38+CB31+CB25+CB21+CB17+CB13+CB8+CB3</f>
        <v>4308799.8394000009</v>
      </c>
      <c r="CC206" s="36"/>
      <c r="CD206" s="37"/>
      <c r="CE206" s="37"/>
      <c r="CF206" s="384" t="s">
        <v>229</v>
      </c>
      <c r="CG206" s="384">
        <f>CG203+CG198+CG188+CG183+CG178+CG174+CG170+CG165+CG160+CG155+CG150+CG146+CG142+CG137+CG133+CG128+CG122+CG122+CG118+CG114+CG110+CG105+CG101+CG96+CG92+CG83+CG78+CG73+CG68+CG65+CG58+CG53+CG48+CG44+CG38+CG31+CG25+CG21+CG17+CG13+CG8+CG3</f>
        <v>4308799.8394000009</v>
      </c>
      <c r="CH206" s="36"/>
      <c r="CI206" s="37"/>
      <c r="CJ206" s="37"/>
      <c r="CK206" s="384" t="s">
        <v>229</v>
      </c>
      <c r="CL206" s="384">
        <f>CL203+CL198+CL188+CL183+CL178+CL174+CL170+CL165+CL160+CL155+CL150+CL146+CL142+CL137+CL133+CL128+CL122+CL122+CL118+CL114+CL110+CL105+CL101+CL96+CL92+CL83+CL78+CL73+CL68+CL65+CL58+CL53+CL48+CL44+CL38+CL31+CL25+CL21+CL17+CL13+CL8+CL3</f>
        <v>4308799.8394000009</v>
      </c>
      <c r="CM206" s="36"/>
      <c r="CN206" s="37"/>
      <c r="CO206" s="37"/>
      <c r="CP206" s="384" t="s">
        <v>229</v>
      </c>
      <c r="CQ206" s="384">
        <f>CQ203+CQ198+CQ188+CQ183+CQ178+CQ174+CQ170+CQ165+CQ160+CQ155+CQ150+CQ146+CQ142+CQ137+CQ133+CQ128+CQ122+CQ122+CQ118+CQ114+CQ110+CQ105+CQ101+CQ96+CQ92+CQ83+CQ78+CQ73+CQ68+CQ65+CQ58+CQ53+CQ48+CQ44+CQ38+CQ31+CQ25+CQ21+CQ17+CQ13+CQ8+CQ3</f>
        <v>4308799.8394000009</v>
      </c>
      <c r="CR206" s="36"/>
      <c r="CS206" s="37"/>
      <c r="CT206" s="37"/>
      <c r="CU206" s="384" t="s">
        <v>229</v>
      </c>
      <c r="CV206" s="384">
        <f>CV203+CV198+CV188+CV183+CV178+CV174+CV170+CV165+CV160+CV155+CV150+CV146+CV142+CV137+CV133+CV128+CV122+CV122+CV118+CV114+CV110+CV105+CV101+CV96+CV92+CV83+CV78+CV73+CV68+CV65+CV58+CV53+CV48+CV44+CV38+CV31+CV25+CV21+CV17+CV13+CV8+CV3</f>
        <v>4308799.8394000009</v>
      </c>
      <c r="CW206" s="36"/>
      <c r="CX206" s="37"/>
      <c r="CY206" s="37"/>
      <c r="CZ206" s="384" t="s">
        <v>229</v>
      </c>
      <c r="DA206" s="384">
        <f>DA203+DA198+DA188+DA183+DA178+DA174+DA170+DA165+DA160+DA155+DA150+DA146+DA142+DA137+DA133+DA128+DA122+DA122+DA118+DA114+DA110+DA105+DA101+DA96+DA92+DA83+DA78+DA73+DA68+DA65+DA58+DA53+DA48+DA44+DA38+DA31+DA25+DA21+DA17+DA13+DA8+DA3</f>
        <v>4308799.8394000009</v>
      </c>
    </row>
    <row r="207" spans="1:105" ht="15" customHeight="1" thickBot="1">
      <c r="A207" s="215"/>
      <c r="B207" s="215"/>
      <c r="C207" s="45"/>
      <c r="D207" s="216"/>
      <c r="E207" s="22"/>
      <c r="F207" s="103"/>
      <c r="G207" s="57"/>
      <c r="H207" s="57"/>
      <c r="I207" s="56"/>
      <c r="J207" s="9"/>
      <c r="K207" s="103"/>
      <c r="L207" s="57"/>
      <c r="M207" s="57"/>
      <c r="N207" s="56"/>
      <c r="O207" s="9"/>
      <c r="P207" s="103"/>
      <c r="Q207" s="57"/>
      <c r="R207" s="57"/>
      <c r="S207" s="56"/>
      <c r="T207" s="9"/>
      <c r="U207" s="47"/>
      <c r="V207" s="57"/>
      <c r="W207" s="57"/>
      <c r="X207" s="404" t="s">
        <v>230</v>
      </c>
      <c r="Y207" s="407">
        <f>Y204+Y199+Y189+Y184+Y179+Y175+Y171+Y166+Y161+Y156+Y151+Y147+Y143+Y138+Y134+Y129+Y125+Y125+Y119+Y115+Y111+Y106+Y102+Y97+Y93+Y84+Y79+Y74+Y69+Y66+Y59+Y54+Y49+Y45+Y39+Y32+Y26+Y22+Y18+Y14+Y9+Y4</f>
        <v>5283260.6024000011</v>
      </c>
      <c r="Z207" s="46"/>
      <c r="AA207" s="57"/>
      <c r="AB207" s="57"/>
      <c r="AC207" s="404" t="s">
        <v>230</v>
      </c>
      <c r="AD207" s="407">
        <f>AD204+AD199+AD189+AD184+AD179+AD175+AD171+AD166+AD161+AD156+AD151+AD147+AD143+AD138+AD134+AD129+AD125+AD125+AD119+AD115+AD111+AD106+AD102+AD97+AD93+AD84+AD79+AD74+AD69+AD66+AD59+AD54+AD49+AD45+AD39+AD32+AD26+AD22+AD18+AD14+AD9+AD4</f>
        <v>4511208.0759999994</v>
      </c>
      <c r="AE207" s="46"/>
      <c r="AF207" s="57"/>
      <c r="AG207" s="57"/>
      <c r="AH207" s="429" t="s">
        <v>230</v>
      </c>
      <c r="AI207" s="430">
        <f>AI204+AI199+AI189+AI184+AI179+AI175+AI171+AI166+AI161+AI156+AI151+AI147+AI143+AI138+AI134+AI129+AI125+AI125+AI119+AI115+AI111+AI106+AI102+AI97+AI93+AI84+AI79+AI74+AI69+AI66+AI59+AI54+AI49+AI45+AI39+AI32+AI26+AI22+AI18+AI14+AI9+AI4</f>
        <v>5843843.5940000005</v>
      </c>
      <c r="AJ207" s="46"/>
      <c r="AK207" s="57"/>
      <c r="AL207" s="57"/>
      <c r="AM207" s="404" t="s">
        <v>230</v>
      </c>
      <c r="AN207" s="430">
        <f>AN204+AN199+AN189+AN184+AN179+AN175+AN171+AN166+AN161+AN156+AN151+AN147+AN143+AN138+AN134+AN129+AN125+AN125+AN119+AN115+AN111+AN106+AN102+AN97+AN93+AN84+AN79+AN74+AN69+AN66+AN59+AN54+AN49+AN45+AN39+AN32+AN26+AN22+AN18+AN14+AN9+AN4</f>
        <v>6554071.7680000002</v>
      </c>
      <c r="AO207" s="46"/>
      <c r="AP207" s="57"/>
      <c r="AQ207" s="57"/>
      <c r="AR207" s="404" t="s">
        <v>230</v>
      </c>
      <c r="AS207" s="407">
        <f>AS204+AS199+AS189+AS184+AS179+AS175+AS171+AS166+AS161+AS156+AS151+AS147+AS143+AS138+AS134+AS129+AS125+AS125+AS119+AS115+AS111+AS106+AS102+AS97+AS93+AS84+AS79+AS74+AS69+AS66+AS59+AS54+AS49+AS45+AS39+AS32+AS26+AS22+AS18+AS14+AS9+AS4</f>
        <v>6642059.6760000009</v>
      </c>
      <c r="AT207" s="46"/>
      <c r="AU207" s="57"/>
      <c r="AV207" s="57"/>
      <c r="AW207" s="404" t="s">
        <v>230</v>
      </c>
      <c r="AX207" s="407">
        <f>AX204+AX199+AX189+AX184+AX179+AX175+AX171+AX166+AX161+AX156+AX151+AX147+AX143+AX138+AX134+AX129+AX125+AX125+AX119+AX115+AX111+AX106+AX102+AX97+AX93+AX84+AX79+AX74+AX69+AX66+AX59+AX54+AX49+AX45+AX39+AX32+AX26+AX22+AX18+AX14+AX9+AX4</f>
        <v>7660140.3959999988</v>
      </c>
      <c r="AY207" s="46"/>
      <c r="AZ207" s="57"/>
      <c r="BA207" s="57"/>
      <c r="BB207" s="404" t="s">
        <v>230</v>
      </c>
      <c r="BC207" s="407">
        <f>BC204+BC199+BC189+BC184+BC179+BC175+BC171+BC166+BC161+BC156+BC151+BC147+BC143+BC138+BC134+BC129+BC125+BC125+BC119+BC115+BC111+BC106+BC102+BC97+BC93+BC84+BC79+BC74+BC69+BC66+BC59+BC54+BC49+BC45+BC39+BC32+BC26+BC22+BC18+BC14+BC9+BC4</f>
        <v>7027560.1520000016</v>
      </c>
      <c r="BD207" s="46"/>
      <c r="BE207" s="57"/>
      <c r="BF207" s="57"/>
      <c r="BG207" s="404" t="s">
        <v>230</v>
      </c>
      <c r="BH207" s="407">
        <f>BH204+BH199+BH189+BH184+BH179+BH175+BH171+BH166+BH161+BH156+BH151+BH147+BH143+BH138+BH134+BH129+BH125+BH125+BH119+BH115+BH111+BH106+BH102+BH97+BH93+BH84+BH79+BH74+BH69+BH66+BH59+BH54+BH49+BH45+BH39+BH32+BH26+BH22+BH18+BH14+BH9+BH4</f>
        <v>6341201.2940000016</v>
      </c>
      <c r="BI207" s="46"/>
      <c r="BJ207" s="57"/>
      <c r="BK207" s="57"/>
      <c r="BL207" s="404" t="s">
        <v>230</v>
      </c>
      <c r="BM207" s="407">
        <f>BM204+BM199+BM189+BM184+BM179+BM175+BM171+BM166+BM161+BM156+BM151+BM147+BM143+BM138+BM134+BM129+BM125+BM125+BM119+BM115+BM111+BM106+BM102+BM97+BM93+BM84+BM79+BM74+BM69+BM66+BM59+BM54+BM49+BM45+BM39+BM32+BM26+BM22+BM18+BM14+BM9+BM4</f>
        <v>7130956.9579999987</v>
      </c>
      <c r="BN207" s="46"/>
      <c r="BO207" s="57"/>
      <c r="BP207" s="57"/>
      <c r="BQ207" s="404" t="s">
        <v>230</v>
      </c>
      <c r="BR207" s="407">
        <f>BR204+BR199+BR189+BR184+BR179+BR175+BR171+BR166+BR161+BR156+BR151+BR147+BR143+BR138+BR134+BR129+BR125+BR125+BR119+BR115+BR111+BR106+BR102+BR97+BR93+BR84+BR79+BR74+BR69+BR66+BR59+BR54+BR49+BR45+BR39+BR32+BR26+BR22+BR18+BR14+BR9+BR4</f>
        <v>7518113.7259999998</v>
      </c>
      <c r="BS207" s="46"/>
      <c r="BT207" s="57"/>
      <c r="BU207" s="57"/>
      <c r="BV207" s="404" t="s">
        <v>230</v>
      </c>
      <c r="BW207" s="407">
        <f>BW204+BW199+BW189+BW184+BW179+BW175+BW171+BW166+BW161+BW156+BW151+BW147+BW143+BW138+BW134+BW129+BW125+BW125+BW119+BW115+BW111+BW106+BW102+BW97+BW93+BW84+BW79+BW74+BW69+BW66+BW59+BW54+BW49+BW45+BW39+BW32+BW26+BW22+BW18+BW14+BW9+BW4</f>
        <v>6950376.6620000005</v>
      </c>
      <c r="BX207" s="46"/>
      <c r="BY207" s="57"/>
      <c r="BZ207" s="57"/>
      <c r="CA207" s="404" t="s">
        <v>230</v>
      </c>
      <c r="CB207" s="407">
        <f>CB204+CB199+CB189+CB184+CB179+CB175+CB171+CB166+CB161+CB156+CB151+CB147+CB143+CB138+CB134+CB129+CB125+CB125+CB119+CB115+CB111+CB106+CB102+CB97+CB93+CB84+CB79+CB74+CB69+CB66+CB59+CB54+CB49+CB45+CB39+CB32+CB26+CB22+CB18+CB14+CB9+CB4</f>
        <v>3914148.6159999985</v>
      </c>
      <c r="CC207" s="46"/>
      <c r="CD207" s="57"/>
      <c r="CE207" s="57"/>
      <c r="CF207" s="404" t="s">
        <v>230</v>
      </c>
      <c r="CG207" s="407">
        <f>CG204+CG199+CG189+CG184+CG179+CG175+CG171+CG166+CG161+CG156+CG151+CG147+CG143+CG138+CG134+CG129+CG125+CG125+CG119+CG115+CG111+CG106+CG102+CG97+CG93+CG84+CG79+CG74+CG69+CG66+CG59+CG54+CG49+CG45+CG39+CG32+CG26+CG22+CG18+CG14+CG9+CG4</f>
        <v>3914148.6159999985</v>
      </c>
      <c r="CH207" s="46"/>
      <c r="CI207" s="57"/>
      <c r="CJ207" s="57"/>
      <c r="CK207" s="404" t="s">
        <v>230</v>
      </c>
      <c r="CL207" s="407">
        <f>CL204+CL199+CL189+CL184+CL179+CL175+CL171+CL166+CL161+CL156+CL151+CL147+CL143+CL138+CL134+CL129+CL125+CL125+CL119+CL115+CL111+CL106+CL102+CL97+CL93+CL84+CL79+CL74+CL69+CL66+CL59+CL54+CL49+CL45+CL39+CL32+CL26+CL22+CL18+CL14+CL9+CL4</f>
        <v>3914148.6159999985</v>
      </c>
      <c r="CM207" s="46"/>
      <c r="CN207" s="57"/>
      <c r="CO207" s="57"/>
      <c r="CP207" s="404" t="s">
        <v>230</v>
      </c>
      <c r="CQ207" s="407">
        <f>CQ204+CQ199+CQ189+CQ184+CQ179+CQ175+CQ171+CQ166+CQ161+CQ156+CQ151+CQ147+CQ143+CQ138+CQ134+CQ129+CQ125+CQ125+CQ119+CQ115+CQ111+CQ106+CQ102+CQ97+CQ93+CQ84+CQ79+CQ74+CQ69+CQ66+CQ59+CQ54+CQ49+CQ45+CQ39+CQ32+CQ26+CQ22+CQ18+CQ14+CQ9+CQ4</f>
        <v>3914148.6159999985</v>
      </c>
      <c r="CR207" s="46"/>
      <c r="CS207" s="57"/>
      <c r="CT207" s="57"/>
      <c r="CU207" s="404" t="s">
        <v>230</v>
      </c>
      <c r="CV207" s="407">
        <f>CV204+CV199+CV189+CV184+CV179+CV175+CV171+CV166+CV161+CV156+CV151+CV147+CV143+CV138+CV134+CV129+CV125+CV125+CV119+CV115+CV111+CV106+CV102+CV97+CV93+CV84+CV79+CV74+CV69+CV66+CV59+CV54+CV49+CV45+CV39+CV32+CV26+CV22+CV18+CV14+CV9+CV4</f>
        <v>3914148.6159999985</v>
      </c>
      <c r="CW207" s="46"/>
      <c r="CX207" s="57"/>
      <c r="CY207" s="57"/>
      <c r="CZ207" s="404" t="s">
        <v>230</v>
      </c>
      <c r="DA207" s="407">
        <f>DA204+DA199+DA189+DA184+DA179+DA175+DA171+DA166+DA161+DA156+DA151+DA147+DA143+DA138+DA134+DA129+DA125+DA125+DA119+DA115+DA111+DA106+DA102+DA97+DA93+DA84+DA79+DA74+DA69+DA66+DA59+DA54+DA49+DA45+DA39+DA32+DA26+DA22+DA18+DA14+DA9+DA4</f>
        <v>3914148.6159999985</v>
      </c>
    </row>
    <row r="208" spans="1:105" ht="15" customHeight="1" thickBot="1">
      <c r="A208" s="215"/>
      <c r="B208" s="215"/>
      <c r="C208" s="45"/>
      <c r="D208" s="216"/>
      <c r="E208" s="22"/>
      <c r="F208" s="103"/>
      <c r="G208" s="57"/>
      <c r="H208" s="57"/>
      <c r="I208" s="56"/>
      <c r="J208" s="9"/>
      <c r="K208" s="103"/>
      <c r="L208" s="57"/>
      <c r="M208" s="57"/>
      <c r="N208" s="56"/>
      <c r="O208" s="9"/>
      <c r="P208" s="103"/>
      <c r="Q208" s="57"/>
      <c r="R208" s="57"/>
      <c r="S208" s="56"/>
      <c r="T208" s="9"/>
      <c r="U208" s="47"/>
      <c r="V208" s="57"/>
      <c r="W208" s="57"/>
      <c r="X208" s="56"/>
      <c r="Y208" s="56"/>
      <c r="Z208" s="46"/>
      <c r="AA208" s="57"/>
      <c r="AB208" s="57"/>
      <c r="AC208" s="56"/>
      <c r="AD208" s="56"/>
      <c r="AE208" s="46"/>
      <c r="AF208" s="57"/>
      <c r="AG208" s="428"/>
      <c r="AH208" s="432" t="s">
        <v>239</v>
      </c>
      <c r="AI208" s="433">
        <v>6168000</v>
      </c>
      <c r="AJ208" s="47"/>
      <c r="AK208" s="57"/>
      <c r="AL208" s="57"/>
      <c r="AM208" s="56"/>
      <c r="AN208" s="433">
        <v>6168000</v>
      </c>
      <c r="AO208" s="46"/>
      <c r="AP208" s="57"/>
      <c r="AQ208" s="57"/>
      <c r="AR208" s="56"/>
      <c r="AT208" s="46"/>
      <c r="AU208" s="57"/>
      <c r="AV208" s="57"/>
      <c r="AW208" s="56"/>
      <c r="AY208" s="46"/>
      <c r="AZ208" s="57"/>
      <c r="BA208" s="57"/>
      <c r="BB208" s="56"/>
      <c r="BD208" s="46"/>
      <c r="BE208" s="57"/>
      <c r="BF208" s="57"/>
      <c r="BG208" s="56"/>
      <c r="BI208" s="46"/>
      <c r="BJ208" s="57"/>
      <c r="BK208" s="57"/>
      <c r="BL208" s="56"/>
      <c r="BN208" s="46"/>
      <c r="BO208" s="57"/>
      <c r="BP208" s="57"/>
      <c r="BQ208" s="56"/>
      <c r="BS208" s="46"/>
      <c r="BT208" s="57"/>
      <c r="BU208" s="57"/>
      <c r="BV208" s="56"/>
      <c r="BX208" s="46"/>
      <c r="BY208" s="57"/>
      <c r="BZ208" s="57"/>
      <c r="CA208" s="56"/>
      <c r="CC208" s="46"/>
      <c r="CD208" s="57"/>
      <c r="CE208" s="57"/>
      <c r="CF208" s="56"/>
      <c r="CH208" s="46"/>
      <c r="CI208" s="57"/>
      <c r="CJ208" s="57"/>
      <c r="CK208" s="56"/>
      <c r="CM208" s="46"/>
      <c r="CN208" s="57"/>
      <c r="CO208" s="57"/>
      <c r="CP208" s="56"/>
      <c r="CR208" s="46"/>
      <c r="CS208" s="57"/>
      <c r="CT208" s="57"/>
      <c r="CU208" s="56"/>
      <c r="CW208" s="46"/>
      <c r="CX208" s="57"/>
      <c r="CY208" s="57"/>
      <c r="CZ208" s="56"/>
    </row>
    <row r="209" spans="1:105" ht="15" customHeight="1">
      <c r="C209" s="154"/>
      <c r="D209" s="154"/>
      <c r="E209" s="154"/>
      <c r="F209" s="154"/>
      <c r="G209" s="154"/>
      <c r="H209" s="154"/>
      <c r="I209" s="154"/>
      <c r="J209" s="329"/>
      <c r="K209" s="334"/>
      <c r="L209" s="235"/>
      <c r="M209" s="235"/>
      <c r="N209" s="235"/>
      <c r="O209" s="335"/>
      <c r="P209" s="334"/>
      <c r="Q209" s="235"/>
      <c r="R209" s="235"/>
      <c r="S209" s="235"/>
      <c r="T209" s="335"/>
      <c r="U209" s="322"/>
      <c r="V209" s="235"/>
      <c r="W209" s="235"/>
      <c r="X209" s="235"/>
      <c r="Y209" s="235"/>
      <c r="Z209" s="154"/>
      <c r="AA209" s="235"/>
      <c r="AB209" s="235"/>
      <c r="AC209" s="235"/>
      <c r="AD209" s="235"/>
      <c r="AE209" s="154"/>
      <c r="AF209" s="235"/>
      <c r="AG209" s="235"/>
      <c r="AH209" s="389"/>
      <c r="AI209" s="431">
        <f>AI208-AI207</f>
        <v>324156.40599999949</v>
      </c>
      <c r="AJ209" s="154"/>
      <c r="AK209" s="235"/>
      <c r="AL209" s="235"/>
      <c r="AM209" s="235"/>
      <c r="AN209" s="431">
        <f>AN208-AN207</f>
        <v>-386071.76800000016</v>
      </c>
      <c r="AO209" s="154"/>
      <c r="AP209" s="235"/>
      <c r="AQ209" s="235"/>
      <c r="AR209" s="235"/>
      <c r="AT209" s="154"/>
      <c r="AU209" s="235"/>
      <c r="AV209" s="235"/>
      <c r="AW209" s="235"/>
      <c r="AY209" s="154"/>
      <c r="AZ209" s="235"/>
      <c r="BA209" s="235"/>
      <c r="BB209" s="235"/>
      <c r="BD209" s="154"/>
      <c r="BE209" s="235"/>
      <c r="BF209" s="235"/>
      <c r="BG209" s="235"/>
      <c r="BI209" s="154"/>
      <c r="BJ209" s="235"/>
      <c r="BK209" s="235"/>
      <c r="BL209" s="235"/>
      <c r="BN209" s="154"/>
      <c r="BO209" s="235"/>
      <c r="BP209" s="235"/>
      <c r="BQ209" s="235"/>
      <c r="BS209" s="154"/>
      <c r="BT209" s="235"/>
      <c r="BU209" s="235"/>
      <c r="BV209" s="235"/>
      <c r="BX209" s="154"/>
      <c r="BY209" s="235"/>
      <c r="BZ209" s="235"/>
      <c r="CA209" s="235"/>
      <c r="CC209" s="154"/>
      <c r="CD209" s="235"/>
      <c r="CE209" s="235"/>
      <c r="CF209" s="235"/>
      <c r="CH209" s="154"/>
      <c r="CI209" s="235"/>
      <c r="CJ209" s="235"/>
      <c r="CK209" s="235"/>
      <c r="CM209" s="154"/>
      <c r="CN209" s="235"/>
      <c r="CO209" s="235"/>
      <c r="CP209" s="235"/>
      <c r="CR209" s="154"/>
      <c r="CS209" s="235"/>
      <c r="CT209" s="235"/>
      <c r="CU209" s="235"/>
      <c r="CW209" s="154"/>
      <c r="CX209" s="235"/>
      <c r="CY209" s="235"/>
      <c r="CZ209" s="235"/>
    </row>
    <row r="210" spans="1:105" ht="15" customHeight="1">
      <c r="A210" s="155"/>
      <c r="B210" s="155"/>
      <c r="C210" s="236"/>
      <c r="D210" s="237"/>
      <c r="E210" s="312"/>
      <c r="F210" s="330"/>
      <c r="G210" s="239"/>
      <c r="H210" s="239"/>
      <c r="I210" s="240"/>
      <c r="J210" s="331"/>
      <c r="K210" s="330"/>
      <c r="L210" s="239"/>
      <c r="M210" s="239"/>
      <c r="N210" s="240"/>
      <c r="O210" s="331"/>
      <c r="P210" s="330"/>
      <c r="Q210" s="239"/>
      <c r="R210" s="239"/>
      <c r="S210" s="240"/>
      <c r="T210" s="331"/>
      <c r="U210" s="323"/>
      <c r="V210" s="239"/>
      <c r="W210" s="239"/>
      <c r="X210" s="240"/>
      <c r="Y210" s="240"/>
      <c r="Z210" s="238"/>
      <c r="AA210" s="239"/>
      <c r="AB210" s="239"/>
      <c r="AC210" s="240"/>
      <c r="AD210" s="240"/>
      <c r="AE210" s="238"/>
      <c r="AF210" s="239"/>
      <c r="AG210" s="239"/>
      <c r="AH210" s="240"/>
      <c r="AI210" s="155"/>
      <c r="AJ210" s="238"/>
      <c r="AK210" s="239"/>
      <c r="AL210" s="239"/>
      <c r="AM210" s="240"/>
      <c r="AN210" s="155"/>
      <c r="AO210" s="238"/>
      <c r="AP210" s="239"/>
      <c r="AQ210" s="239"/>
      <c r="AR210" s="240"/>
      <c r="AS210" s="155"/>
      <c r="AT210" s="238"/>
      <c r="AU210" s="239"/>
      <c r="AV210" s="239"/>
      <c r="AW210" s="240"/>
      <c r="AX210" s="155"/>
      <c r="AY210" s="238"/>
      <c r="AZ210" s="239"/>
      <c r="BA210" s="239"/>
      <c r="BB210" s="240"/>
      <c r="BC210" s="155"/>
      <c r="BD210" s="238"/>
      <c r="BE210" s="239"/>
      <c r="BF210" s="239"/>
      <c r="BG210" s="240"/>
      <c r="BH210" s="155"/>
      <c r="BI210" s="238"/>
      <c r="BJ210" s="239"/>
      <c r="BK210" s="239"/>
      <c r="BL210" s="240"/>
      <c r="BM210" s="155"/>
      <c r="BN210" s="238"/>
      <c r="BO210" s="239"/>
      <c r="BP210" s="239"/>
      <c r="BQ210" s="240"/>
      <c r="BR210" s="155"/>
      <c r="BS210" s="238"/>
      <c r="BT210" s="239"/>
      <c r="BU210" s="239"/>
      <c r="BV210" s="240"/>
      <c r="BW210" s="155"/>
      <c r="BX210" s="238"/>
      <c r="BY210" s="239"/>
      <c r="BZ210" s="239"/>
      <c r="CA210" s="240"/>
      <c r="CB210" s="155"/>
      <c r="CC210" s="238"/>
      <c r="CD210" s="239"/>
      <c r="CE210" s="239"/>
      <c r="CF210" s="240"/>
      <c r="CG210" s="155"/>
      <c r="CH210" s="238"/>
      <c r="CI210" s="239"/>
      <c r="CJ210" s="239"/>
      <c r="CK210" s="240"/>
      <c r="CL210" s="155"/>
      <c r="CM210" s="238"/>
      <c r="CN210" s="239"/>
      <c r="CO210" s="239"/>
      <c r="CP210" s="240"/>
      <c r="CQ210" s="155"/>
      <c r="CR210" s="238"/>
      <c r="CS210" s="239"/>
      <c r="CT210" s="239"/>
      <c r="CU210" s="240"/>
      <c r="CV210" s="155"/>
      <c r="CW210" s="238"/>
      <c r="CX210" s="239"/>
      <c r="CY210" s="239"/>
      <c r="CZ210" s="240"/>
      <c r="DA210" s="155"/>
    </row>
    <row r="211" spans="1:105" ht="15" customHeight="1">
      <c r="A211" s="155"/>
      <c r="B211" s="155"/>
      <c r="C211" s="236"/>
      <c r="D211" s="237"/>
      <c r="E211" s="312"/>
      <c r="F211" s="330"/>
      <c r="G211" s="239"/>
      <c r="H211" s="239"/>
      <c r="I211" s="240"/>
      <c r="J211" s="331"/>
      <c r="K211" s="330"/>
      <c r="L211" s="239"/>
      <c r="M211" s="239"/>
      <c r="N211" s="240"/>
      <c r="O211" s="331"/>
      <c r="P211" s="330"/>
      <c r="Q211" s="239"/>
      <c r="R211" s="239"/>
      <c r="S211" s="240"/>
      <c r="T211" s="331"/>
      <c r="U211" s="323"/>
      <c r="V211" s="239"/>
      <c r="W211" s="239"/>
      <c r="X211" s="240"/>
      <c r="Y211" s="240"/>
      <c r="Z211" s="238"/>
      <c r="AA211" s="239"/>
      <c r="AB211" s="239"/>
      <c r="AC211" s="240"/>
      <c r="AD211" s="240"/>
      <c r="AE211" s="238"/>
      <c r="AF211" s="239"/>
      <c r="AG211" s="239"/>
      <c r="AH211" s="240"/>
      <c r="AI211" s="155"/>
      <c r="AJ211" s="238"/>
      <c r="AK211" s="239"/>
      <c r="AL211" s="239"/>
      <c r="AM211" s="240"/>
      <c r="AN211" s="155"/>
      <c r="AO211" s="238"/>
      <c r="AP211" s="239"/>
      <c r="AQ211" s="239"/>
      <c r="AR211" s="240"/>
      <c r="AS211" s="155"/>
      <c r="AT211" s="238"/>
      <c r="AU211" s="239"/>
      <c r="AV211" s="239"/>
      <c r="AW211" s="240"/>
      <c r="AX211" s="155"/>
      <c r="AY211" s="238"/>
      <c r="AZ211" s="239"/>
      <c r="BA211" s="239"/>
      <c r="BB211" s="240"/>
      <c r="BC211" s="155"/>
      <c r="BD211" s="238"/>
      <c r="BE211" s="239"/>
      <c r="BF211" s="239"/>
      <c r="BG211" s="240"/>
      <c r="BH211" s="155"/>
      <c r="BI211" s="238"/>
      <c r="BJ211" s="239"/>
      <c r="BK211" s="239"/>
      <c r="BL211" s="240"/>
      <c r="BM211" s="155"/>
      <c r="BN211" s="238"/>
      <c r="BO211" s="239"/>
      <c r="BP211" s="239"/>
      <c r="BQ211" s="240"/>
      <c r="BR211" s="155"/>
      <c r="BS211" s="238"/>
      <c r="BT211" s="239"/>
      <c r="BU211" s="239"/>
      <c r="BV211" s="240"/>
      <c r="BW211" s="155"/>
      <c r="BX211" s="238"/>
      <c r="BY211" s="239"/>
      <c r="BZ211" s="239"/>
      <c r="CA211" s="240"/>
      <c r="CB211" s="155"/>
      <c r="CC211" s="238"/>
      <c r="CD211" s="239"/>
      <c r="CE211" s="239"/>
      <c r="CF211" s="240"/>
      <c r="CG211" s="155"/>
      <c r="CH211" s="238"/>
      <c r="CI211" s="239"/>
      <c r="CJ211" s="239"/>
      <c r="CK211" s="240"/>
      <c r="CL211" s="155"/>
      <c r="CM211" s="238"/>
      <c r="CN211" s="239"/>
      <c r="CO211" s="239"/>
      <c r="CP211" s="240"/>
      <c r="CQ211" s="155"/>
      <c r="CR211" s="238"/>
      <c r="CS211" s="239"/>
      <c r="CT211" s="239"/>
      <c r="CU211" s="240"/>
      <c r="CV211" s="155"/>
      <c r="CW211" s="238"/>
      <c r="CX211" s="239"/>
      <c r="CY211" s="239"/>
      <c r="CZ211" s="240"/>
      <c r="DA211" s="155"/>
    </row>
    <row r="212" spans="1:105" ht="15" customHeight="1">
      <c r="A212" s="155"/>
      <c r="B212" s="155"/>
      <c r="C212" s="236"/>
      <c r="D212" s="237"/>
      <c r="E212" s="312"/>
      <c r="F212" s="330"/>
      <c r="G212" s="239"/>
      <c r="H212" s="239"/>
      <c r="I212" s="240"/>
      <c r="J212" s="331"/>
      <c r="K212" s="330"/>
      <c r="L212" s="239"/>
      <c r="M212" s="239"/>
      <c r="N212" s="240"/>
      <c r="O212" s="331"/>
      <c r="P212" s="330"/>
      <c r="Q212" s="239"/>
      <c r="R212" s="239"/>
      <c r="S212" s="240"/>
      <c r="T212" s="331"/>
      <c r="U212" s="323"/>
      <c r="V212" s="239"/>
      <c r="W212" s="239"/>
      <c r="X212" s="240"/>
      <c r="Y212" s="240"/>
      <c r="Z212" s="238"/>
      <c r="AA212" s="239"/>
      <c r="AB212" s="239"/>
      <c r="AC212" s="240"/>
      <c r="AD212" s="240"/>
      <c r="AE212" s="238"/>
      <c r="AF212" s="239"/>
      <c r="AG212" s="239"/>
      <c r="AH212" s="240"/>
      <c r="AI212" s="155"/>
      <c r="AJ212" s="238"/>
      <c r="AK212" s="239"/>
      <c r="AL212" s="239"/>
      <c r="AM212" s="240"/>
      <c r="AN212" s="155"/>
      <c r="AO212" s="238"/>
      <c r="AP212" s="239"/>
      <c r="AQ212" s="239"/>
      <c r="AR212" s="240"/>
      <c r="AS212" s="155"/>
      <c r="AT212" s="238"/>
      <c r="AU212" s="239"/>
      <c r="AV212" s="239"/>
      <c r="AW212" s="240"/>
      <c r="AX212" s="155"/>
      <c r="AY212" s="238"/>
      <c r="AZ212" s="239"/>
      <c r="BA212" s="239"/>
      <c r="BB212" s="240"/>
      <c r="BC212" s="155"/>
      <c r="BD212" s="238"/>
      <c r="BE212" s="239"/>
      <c r="BF212" s="239"/>
      <c r="BG212" s="240"/>
      <c r="BH212" s="155"/>
      <c r="BI212" s="238"/>
      <c r="BJ212" s="239"/>
      <c r="BK212" s="239"/>
      <c r="BL212" s="240"/>
      <c r="BM212" s="155"/>
      <c r="BN212" s="238"/>
      <c r="BO212" s="239"/>
      <c r="BP212" s="239"/>
      <c r="BQ212" s="240"/>
      <c r="BR212" s="155"/>
      <c r="BS212" s="238"/>
      <c r="BT212" s="239"/>
      <c r="BU212" s="239"/>
      <c r="BV212" s="240"/>
      <c r="BW212" s="155"/>
      <c r="BX212" s="238"/>
      <c r="BY212" s="239"/>
      <c r="BZ212" s="239"/>
      <c r="CA212" s="240"/>
      <c r="CB212" s="155"/>
      <c r="CC212" s="238"/>
      <c r="CD212" s="239"/>
      <c r="CE212" s="239"/>
      <c r="CF212" s="240"/>
      <c r="CG212" s="155"/>
      <c r="CH212" s="238"/>
      <c r="CI212" s="239"/>
      <c r="CJ212" s="239"/>
      <c r="CK212" s="240"/>
      <c r="CL212" s="155"/>
      <c r="CM212" s="238"/>
      <c r="CN212" s="239"/>
      <c r="CO212" s="239"/>
      <c r="CP212" s="240"/>
      <c r="CQ212" s="155"/>
      <c r="CR212" s="238"/>
      <c r="CS212" s="239"/>
      <c r="CT212" s="239"/>
      <c r="CU212" s="240"/>
      <c r="CV212" s="155"/>
      <c r="CW212" s="238"/>
      <c r="CX212" s="239"/>
      <c r="CY212" s="239"/>
      <c r="CZ212" s="240"/>
      <c r="DA212" s="155"/>
    </row>
    <row r="213" spans="1:105" ht="15" customHeight="1">
      <c r="A213" s="155"/>
      <c r="B213" s="155"/>
      <c r="C213" s="236"/>
      <c r="D213" s="237"/>
      <c r="E213" s="312"/>
      <c r="F213" s="330"/>
      <c r="G213" s="239"/>
      <c r="H213" s="239"/>
      <c r="I213" s="240"/>
      <c r="J213" s="331"/>
      <c r="K213" s="330"/>
      <c r="L213" s="239"/>
      <c r="M213" s="239"/>
      <c r="N213" s="240"/>
      <c r="O213" s="331"/>
      <c r="P213" s="330"/>
      <c r="Q213" s="239"/>
      <c r="R213" s="239"/>
      <c r="S213" s="240"/>
      <c r="T213" s="331"/>
      <c r="U213" s="323"/>
      <c r="V213" s="239"/>
      <c r="W213" s="239"/>
      <c r="X213" s="240"/>
      <c r="Y213" s="240"/>
      <c r="Z213" s="238"/>
      <c r="AA213" s="239"/>
      <c r="AB213" s="239"/>
      <c r="AC213" s="240"/>
      <c r="AD213" s="240"/>
      <c r="AE213" s="238"/>
      <c r="AF213" s="239"/>
      <c r="AG213" s="239"/>
      <c r="AH213" s="240"/>
      <c r="AI213" s="155"/>
      <c r="AJ213" s="238"/>
      <c r="AK213" s="239"/>
      <c r="AL213" s="239"/>
      <c r="AM213" s="240"/>
      <c r="AN213" s="155"/>
      <c r="AO213" s="238"/>
      <c r="AP213" s="239"/>
      <c r="AQ213" s="239"/>
      <c r="AR213" s="240"/>
      <c r="AS213" s="155"/>
      <c r="AT213" s="238"/>
      <c r="AU213" s="239"/>
      <c r="AV213" s="239"/>
      <c r="AW213" s="240"/>
      <c r="AX213" s="155"/>
      <c r="AY213" s="238"/>
      <c r="AZ213" s="239"/>
      <c r="BA213" s="239"/>
      <c r="BB213" s="240"/>
      <c r="BC213" s="155"/>
      <c r="BD213" s="238"/>
      <c r="BE213" s="239"/>
      <c r="BF213" s="239"/>
      <c r="BG213" s="240"/>
      <c r="BH213" s="155"/>
      <c r="BI213" s="238"/>
      <c r="BJ213" s="239"/>
      <c r="BK213" s="239"/>
      <c r="BL213" s="240"/>
      <c r="BM213" s="155"/>
      <c r="BN213" s="238"/>
      <c r="BO213" s="239"/>
      <c r="BP213" s="239"/>
      <c r="BQ213" s="240"/>
      <c r="BR213" s="155"/>
      <c r="BS213" s="238"/>
      <c r="BT213" s="239"/>
      <c r="BU213" s="239"/>
      <c r="BV213" s="240"/>
      <c r="BW213" s="155"/>
      <c r="BX213" s="238"/>
      <c r="BY213" s="239"/>
      <c r="BZ213" s="239"/>
      <c r="CA213" s="240"/>
      <c r="CB213" s="155"/>
      <c r="CC213" s="238"/>
      <c r="CD213" s="239"/>
      <c r="CE213" s="239"/>
      <c r="CF213" s="240"/>
      <c r="CG213" s="155"/>
      <c r="CH213" s="238"/>
      <c r="CI213" s="239"/>
      <c r="CJ213" s="239"/>
      <c r="CK213" s="240"/>
      <c r="CL213" s="155"/>
      <c r="CM213" s="238"/>
      <c r="CN213" s="239"/>
      <c r="CO213" s="239"/>
      <c r="CP213" s="240"/>
      <c r="CQ213" s="155"/>
      <c r="CR213" s="238"/>
      <c r="CS213" s="239"/>
      <c r="CT213" s="239"/>
      <c r="CU213" s="240"/>
      <c r="CV213" s="155"/>
      <c r="CW213" s="238"/>
      <c r="CX213" s="239"/>
      <c r="CY213" s="239"/>
      <c r="CZ213" s="240"/>
      <c r="DA213" s="155"/>
    </row>
    <row r="214" spans="1:105" ht="15" customHeight="1">
      <c r="A214" s="155"/>
      <c r="B214" s="155"/>
      <c r="C214" s="236"/>
      <c r="D214" s="237"/>
      <c r="E214" s="312"/>
      <c r="F214" s="330"/>
      <c r="G214" s="239"/>
      <c r="H214" s="239"/>
      <c r="I214" s="240"/>
      <c r="J214" s="331"/>
      <c r="K214" s="330"/>
      <c r="L214" s="239"/>
      <c r="M214" s="239"/>
      <c r="N214" s="240"/>
      <c r="O214" s="331"/>
      <c r="P214" s="330"/>
      <c r="Q214" s="239"/>
      <c r="R214" s="239"/>
      <c r="S214" s="240"/>
      <c r="T214" s="331"/>
      <c r="U214" s="323"/>
      <c r="V214" s="239"/>
      <c r="W214" s="239"/>
      <c r="X214" s="240"/>
      <c r="Y214" s="240"/>
      <c r="Z214" s="238"/>
      <c r="AA214" s="239"/>
      <c r="AB214" s="239"/>
      <c r="AC214" s="240"/>
      <c r="AD214" s="240"/>
      <c r="AE214" s="238"/>
      <c r="AF214" s="239"/>
      <c r="AG214" s="239"/>
      <c r="AH214" s="240"/>
      <c r="AI214" s="155"/>
      <c r="AJ214" s="238"/>
      <c r="AK214" s="239"/>
      <c r="AL214" s="239"/>
      <c r="AM214" s="240"/>
      <c r="AN214" s="155"/>
      <c r="AO214" s="238"/>
      <c r="AP214" s="239"/>
      <c r="AQ214" s="239"/>
      <c r="AR214" s="240"/>
      <c r="AS214" s="155"/>
      <c r="AT214" s="238"/>
      <c r="AU214" s="239"/>
      <c r="AV214" s="239"/>
      <c r="AW214" s="240"/>
      <c r="AX214" s="155"/>
      <c r="AY214" s="238"/>
      <c r="AZ214" s="239"/>
      <c r="BA214" s="239"/>
      <c r="BB214" s="240"/>
      <c r="BC214" s="155"/>
      <c r="BD214" s="238"/>
      <c r="BE214" s="239"/>
      <c r="BF214" s="239"/>
      <c r="BG214" s="240"/>
      <c r="BH214" s="155"/>
      <c r="BI214" s="238"/>
      <c r="BJ214" s="239"/>
      <c r="BK214" s="239"/>
      <c r="BL214" s="240"/>
      <c r="BM214" s="155"/>
      <c r="BN214" s="238"/>
      <c r="BO214" s="239"/>
      <c r="BP214" s="239"/>
      <c r="BQ214" s="240"/>
      <c r="BR214" s="155"/>
      <c r="BS214" s="238"/>
      <c r="BT214" s="239"/>
      <c r="BU214" s="239"/>
      <c r="BV214" s="240"/>
      <c r="BW214" s="155"/>
      <c r="BX214" s="238"/>
      <c r="BY214" s="239"/>
      <c r="BZ214" s="239"/>
      <c r="CA214" s="240"/>
      <c r="CB214" s="155"/>
      <c r="CC214" s="238"/>
      <c r="CD214" s="239"/>
      <c r="CE214" s="239"/>
      <c r="CF214" s="240"/>
      <c r="CG214" s="155"/>
      <c r="CH214" s="238"/>
      <c r="CI214" s="239"/>
      <c r="CJ214" s="239"/>
      <c r="CK214" s="240"/>
      <c r="CL214" s="155"/>
      <c r="CM214" s="238"/>
      <c r="CN214" s="239"/>
      <c r="CO214" s="239"/>
      <c r="CP214" s="240"/>
      <c r="CQ214" s="155"/>
      <c r="CR214" s="238"/>
      <c r="CS214" s="239"/>
      <c r="CT214" s="239"/>
      <c r="CU214" s="240"/>
      <c r="CV214" s="155"/>
      <c r="CW214" s="238"/>
      <c r="CX214" s="239"/>
      <c r="CY214" s="239"/>
      <c r="CZ214" s="240"/>
      <c r="DA214" s="155"/>
    </row>
    <row r="215" spans="1:105" ht="15" customHeight="1">
      <c r="A215" s="155"/>
      <c r="B215" s="155"/>
      <c r="C215" s="236"/>
      <c r="D215" s="237"/>
      <c r="E215" s="312"/>
      <c r="F215" s="330"/>
      <c r="G215" s="239"/>
      <c r="H215" s="239"/>
      <c r="I215" s="240"/>
      <c r="J215" s="331"/>
      <c r="K215" s="330"/>
      <c r="L215" s="239"/>
      <c r="M215" s="239"/>
      <c r="N215" s="240"/>
      <c r="O215" s="331"/>
      <c r="P215" s="330"/>
      <c r="Q215" s="239"/>
      <c r="R215" s="239"/>
      <c r="S215" s="240"/>
      <c r="T215" s="331"/>
      <c r="U215" s="323"/>
      <c r="V215" s="239"/>
      <c r="W215" s="239"/>
      <c r="X215" s="240"/>
      <c r="Y215" s="240"/>
      <c r="Z215" s="238"/>
      <c r="AA215" s="239"/>
      <c r="AB215" s="239"/>
      <c r="AC215" s="240"/>
      <c r="AD215" s="240"/>
      <c r="AE215" s="238"/>
      <c r="AF215" s="239"/>
      <c r="AG215" s="239"/>
      <c r="AH215" s="240"/>
      <c r="AI215" s="155"/>
      <c r="AJ215" s="238"/>
      <c r="AK215" s="239"/>
      <c r="AL215" s="239"/>
      <c r="AM215" s="240"/>
      <c r="AN215" s="155"/>
      <c r="AO215" s="238"/>
      <c r="AP215" s="239"/>
      <c r="AQ215" s="239"/>
      <c r="AR215" s="240"/>
      <c r="AS215" s="155"/>
      <c r="AT215" s="238"/>
      <c r="AU215" s="239"/>
      <c r="AV215" s="239"/>
      <c r="AW215" s="240"/>
      <c r="AX215" s="155"/>
      <c r="AY215" s="238"/>
      <c r="AZ215" s="239"/>
      <c r="BA215" s="239"/>
      <c r="BB215" s="240"/>
      <c r="BC215" s="155"/>
      <c r="BD215" s="238"/>
      <c r="BE215" s="239"/>
      <c r="BF215" s="239"/>
      <c r="BG215" s="240"/>
      <c r="BH215" s="155"/>
      <c r="BI215" s="238"/>
      <c r="BJ215" s="239"/>
      <c r="BK215" s="239"/>
      <c r="BL215" s="240"/>
      <c r="BM215" s="155"/>
      <c r="BN215" s="238"/>
      <c r="BO215" s="239"/>
      <c r="BP215" s="239"/>
      <c r="BQ215" s="240"/>
      <c r="BR215" s="155"/>
      <c r="BS215" s="238"/>
      <c r="BT215" s="239"/>
      <c r="BU215" s="239"/>
      <c r="BV215" s="240"/>
      <c r="BW215" s="155"/>
      <c r="BX215" s="238"/>
      <c r="BY215" s="239"/>
      <c r="BZ215" s="239"/>
      <c r="CA215" s="240"/>
      <c r="CB215" s="155"/>
      <c r="CC215" s="238"/>
      <c r="CD215" s="239"/>
      <c r="CE215" s="239"/>
      <c r="CF215" s="240"/>
      <c r="CG215" s="155"/>
      <c r="CH215" s="238"/>
      <c r="CI215" s="239"/>
      <c r="CJ215" s="239"/>
      <c r="CK215" s="240"/>
      <c r="CL215" s="155"/>
      <c r="CM215" s="238"/>
      <c r="CN215" s="239"/>
      <c r="CO215" s="239"/>
      <c r="CP215" s="240"/>
      <c r="CQ215" s="155"/>
      <c r="CR215" s="238"/>
      <c r="CS215" s="239"/>
      <c r="CT215" s="239"/>
      <c r="CU215" s="240"/>
      <c r="CV215" s="155"/>
      <c r="CW215" s="238"/>
      <c r="CX215" s="239"/>
      <c r="CY215" s="239"/>
      <c r="CZ215" s="240"/>
      <c r="DA215" s="155"/>
    </row>
    <row r="216" spans="1:105" ht="15" customHeight="1">
      <c r="A216" s="155"/>
      <c r="B216" s="155"/>
      <c r="C216" s="236"/>
      <c r="D216" s="237"/>
      <c r="E216" s="312"/>
      <c r="F216" s="330"/>
      <c r="G216" s="239"/>
      <c r="H216" s="239"/>
      <c r="I216" s="240"/>
      <c r="J216" s="331"/>
      <c r="K216" s="330"/>
      <c r="L216" s="239"/>
      <c r="M216" s="239"/>
      <c r="N216" s="240"/>
      <c r="O216" s="331"/>
      <c r="P216" s="330"/>
      <c r="Q216" s="239"/>
      <c r="R216" s="239"/>
      <c r="S216" s="240"/>
      <c r="T216" s="331"/>
      <c r="U216" s="323"/>
      <c r="V216" s="239"/>
      <c r="W216" s="239"/>
      <c r="X216" s="240"/>
      <c r="Y216" s="240"/>
      <c r="Z216" s="238"/>
      <c r="AA216" s="239"/>
      <c r="AB216" s="239"/>
      <c r="AC216" s="240"/>
      <c r="AD216" s="240"/>
      <c r="AE216" s="238"/>
      <c r="AF216" s="239"/>
      <c r="AG216" s="239"/>
      <c r="AH216" s="240"/>
      <c r="AI216" s="155"/>
      <c r="AJ216" s="238"/>
      <c r="AK216" s="239"/>
      <c r="AL216" s="239"/>
      <c r="AM216" s="240"/>
      <c r="AN216" s="155"/>
      <c r="AO216" s="238"/>
      <c r="AP216" s="239"/>
      <c r="AQ216" s="239"/>
      <c r="AR216" s="240"/>
      <c r="AS216" s="155"/>
      <c r="AT216" s="238"/>
      <c r="AU216" s="239"/>
      <c r="AV216" s="239"/>
      <c r="AW216" s="240"/>
      <c r="AX216" s="155"/>
      <c r="AY216" s="238"/>
      <c r="AZ216" s="239"/>
      <c r="BA216" s="239"/>
      <c r="BB216" s="240"/>
      <c r="BC216" s="155"/>
      <c r="BD216" s="238"/>
      <c r="BE216" s="239"/>
      <c r="BF216" s="239"/>
      <c r="BG216" s="240"/>
      <c r="BH216" s="155"/>
      <c r="BI216" s="238"/>
      <c r="BJ216" s="239"/>
      <c r="BK216" s="239"/>
      <c r="BL216" s="240"/>
      <c r="BM216" s="155"/>
      <c r="BN216" s="238"/>
      <c r="BO216" s="239"/>
      <c r="BP216" s="239"/>
      <c r="BQ216" s="240"/>
      <c r="BR216" s="155"/>
      <c r="BS216" s="238"/>
      <c r="BT216" s="239"/>
      <c r="BU216" s="239"/>
      <c r="BV216" s="240"/>
      <c r="BW216" s="155"/>
      <c r="BX216" s="238"/>
      <c r="BY216" s="239"/>
      <c r="BZ216" s="239"/>
      <c r="CA216" s="240"/>
      <c r="CB216" s="155"/>
      <c r="CC216" s="238"/>
      <c r="CD216" s="239"/>
      <c r="CE216" s="239"/>
      <c r="CF216" s="240"/>
      <c r="CG216" s="155"/>
      <c r="CH216" s="238"/>
      <c r="CI216" s="239"/>
      <c r="CJ216" s="239"/>
      <c r="CK216" s="240"/>
      <c r="CL216" s="155"/>
      <c r="CM216" s="238"/>
      <c r="CN216" s="239"/>
      <c r="CO216" s="239"/>
      <c r="CP216" s="240"/>
      <c r="CQ216" s="155"/>
      <c r="CR216" s="238"/>
      <c r="CS216" s="239"/>
      <c r="CT216" s="239"/>
      <c r="CU216" s="240"/>
      <c r="CV216" s="155"/>
      <c r="CW216" s="238"/>
      <c r="CX216" s="239"/>
      <c r="CY216" s="239"/>
      <c r="CZ216" s="240"/>
      <c r="DA216" s="155"/>
    </row>
    <row r="217" spans="1:105" ht="15" customHeight="1">
      <c r="A217" s="155"/>
      <c r="B217" s="155"/>
      <c r="C217" s="236"/>
      <c r="D217" s="237"/>
      <c r="E217" s="312"/>
      <c r="F217" s="330"/>
      <c r="G217" s="239"/>
      <c r="H217" s="239"/>
      <c r="I217" s="240"/>
      <c r="J217" s="331"/>
      <c r="K217" s="330"/>
      <c r="L217" s="239"/>
      <c r="M217" s="239"/>
      <c r="N217" s="240"/>
      <c r="O217" s="331"/>
      <c r="P217" s="330"/>
      <c r="Q217" s="239"/>
      <c r="R217" s="239"/>
      <c r="S217" s="240"/>
      <c r="T217" s="331"/>
      <c r="U217" s="323"/>
      <c r="V217" s="239"/>
      <c r="W217" s="239"/>
      <c r="X217" s="240"/>
      <c r="Y217" s="240"/>
      <c r="Z217" s="238"/>
      <c r="AA217" s="239"/>
      <c r="AB217" s="239"/>
      <c r="AC217" s="240"/>
      <c r="AD217" s="240"/>
      <c r="AE217" s="238"/>
      <c r="AF217" s="239"/>
      <c r="AG217" s="239"/>
      <c r="AH217" s="240"/>
      <c r="AI217" s="155"/>
      <c r="AJ217" s="238"/>
      <c r="AK217" s="239"/>
      <c r="AL217" s="239"/>
      <c r="AM217" s="240"/>
      <c r="AN217" s="155"/>
      <c r="AO217" s="238"/>
      <c r="AP217" s="239"/>
      <c r="AQ217" s="239"/>
      <c r="AR217" s="240"/>
      <c r="AS217" s="155"/>
      <c r="AT217" s="238"/>
      <c r="AU217" s="239"/>
      <c r="AV217" s="239"/>
      <c r="AW217" s="240"/>
      <c r="AX217" s="155"/>
      <c r="AY217" s="238"/>
      <c r="AZ217" s="239"/>
      <c r="BA217" s="239"/>
      <c r="BB217" s="240"/>
      <c r="BC217" s="155"/>
      <c r="BD217" s="238"/>
      <c r="BE217" s="239"/>
      <c r="BF217" s="239"/>
      <c r="BG217" s="240"/>
      <c r="BH217" s="155"/>
      <c r="BI217" s="238"/>
      <c r="BJ217" s="239"/>
      <c r="BK217" s="239"/>
      <c r="BL217" s="240"/>
      <c r="BM217" s="155"/>
      <c r="BN217" s="238"/>
      <c r="BO217" s="239"/>
      <c r="BP217" s="239"/>
      <c r="BQ217" s="240"/>
      <c r="BR217" s="155"/>
      <c r="BS217" s="238"/>
      <c r="BT217" s="239"/>
      <c r="BU217" s="239"/>
      <c r="BV217" s="240"/>
      <c r="BW217" s="155"/>
      <c r="BX217" s="238"/>
      <c r="BY217" s="239"/>
      <c r="BZ217" s="239"/>
      <c r="CA217" s="240"/>
      <c r="CB217" s="155"/>
      <c r="CC217" s="238"/>
      <c r="CD217" s="239"/>
      <c r="CE217" s="239"/>
      <c r="CF217" s="240"/>
      <c r="CG217" s="155"/>
      <c r="CH217" s="238"/>
      <c r="CI217" s="239"/>
      <c r="CJ217" s="239"/>
      <c r="CK217" s="240"/>
      <c r="CL217" s="155"/>
      <c r="CM217" s="238"/>
      <c r="CN217" s="239"/>
      <c r="CO217" s="239"/>
      <c r="CP217" s="240"/>
      <c r="CQ217" s="155"/>
      <c r="CR217" s="238"/>
      <c r="CS217" s="239"/>
      <c r="CT217" s="239"/>
      <c r="CU217" s="240"/>
      <c r="CV217" s="155"/>
      <c r="CW217" s="238"/>
      <c r="CX217" s="239"/>
      <c r="CY217" s="239"/>
      <c r="CZ217" s="240"/>
      <c r="DA217" s="155"/>
    </row>
    <row r="218" spans="1:105" ht="15" customHeight="1">
      <c r="A218" s="155"/>
      <c r="B218" s="155"/>
      <c r="C218" s="236"/>
      <c r="D218" s="237"/>
      <c r="E218" s="312"/>
      <c r="F218" s="330"/>
      <c r="G218" s="239"/>
      <c r="H218" s="239"/>
      <c r="I218" s="240"/>
      <c r="J218" s="331"/>
      <c r="K218" s="330"/>
      <c r="L218" s="239"/>
      <c r="M218" s="239"/>
      <c r="N218" s="240"/>
      <c r="O218" s="331"/>
      <c r="P218" s="330"/>
      <c r="Q218" s="239"/>
      <c r="R218" s="239"/>
      <c r="S218" s="240"/>
      <c r="T218" s="331"/>
      <c r="U218" s="323"/>
      <c r="V218" s="239"/>
      <c r="W218" s="239"/>
      <c r="X218" s="240"/>
      <c r="Y218" s="240"/>
      <c r="Z218" s="238"/>
      <c r="AA218" s="239"/>
      <c r="AB218" s="239"/>
      <c r="AC218" s="240"/>
      <c r="AD218" s="240"/>
      <c r="AE218" s="238"/>
      <c r="AF218" s="239"/>
      <c r="AG218" s="239"/>
      <c r="AH218" s="240"/>
      <c r="AI218" s="155"/>
      <c r="AJ218" s="238"/>
      <c r="AK218" s="239"/>
      <c r="AL218" s="239"/>
      <c r="AM218" s="240"/>
      <c r="AN218" s="155"/>
      <c r="AO218" s="238"/>
      <c r="AP218" s="239"/>
      <c r="AQ218" s="239"/>
      <c r="AR218" s="240"/>
      <c r="AS218" s="155"/>
      <c r="AT218" s="238"/>
      <c r="AU218" s="239"/>
      <c r="AV218" s="239"/>
      <c r="AW218" s="240"/>
      <c r="AX218" s="155"/>
      <c r="AY218" s="238"/>
      <c r="AZ218" s="239"/>
      <c r="BA218" s="239"/>
      <c r="BB218" s="240"/>
      <c r="BC218" s="155"/>
      <c r="BD218" s="238"/>
      <c r="BE218" s="239"/>
      <c r="BF218" s="239"/>
      <c r="BG218" s="240"/>
      <c r="BH218" s="155"/>
      <c r="BI218" s="238"/>
      <c r="BJ218" s="239"/>
      <c r="BK218" s="239"/>
      <c r="BL218" s="240"/>
      <c r="BM218" s="155"/>
      <c r="BN218" s="238"/>
      <c r="BO218" s="239"/>
      <c r="BP218" s="239"/>
      <c r="BQ218" s="240"/>
      <c r="BR218" s="155"/>
      <c r="BS218" s="238"/>
      <c r="BT218" s="239"/>
      <c r="BU218" s="239"/>
      <c r="BV218" s="240"/>
      <c r="BW218" s="155"/>
      <c r="BX218" s="238"/>
      <c r="BY218" s="239"/>
      <c r="BZ218" s="239"/>
      <c r="CA218" s="240"/>
      <c r="CB218" s="155"/>
      <c r="CC218" s="238"/>
      <c r="CD218" s="239"/>
      <c r="CE218" s="239"/>
      <c r="CF218" s="240"/>
      <c r="CG218" s="155"/>
      <c r="CH218" s="238"/>
      <c r="CI218" s="239"/>
      <c r="CJ218" s="239"/>
      <c r="CK218" s="240"/>
      <c r="CL218" s="155"/>
      <c r="CM218" s="238"/>
      <c r="CN218" s="239"/>
      <c r="CO218" s="239"/>
      <c r="CP218" s="240"/>
      <c r="CQ218" s="155"/>
      <c r="CR218" s="238"/>
      <c r="CS218" s="239"/>
      <c r="CT218" s="239"/>
      <c r="CU218" s="240"/>
      <c r="CV218" s="155"/>
      <c r="CW218" s="238"/>
      <c r="CX218" s="239"/>
      <c r="CY218" s="239"/>
      <c r="CZ218" s="240"/>
      <c r="DA218" s="155"/>
    </row>
    <row r="219" spans="1:105" ht="15" customHeight="1">
      <c r="A219" s="155"/>
      <c r="B219" s="155"/>
      <c r="C219" s="236"/>
      <c r="D219" s="237"/>
      <c r="E219" s="312"/>
      <c r="F219" s="330"/>
      <c r="G219" s="239"/>
      <c r="H219" s="239"/>
      <c r="I219" s="240"/>
      <c r="J219" s="331"/>
      <c r="K219" s="330"/>
      <c r="L219" s="239"/>
      <c r="M219" s="239"/>
      <c r="N219" s="240"/>
      <c r="O219" s="331"/>
      <c r="P219" s="330"/>
      <c r="Q219" s="239"/>
      <c r="R219" s="239"/>
      <c r="S219" s="240"/>
      <c r="T219" s="331"/>
      <c r="U219" s="323"/>
      <c r="V219" s="239"/>
      <c r="W219" s="239"/>
      <c r="X219" s="240"/>
      <c r="Y219" s="240"/>
      <c r="Z219" s="238"/>
      <c r="AA219" s="239"/>
      <c r="AB219" s="239"/>
      <c r="AC219" s="240"/>
      <c r="AD219" s="240"/>
      <c r="AE219" s="238"/>
      <c r="AF219" s="239"/>
      <c r="AG219" s="239"/>
      <c r="AH219" s="240"/>
      <c r="AI219" s="155"/>
      <c r="AJ219" s="238"/>
      <c r="AK219" s="239"/>
      <c r="AL219" s="239"/>
      <c r="AM219" s="240"/>
      <c r="AN219" s="155"/>
      <c r="AO219" s="238"/>
      <c r="AP219" s="239"/>
      <c r="AQ219" s="239"/>
      <c r="AR219" s="240"/>
      <c r="AS219" s="155"/>
      <c r="AT219" s="238"/>
      <c r="AU219" s="239"/>
      <c r="AV219" s="239"/>
      <c r="AW219" s="240"/>
      <c r="AX219" s="155"/>
      <c r="AY219" s="238"/>
      <c r="AZ219" s="239"/>
      <c r="BA219" s="239"/>
      <c r="BB219" s="240"/>
      <c r="BC219" s="155"/>
      <c r="BD219" s="238"/>
      <c r="BE219" s="239"/>
      <c r="BF219" s="239"/>
      <c r="BG219" s="240"/>
      <c r="BH219" s="155"/>
      <c r="BI219" s="238"/>
      <c r="BJ219" s="239"/>
      <c r="BK219" s="239"/>
      <c r="BL219" s="240"/>
      <c r="BM219" s="155"/>
      <c r="BN219" s="238"/>
      <c r="BO219" s="239"/>
      <c r="BP219" s="239"/>
      <c r="BQ219" s="240"/>
      <c r="BR219" s="155"/>
      <c r="BS219" s="238"/>
      <c r="BT219" s="239"/>
      <c r="BU219" s="239"/>
      <c r="BV219" s="240"/>
      <c r="BW219" s="155"/>
      <c r="BX219" s="238"/>
      <c r="BY219" s="239"/>
      <c r="BZ219" s="239"/>
      <c r="CA219" s="240"/>
      <c r="CB219" s="155"/>
      <c r="CC219" s="238"/>
      <c r="CD219" s="239"/>
      <c r="CE219" s="239"/>
      <c r="CF219" s="240"/>
      <c r="CG219" s="155"/>
      <c r="CH219" s="238"/>
      <c r="CI219" s="239"/>
      <c r="CJ219" s="239"/>
      <c r="CK219" s="240"/>
      <c r="CL219" s="155"/>
      <c r="CM219" s="238"/>
      <c r="CN219" s="239"/>
      <c r="CO219" s="239"/>
      <c r="CP219" s="240"/>
      <c r="CQ219" s="155"/>
      <c r="CR219" s="238"/>
      <c r="CS219" s="239"/>
      <c r="CT219" s="239"/>
      <c r="CU219" s="240"/>
      <c r="CV219" s="155"/>
      <c r="CW219" s="238"/>
      <c r="CX219" s="239"/>
      <c r="CY219" s="239"/>
      <c r="CZ219" s="240"/>
      <c r="DA219" s="155"/>
    </row>
    <row r="220" spans="1:105" ht="15" customHeight="1">
      <c r="A220" s="155"/>
      <c r="B220" s="155"/>
      <c r="C220" s="236"/>
      <c r="D220" s="237"/>
      <c r="E220" s="312"/>
      <c r="F220" s="330"/>
      <c r="G220" s="239"/>
      <c r="H220" s="239"/>
      <c r="I220" s="240"/>
      <c r="J220" s="331"/>
      <c r="K220" s="330"/>
      <c r="L220" s="239"/>
      <c r="M220" s="239"/>
      <c r="N220" s="240"/>
      <c r="O220" s="331"/>
      <c r="P220" s="330"/>
      <c r="Q220" s="239"/>
      <c r="R220" s="239"/>
      <c r="S220" s="240"/>
      <c r="T220" s="331"/>
      <c r="U220" s="323"/>
      <c r="V220" s="239"/>
      <c r="W220" s="239"/>
      <c r="X220" s="240"/>
      <c r="Y220" s="240"/>
      <c r="Z220" s="238"/>
      <c r="AA220" s="239"/>
      <c r="AB220" s="239"/>
      <c r="AC220" s="240"/>
      <c r="AD220" s="240"/>
      <c r="AE220" s="238"/>
      <c r="AF220" s="239"/>
      <c r="AG220" s="239"/>
      <c r="AH220" s="240"/>
      <c r="AI220" s="155"/>
      <c r="AJ220" s="238"/>
      <c r="AK220" s="239"/>
      <c r="AL220" s="239"/>
      <c r="AM220" s="240"/>
      <c r="AN220" s="155"/>
      <c r="AO220" s="238"/>
      <c r="AP220" s="239"/>
      <c r="AQ220" s="239"/>
      <c r="AR220" s="240"/>
      <c r="AS220" s="155"/>
      <c r="AT220" s="238"/>
      <c r="AU220" s="239"/>
      <c r="AV220" s="239"/>
      <c r="AW220" s="240"/>
      <c r="AX220" s="155"/>
      <c r="AY220" s="238"/>
      <c r="AZ220" s="239"/>
      <c r="BA220" s="239"/>
      <c r="BB220" s="240"/>
      <c r="BC220" s="155"/>
      <c r="BD220" s="238"/>
      <c r="BE220" s="239"/>
      <c r="BF220" s="239"/>
      <c r="BG220" s="240"/>
      <c r="BH220" s="155"/>
      <c r="BI220" s="238"/>
      <c r="BJ220" s="239"/>
      <c r="BK220" s="239"/>
      <c r="BL220" s="240"/>
      <c r="BM220" s="155"/>
      <c r="BN220" s="238"/>
      <c r="BO220" s="239"/>
      <c r="BP220" s="239"/>
      <c r="BQ220" s="240"/>
      <c r="BR220" s="155"/>
      <c r="BS220" s="238"/>
      <c r="BT220" s="239"/>
      <c r="BU220" s="239"/>
      <c r="BV220" s="240"/>
      <c r="BW220" s="155"/>
      <c r="BX220" s="238"/>
      <c r="BY220" s="239"/>
      <c r="BZ220" s="239"/>
      <c r="CA220" s="240"/>
      <c r="CB220" s="155"/>
      <c r="CC220" s="238"/>
      <c r="CD220" s="239"/>
      <c r="CE220" s="239"/>
      <c r="CF220" s="240"/>
      <c r="CG220" s="155"/>
      <c r="CH220" s="238"/>
      <c r="CI220" s="239"/>
      <c r="CJ220" s="239"/>
      <c r="CK220" s="240"/>
      <c r="CL220" s="155"/>
      <c r="CM220" s="238"/>
      <c r="CN220" s="239"/>
      <c r="CO220" s="239"/>
      <c r="CP220" s="240"/>
      <c r="CQ220" s="155"/>
      <c r="CR220" s="238"/>
      <c r="CS220" s="239"/>
      <c r="CT220" s="239"/>
      <c r="CU220" s="240"/>
      <c r="CV220" s="155"/>
      <c r="CW220" s="238"/>
      <c r="CX220" s="239"/>
      <c r="CY220" s="239"/>
      <c r="CZ220" s="240"/>
      <c r="DA220" s="155"/>
    </row>
    <row r="221" spans="1:105" ht="15" customHeight="1">
      <c r="A221" s="155"/>
      <c r="B221" s="155"/>
      <c r="C221" s="236"/>
      <c r="D221" s="237"/>
      <c r="E221" s="312"/>
      <c r="F221" s="330"/>
      <c r="G221" s="239"/>
      <c r="H221" s="239"/>
      <c r="I221" s="240"/>
      <c r="J221" s="331"/>
      <c r="K221" s="330"/>
      <c r="L221" s="239"/>
      <c r="M221" s="239"/>
      <c r="N221" s="240"/>
      <c r="O221" s="331"/>
      <c r="P221" s="330"/>
      <c r="Q221" s="239"/>
      <c r="R221" s="239"/>
      <c r="S221" s="240"/>
      <c r="T221" s="331"/>
      <c r="U221" s="323"/>
      <c r="V221" s="239"/>
      <c r="W221" s="239"/>
      <c r="X221" s="240"/>
      <c r="Y221" s="240"/>
      <c r="Z221" s="238"/>
      <c r="AA221" s="239"/>
      <c r="AB221" s="239"/>
      <c r="AC221" s="240"/>
      <c r="AD221" s="240"/>
      <c r="AE221" s="238"/>
      <c r="AF221" s="239"/>
      <c r="AG221" s="239"/>
      <c r="AH221" s="240"/>
      <c r="AI221" s="155"/>
      <c r="AJ221" s="238"/>
      <c r="AK221" s="239"/>
      <c r="AL221" s="239"/>
      <c r="AM221" s="240"/>
      <c r="AN221" s="155"/>
      <c r="AO221" s="238"/>
      <c r="AP221" s="239"/>
      <c r="AQ221" s="239"/>
      <c r="AR221" s="240"/>
      <c r="AS221" s="155"/>
      <c r="AT221" s="238"/>
      <c r="AU221" s="239"/>
      <c r="AV221" s="239"/>
      <c r="AW221" s="240"/>
      <c r="AX221" s="155"/>
      <c r="AY221" s="238"/>
      <c r="AZ221" s="239"/>
      <c r="BA221" s="239"/>
      <c r="BB221" s="240"/>
      <c r="BC221" s="155"/>
      <c r="BD221" s="238"/>
      <c r="BE221" s="239"/>
      <c r="BF221" s="239"/>
      <c r="BG221" s="240"/>
      <c r="BH221" s="155"/>
      <c r="BI221" s="238"/>
      <c r="BJ221" s="239"/>
      <c r="BK221" s="239"/>
      <c r="BL221" s="240"/>
      <c r="BM221" s="155"/>
      <c r="BN221" s="238"/>
      <c r="BO221" s="239"/>
      <c r="BP221" s="239"/>
      <c r="BQ221" s="240"/>
      <c r="BR221" s="155"/>
      <c r="BS221" s="238"/>
      <c r="BT221" s="239"/>
      <c r="BU221" s="239"/>
      <c r="BV221" s="240"/>
      <c r="BW221" s="155"/>
      <c r="BX221" s="238"/>
      <c r="BY221" s="239"/>
      <c r="BZ221" s="239"/>
      <c r="CA221" s="240"/>
      <c r="CB221" s="155"/>
      <c r="CC221" s="238"/>
      <c r="CD221" s="239"/>
      <c r="CE221" s="239"/>
      <c r="CF221" s="240"/>
      <c r="CG221" s="155"/>
      <c r="CH221" s="238"/>
      <c r="CI221" s="239"/>
      <c r="CJ221" s="239"/>
      <c r="CK221" s="240"/>
      <c r="CL221" s="155"/>
      <c r="CM221" s="238"/>
      <c r="CN221" s="239"/>
      <c r="CO221" s="239"/>
      <c r="CP221" s="240"/>
      <c r="CQ221" s="155"/>
      <c r="CR221" s="238"/>
      <c r="CS221" s="239"/>
      <c r="CT221" s="239"/>
      <c r="CU221" s="240"/>
      <c r="CV221" s="155"/>
      <c r="CW221" s="238"/>
      <c r="CX221" s="239"/>
      <c r="CY221" s="239"/>
      <c r="CZ221" s="240"/>
      <c r="DA221" s="155"/>
    </row>
    <row r="222" spans="1:105" ht="15" customHeight="1">
      <c r="A222" s="155"/>
      <c r="B222" s="155"/>
      <c r="C222" s="236"/>
      <c r="D222" s="237"/>
      <c r="E222" s="312"/>
      <c r="F222" s="330"/>
      <c r="G222" s="239"/>
      <c r="H222" s="239"/>
      <c r="I222" s="240"/>
      <c r="J222" s="331"/>
      <c r="K222" s="330"/>
      <c r="L222" s="239"/>
      <c r="M222" s="239"/>
      <c r="N222" s="240"/>
      <c r="O222" s="331"/>
      <c r="P222" s="330"/>
      <c r="Q222" s="239"/>
      <c r="R222" s="239"/>
      <c r="S222" s="240"/>
      <c r="T222" s="331"/>
      <c r="U222" s="323"/>
      <c r="V222" s="239"/>
      <c r="W222" s="239"/>
      <c r="X222" s="240"/>
      <c r="Y222" s="240"/>
      <c r="Z222" s="238"/>
      <c r="AA222" s="239"/>
      <c r="AB222" s="239"/>
      <c r="AC222" s="240"/>
      <c r="AD222" s="240"/>
      <c r="AE222" s="238"/>
      <c r="AF222" s="239"/>
      <c r="AG222" s="239"/>
      <c r="AH222" s="240"/>
      <c r="AI222" s="155"/>
      <c r="AJ222" s="238"/>
      <c r="AK222" s="239"/>
      <c r="AL222" s="239"/>
      <c r="AM222" s="240"/>
      <c r="AN222" s="155"/>
      <c r="AO222" s="238"/>
      <c r="AP222" s="239"/>
      <c r="AQ222" s="239"/>
      <c r="AR222" s="240"/>
      <c r="AS222" s="155"/>
      <c r="AT222" s="238"/>
      <c r="AU222" s="239"/>
      <c r="AV222" s="239"/>
      <c r="AW222" s="240"/>
      <c r="AX222" s="155"/>
      <c r="AY222" s="238"/>
      <c r="AZ222" s="239"/>
      <c r="BA222" s="239"/>
      <c r="BB222" s="240"/>
      <c r="BC222" s="155"/>
      <c r="BD222" s="238"/>
      <c r="BE222" s="239"/>
      <c r="BF222" s="239"/>
      <c r="BG222" s="240"/>
      <c r="BH222" s="155"/>
      <c r="BI222" s="238"/>
      <c r="BJ222" s="239"/>
      <c r="BK222" s="239"/>
      <c r="BL222" s="240"/>
      <c r="BM222" s="155"/>
      <c r="BN222" s="238"/>
      <c r="BO222" s="239"/>
      <c r="BP222" s="239"/>
      <c r="BQ222" s="240"/>
      <c r="BR222" s="155"/>
      <c r="BS222" s="238"/>
      <c r="BT222" s="239"/>
      <c r="BU222" s="239"/>
      <c r="BV222" s="240"/>
      <c r="BW222" s="155"/>
      <c r="BX222" s="238"/>
      <c r="BY222" s="239"/>
      <c r="BZ222" s="239"/>
      <c r="CA222" s="240"/>
      <c r="CB222" s="155"/>
      <c r="CC222" s="238"/>
      <c r="CD222" s="239"/>
      <c r="CE222" s="239"/>
      <c r="CF222" s="240"/>
      <c r="CG222" s="155"/>
      <c r="CH222" s="238"/>
      <c r="CI222" s="239"/>
      <c r="CJ222" s="239"/>
      <c r="CK222" s="240"/>
      <c r="CL222" s="155"/>
      <c r="CM222" s="238"/>
      <c r="CN222" s="239"/>
      <c r="CO222" s="239"/>
      <c r="CP222" s="240"/>
      <c r="CQ222" s="155"/>
      <c r="CR222" s="238"/>
      <c r="CS222" s="239"/>
      <c r="CT222" s="239"/>
      <c r="CU222" s="240"/>
      <c r="CV222" s="155"/>
      <c r="CW222" s="238"/>
      <c r="CX222" s="239"/>
      <c r="CY222" s="239"/>
      <c r="CZ222" s="240"/>
      <c r="DA222" s="155"/>
    </row>
    <row r="223" spans="1:105" ht="15" customHeight="1">
      <c r="A223" s="155"/>
      <c r="B223" s="155"/>
      <c r="C223" s="236"/>
      <c r="D223" s="237"/>
      <c r="E223" s="312"/>
      <c r="F223" s="330"/>
      <c r="G223" s="239"/>
      <c r="H223" s="239"/>
      <c r="I223" s="240"/>
      <c r="J223" s="331"/>
      <c r="K223" s="330"/>
      <c r="L223" s="239"/>
      <c r="M223" s="239"/>
      <c r="N223" s="240"/>
      <c r="O223" s="331"/>
      <c r="P223" s="330"/>
      <c r="Q223" s="239"/>
      <c r="R223" s="239"/>
      <c r="S223" s="240"/>
      <c r="T223" s="331"/>
      <c r="U223" s="323"/>
      <c r="V223" s="239"/>
      <c r="W223" s="239"/>
      <c r="X223" s="240"/>
      <c r="Y223" s="240"/>
      <c r="Z223" s="238"/>
      <c r="AA223" s="239"/>
      <c r="AB223" s="239"/>
      <c r="AC223" s="240"/>
      <c r="AD223" s="240"/>
      <c r="AE223" s="238"/>
      <c r="AF223" s="239"/>
      <c r="AG223" s="239"/>
      <c r="AH223" s="240"/>
      <c r="AI223" s="155"/>
      <c r="AJ223" s="238"/>
      <c r="AK223" s="239"/>
      <c r="AL223" s="239"/>
      <c r="AM223" s="240"/>
      <c r="AN223" s="155"/>
      <c r="AO223" s="238"/>
      <c r="AP223" s="239"/>
      <c r="AQ223" s="239"/>
      <c r="AR223" s="240"/>
      <c r="AS223" s="155"/>
      <c r="AT223" s="238"/>
      <c r="AU223" s="239"/>
      <c r="AV223" s="239"/>
      <c r="AW223" s="240"/>
      <c r="AX223" s="155"/>
      <c r="AY223" s="238"/>
      <c r="AZ223" s="239"/>
      <c r="BA223" s="239"/>
      <c r="BB223" s="240"/>
      <c r="BC223" s="155"/>
      <c r="BD223" s="238"/>
      <c r="BE223" s="239"/>
      <c r="BF223" s="239"/>
      <c r="BG223" s="240"/>
      <c r="BH223" s="155"/>
      <c r="BI223" s="238"/>
      <c r="BJ223" s="239"/>
      <c r="BK223" s="239"/>
      <c r="BL223" s="240"/>
      <c r="BM223" s="155"/>
      <c r="BN223" s="238"/>
      <c r="BO223" s="239"/>
      <c r="BP223" s="239"/>
      <c r="BQ223" s="240"/>
      <c r="BR223" s="155"/>
      <c r="BS223" s="238"/>
      <c r="BT223" s="239"/>
      <c r="BU223" s="239"/>
      <c r="BV223" s="240"/>
      <c r="BW223" s="155"/>
      <c r="BX223" s="238"/>
      <c r="BY223" s="239"/>
      <c r="BZ223" s="239"/>
      <c r="CA223" s="240"/>
      <c r="CB223" s="155"/>
      <c r="CC223" s="238"/>
      <c r="CD223" s="239"/>
      <c r="CE223" s="239"/>
      <c r="CF223" s="240"/>
      <c r="CG223" s="155"/>
      <c r="CH223" s="238"/>
      <c r="CI223" s="239"/>
      <c r="CJ223" s="239"/>
      <c r="CK223" s="240"/>
      <c r="CL223" s="155"/>
      <c r="CM223" s="238"/>
      <c r="CN223" s="239"/>
      <c r="CO223" s="239"/>
      <c r="CP223" s="240"/>
      <c r="CQ223" s="155"/>
      <c r="CR223" s="238"/>
      <c r="CS223" s="239"/>
      <c r="CT223" s="239"/>
      <c r="CU223" s="240"/>
      <c r="CV223" s="155"/>
      <c r="CW223" s="238"/>
      <c r="CX223" s="239"/>
      <c r="CY223" s="239"/>
      <c r="CZ223" s="240"/>
      <c r="DA223" s="155"/>
    </row>
    <row r="224" spans="1:105" ht="15" customHeight="1">
      <c r="A224" s="155"/>
      <c r="B224" s="155"/>
      <c r="C224" s="236"/>
      <c r="D224" s="237"/>
      <c r="E224" s="312"/>
      <c r="F224" s="330"/>
      <c r="G224" s="239"/>
      <c r="H224" s="239"/>
      <c r="I224" s="240"/>
      <c r="J224" s="331"/>
      <c r="K224" s="330"/>
      <c r="L224" s="239"/>
      <c r="M224" s="239"/>
      <c r="N224" s="240"/>
      <c r="O224" s="331"/>
      <c r="P224" s="330"/>
      <c r="Q224" s="239"/>
      <c r="R224" s="239"/>
      <c r="S224" s="240"/>
      <c r="T224" s="331"/>
      <c r="U224" s="323"/>
      <c r="V224" s="239"/>
      <c r="W224" s="239"/>
      <c r="X224" s="240"/>
      <c r="Y224" s="240"/>
      <c r="Z224" s="238"/>
      <c r="AA224" s="239"/>
      <c r="AB224" s="239"/>
      <c r="AC224" s="240"/>
      <c r="AD224" s="240"/>
      <c r="AE224" s="238"/>
      <c r="AF224" s="239"/>
      <c r="AG224" s="239"/>
      <c r="AH224" s="240"/>
      <c r="AI224" s="155"/>
      <c r="AJ224" s="238"/>
      <c r="AK224" s="239"/>
      <c r="AL224" s="239"/>
      <c r="AM224" s="240"/>
      <c r="AN224" s="155"/>
      <c r="AO224" s="238"/>
      <c r="AP224" s="239"/>
      <c r="AQ224" s="239"/>
      <c r="AR224" s="240"/>
      <c r="AS224" s="155"/>
      <c r="AT224" s="238"/>
      <c r="AU224" s="239"/>
      <c r="AV224" s="239"/>
      <c r="AW224" s="240"/>
      <c r="AX224" s="155"/>
      <c r="AY224" s="238"/>
      <c r="AZ224" s="239"/>
      <c r="BA224" s="239"/>
      <c r="BB224" s="240"/>
      <c r="BC224" s="155"/>
      <c r="BD224" s="238"/>
      <c r="BE224" s="239"/>
      <c r="BF224" s="239"/>
      <c r="BG224" s="240"/>
      <c r="BH224" s="155"/>
      <c r="BI224" s="238"/>
      <c r="BJ224" s="239"/>
      <c r="BK224" s="239"/>
      <c r="BL224" s="240"/>
      <c r="BM224" s="155"/>
      <c r="BN224" s="238"/>
      <c r="BO224" s="239"/>
      <c r="BP224" s="239"/>
      <c r="BQ224" s="240"/>
      <c r="BR224" s="155"/>
      <c r="BS224" s="238"/>
      <c r="BT224" s="239"/>
      <c r="BU224" s="239"/>
      <c r="BV224" s="240"/>
      <c r="BW224" s="155"/>
      <c r="BX224" s="238"/>
      <c r="BY224" s="239"/>
      <c r="BZ224" s="239"/>
      <c r="CA224" s="240"/>
      <c r="CB224" s="155"/>
      <c r="CC224" s="238"/>
      <c r="CD224" s="239"/>
      <c r="CE224" s="239"/>
      <c r="CF224" s="240"/>
      <c r="CG224" s="155"/>
      <c r="CH224" s="238"/>
      <c r="CI224" s="239"/>
      <c r="CJ224" s="239"/>
      <c r="CK224" s="240"/>
      <c r="CL224" s="155"/>
      <c r="CM224" s="238"/>
      <c r="CN224" s="239"/>
      <c r="CO224" s="239"/>
      <c r="CP224" s="240"/>
      <c r="CQ224" s="155"/>
      <c r="CR224" s="238"/>
      <c r="CS224" s="239"/>
      <c r="CT224" s="239"/>
      <c r="CU224" s="240"/>
      <c r="CV224" s="155"/>
      <c r="CW224" s="238"/>
      <c r="CX224" s="239"/>
      <c r="CY224" s="239"/>
      <c r="CZ224" s="240"/>
      <c r="DA224" s="155"/>
    </row>
    <row r="225" spans="1:105" ht="15" customHeight="1">
      <c r="A225" s="155"/>
      <c r="B225" s="155"/>
      <c r="C225" s="236"/>
      <c r="D225" s="237"/>
      <c r="E225" s="312"/>
      <c r="F225" s="330"/>
      <c r="G225" s="239"/>
      <c r="H225" s="239"/>
      <c r="I225" s="240"/>
      <c r="J225" s="331"/>
      <c r="K225" s="330"/>
      <c r="L225" s="239"/>
      <c r="M225" s="239"/>
      <c r="N225" s="240"/>
      <c r="O225" s="331"/>
      <c r="P225" s="330"/>
      <c r="Q225" s="239"/>
      <c r="R225" s="239"/>
      <c r="S225" s="240"/>
      <c r="T225" s="331"/>
      <c r="U225" s="323"/>
      <c r="V225" s="239"/>
      <c r="W225" s="239"/>
      <c r="X225" s="240"/>
      <c r="Y225" s="240"/>
      <c r="Z225" s="238"/>
      <c r="AA225" s="239"/>
      <c r="AB225" s="239"/>
      <c r="AC225" s="240"/>
      <c r="AD225" s="240"/>
      <c r="AE225" s="238"/>
      <c r="AF225" s="239"/>
      <c r="AG225" s="239"/>
      <c r="AH225" s="240"/>
      <c r="AI225" s="155"/>
      <c r="AJ225" s="238"/>
      <c r="AK225" s="239"/>
      <c r="AL225" s="239"/>
      <c r="AM225" s="240"/>
      <c r="AN225" s="155"/>
      <c r="AO225" s="238"/>
      <c r="AP225" s="239"/>
      <c r="AQ225" s="239"/>
      <c r="AR225" s="240"/>
      <c r="AS225" s="155"/>
      <c r="AT225" s="238"/>
      <c r="AU225" s="239"/>
      <c r="AV225" s="239"/>
      <c r="AW225" s="240"/>
      <c r="AX225" s="155"/>
      <c r="AY225" s="238"/>
      <c r="AZ225" s="239"/>
      <c r="BA225" s="239"/>
      <c r="BB225" s="240"/>
      <c r="BC225" s="155"/>
      <c r="BD225" s="238"/>
      <c r="BE225" s="239"/>
      <c r="BF225" s="239"/>
      <c r="BG225" s="240"/>
      <c r="BH225" s="155"/>
      <c r="BI225" s="238"/>
      <c r="BJ225" s="239"/>
      <c r="BK225" s="239"/>
      <c r="BL225" s="240"/>
      <c r="BM225" s="155"/>
      <c r="BN225" s="238"/>
      <c r="BO225" s="239"/>
      <c r="BP225" s="239"/>
      <c r="BQ225" s="240"/>
      <c r="BR225" s="155"/>
      <c r="BS225" s="238"/>
      <c r="BT225" s="239"/>
      <c r="BU225" s="239"/>
      <c r="BV225" s="240"/>
      <c r="BW225" s="155"/>
      <c r="BX225" s="238"/>
      <c r="BY225" s="239"/>
      <c r="BZ225" s="239"/>
      <c r="CA225" s="240"/>
      <c r="CB225" s="155"/>
      <c r="CC225" s="238"/>
      <c r="CD225" s="239"/>
      <c r="CE225" s="239"/>
      <c r="CF225" s="240"/>
      <c r="CG225" s="155"/>
      <c r="CH225" s="238"/>
      <c r="CI225" s="239"/>
      <c r="CJ225" s="239"/>
      <c r="CK225" s="240"/>
      <c r="CL225" s="155"/>
      <c r="CM225" s="238"/>
      <c r="CN225" s="239"/>
      <c r="CO225" s="239"/>
      <c r="CP225" s="240"/>
      <c r="CQ225" s="155"/>
      <c r="CR225" s="238"/>
      <c r="CS225" s="239"/>
      <c r="CT225" s="239"/>
      <c r="CU225" s="240"/>
      <c r="CV225" s="155"/>
      <c r="CW225" s="238"/>
      <c r="CX225" s="239"/>
      <c r="CY225" s="239"/>
      <c r="CZ225" s="240"/>
      <c r="DA225" s="155"/>
    </row>
    <row r="226" spans="1:105" ht="15" customHeight="1">
      <c r="A226" s="155"/>
      <c r="B226" s="155"/>
      <c r="C226" s="236"/>
      <c r="D226" s="237"/>
      <c r="E226" s="312"/>
      <c r="F226" s="330"/>
      <c r="G226" s="239"/>
      <c r="H226" s="239"/>
      <c r="I226" s="240"/>
      <c r="J226" s="331"/>
      <c r="K226" s="330"/>
      <c r="L226" s="239"/>
      <c r="M226" s="239"/>
      <c r="N226" s="240"/>
      <c r="O226" s="331"/>
      <c r="P226" s="330"/>
      <c r="Q226" s="239"/>
      <c r="R226" s="239"/>
      <c r="S226" s="240"/>
      <c r="T226" s="331"/>
      <c r="U226" s="323"/>
      <c r="V226" s="239"/>
      <c r="W226" s="239"/>
      <c r="X226" s="240"/>
      <c r="Y226" s="240"/>
      <c r="Z226" s="238"/>
      <c r="AA226" s="239"/>
      <c r="AB226" s="239"/>
      <c r="AC226" s="240"/>
      <c r="AD226" s="240"/>
      <c r="AE226" s="238"/>
      <c r="AF226" s="239"/>
      <c r="AG226" s="239"/>
      <c r="AH226" s="240"/>
      <c r="AI226" s="155"/>
      <c r="AJ226" s="238"/>
      <c r="AK226" s="239"/>
      <c r="AL226" s="239"/>
      <c r="AM226" s="240"/>
      <c r="AN226" s="155"/>
      <c r="AO226" s="238"/>
      <c r="AP226" s="239"/>
      <c r="AQ226" s="239"/>
      <c r="AR226" s="240"/>
      <c r="AS226" s="155"/>
      <c r="AT226" s="238"/>
      <c r="AU226" s="239"/>
      <c r="AV226" s="239"/>
      <c r="AW226" s="240"/>
      <c r="AX226" s="155"/>
      <c r="AY226" s="238"/>
      <c r="AZ226" s="239"/>
      <c r="BA226" s="239"/>
      <c r="BB226" s="240"/>
      <c r="BC226" s="155"/>
      <c r="BD226" s="238"/>
      <c r="BE226" s="239"/>
      <c r="BF226" s="239"/>
      <c r="BG226" s="240"/>
      <c r="BH226" s="155"/>
      <c r="BI226" s="238"/>
      <c r="BJ226" s="239"/>
      <c r="BK226" s="239"/>
      <c r="BL226" s="240"/>
      <c r="BM226" s="155"/>
      <c r="BN226" s="238"/>
      <c r="BO226" s="239"/>
      <c r="BP226" s="239"/>
      <c r="BQ226" s="240"/>
      <c r="BR226" s="155"/>
      <c r="BS226" s="238"/>
      <c r="BT226" s="239"/>
      <c r="BU226" s="239"/>
      <c r="BV226" s="240"/>
      <c r="BW226" s="155"/>
      <c r="BX226" s="238"/>
      <c r="BY226" s="239"/>
      <c r="BZ226" s="239"/>
      <c r="CA226" s="240"/>
      <c r="CB226" s="155"/>
      <c r="CC226" s="238"/>
      <c r="CD226" s="239"/>
      <c r="CE226" s="239"/>
      <c r="CF226" s="240"/>
      <c r="CG226" s="155"/>
      <c r="CH226" s="238"/>
      <c r="CI226" s="239"/>
      <c r="CJ226" s="239"/>
      <c r="CK226" s="240"/>
      <c r="CL226" s="155"/>
      <c r="CM226" s="238"/>
      <c r="CN226" s="239"/>
      <c r="CO226" s="239"/>
      <c r="CP226" s="240"/>
      <c r="CQ226" s="155"/>
      <c r="CR226" s="238"/>
      <c r="CS226" s="239"/>
      <c r="CT226" s="239"/>
      <c r="CU226" s="240"/>
      <c r="CV226" s="155"/>
      <c r="CW226" s="238"/>
      <c r="CX226" s="239"/>
      <c r="CY226" s="239"/>
      <c r="CZ226" s="240"/>
      <c r="DA226" s="155"/>
    </row>
    <row r="227" spans="1:105" ht="15" customHeight="1">
      <c r="A227" s="155"/>
      <c r="B227" s="155"/>
      <c r="C227" s="236"/>
      <c r="D227" s="237"/>
      <c r="E227" s="312"/>
      <c r="F227" s="330"/>
      <c r="G227" s="239"/>
      <c r="H227" s="239"/>
      <c r="I227" s="240"/>
      <c r="J227" s="331"/>
      <c r="K227" s="330"/>
      <c r="L227" s="239"/>
      <c r="M227" s="239"/>
      <c r="N227" s="240"/>
      <c r="O227" s="331"/>
      <c r="P227" s="330"/>
      <c r="Q227" s="239"/>
      <c r="R227" s="239"/>
      <c r="S227" s="240"/>
      <c r="T227" s="331"/>
      <c r="U227" s="323"/>
      <c r="V227" s="239"/>
      <c r="W227" s="239"/>
      <c r="X227" s="240"/>
      <c r="Y227" s="240"/>
      <c r="Z227" s="238"/>
      <c r="AA227" s="239"/>
      <c r="AB227" s="239"/>
      <c r="AC227" s="240"/>
      <c r="AD227" s="240"/>
      <c r="AE227" s="238"/>
      <c r="AF227" s="239"/>
      <c r="AG227" s="239"/>
      <c r="AH227" s="240"/>
      <c r="AI227" s="155"/>
      <c r="AJ227" s="238"/>
      <c r="AK227" s="239"/>
      <c r="AL227" s="239"/>
      <c r="AM227" s="240"/>
      <c r="AN227" s="155"/>
      <c r="AO227" s="238"/>
      <c r="AP227" s="239"/>
      <c r="AQ227" s="239"/>
      <c r="AR227" s="240"/>
      <c r="AS227" s="155"/>
      <c r="AT227" s="238"/>
      <c r="AU227" s="239"/>
      <c r="AV227" s="239"/>
      <c r="AW227" s="240"/>
      <c r="AX227" s="155"/>
      <c r="AY227" s="238"/>
      <c r="AZ227" s="239"/>
      <c r="BA227" s="239"/>
      <c r="BB227" s="240"/>
      <c r="BC227" s="155"/>
      <c r="BD227" s="238"/>
      <c r="BE227" s="239"/>
      <c r="BF227" s="239"/>
      <c r="BG227" s="240"/>
      <c r="BH227" s="155"/>
      <c r="BI227" s="238"/>
      <c r="BJ227" s="239"/>
      <c r="BK227" s="239"/>
      <c r="BL227" s="240"/>
      <c r="BM227" s="155"/>
      <c r="BN227" s="238"/>
      <c r="BO227" s="239"/>
      <c r="BP227" s="239"/>
      <c r="BQ227" s="240"/>
      <c r="BR227" s="155"/>
      <c r="BS227" s="238"/>
      <c r="BT227" s="239"/>
      <c r="BU227" s="239"/>
      <c r="BV227" s="240"/>
      <c r="BW227" s="155"/>
      <c r="BX227" s="238"/>
      <c r="BY227" s="239"/>
      <c r="BZ227" s="239"/>
      <c r="CA227" s="240"/>
      <c r="CB227" s="155"/>
      <c r="CC227" s="238"/>
      <c r="CD227" s="239"/>
      <c r="CE227" s="239"/>
      <c r="CF227" s="240"/>
      <c r="CG227" s="155"/>
      <c r="CH227" s="238"/>
      <c r="CI227" s="239"/>
      <c r="CJ227" s="239"/>
      <c r="CK227" s="240"/>
      <c r="CL227" s="155"/>
      <c r="CM227" s="238"/>
      <c r="CN227" s="239"/>
      <c r="CO227" s="239"/>
      <c r="CP227" s="240"/>
      <c r="CQ227" s="155"/>
      <c r="CR227" s="238"/>
      <c r="CS227" s="239"/>
      <c r="CT227" s="239"/>
      <c r="CU227" s="240"/>
      <c r="CV227" s="155"/>
      <c r="CW227" s="238"/>
      <c r="CX227" s="239"/>
      <c r="CY227" s="239"/>
      <c r="CZ227" s="240"/>
      <c r="DA227" s="155"/>
    </row>
    <row r="228" spans="1:105" ht="15" customHeight="1">
      <c r="A228" s="155"/>
      <c r="B228" s="155"/>
      <c r="C228" s="236"/>
      <c r="D228" s="237"/>
      <c r="E228" s="312"/>
      <c r="F228" s="330"/>
      <c r="G228" s="239"/>
      <c r="H228" s="239"/>
      <c r="I228" s="240"/>
      <c r="J228" s="331"/>
      <c r="K228" s="330"/>
      <c r="L228" s="239"/>
      <c r="M228" s="239"/>
      <c r="N228" s="240"/>
      <c r="O228" s="331"/>
      <c r="P228" s="330"/>
      <c r="Q228" s="239"/>
      <c r="R228" s="239"/>
      <c r="S228" s="240"/>
      <c r="T228" s="331"/>
      <c r="U228" s="323"/>
      <c r="V228" s="239"/>
      <c r="W228" s="239"/>
      <c r="X228" s="240"/>
      <c r="Y228" s="240"/>
      <c r="Z228" s="238"/>
      <c r="AA228" s="239"/>
      <c r="AB228" s="239"/>
      <c r="AC228" s="240"/>
      <c r="AD228" s="240"/>
      <c r="AE228" s="238"/>
      <c r="AF228" s="239"/>
      <c r="AG228" s="239"/>
      <c r="AH228" s="240"/>
      <c r="AI228" s="155"/>
      <c r="AJ228" s="238"/>
      <c r="AK228" s="239"/>
      <c r="AL228" s="239"/>
      <c r="AM228" s="240"/>
      <c r="AN228" s="155"/>
      <c r="AO228" s="238"/>
      <c r="AP228" s="239"/>
      <c r="AQ228" s="239"/>
      <c r="AR228" s="240"/>
      <c r="AS228" s="155"/>
      <c r="AT228" s="238"/>
      <c r="AU228" s="239"/>
      <c r="AV228" s="239"/>
      <c r="AW228" s="240"/>
      <c r="AX228" s="155"/>
      <c r="AY228" s="238"/>
      <c r="AZ228" s="239"/>
      <c r="BA228" s="239"/>
      <c r="BB228" s="240"/>
      <c r="BC228" s="155"/>
      <c r="BD228" s="238"/>
      <c r="BE228" s="239"/>
      <c r="BF228" s="239"/>
      <c r="BG228" s="240"/>
      <c r="BH228" s="155"/>
      <c r="BI228" s="238"/>
      <c r="BJ228" s="239"/>
      <c r="BK228" s="239"/>
      <c r="BL228" s="240"/>
      <c r="BM228" s="155"/>
      <c r="BN228" s="238"/>
      <c r="BO228" s="239"/>
      <c r="BP228" s="239"/>
      <c r="BQ228" s="240"/>
      <c r="BR228" s="155"/>
      <c r="BS228" s="238"/>
      <c r="BT228" s="239"/>
      <c r="BU228" s="239"/>
      <c r="BV228" s="240"/>
      <c r="BW228" s="155"/>
      <c r="BX228" s="238"/>
      <c r="BY228" s="239"/>
      <c r="BZ228" s="239"/>
      <c r="CA228" s="240"/>
      <c r="CB228" s="155"/>
      <c r="CC228" s="238"/>
      <c r="CD228" s="239"/>
      <c r="CE228" s="239"/>
      <c r="CF228" s="240"/>
      <c r="CG228" s="155"/>
      <c r="CH228" s="238"/>
      <c r="CI228" s="239"/>
      <c r="CJ228" s="239"/>
      <c r="CK228" s="240"/>
      <c r="CL228" s="155"/>
      <c r="CM228" s="238"/>
      <c r="CN228" s="239"/>
      <c r="CO228" s="239"/>
      <c r="CP228" s="240"/>
      <c r="CQ228" s="155"/>
      <c r="CR228" s="238"/>
      <c r="CS228" s="239"/>
      <c r="CT228" s="239"/>
      <c r="CU228" s="240"/>
      <c r="CV228" s="155"/>
      <c r="CW228" s="238"/>
      <c r="CX228" s="239"/>
      <c r="CY228" s="239"/>
      <c r="CZ228" s="240"/>
      <c r="DA228" s="155"/>
    </row>
    <row r="229" spans="1:105" ht="15" customHeight="1">
      <c r="A229" s="155"/>
      <c r="B229" s="155"/>
      <c r="C229" s="236"/>
      <c r="D229" s="237"/>
      <c r="E229" s="312"/>
      <c r="F229" s="330"/>
      <c r="G229" s="239"/>
      <c r="H229" s="239"/>
      <c r="I229" s="240"/>
      <c r="J229" s="331"/>
      <c r="K229" s="330"/>
      <c r="L229" s="239"/>
      <c r="M229" s="239"/>
      <c r="N229" s="240"/>
      <c r="O229" s="331"/>
      <c r="P229" s="330"/>
      <c r="Q229" s="239"/>
      <c r="R229" s="239"/>
      <c r="S229" s="240"/>
      <c r="T229" s="331"/>
      <c r="U229" s="323"/>
      <c r="V229" s="239"/>
      <c r="W229" s="239"/>
      <c r="X229" s="240"/>
      <c r="Y229" s="240"/>
      <c r="Z229" s="238"/>
      <c r="AA229" s="239"/>
      <c r="AB229" s="239"/>
      <c r="AC229" s="240"/>
      <c r="AD229" s="240"/>
      <c r="AE229" s="238"/>
      <c r="AF229" s="239"/>
      <c r="AG229" s="239"/>
      <c r="AH229" s="240"/>
      <c r="AI229" s="155"/>
      <c r="AJ229" s="238"/>
      <c r="AK229" s="239"/>
      <c r="AL229" s="239"/>
      <c r="AM229" s="240"/>
      <c r="AN229" s="155"/>
      <c r="AO229" s="238"/>
      <c r="AP229" s="239"/>
      <c r="AQ229" s="239"/>
      <c r="AR229" s="240"/>
      <c r="AS229" s="155"/>
      <c r="AT229" s="238"/>
      <c r="AU229" s="239"/>
      <c r="AV229" s="239"/>
      <c r="AW229" s="240"/>
      <c r="AX229" s="155"/>
      <c r="AY229" s="238"/>
      <c r="AZ229" s="239"/>
      <c r="BA229" s="239"/>
      <c r="BB229" s="240"/>
      <c r="BC229" s="155"/>
      <c r="BD229" s="238"/>
      <c r="BE229" s="239"/>
      <c r="BF229" s="239"/>
      <c r="BG229" s="240"/>
      <c r="BH229" s="155"/>
      <c r="BI229" s="238"/>
      <c r="BJ229" s="239"/>
      <c r="BK229" s="239"/>
      <c r="BL229" s="240"/>
      <c r="BM229" s="155"/>
      <c r="BN229" s="238"/>
      <c r="BO229" s="239"/>
      <c r="BP229" s="239"/>
      <c r="BQ229" s="240"/>
      <c r="BR229" s="155"/>
      <c r="BS229" s="238"/>
      <c r="BT229" s="239"/>
      <c r="BU229" s="239"/>
      <c r="BV229" s="240"/>
      <c r="BW229" s="155"/>
      <c r="BX229" s="238"/>
      <c r="BY229" s="239"/>
      <c r="BZ229" s="239"/>
      <c r="CA229" s="240"/>
      <c r="CB229" s="155"/>
      <c r="CC229" s="238"/>
      <c r="CD229" s="239"/>
      <c r="CE229" s="239"/>
      <c r="CF229" s="240"/>
      <c r="CG229" s="155"/>
      <c r="CH229" s="238"/>
      <c r="CI229" s="239"/>
      <c r="CJ229" s="239"/>
      <c r="CK229" s="240"/>
      <c r="CL229" s="155"/>
      <c r="CM229" s="238"/>
      <c r="CN229" s="239"/>
      <c r="CO229" s="239"/>
      <c r="CP229" s="240"/>
      <c r="CQ229" s="155"/>
      <c r="CR229" s="238"/>
      <c r="CS229" s="239"/>
      <c r="CT229" s="239"/>
      <c r="CU229" s="240"/>
      <c r="CV229" s="155"/>
      <c r="CW229" s="238"/>
      <c r="CX229" s="239"/>
      <c r="CY229" s="239"/>
      <c r="CZ229" s="240"/>
      <c r="DA229" s="155"/>
    </row>
    <row r="230" spans="1:105" ht="15" customHeight="1">
      <c r="A230" s="155"/>
      <c r="B230" s="155"/>
      <c r="C230" s="236"/>
      <c r="D230" s="237"/>
      <c r="E230" s="312"/>
      <c r="F230" s="330"/>
      <c r="G230" s="239"/>
      <c r="H230" s="239"/>
      <c r="I230" s="240"/>
      <c r="J230" s="331"/>
      <c r="K230" s="330"/>
      <c r="L230" s="239"/>
      <c r="M230" s="239"/>
      <c r="N230" s="240"/>
      <c r="O230" s="331"/>
      <c r="P230" s="330"/>
      <c r="Q230" s="239"/>
      <c r="R230" s="239"/>
      <c r="S230" s="240"/>
      <c r="T230" s="331"/>
      <c r="U230" s="323"/>
      <c r="V230" s="239"/>
      <c r="W230" s="239"/>
      <c r="X230" s="240"/>
      <c r="Y230" s="240"/>
      <c r="Z230" s="238"/>
      <c r="AA230" s="239"/>
      <c r="AB230" s="239"/>
      <c r="AC230" s="240"/>
      <c r="AD230" s="240"/>
      <c r="AE230" s="238"/>
      <c r="AF230" s="239"/>
      <c r="AG230" s="239"/>
      <c r="AH230" s="240"/>
      <c r="AI230" s="155"/>
      <c r="AJ230" s="238"/>
      <c r="AK230" s="239"/>
      <c r="AL230" s="239"/>
      <c r="AM230" s="240"/>
      <c r="AN230" s="155"/>
      <c r="AO230" s="238"/>
      <c r="AP230" s="239"/>
      <c r="AQ230" s="239"/>
      <c r="AR230" s="240"/>
      <c r="AS230" s="155"/>
      <c r="AT230" s="238"/>
      <c r="AU230" s="239"/>
      <c r="AV230" s="239"/>
      <c r="AW230" s="240"/>
      <c r="AX230" s="155"/>
      <c r="AY230" s="238"/>
      <c r="AZ230" s="239"/>
      <c r="BA230" s="239"/>
      <c r="BB230" s="240"/>
      <c r="BC230" s="155"/>
      <c r="BD230" s="238"/>
      <c r="BE230" s="239"/>
      <c r="BF230" s="239"/>
      <c r="BG230" s="240"/>
      <c r="BH230" s="155"/>
      <c r="BI230" s="238"/>
      <c r="BJ230" s="239"/>
      <c r="BK230" s="239"/>
      <c r="BL230" s="240"/>
      <c r="BM230" s="155"/>
      <c r="BN230" s="238"/>
      <c r="BO230" s="239"/>
      <c r="BP230" s="239"/>
      <c r="BQ230" s="240"/>
      <c r="BR230" s="155"/>
      <c r="BS230" s="238"/>
      <c r="BT230" s="239"/>
      <c r="BU230" s="239"/>
      <c r="BV230" s="240"/>
      <c r="BW230" s="155"/>
      <c r="BX230" s="238"/>
      <c r="BY230" s="239"/>
      <c r="BZ230" s="239"/>
      <c r="CA230" s="240"/>
      <c r="CB230" s="155"/>
      <c r="CC230" s="238"/>
      <c r="CD230" s="239"/>
      <c r="CE230" s="239"/>
      <c r="CF230" s="240"/>
      <c r="CG230" s="155"/>
      <c r="CH230" s="238"/>
      <c r="CI230" s="239"/>
      <c r="CJ230" s="239"/>
      <c r="CK230" s="240"/>
      <c r="CL230" s="155"/>
      <c r="CM230" s="238"/>
      <c r="CN230" s="239"/>
      <c r="CO230" s="239"/>
      <c r="CP230" s="240"/>
      <c r="CQ230" s="155"/>
      <c r="CR230" s="238"/>
      <c r="CS230" s="239"/>
      <c r="CT230" s="239"/>
      <c r="CU230" s="240"/>
      <c r="CV230" s="155"/>
      <c r="CW230" s="238"/>
      <c r="CX230" s="239"/>
      <c r="CY230" s="239"/>
      <c r="CZ230" s="240"/>
      <c r="DA230" s="155"/>
    </row>
    <row r="231" spans="1:105" ht="15" customHeight="1">
      <c r="A231" s="155"/>
      <c r="B231" s="155"/>
      <c r="C231" s="236"/>
      <c r="D231" s="237"/>
      <c r="E231" s="312"/>
      <c r="F231" s="330"/>
      <c r="G231" s="239"/>
      <c r="H231" s="239"/>
      <c r="I231" s="240"/>
      <c r="J231" s="331"/>
      <c r="K231" s="330"/>
      <c r="L231" s="239"/>
      <c r="M231" s="239"/>
      <c r="N231" s="240"/>
      <c r="O231" s="331"/>
      <c r="P231" s="330"/>
      <c r="Q231" s="239"/>
      <c r="R231" s="239"/>
      <c r="S231" s="240"/>
      <c r="T231" s="331"/>
      <c r="U231" s="323"/>
      <c r="V231" s="239"/>
      <c r="W231" s="239"/>
      <c r="X231" s="240"/>
      <c r="Y231" s="240"/>
      <c r="Z231" s="238"/>
      <c r="AA231" s="239"/>
      <c r="AB231" s="239"/>
      <c r="AC231" s="240"/>
      <c r="AD231" s="240"/>
      <c r="AE231" s="238"/>
      <c r="AF231" s="239"/>
      <c r="AG231" s="239"/>
      <c r="AH231" s="240"/>
      <c r="AI231" s="155"/>
      <c r="AJ231" s="238"/>
      <c r="AK231" s="239"/>
      <c r="AL231" s="239"/>
      <c r="AM231" s="240"/>
      <c r="AN231" s="155"/>
      <c r="AO231" s="238"/>
      <c r="AP231" s="239"/>
      <c r="AQ231" s="239"/>
      <c r="AR231" s="240"/>
      <c r="AS231" s="155"/>
      <c r="AT231" s="238"/>
      <c r="AU231" s="239"/>
      <c r="AV231" s="239"/>
      <c r="AW231" s="240"/>
      <c r="AX231" s="155"/>
      <c r="AY231" s="238"/>
      <c r="AZ231" s="239"/>
      <c r="BA231" s="239"/>
      <c r="BB231" s="240"/>
      <c r="BC231" s="155"/>
      <c r="BD231" s="238"/>
      <c r="BE231" s="239"/>
      <c r="BF231" s="239"/>
      <c r="BG231" s="240"/>
      <c r="BH231" s="155"/>
      <c r="BI231" s="238"/>
      <c r="BJ231" s="239"/>
      <c r="BK231" s="239"/>
      <c r="BL231" s="240"/>
      <c r="BM231" s="155"/>
      <c r="BN231" s="238"/>
      <c r="BO231" s="239"/>
      <c r="BP231" s="239"/>
      <c r="BQ231" s="240"/>
      <c r="BR231" s="155"/>
      <c r="BS231" s="238"/>
      <c r="BT231" s="239"/>
      <c r="BU231" s="239"/>
      <c r="BV231" s="240"/>
      <c r="BW231" s="155"/>
      <c r="BX231" s="238"/>
      <c r="BY231" s="239"/>
      <c r="BZ231" s="239"/>
      <c r="CA231" s="240"/>
      <c r="CB231" s="155"/>
      <c r="CC231" s="238"/>
      <c r="CD231" s="239"/>
      <c r="CE231" s="239"/>
      <c r="CF231" s="240"/>
      <c r="CG231" s="155"/>
      <c r="CH231" s="238"/>
      <c r="CI231" s="239"/>
      <c r="CJ231" s="239"/>
      <c r="CK231" s="240"/>
      <c r="CL231" s="155"/>
      <c r="CM231" s="238"/>
      <c r="CN231" s="239"/>
      <c r="CO231" s="239"/>
      <c r="CP231" s="240"/>
      <c r="CQ231" s="155"/>
      <c r="CR231" s="238"/>
      <c r="CS231" s="239"/>
      <c r="CT231" s="239"/>
      <c r="CU231" s="240"/>
      <c r="CV231" s="155"/>
      <c r="CW231" s="238"/>
      <c r="CX231" s="239"/>
      <c r="CY231" s="239"/>
      <c r="CZ231" s="240"/>
      <c r="DA231" s="155"/>
    </row>
    <row r="232" spans="1:105" ht="15" customHeight="1">
      <c r="A232" s="155"/>
      <c r="B232" s="155"/>
      <c r="C232" s="236"/>
      <c r="D232" s="237"/>
      <c r="E232" s="312"/>
      <c r="F232" s="330"/>
      <c r="G232" s="239"/>
      <c r="H232" s="239"/>
      <c r="I232" s="240"/>
      <c r="J232" s="331"/>
      <c r="K232" s="330"/>
      <c r="L232" s="239"/>
      <c r="M232" s="239"/>
      <c r="N232" s="240"/>
      <c r="O232" s="331"/>
      <c r="P232" s="330"/>
      <c r="Q232" s="239"/>
      <c r="R232" s="239"/>
      <c r="S232" s="240"/>
      <c r="T232" s="331"/>
      <c r="U232" s="323"/>
      <c r="V232" s="239"/>
      <c r="W232" s="239"/>
      <c r="X232" s="240"/>
      <c r="Y232" s="240"/>
      <c r="Z232" s="238"/>
      <c r="AA232" s="239"/>
      <c r="AB232" s="239"/>
      <c r="AC232" s="240"/>
      <c r="AD232" s="240"/>
      <c r="AE232" s="238"/>
      <c r="AF232" s="239"/>
      <c r="AG232" s="239"/>
      <c r="AH232" s="240"/>
      <c r="AI232" s="155"/>
      <c r="AJ232" s="238"/>
      <c r="AK232" s="239"/>
      <c r="AL232" s="239"/>
      <c r="AM232" s="240"/>
      <c r="AN232" s="155"/>
      <c r="AO232" s="238"/>
      <c r="AP232" s="239"/>
      <c r="AQ232" s="239"/>
      <c r="AR232" s="240"/>
      <c r="AS232" s="155"/>
      <c r="AT232" s="238"/>
      <c r="AU232" s="239"/>
      <c r="AV232" s="239"/>
      <c r="AW232" s="240"/>
      <c r="AX232" s="155"/>
      <c r="AY232" s="238"/>
      <c r="AZ232" s="239"/>
      <c r="BA232" s="239"/>
      <c r="BB232" s="240"/>
      <c r="BC232" s="155"/>
      <c r="BD232" s="238"/>
      <c r="BE232" s="239"/>
      <c r="BF232" s="239"/>
      <c r="BG232" s="240"/>
      <c r="BH232" s="155"/>
      <c r="BI232" s="238"/>
      <c r="BJ232" s="239"/>
      <c r="BK232" s="239"/>
      <c r="BL232" s="240"/>
      <c r="BM232" s="155"/>
      <c r="BN232" s="238"/>
      <c r="BO232" s="239"/>
      <c r="BP232" s="239"/>
      <c r="BQ232" s="240"/>
      <c r="BR232" s="155"/>
      <c r="BS232" s="238"/>
      <c r="BT232" s="239"/>
      <c r="BU232" s="239"/>
      <c r="BV232" s="240"/>
      <c r="BW232" s="155"/>
      <c r="BX232" s="238"/>
      <c r="BY232" s="239"/>
      <c r="BZ232" s="239"/>
      <c r="CA232" s="240"/>
      <c r="CB232" s="155"/>
      <c r="CC232" s="238"/>
      <c r="CD232" s="239"/>
      <c r="CE232" s="239"/>
      <c r="CF232" s="240"/>
      <c r="CG232" s="155"/>
      <c r="CH232" s="238"/>
      <c r="CI232" s="239"/>
      <c r="CJ232" s="239"/>
      <c r="CK232" s="240"/>
      <c r="CL232" s="155"/>
      <c r="CM232" s="238"/>
      <c r="CN232" s="239"/>
      <c r="CO232" s="239"/>
      <c r="CP232" s="240"/>
      <c r="CQ232" s="155"/>
      <c r="CR232" s="238"/>
      <c r="CS232" s="239"/>
      <c r="CT232" s="239"/>
      <c r="CU232" s="240"/>
      <c r="CV232" s="155"/>
      <c r="CW232" s="238"/>
      <c r="CX232" s="239"/>
      <c r="CY232" s="239"/>
      <c r="CZ232" s="240"/>
      <c r="DA232" s="155"/>
    </row>
    <row r="233" spans="1:105" ht="15" customHeight="1">
      <c r="A233" s="155"/>
      <c r="B233" s="155"/>
      <c r="C233" s="236"/>
      <c r="D233" s="237"/>
      <c r="E233" s="312"/>
      <c r="F233" s="330"/>
      <c r="G233" s="239"/>
      <c r="H233" s="239"/>
      <c r="I233" s="240"/>
      <c r="J233" s="331"/>
      <c r="K233" s="330"/>
      <c r="L233" s="239"/>
      <c r="M233" s="239"/>
      <c r="N233" s="240"/>
      <c r="O233" s="331"/>
      <c r="P233" s="330"/>
      <c r="Q233" s="239"/>
      <c r="R233" s="239"/>
      <c r="S233" s="240"/>
      <c r="T233" s="331"/>
      <c r="U233" s="323"/>
      <c r="V233" s="239"/>
      <c r="W233" s="239"/>
      <c r="X233" s="240"/>
      <c r="Y233" s="240"/>
      <c r="Z233" s="238"/>
      <c r="AA233" s="239"/>
      <c r="AB233" s="239"/>
      <c r="AC233" s="240"/>
      <c r="AD233" s="240"/>
      <c r="AE233" s="238"/>
      <c r="AF233" s="239"/>
      <c r="AG233" s="239"/>
      <c r="AH233" s="240"/>
      <c r="AI233" s="155"/>
      <c r="AJ233" s="238"/>
      <c r="AK233" s="239"/>
      <c r="AL233" s="239"/>
      <c r="AM233" s="240"/>
      <c r="AN233" s="155"/>
      <c r="AO233" s="238"/>
      <c r="AP233" s="239"/>
      <c r="AQ233" s="239"/>
      <c r="AR233" s="240"/>
      <c r="AS233" s="155"/>
      <c r="AT233" s="238"/>
      <c r="AU233" s="239"/>
      <c r="AV233" s="239"/>
      <c r="AW233" s="240"/>
      <c r="AX233" s="155"/>
      <c r="AY233" s="238"/>
      <c r="AZ233" s="239"/>
      <c r="BA233" s="239"/>
      <c r="BB233" s="240"/>
      <c r="BC233" s="155"/>
      <c r="BD233" s="238"/>
      <c r="BE233" s="239"/>
      <c r="BF233" s="239"/>
      <c r="BG233" s="240"/>
      <c r="BH233" s="155"/>
      <c r="BI233" s="238"/>
      <c r="BJ233" s="239"/>
      <c r="BK233" s="239"/>
      <c r="BL233" s="240"/>
      <c r="BM233" s="155"/>
      <c r="BN233" s="238"/>
      <c r="BO233" s="239"/>
      <c r="BP233" s="239"/>
      <c r="BQ233" s="240"/>
      <c r="BR233" s="155"/>
      <c r="BS233" s="238"/>
      <c r="BT233" s="239"/>
      <c r="BU233" s="239"/>
      <c r="BV233" s="240"/>
      <c r="BW233" s="155"/>
      <c r="BX233" s="238"/>
      <c r="BY233" s="239"/>
      <c r="BZ233" s="239"/>
      <c r="CA233" s="240"/>
      <c r="CB233" s="155"/>
      <c r="CC233" s="238"/>
      <c r="CD233" s="239"/>
      <c r="CE233" s="239"/>
      <c r="CF233" s="240"/>
      <c r="CG233" s="155"/>
      <c r="CH233" s="238"/>
      <c r="CI233" s="239"/>
      <c r="CJ233" s="239"/>
      <c r="CK233" s="240"/>
      <c r="CL233" s="155"/>
      <c r="CM233" s="238"/>
      <c r="CN233" s="239"/>
      <c r="CO233" s="239"/>
      <c r="CP233" s="240"/>
      <c r="CQ233" s="155"/>
      <c r="CR233" s="238"/>
      <c r="CS233" s="239"/>
      <c r="CT233" s="239"/>
      <c r="CU233" s="240"/>
      <c r="CV233" s="155"/>
      <c r="CW233" s="238"/>
      <c r="CX233" s="239"/>
      <c r="CY233" s="239"/>
      <c r="CZ233" s="240"/>
      <c r="DA233" s="155"/>
    </row>
    <row r="234" spans="1:105" ht="15" customHeight="1">
      <c r="A234" s="155"/>
      <c r="B234" s="155"/>
      <c r="C234" s="236"/>
      <c r="D234" s="237"/>
      <c r="E234" s="312"/>
      <c r="F234" s="330"/>
      <c r="G234" s="239"/>
      <c r="H234" s="239"/>
      <c r="I234" s="240"/>
      <c r="J234" s="331"/>
      <c r="K234" s="330"/>
      <c r="L234" s="239"/>
      <c r="M234" s="239"/>
      <c r="N234" s="240"/>
      <c r="O234" s="331"/>
      <c r="P234" s="330"/>
      <c r="Q234" s="239"/>
      <c r="R234" s="239"/>
      <c r="S234" s="240"/>
      <c r="T234" s="331"/>
      <c r="U234" s="323"/>
      <c r="V234" s="239"/>
      <c r="W234" s="239"/>
      <c r="X234" s="240"/>
      <c r="Y234" s="240"/>
      <c r="Z234" s="238"/>
      <c r="AA234" s="239"/>
      <c r="AB234" s="239"/>
      <c r="AC234" s="240"/>
      <c r="AD234" s="240"/>
      <c r="AE234" s="238"/>
      <c r="AF234" s="239"/>
      <c r="AG234" s="239"/>
      <c r="AH234" s="240"/>
      <c r="AI234" s="155"/>
      <c r="AJ234" s="238"/>
      <c r="AK234" s="239"/>
      <c r="AL234" s="239"/>
      <c r="AM234" s="240"/>
      <c r="AN234" s="155"/>
      <c r="AO234" s="238"/>
      <c r="AP234" s="239"/>
      <c r="AQ234" s="239"/>
      <c r="AR234" s="240"/>
      <c r="AS234" s="155"/>
      <c r="AT234" s="238"/>
      <c r="AU234" s="239"/>
      <c r="AV234" s="239"/>
      <c r="AW234" s="240"/>
      <c r="AX234" s="155"/>
      <c r="AY234" s="238"/>
      <c r="AZ234" s="239"/>
      <c r="BA234" s="239"/>
      <c r="BB234" s="240"/>
      <c r="BC234" s="155"/>
      <c r="BD234" s="238"/>
      <c r="BE234" s="239"/>
      <c r="BF234" s="239"/>
      <c r="BG234" s="240"/>
      <c r="BH234" s="155"/>
      <c r="BI234" s="238"/>
      <c r="BJ234" s="239"/>
      <c r="BK234" s="239"/>
      <c r="BL234" s="240"/>
      <c r="BM234" s="155"/>
      <c r="BN234" s="238"/>
      <c r="BO234" s="239"/>
      <c r="BP234" s="239"/>
      <c r="BQ234" s="240"/>
      <c r="BR234" s="155"/>
      <c r="BS234" s="238"/>
      <c r="BT234" s="239"/>
      <c r="BU234" s="239"/>
      <c r="BV234" s="240"/>
      <c r="BW234" s="155"/>
      <c r="BX234" s="238"/>
      <c r="BY234" s="239"/>
      <c r="BZ234" s="239"/>
      <c r="CA234" s="240"/>
      <c r="CB234" s="155"/>
      <c r="CC234" s="238"/>
      <c r="CD234" s="239"/>
      <c r="CE234" s="239"/>
      <c r="CF234" s="240"/>
      <c r="CG234" s="155"/>
      <c r="CH234" s="238"/>
      <c r="CI234" s="239"/>
      <c r="CJ234" s="239"/>
      <c r="CK234" s="240"/>
      <c r="CL234" s="155"/>
      <c r="CM234" s="238"/>
      <c r="CN234" s="239"/>
      <c r="CO234" s="239"/>
      <c r="CP234" s="240"/>
      <c r="CQ234" s="155"/>
      <c r="CR234" s="238"/>
      <c r="CS234" s="239"/>
      <c r="CT234" s="239"/>
      <c r="CU234" s="240"/>
      <c r="CV234" s="155"/>
      <c r="CW234" s="238"/>
      <c r="CX234" s="239"/>
      <c r="CY234" s="239"/>
      <c r="CZ234" s="240"/>
      <c r="DA234" s="155"/>
    </row>
    <row r="235" spans="1:105" ht="15" customHeight="1">
      <c r="A235" s="155"/>
      <c r="B235" s="155"/>
      <c r="C235" s="236"/>
      <c r="D235" s="237"/>
      <c r="E235" s="312"/>
      <c r="F235" s="330"/>
      <c r="G235" s="239"/>
      <c r="H235" s="239"/>
      <c r="I235" s="240"/>
      <c r="J235" s="331"/>
      <c r="K235" s="330"/>
      <c r="L235" s="239"/>
      <c r="M235" s="239"/>
      <c r="N235" s="240"/>
      <c r="O235" s="331"/>
      <c r="P235" s="330"/>
      <c r="Q235" s="239"/>
      <c r="R235" s="239"/>
      <c r="S235" s="240"/>
      <c r="T235" s="331"/>
      <c r="U235" s="323"/>
      <c r="V235" s="239"/>
      <c r="W235" s="239"/>
      <c r="X235" s="240"/>
      <c r="Y235" s="240"/>
      <c r="Z235" s="238"/>
      <c r="AA235" s="239"/>
      <c r="AB235" s="239"/>
      <c r="AC235" s="240"/>
      <c r="AD235" s="240"/>
      <c r="AE235" s="238"/>
      <c r="AF235" s="239"/>
      <c r="AG235" s="239"/>
      <c r="AH235" s="240"/>
      <c r="AI235" s="155"/>
      <c r="AJ235" s="238"/>
      <c r="AK235" s="239"/>
      <c r="AL235" s="239"/>
      <c r="AM235" s="240"/>
      <c r="AN235" s="155"/>
      <c r="AO235" s="238"/>
      <c r="AP235" s="239"/>
      <c r="AQ235" s="239"/>
      <c r="AR235" s="240"/>
      <c r="AS235" s="155"/>
      <c r="AT235" s="238"/>
      <c r="AU235" s="239"/>
      <c r="AV235" s="239"/>
      <c r="AW235" s="240"/>
      <c r="AX235" s="155"/>
      <c r="AY235" s="238"/>
      <c r="AZ235" s="239"/>
      <c r="BA235" s="239"/>
      <c r="BB235" s="240"/>
      <c r="BC235" s="155"/>
      <c r="BD235" s="238"/>
      <c r="BE235" s="239"/>
      <c r="BF235" s="239"/>
      <c r="BG235" s="240"/>
      <c r="BH235" s="155"/>
      <c r="BI235" s="238"/>
      <c r="BJ235" s="239"/>
      <c r="BK235" s="239"/>
      <c r="BL235" s="240"/>
      <c r="BM235" s="155"/>
      <c r="BN235" s="238"/>
      <c r="BO235" s="239"/>
      <c r="BP235" s="239"/>
      <c r="BQ235" s="240"/>
      <c r="BR235" s="155"/>
      <c r="BS235" s="238"/>
      <c r="BT235" s="239"/>
      <c r="BU235" s="239"/>
      <c r="BV235" s="240"/>
      <c r="BW235" s="155"/>
      <c r="BX235" s="238"/>
      <c r="BY235" s="239"/>
      <c r="BZ235" s="239"/>
      <c r="CA235" s="240"/>
      <c r="CB235" s="155"/>
      <c r="CC235" s="238"/>
      <c r="CD235" s="239"/>
      <c r="CE235" s="239"/>
      <c r="CF235" s="240"/>
      <c r="CG235" s="155"/>
      <c r="CH235" s="238"/>
      <c r="CI235" s="239"/>
      <c r="CJ235" s="239"/>
      <c r="CK235" s="240"/>
      <c r="CL235" s="155"/>
      <c r="CM235" s="238"/>
      <c r="CN235" s="239"/>
      <c r="CO235" s="239"/>
      <c r="CP235" s="240"/>
      <c r="CQ235" s="155"/>
      <c r="CR235" s="238"/>
      <c r="CS235" s="239"/>
      <c r="CT235" s="239"/>
      <c r="CU235" s="240"/>
      <c r="CV235" s="155"/>
      <c r="CW235" s="238"/>
      <c r="CX235" s="239"/>
      <c r="CY235" s="239"/>
      <c r="CZ235" s="240"/>
      <c r="DA235" s="155"/>
    </row>
    <row r="236" spans="1:105" ht="15" customHeight="1">
      <c r="A236" s="155"/>
      <c r="B236" s="155"/>
      <c r="C236" s="236"/>
      <c r="D236" s="237"/>
      <c r="E236" s="312"/>
      <c r="F236" s="330"/>
      <c r="G236" s="239"/>
      <c r="H236" s="239"/>
      <c r="I236" s="240"/>
      <c r="J236" s="331"/>
      <c r="K236" s="330"/>
      <c r="L236" s="239"/>
      <c r="M236" s="239"/>
      <c r="N236" s="240"/>
      <c r="O236" s="331"/>
      <c r="P236" s="330"/>
      <c r="Q236" s="239"/>
      <c r="R236" s="239"/>
      <c r="S236" s="240"/>
      <c r="T236" s="331"/>
      <c r="U236" s="323"/>
      <c r="V236" s="239"/>
      <c r="W236" s="239"/>
      <c r="X236" s="240"/>
      <c r="Y236" s="240"/>
      <c r="Z236" s="238"/>
      <c r="AA236" s="239"/>
      <c r="AB236" s="239"/>
      <c r="AC236" s="240"/>
      <c r="AD236" s="240"/>
      <c r="AE236" s="238"/>
      <c r="AF236" s="239"/>
      <c r="AG236" s="239"/>
      <c r="AH236" s="240"/>
      <c r="AI236" s="155"/>
      <c r="AJ236" s="238"/>
      <c r="AK236" s="239"/>
      <c r="AL236" s="239"/>
      <c r="AM236" s="240"/>
      <c r="AN236" s="155"/>
      <c r="AO236" s="238"/>
      <c r="AP236" s="239"/>
      <c r="AQ236" s="239"/>
      <c r="AR236" s="240"/>
      <c r="AS236" s="155"/>
      <c r="AT236" s="238"/>
      <c r="AU236" s="239"/>
      <c r="AV236" s="239"/>
      <c r="AW236" s="240"/>
      <c r="AX236" s="155"/>
      <c r="AY236" s="238"/>
      <c r="AZ236" s="239"/>
      <c r="BA236" s="239"/>
      <c r="BB236" s="240"/>
      <c r="BC236" s="155"/>
      <c r="BD236" s="238"/>
      <c r="BE236" s="239"/>
      <c r="BF236" s="239"/>
      <c r="BG236" s="240"/>
      <c r="BH236" s="155"/>
      <c r="BI236" s="238"/>
      <c r="BJ236" s="239"/>
      <c r="BK236" s="239"/>
      <c r="BL236" s="240"/>
      <c r="BM236" s="155"/>
      <c r="BN236" s="238"/>
      <c r="BO236" s="239"/>
      <c r="BP236" s="239"/>
      <c r="BQ236" s="240"/>
      <c r="BR236" s="155"/>
      <c r="BS236" s="238"/>
      <c r="BT236" s="239"/>
      <c r="BU236" s="239"/>
      <c r="BV236" s="240"/>
      <c r="BW236" s="155"/>
      <c r="BX236" s="238"/>
      <c r="BY236" s="239"/>
      <c r="BZ236" s="239"/>
      <c r="CA236" s="240"/>
      <c r="CB236" s="155"/>
      <c r="CC236" s="238"/>
      <c r="CD236" s="239"/>
      <c r="CE236" s="239"/>
      <c r="CF236" s="240"/>
      <c r="CG236" s="155"/>
      <c r="CH236" s="238"/>
      <c r="CI236" s="239"/>
      <c r="CJ236" s="239"/>
      <c r="CK236" s="240"/>
      <c r="CL236" s="155"/>
      <c r="CM236" s="238"/>
      <c r="CN236" s="239"/>
      <c r="CO236" s="239"/>
      <c r="CP236" s="240"/>
      <c r="CQ236" s="155"/>
      <c r="CR236" s="238"/>
      <c r="CS236" s="239"/>
      <c r="CT236" s="239"/>
      <c r="CU236" s="240"/>
      <c r="CV236" s="155"/>
      <c r="CW236" s="238"/>
      <c r="CX236" s="239"/>
      <c r="CY236" s="239"/>
      <c r="CZ236" s="240"/>
      <c r="DA236" s="155"/>
    </row>
    <row r="237" spans="1:105" ht="15" customHeight="1">
      <c r="A237" s="155"/>
      <c r="B237" s="155"/>
      <c r="C237" s="236"/>
      <c r="D237" s="237"/>
      <c r="E237" s="312"/>
      <c r="F237" s="330"/>
      <c r="G237" s="239"/>
      <c r="H237" s="239"/>
      <c r="I237" s="240"/>
      <c r="J237" s="331"/>
      <c r="K237" s="330"/>
      <c r="L237" s="239"/>
      <c r="M237" s="239"/>
      <c r="N237" s="240"/>
      <c r="O237" s="331"/>
      <c r="P237" s="330"/>
      <c r="Q237" s="239"/>
      <c r="R237" s="239"/>
      <c r="S237" s="240"/>
      <c r="T237" s="331"/>
      <c r="U237" s="323"/>
      <c r="V237" s="239"/>
      <c r="W237" s="239"/>
      <c r="X237" s="240"/>
      <c r="Y237" s="240"/>
      <c r="Z237" s="238"/>
      <c r="AA237" s="239"/>
      <c r="AB237" s="239"/>
      <c r="AC237" s="240"/>
      <c r="AD237" s="240"/>
      <c r="AE237" s="238"/>
      <c r="AF237" s="239"/>
      <c r="AG237" s="239"/>
      <c r="AH237" s="240"/>
      <c r="AI237" s="155"/>
      <c r="AJ237" s="238"/>
      <c r="AK237" s="239"/>
      <c r="AL237" s="239"/>
      <c r="AM237" s="240"/>
      <c r="AN237" s="155"/>
      <c r="AO237" s="238"/>
      <c r="AP237" s="239"/>
      <c r="AQ237" s="239"/>
      <c r="AR237" s="240"/>
      <c r="AS237" s="155"/>
      <c r="AT237" s="238"/>
      <c r="AU237" s="239"/>
      <c r="AV237" s="239"/>
      <c r="AW237" s="240"/>
      <c r="AX237" s="155"/>
      <c r="AY237" s="238"/>
      <c r="AZ237" s="239"/>
      <c r="BA237" s="239"/>
      <c r="BB237" s="240"/>
      <c r="BC237" s="155"/>
      <c r="BD237" s="238"/>
      <c r="BE237" s="239"/>
      <c r="BF237" s="239"/>
      <c r="BG237" s="240"/>
      <c r="BH237" s="155"/>
      <c r="BI237" s="238"/>
      <c r="BJ237" s="239"/>
      <c r="BK237" s="239"/>
      <c r="BL237" s="240"/>
      <c r="BM237" s="155"/>
      <c r="BN237" s="238"/>
      <c r="BO237" s="239"/>
      <c r="BP237" s="239"/>
      <c r="BQ237" s="240"/>
      <c r="BR237" s="155"/>
      <c r="BS237" s="238"/>
      <c r="BT237" s="239"/>
      <c r="BU237" s="239"/>
      <c r="BV237" s="240"/>
      <c r="BW237" s="155"/>
      <c r="BX237" s="238"/>
      <c r="BY237" s="239"/>
      <c r="BZ237" s="239"/>
      <c r="CA237" s="240"/>
      <c r="CB237" s="155"/>
      <c r="CC237" s="238"/>
      <c r="CD237" s="239"/>
      <c r="CE237" s="239"/>
      <c r="CF237" s="240"/>
      <c r="CG237" s="155"/>
      <c r="CH237" s="238"/>
      <c r="CI237" s="239"/>
      <c r="CJ237" s="239"/>
      <c r="CK237" s="240"/>
      <c r="CL237" s="155"/>
      <c r="CM237" s="238"/>
      <c r="CN237" s="239"/>
      <c r="CO237" s="239"/>
      <c r="CP237" s="240"/>
      <c r="CQ237" s="155"/>
      <c r="CR237" s="238"/>
      <c r="CS237" s="239"/>
      <c r="CT237" s="239"/>
      <c r="CU237" s="240"/>
      <c r="CV237" s="155"/>
      <c r="CW237" s="238"/>
      <c r="CX237" s="239"/>
      <c r="CY237" s="239"/>
      <c r="CZ237" s="240"/>
      <c r="DA237" s="155"/>
    </row>
    <row r="238" spans="1:105" ht="15" customHeight="1">
      <c r="A238" s="155"/>
      <c r="B238" s="155"/>
      <c r="C238" s="236"/>
      <c r="D238" s="237"/>
      <c r="E238" s="312"/>
      <c r="F238" s="330"/>
      <c r="G238" s="239"/>
      <c r="H238" s="239"/>
      <c r="I238" s="240"/>
      <c r="J238" s="331"/>
      <c r="K238" s="330"/>
      <c r="L238" s="239"/>
      <c r="M238" s="239"/>
      <c r="N238" s="240"/>
      <c r="O238" s="331"/>
      <c r="P238" s="330"/>
      <c r="Q238" s="239"/>
      <c r="R238" s="239"/>
      <c r="S238" s="240"/>
      <c r="T238" s="331"/>
      <c r="U238" s="323"/>
      <c r="V238" s="239"/>
      <c r="W238" s="239"/>
      <c r="X238" s="240"/>
      <c r="Y238" s="240"/>
      <c r="Z238" s="238"/>
      <c r="AA238" s="239"/>
      <c r="AB238" s="239"/>
      <c r="AC238" s="240"/>
      <c r="AD238" s="240"/>
      <c r="AE238" s="238"/>
      <c r="AF238" s="239"/>
      <c r="AG238" s="239"/>
      <c r="AH238" s="240"/>
      <c r="AI238" s="155"/>
      <c r="AJ238" s="238"/>
      <c r="AK238" s="239"/>
      <c r="AL238" s="239"/>
      <c r="AM238" s="240"/>
      <c r="AN238" s="155"/>
      <c r="AO238" s="238"/>
      <c r="AP238" s="239"/>
      <c r="AQ238" s="239"/>
      <c r="AR238" s="240"/>
      <c r="AS238" s="155"/>
      <c r="AT238" s="238"/>
      <c r="AU238" s="239"/>
      <c r="AV238" s="239"/>
      <c r="AW238" s="240"/>
      <c r="AX238" s="155"/>
      <c r="AY238" s="238"/>
      <c r="AZ238" s="239"/>
      <c r="BA238" s="239"/>
      <c r="BB238" s="240"/>
      <c r="BC238" s="155"/>
      <c r="BD238" s="238"/>
      <c r="BE238" s="239"/>
      <c r="BF238" s="239"/>
      <c r="BG238" s="240"/>
      <c r="BH238" s="155"/>
      <c r="BI238" s="238"/>
      <c r="BJ238" s="239"/>
      <c r="BK238" s="239"/>
      <c r="BL238" s="240"/>
      <c r="BM238" s="155"/>
      <c r="BN238" s="238"/>
      <c r="BO238" s="239"/>
      <c r="BP238" s="239"/>
      <c r="BQ238" s="240"/>
      <c r="BR238" s="155"/>
      <c r="BS238" s="238"/>
      <c r="BT238" s="239"/>
      <c r="BU238" s="239"/>
      <c r="BV238" s="240"/>
      <c r="BW238" s="155"/>
      <c r="BX238" s="238"/>
      <c r="BY238" s="239"/>
      <c r="BZ238" s="239"/>
      <c r="CA238" s="240"/>
      <c r="CB238" s="155"/>
      <c r="CC238" s="238"/>
      <c r="CD238" s="239"/>
      <c r="CE238" s="239"/>
      <c r="CF238" s="240"/>
      <c r="CG238" s="155"/>
      <c r="CH238" s="238"/>
      <c r="CI238" s="239"/>
      <c r="CJ238" s="239"/>
      <c r="CK238" s="240"/>
      <c r="CL238" s="155"/>
      <c r="CM238" s="238"/>
      <c r="CN238" s="239"/>
      <c r="CO238" s="239"/>
      <c r="CP238" s="240"/>
      <c r="CQ238" s="155"/>
      <c r="CR238" s="238"/>
      <c r="CS238" s="239"/>
      <c r="CT238" s="239"/>
      <c r="CU238" s="240"/>
      <c r="CV238" s="155"/>
      <c r="CW238" s="238"/>
      <c r="CX238" s="239"/>
      <c r="CY238" s="239"/>
      <c r="CZ238" s="240"/>
      <c r="DA238" s="155"/>
    </row>
    <row r="239" spans="1:105" ht="15" customHeight="1">
      <c r="A239" s="155"/>
      <c r="B239" s="155"/>
      <c r="C239" s="236"/>
      <c r="D239" s="237"/>
      <c r="E239" s="312"/>
      <c r="F239" s="330"/>
      <c r="G239" s="239"/>
      <c r="H239" s="239"/>
      <c r="I239" s="240"/>
      <c r="J239" s="331"/>
      <c r="K239" s="330"/>
      <c r="L239" s="239"/>
      <c r="M239" s="239"/>
      <c r="N239" s="240"/>
      <c r="O239" s="331"/>
      <c r="P239" s="330"/>
      <c r="Q239" s="239"/>
      <c r="R239" s="239"/>
      <c r="S239" s="240"/>
      <c r="T239" s="331"/>
      <c r="U239" s="323"/>
      <c r="V239" s="239"/>
      <c r="W239" s="239"/>
      <c r="X239" s="240"/>
      <c r="Y239" s="240"/>
      <c r="Z239" s="238"/>
      <c r="AA239" s="239"/>
      <c r="AB239" s="239"/>
      <c r="AC239" s="240"/>
      <c r="AD239" s="240"/>
      <c r="AE239" s="238"/>
      <c r="AF239" s="239"/>
      <c r="AG239" s="239"/>
      <c r="AH239" s="240"/>
      <c r="AI239" s="155"/>
      <c r="AJ239" s="238"/>
      <c r="AK239" s="239"/>
      <c r="AL239" s="239"/>
      <c r="AM239" s="240"/>
      <c r="AN239" s="155"/>
      <c r="AO239" s="238"/>
      <c r="AP239" s="239"/>
      <c r="AQ239" s="239"/>
      <c r="AR239" s="240"/>
      <c r="AS239" s="155"/>
      <c r="AT239" s="238"/>
      <c r="AU239" s="239"/>
      <c r="AV239" s="239"/>
      <c r="AW239" s="240"/>
      <c r="AX239" s="155"/>
      <c r="AY239" s="238"/>
      <c r="AZ239" s="239"/>
      <c r="BA239" s="239"/>
      <c r="BB239" s="240"/>
      <c r="BC239" s="155"/>
      <c r="BD239" s="238"/>
      <c r="BE239" s="239"/>
      <c r="BF239" s="239"/>
      <c r="BG239" s="240"/>
      <c r="BH239" s="155"/>
      <c r="BI239" s="238"/>
      <c r="BJ239" s="239"/>
      <c r="BK239" s="239"/>
      <c r="BL239" s="240"/>
      <c r="BM239" s="155"/>
      <c r="BN239" s="238"/>
      <c r="BO239" s="239"/>
      <c r="BP239" s="239"/>
      <c r="BQ239" s="240"/>
      <c r="BR239" s="155"/>
      <c r="BS239" s="238"/>
      <c r="BT239" s="239"/>
      <c r="BU239" s="239"/>
      <c r="BV239" s="240"/>
      <c r="BW239" s="155"/>
      <c r="BX239" s="238"/>
      <c r="BY239" s="239"/>
      <c r="BZ239" s="239"/>
      <c r="CA239" s="240"/>
      <c r="CB239" s="155"/>
      <c r="CC239" s="238"/>
      <c r="CD239" s="239"/>
      <c r="CE239" s="239"/>
      <c r="CF239" s="240"/>
      <c r="CG239" s="155"/>
      <c r="CH239" s="238"/>
      <c r="CI239" s="239"/>
      <c r="CJ239" s="239"/>
      <c r="CK239" s="240"/>
      <c r="CL239" s="155"/>
      <c r="CM239" s="238"/>
      <c r="CN239" s="239"/>
      <c r="CO239" s="239"/>
      <c r="CP239" s="240"/>
      <c r="CQ239" s="155"/>
      <c r="CR239" s="238"/>
      <c r="CS239" s="239"/>
      <c r="CT239" s="239"/>
      <c r="CU239" s="240"/>
      <c r="CV239" s="155"/>
      <c r="CW239" s="238"/>
      <c r="CX239" s="239"/>
      <c r="CY239" s="239"/>
      <c r="CZ239" s="240"/>
      <c r="DA239" s="155"/>
    </row>
    <row r="240" spans="1:105" ht="15" customHeight="1">
      <c r="A240" s="155"/>
      <c r="B240" s="155"/>
      <c r="C240" s="236"/>
      <c r="D240" s="237"/>
      <c r="E240" s="312"/>
      <c r="F240" s="330"/>
      <c r="G240" s="239"/>
      <c r="H240" s="239"/>
      <c r="I240" s="240"/>
      <c r="J240" s="331"/>
      <c r="K240" s="330"/>
      <c r="L240" s="239"/>
      <c r="M240" s="239"/>
      <c r="N240" s="240"/>
      <c r="O240" s="331"/>
      <c r="P240" s="330"/>
      <c r="Q240" s="239"/>
      <c r="R240" s="239"/>
      <c r="S240" s="240"/>
      <c r="T240" s="331"/>
      <c r="U240" s="323"/>
      <c r="V240" s="239"/>
      <c r="W240" s="239"/>
      <c r="X240" s="240"/>
      <c r="Y240" s="240"/>
      <c r="Z240" s="238"/>
      <c r="AA240" s="239"/>
      <c r="AB240" s="239"/>
      <c r="AC240" s="240"/>
      <c r="AD240" s="240"/>
      <c r="AE240" s="238"/>
      <c r="AF240" s="239"/>
      <c r="AG240" s="239"/>
      <c r="AH240" s="240"/>
      <c r="AI240" s="155"/>
      <c r="AJ240" s="238"/>
      <c r="AK240" s="239"/>
      <c r="AL240" s="239"/>
      <c r="AM240" s="240"/>
      <c r="AN240" s="155"/>
      <c r="AO240" s="238"/>
      <c r="AP240" s="239"/>
      <c r="AQ240" s="239"/>
      <c r="AR240" s="240"/>
      <c r="AS240" s="155"/>
      <c r="AT240" s="238"/>
      <c r="AU240" s="239"/>
      <c r="AV240" s="239"/>
      <c r="AW240" s="240"/>
      <c r="AX240" s="155"/>
      <c r="AY240" s="238"/>
      <c r="AZ240" s="239"/>
      <c r="BA240" s="239"/>
      <c r="BB240" s="240"/>
      <c r="BC240" s="155"/>
      <c r="BD240" s="238"/>
      <c r="BE240" s="239"/>
      <c r="BF240" s="239"/>
      <c r="BG240" s="240"/>
      <c r="BH240" s="155"/>
      <c r="BI240" s="238"/>
      <c r="BJ240" s="239"/>
      <c r="BK240" s="239"/>
      <c r="BL240" s="240"/>
      <c r="BM240" s="155"/>
      <c r="BN240" s="238"/>
      <c r="BO240" s="239"/>
      <c r="BP240" s="239"/>
      <c r="BQ240" s="240"/>
      <c r="BR240" s="155"/>
      <c r="BS240" s="238"/>
      <c r="BT240" s="239"/>
      <c r="BU240" s="239"/>
      <c r="BV240" s="240"/>
      <c r="BW240" s="155"/>
      <c r="BX240" s="238"/>
      <c r="BY240" s="239"/>
      <c r="BZ240" s="239"/>
      <c r="CA240" s="240"/>
      <c r="CB240" s="155"/>
      <c r="CC240" s="238"/>
      <c r="CD240" s="239"/>
      <c r="CE240" s="239"/>
      <c r="CF240" s="240"/>
      <c r="CG240" s="155"/>
      <c r="CH240" s="238"/>
      <c r="CI240" s="239"/>
      <c r="CJ240" s="239"/>
      <c r="CK240" s="240"/>
      <c r="CL240" s="155"/>
      <c r="CM240" s="238"/>
      <c r="CN240" s="239"/>
      <c r="CO240" s="239"/>
      <c r="CP240" s="240"/>
      <c r="CQ240" s="155"/>
      <c r="CR240" s="238"/>
      <c r="CS240" s="239"/>
      <c r="CT240" s="239"/>
      <c r="CU240" s="240"/>
      <c r="CV240" s="155"/>
      <c r="CW240" s="238"/>
      <c r="CX240" s="239"/>
      <c r="CY240" s="239"/>
      <c r="CZ240" s="240"/>
      <c r="DA240" s="155"/>
    </row>
    <row r="241" spans="1:105" ht="15" customHeight="1">
      <c r="A241" s="155"/>
      <c r="B241" s="155"/>
      <c r="C241" s="236"/>
      <c r="D241" s="237"/>
      <c r="E241" s="312"/>
      <c r="F241" s="330"/>
      <c r="G241" s="239"/>
      <c r="H241" s="239"/>
      <c r="I241" s="240"/>
      <c r="J241" s="331"/>
      <c r="K241" s="330"/>
      <c r="L241" s="239"/>
      <c r="M241" s="239"/>
      <c r="N241" s="240"/>
      <c r="O241" s="331"/>
      <c r="P241" s="330"/>
      <c r="Q241" s="239"/>
      <c r="R241" s="239"/>
      <c r="S241" s="240"/>
      <c r="T241" s="331"/>
      <c r="U241" s="323"/>
      <c r="V241" s="239"/>
      <c r="W241" s="239"/>
      <c r="X241" s="240"/>
      <c r="Y241" s="240"/>
      <c r="Z241" s="238"/>
      <c r="AA241" s="239"/>
      <c r="AB241" s="239"/>
      <c r="AC241" s="240"/>
      <c r="AD241" s="240"/>
      <c r="AE241" s="238"/>
      <c r="AF241" s="239"/>
      <c r="AG241" s="239"/>
      <c r="AH241" s="240"/>
      <c r="AI241" s="155"/>
      <c r="AJ241" s="238"/>
      <c r="AK241" s="239"/>
      <c r="AL241" s="239"/>
      <c r="AM241" s="240"/>
      <c r="AN241" s="155"/>
      <c r="AO241" s="238"/>
      <c r="AP241" s="239"/>
      <c r="AQ241" s="239"/>
      <c r="AR241" s="240"/>
      <c r="AS241" s="155"/>
      <c r="AT241" s="238"/>
      <c r="AU241" s="239"/>
      <c r="AV241" s="239"/>
      <c r="AW241" s="240"/>
      <c r="AX241" s="155"/>
      <c r="AY241" s="238"/>
      <c r="AZ241" s="239"/>
      <c r="BA241" s="239"/>
      <c r="BB241" s="240"/>
      <c r="BC241" s="155"/>
      <c r="BD241" s="238"/>
      <c r="BE241" s="239"/>
      <c r="BF241" s="239"/>
      <c r="BG241" s="240"/>
      <c r="BH241" s="155"/>
      <c r="BI241" s="238"/>
      <c r="BJ241" s="239"/>
      <c r="BK241" s="239"/>
      <c r="BL241" s="240"/>
      <c r="BM241" s="155"/>
      <c r="BN241" s="238"/>
      <c r="BO241" s="239"/>
      <c r="BP241" s="239"/>
      <c r="BQ241" s="240"/>
      <c r="BR241" s="155"/>
      <c r="BS241" s="238"/>
      <c r="BT241" s="239"/>
      <c r="BU241" s="239"/>
      <c r="BV241" s="240"/>
      <c r="BW241" s="155"/>
      <c r="BX241" s="238"/>
      <c r="BY241" s="239"/>
      <c r="BZ241" s="239"/>
      <c r="CA241" s="240"/>
      <c r="CB241" s="155"/>
      <c r="CC241" s="238"/>
      <c r="CD241" s="239"/>
      <c r="CE241" s="239"/>
      <c r="CF241" s="240"/>
      <c r="CG241" s="155"/>
      <c r="CH241" s="238"/>
      <c r="CI241" s="239"/>
      <c r="CJ241" s="239"/>
      <c r="CK241" s="240"/>
      <c r="CL241" s="155"/>
      <c r="CM241" s="238"/>
      <c r="CN241" s="239"/>
      <c r="CO241" s="239"/>
      <c r="CP241" s="240"/>
      <c r="CQ241" s="155"/>
      <c r="CR241" s="238"/>
      <c r="CS241" s="239"/>
      <c r="CT241" s="239"/>
      <c r="CU241" s="240"/>
      <c r="CV241" s="155"/>
      <c r="CW241" s="238"/>
      <c r="CX241" s="239"/>
      <c r="CY241" s="239"/>
      <c r="CZ241" s="240"/>
      <c r="DA241" s="155"/>
    </row>
    <row r="242" spans="1:105" ht="15" customHeight="1">
      <c r="A242" s="155"/>
      <c r="B242" s="155"/>
      <c r="C242" s="236"/>
      <c r="D242" s="237"/>
      <c r="E242" s="312"/>
      <c r="F242" s="330"/>
      <c r="G242" s="239"/>
      <c r="H242" s="239"/>
      <c r="I242" s="240"/>
      <c r="J242" s="331"/>
      <c r="K242" s="330"/>
      <c r="L242" s="239"/>
      <c r="M242" s="239"/>
      <c r="N242" s="240"/>
      <c r="O242" s="331"/>
      <c r="P242" s="330"/>
      <c r="Q242" s="239"/>
      <c r="R242" s="239"/>
      <c r="S242" s="240"/>
      <c r="T242" s="331"/>
      <c r="U242" s="323"/>
      <c r="V242" s="239"/>
      <c r="W242" s="239"/>
      <c r="X242" s="240"/>
      <c r="Y242" s="240"/>
      <c r="Z242" s="238"/>
      <c r="AA242" s="239"/>
      <c r="AB242" s="239"/>
      <c r="AC242" s="240"/>
      <c r="AD242" s="240"/>
      <c r="AE242" s="238"/>
      <c r="AF242" s="239"/>
      <c r="AG242" s="239"/>
      <c r="AH242" s="240"/>
      <c r="AI242" s="155"/>
      <c r="AJ242" s="238"/>
      <c r="AK242" s="239"/>
      <c r="AL242" s="239"/>
      <c r="AM242" s="240"/>
      <c r="AN242" s="155"/>
      <c r="AO242" s="238"/>
      <c r="AP242" s="239"/>
      <c r="AQ242" s="239"/>
      <c r="AR242" s="240"/>
      <c r="AS242" s="155"/>
      <c r="AT242" s="238"/>
      <c r="AU242" s="239"/>
      <c r="AV242" s="239"/>
      <c r="AW242" s="240"/>
      <c r="AX242" s="155"/>
      <c r="AY242" s="238"/>
      <c r="AZ242" s="239"/>
      <c r="BA242" s="239"/>
      <c r="BB242" s="240"/>
      <c r="BC242" s="155"/>
      <c r="BD242" s="238"/>
      <c r="BE242" s="239"/>
      <c r="BF242" s="239"/>
      <c r="BG242" s="240"/>
      <c r="BH242" s="155"/>
      <c r="BI242" s="238"/>
      <c r="BJ242" s="239"/>
      <c r="BK242" s="239"/>
      <c r="BL242" s="240"/>
      <c r="BM242" s="155"/>
      <c r="BN242" s="238"/>
      <c r="BO242" s="239"/>
      <c r="BP242" s="239"/>
      <c r="BQ242" s="240"/>
      <c r="BR242" s="155"/>
      <c r="BS242" s="238"/>
      <c r="BT242" s="239"/>
      <c r="BU242" s="239"/>
      <c r="BV242" s="240"/>
      <c r="BW242" s="155"/>
      <c r="BX242" s="238"/>
      <c r="BY242" s="239"/>
      <c r="BZ242" s="239"/>
      <c r="CA242" s="240"/>
      <c r="CB242" s="155"/>
      <c r="CC242" s="238"/>
      <c r="CD242" s="239"/>
      <c r="CE242" s="239"/>
      <c r="CF242" s="240"/>
      <c r="CG242" s="155"/>
      <c r="CH242" s="238"/>
      <c r="CI242" s="239"/>
      <c r="CJ242" s="239"/>
      <c r="CK242" s="240"/>
      <c r="CL242" s="155"/>
      <c r="CM242" s="238"/>
      <c r="CN242" s="239"/>
      <c r="CO242" s="239"/>
      <c r="CP242" s="240"/>
      <c r="CQ242" s="155"/>
      <c r="CR242" s="238"/>
      <c r="CS242" s="239"/>
      <c r="CT242" s="239"/>
      <c r="CU242" s="240"/>
      <c r="CV242" s="155"/>
      <c r="CW242" s="238"/>
      <c r="CX242" s="239"/>
      <c r="CY242" s="239"/>
      <c r="CZ242" s="240"/>
      <c r="DA242" s="155"/>
    </row>
    <row r="243" spans="1:105" ht="15" customHeight="1">
      <c r="A243" s="155"/>
      <c r="B243" s="155"/>
      <c r="C243" s="236"/>
      <c r="D243" s="237"/>
      <c r="E243" s="312"/>
      <c r="F243" s="330"/>
      <c r="G243" s="239"/>
      <c r="H243" s="239"/>
      <c r="I243" s="240"/>
      <c r="J243" s="331"/>
      <c r="K243" s="330"/>
      <c r="L243" s="239"/>
      <c r="M243" s="239"/>
      <c r="N243" s="240"/>
      <c r="O243" s="331"/>
      <c r="P243" s="330"/>
      <c r="Q243" s="239"/>
      <c r="R243" s="239"/>
      <c r="S243" s="240"/>
      <c r="T243" s="331"/>
      <c r="U243" s="323"/>
      <c r="V243" s="239"/>
      <c r="W243" s="239"/>
      <c r="X243" s="240"/>
      <c r="Y243" s="240"/>
      <c r="Z243" s="238"/>
      <c r="AA243" s="239"/>
      <c r="AB243" s="239"/>
      <c r="AC243" s="240"/>
      <c r="AD243" s="240"/>
      <c r="AE243" s="238"/>
      <c r="AF243" s="239"/>
      <c r="AG243" s="239"/>
      <c r="AH243" s="240"/>
      <c r="AI243" s="155"/>
      <c r="AJ243" s="238"/>
      <c r="AK243" s="239"/>
      <c r="AL243" s="239"/>
      <c r="AM243" s="240"/>
      <c r="AN243" s="155"/>
      <c r="AO243" s="238"/>
      <c r="AP243" s="239"/>
      <c r="AQ243" s="239"/>
      <c r="AR243" s="240"/>
      <c r="AS243" s="155"/>
      <c r="AT243" s="238"/>
      <c r="AU243" s="239"/>
      <c r="AV243" s="239"/>
      <c r="AW243" s="240"/>
      <c r="AX243" s="155"/>
      <c r="AY243" s="238"/>
      <c r="AZ243" s="239"/>
      <c r="BA243" s="239"/>
      <c r="BB243" s="240"/>
      <c r="BC243" s="155"/>
      <c r="BD243" s="238"/>
      <c r="BE243" s="239"/>
      <c r="BF243" s="239"/>
      <c r="BG243" s="240"/>
      <c r="BH243" s="155"/>
      <c r="BI243" s="238"/>
      <c r="BJ243" s="239"/>
      <c r="BK243" s="239"/>
      <c r="BL243" s="240"/>
      <c r="BM243" s="155"/>
      <c r="BN243" s="238"/>
      <c r="BO243" s="239"/>
      <c r="BP243" s="239"/>
      <c r="BQ243" s="240"/>
      <c r="BR243" s="155"/>
      <c r="BS243" s="238"/>
      <c r="BT243" s="239"/>
      <c r="BU243" s="239"/>
      <c r="BV243" s="240"/>
      <c r="BW243" s="155"/>
      <c r="BX243" s="238"/>
      <c r="BY243" s="239"/>
      <c r="BZ243" s="239"/>
      <c r="CA243" s="240"/>
      <c r="CB243" s="155"/>
      <c r="CC243" s="238"/>
      <c r="CD243" s="239"/>
      <c r="CE243" s="239"/>
      <c r="CF243" s="240"/>
      <c r="CG243" s="155"/>
      <c r="CH243" s="238"/>
      <c r="CI243" s="239"/>
      <c r="CJ243" s="239"/>
      <c r="CK243" s="240"/>
      <c r="CL243" s="155"/>
      <c r="CM243" s="238"/>
      <c r="CN243" s="239"/>
      <c r="CO243" s="239"/>
      <c r="CP243" s="240"/>
      <c r="CQ243" s="155"/>
      <c r="CR243" s="238"/>
      <c r="CS243" s="239"/>
      <c r="CT243" s="239"/>
      <c r="CU243" s="240"/>
      <c r="CV243" s="155"/>
      <c r="CW243" s="238"/>
      <c r="CX243" s="239"/>
      <c r="CY243" s="239"/>
      <c r="CZ243" s="240"/>
      <c r="DA243" s="155"/>
    </row>
    <row r="244" spans="1:105" ht="15" customHeight="1">
      <c r="A244" s="155"/>
      <c r="B244" s="155"/>
      <c r="C244" s="236"/>
      <c r="D244" s="237"/>
      <c r="E244" s="312"/>
      <c r="F244" s="330"/>
      <c r="G244" s="239"/>
      <c r="H244" s="239"/>
      <c r="I244" s="240"/>
      <c r="J244" s="331"/>
      <c r="K244" s="330"/>
      <c r="L244" s="239"/>
      <c r="M244" s="239"/>
      <c r="N244" s="240"/>
      <c r="O244" s="331"/>
      <c r="P244" s="330"/>
      <c r="Q244" s="239"/>
      <c r="R244" s="239"/>
      <c r="S244" s="240"/>
      <c r="T244" s="331"/>
      <c r="U244" s="323"/>
      <c r="V244" s="239"/>
      <c r="W244" s="239"/>
      <c r="X244" s="240"/>
      <c r="Y244" s="240"/>
      <c r="Z244" s="238"/>
      <c r="AA244" s="239"/>
      <c r="AB244" s="239"/>
      <c r="AC244" s="240"/>
      <c r="AD244" s="240"/>
      <c r="AE244" s="238"/>
      <c r="AF244" s="239"/>
      <c r="AG244" s="239"/>
      <c r="AH244" s="240"/>
      <c r="AI244" s="155"/>
      <c r="AJ244" s="238"/>
      <c r="AK244" s="239"/>
      <c r="AL244" s="239"/>
      <c r="AM244" s="240"/>
      <c r="AN244" s="155"/>
      <c r="AO244" s="238"/>
      <c r="AP244" s="239"/>
      <c r="AQ244" s="239"/>
      <c r="AR244" s="240"/>
      <c r="AS244" s="155"/>
      <c r="AT244" s="238"/>
      <c r="AU244" s="239"/>
      <c r="AV244" s="239"/>
      <c r="AW244" s="240"/>
      <c r="AX244" s="155"/>
      <c r="AY244" s="238"/>
      <c r="AZ244" s="239"/>
      <c r="BA244" s="239"/>
      <c r="BB244" s="240"/>
      <c r="BC244" s="155"/>
      <c r="BD244" s="238"/>
      <c r="BE244" s="239"/>
      <c r="BF244" s="239"/>
      <c r="BG244" s="240"/>
      <c r="BH244" s="155"/>
      <c r="BI244" s="238"/>
      <c r="BJ244" s="239"/>
      <c r="BK244" s="239"/>
      <c r="BL244" s="240"/>
      <c r="BM244" s="155"/>
      <c r="BN244" s="238"/>
      <c r="BO244" s="239"/>
      <c r="BP244" s="239"/>
      <c r="BQ244" s="240"/>
      <c r="BR244" s="155"/>
      <c r="BS244" s="238"/>
      <c r="BT244" s="239"/>
      <c r="BU244" s="239"/>
      <c r="BV244" s="240"/>
      <c r="BW244" s="155"/>
      <c r="BX244" s="238"/>
      <c r="BY244" s="239"/>
      <c r="BZ244" s="239"/>
      <c r="CA244" s="240"/>
      <c r="CB244" s="155"/>
      <c r="CC244" s="238"/>
      <c r="CD244" s="239"/>
      <c r="CE244" s="239"/>
      <c r="CF244" s="240"/>
      <c r="CG244" s="155"/>
      <c r="CH244" s="238"/>
      <c r="CI244" s="239"/>
      <c r="CJ244" s="239"/>
      <c r="CK244" s="240"/>
      <c r="CL244" s="155"/>
      <c r="CM244" s="238"/>
      <c r="CN244" s="239"/>
      <c r="CO244" s="239"/>
      <c r="CP244" s="240"/>
      <c r="CQ244" s="155"/>
      <c r="CR244" s="238"/>
      <c r="CS244" s="239"/>
      <c r="CT244" s="239"/>
      <c r="CU244" s="240"/>
      <c r="CV244" s="155"/>
      <c r="CW244" s="238"/>
      <c r="CX244" s="239"/>
      <c r="CY244" s="239"/>
      <c r="CZ244" s="240"/>
      <c r="DA244" s="155"/>
    </row>
    <row r="245" spans="1:105" ht="15" customHeight="1">
      <c r="A245" s="155"/>
      <c r="B245" s="155"/>
      <c r="C245" s="236"/>
      <c r="D245" s="237"/>
      <c r="E245" s="312"/>
      <c r="F245" s="330"/>
      <c r="G245" s="239"/>
      <c r="H245" s="239"/>
      <c r="I245" s="240"/>
      <c r="J245" s="331"/>
      <c r="K245" s="330"/>
      <c r="L245" s="239"/>
      <c r="M245" s="239"/>
      <c r="N245" s="240"/>
      <c r="O245" s="331"/>
      <c r="P245" s="330"/>
      <c r="Q245" s="239"/>
      <c r="R245" s="239"/>
      <c r="S245" s="240"/>
      <c r="T245" s="331"/>
      <c r="U245" s="323"/>
      <c r="V245" s="239"/>
      <c r="W245" s="239"/>
      <c r="X245" s="240"/>
      <c r="Y245" s="240"/>
      <c r="Z245" s="238"/>
      <c r="AA245" s="239"/>
      <c r="AB245" s="239"/>
      <c r="AC245" s="240"/>
      <c r="AD245" s="240"/>
      <c r="AE245" s="238"/>
      <c r="AF245" s="239"/>
      <c r="AG245" s="239"/>
      <c r="AH245" s="240"/>
      <c r="AI245" s="155"/>
      <c r="AJ245" s="238"/>
      <c r="AK245" s="239"/>
      <c r="AL245" s="239"/>
      <c r="AM245" s="240"/>
      <c r="AN245" s="155"/>
      <c r="AO245" s="238"/>
      <c r="AP245" s="239"/>
      <c r="AQ245" s="239"/>
      <c r="AR245" s="240"/>
      <c r="AS245" s="155"/>
      <c r="AT245" s="238"/>
      <c r="AU245" s="239"/>
      <c r="AV245" s="239"/>
      <c r="AW245" s="240"/>
      <c r="AX245" s="155"/>
      <c r="AY245" s="238"/>
      <c r="AZ245" s="239"/>
      <c r="BA245" s="239"/>
      <c r="BB245" s="240"/>
      <c r="BC245" s="155"/>
      <c r="BD245" s="238"/>
      <c r="BE245" s="239"/>
      <c r="BF245" s="239"/>
      <c r="BG245" s="240"/>
      <c r="BH245" s="155"/>
      <c r="BI245" s="238"/>
      <c r="BJ245" s="239"/>
      <c r="BK245" s="239"/>
      <c r="BL245" s="240"/>
      <c r="BM245" s="155"/>
      <c r="BN245" s="238"/>
      <c r="BO245" s="239"/>
      <c r="BP245" s="239"/>
      <c r="BQ245" s="240"/>
      <c r="BR245" s="155"/>
      <c r="BS245" s="238"/>
      <c r="BT245" s="239"/>
      <c r="BU245" s="239"/>
      <c r="BV245" s="240"/>
      <c r="BW245" s="155"/>
      <c r="BX245" s="238"/>
      <c r="BY245" s="239"/>
      <c r="BZ245" s="239"/>
      <c r="CA245" s="240"/>
      <c r="CB245" s="155"/>
      <c r="CC245" s="238"/>
      <c r="CD245" s="239"/>
      <c r="CE245" s="239"/>
      <c r="CF245" s="240"/>
      <c r="CG245" s="155"/>
      <c r="CH245" s="238"/>
      <c r="CI245" s="239"/>
      <c r="CJ245" s="239"/>
      <c r="CK245" s="240"/>
      <c r="CL245" s="155"/>
      <c r="CM245" s="238"/>
      <c r="CN245" s="239"/>
      <c r="CO245" s="239"/>
      <c r="CP245" s="240"/>
      <c r="CQ245" s="155"/>
      <c r="CR245" s="238"/>
      <c r="CS245" s="239"/>
      <c r="CT245" s="239"/>
      <c r="CU245" s="240"/>
      <c r="CV245" s="155"/>
      <c r="CW245" s="238"/>
      <c r="CX245" s="239"/>
      <c r="CY245" s="239"/>
      <c r="CZ245" s="240"/>
      <c r="DA245" s="155"/>
    </row>
    <row r="246" spans="1:105" ht="15" customHeight="1">
      <c r="A246" s="155"/>
      <c r="B246" s="155"/>
      <c r="C246" s="236"/>
      <c r="D246" s="237"/>
      <c r="E246" s="312"/>
      <c r="F246" s="330"/>
      <c r="G246" s="239"/>
      <c r="H246" s="239"/>
      <c r="I246" s="240"/>
      <c r="J246" s="331"/>
      <c r="K246" s="330"/>
      <c r="L246" s="239"/>
      <c r="M246" s="239"/>
      <c r="N246" s="240"/>
      <c r="O246" s="331"/>
      <c r="P246" s="330"/>
      <c r="Q246" s="239"/>
      <c r="R246" s="239"/>
      <c r="S246" s="240"/>
      <c r="T246" s="331"/>
      <c r="U246" s="323"/>
      <c r="V246" s="239"/>
      <c r="W246" s="239"/>
      <c r="X246" s="240"/>
      <c r="Y246" s="240"/>
      <c r="Z246" s="238"/>
      <c r="AA246" s="239"/>
      <c r="AB246" s="239"/>
      <c r="AC246" s="240"/>
      <c r="AD246" s="240"/>
      <c r="AE246" s="238"/>
      <c r="AF246" s="239"/>
      <c r="AG246" s="239"/>
      <c r="AH246" s="240"/>
      <c r="AI246" s="155"/>
      <c r="AJ246" s="238"/>
      <c r="AK246" s="239"/>
      <c r="AL246" s="239"/>
      <c r="AM246" s="240"/>
      <c r="AN246" s="155"/>
      <c r="AO246" s="238"/>
      <c r="AP246" s="239"/>
      <c r="AQ246" s="239"/>
      <c r="AR246" s="240"/>
      <c r="AS246" s="155"/>
      <c r="AT246" s="238"/>
      <c r="AU246" s="239"/>
      <c r="AV246" s="239"/>
      <c r="AW246" s="240"/>
      <c r="AX246" s="155"/>
      <c r="AY246" s="238"/>
      <c r="AZ246" s="239"/>
      <c r="BA246" s="239"/>
      <c r="BB246" s="240"/>
      <c r="BC246" s="155"/>
      <c r="BD246" s="238"/>
      <c r="BE246" s="239"/>
      <c r="BF246" s="239"/>
      <c r="BG246" s="240"/>
      <c r="BH246" s="155"/>
      <c r="BI246" s="238"/>
      <c r="BJ246" s="239"/>
      <c r="BK246" s="239"/>
      <c r="BL246" s="240"/>
      <c r="BM246" s="155"/>
      <c r="BN246" s="238"/>
      <c r="BO246" s="239"/>
      <c r="BP246" s="239"/>
      <c r="BQ246" s="240"/>
      <c r="BR246" s="155"/>
      <c r="BS246" s="238"/>
      <c r="BT246" s="239"/>
      <c r="BU246" s="239"/>
      <c r="BV246" s="240"/>
      <c r="BW246" s="155"/>
      <c r="BX246" s="238"/>
      <c r="BY246" s="239"/>
      <c r="BZ246" s="239"/>
      <c r="CA246" s="240"/>
      <c r="CB246" s="155"/>
      <c r="CC246" s="238"/>
      <c r="CD246" s="239"/>
      <c r="CE246" s="239"/>
      <c r="CF246" s="240"/>
      <c r="CG246" s="155"/>
      <c r="CH246" s="238"/>
      <c r="CI246" s="239"/>
      <c r="CJ246" s="239"/>
      <c r="CK246" s="240"/>
      <c r="CL246" s="155"/>
      <c r="CM246" s="238"/>
      <c r="CN246" s="239"/>
      <c r="CO246" s="239"/>
      <c r="CP246" s="240"/>
      <c r="CQ246" s="155"/>
      <c r="CR246" s="238"/>
      <c r="CS246" s="239"/>
      <c r="CT246" s="239"/>
      <c r="CU246" s="240"/>
      <c r="CV246" s="155"/>
      <c r="CW246" s="238"/>
      <c r="CX246" s="239"/>
      <c r="CY246" s="239"/>
      <c r="CZ246" s="240"/>
      <c r="DA246" s="155"/>
    </row>
    <row r="247" spans="1:105" ht="15" customHeight="1">
      <c r="A247" s="155"/>
      <c r="B247" s="155"/>
      <c r="C247" s="236"/>
      <c r="D247" s="237"/>
      <c r="E247" s="312"/>
      <c r="F247" s="330"/>
      <c r="G247" s="239"/>
      <c r="H247" s="239"/>
      <c r="I247" s="240"/>
      <c r="J247" s="331"/>
      <c r="K247" s="330"/>
      <c r="L247" s="239"/>
      <c r="M247" s="239"/>
      <c r="N247" s="240"/>
      <c r="O247" s="331"/>
      <c r="P247" s="330"/>
      <c r="Q247" s="239"/>
      <c r="R247" s="239"/>
      <c r="S247" s="240"/>
      <c r="T247" s="331"/>
      <c r="U247" s="323"/>
      <c r="V247" s="239"/>
      <c r="W247" s="239"/>
      <c r="X247" s="240"/>
      <c r="Y247" s="240"/>
      <c r="Z247" s="238"/>
      <c r="AA247" s="239"/>
      <c r="AB247" s="239"/>
      <c r="AC247" s="240"/>
      <c r="AD247" s="240"/>
      <c r="AE247" s="238"/>
      <c r="AF247" s="239"/>
      <c r="AG247" s="239"/>
      <c r="AH247" s="240"/>
      <c r="AI247" s="155"/>
      <c r="AJ247" s="238"/>
      <c r="AK247" s="239"/>
      <c r="AL247" s="239"/>
      <c r="AM247" s="240"/>
      <c r="AN247" s="155"/>
      <c r="AO247" s="238"/>
      <c r="AP247" s="239"/>
      <c r="AQ247" s="239"/>
      <c r="AR247" s="240"/>
      <c r="AS247" s="155"/>
      <c r="AT247" s="238"/>
      <c r="AU247" s="239"/>
      <c r="AV247" s="239"/>
      <c r="AW247" s="240"/>
      <c r="AX247" s="155"/>
      <c r="AY247" s="238"/>
      <c r="AZ247" s="239"/>
      <c r="BA247" s="239"/>
      <c r="BB247" s="240"/>
      <c r="BC247" s="155"/>
      <c r="BD247" s="238"/>
      <c r="BE247" s="239"/>
      <c r="BF247" s="239"/>
      <c r="BG247" s="240"/>
      <c r="BH247" s="155"/>
      <c r="BI247" s="238"/>
      <c r="BJ247" s="239"/>
      <c r="BK247" s="239"/>
      <c r="BL247" s="240"/>
      <c r="BM247" s="155"/>
      <c r="BN247" s="238"/>
      <c r="BO247" s="239"/>
      <c r="BP247" s="239"/>
      <c r="BQ247" s="240"/>
      <c r="BR247" s="155"/>
      <c r="BS247" s="238"/>
      <c r="BT247" s="239"/>
      <c r="BU247" s="239"/>
      <c r="BV247" s="240"/>
      <c r="BW247" s="155"/>
      <c r="BX247" s="238"/>
      <c r="BY247" s="239"/>
      <c r="BZ247" s="239"/>
      <c r="CA247" s="240"/>
      <c r="CB247" s="155"/>
      <c r="CC247" s="238"/>
      <c r="CD247" s="239"/>
      <c r="CE247" s="239"/>
      <c r="CF247" s="240"/>
      <c r="CG247" s="155"/>
      <c r="CH247" s="238"/>
      <c r="CI247" s="239"/>
      <c r="CJ247" s="239"/>
      <c r="CK247" s="240"/>
      <c r="CL247" s="155"/>
      <c r="CM247" s="238"/>
      <c r="CN247" s="239"/>
      <c r="CO247" s="239"/>
      <c r="CP247" s="240"/>
      <c r="CQ247" s="155"/>
      <c r="CR247" s="238"/>
      <c r="CS247" s="239"/>
      <c r="CT247" s="239"/>
      <c r="CU247" s="240"/>
      <c r="CV247" s="155"/>
      <c r="CW247" s="238"/>
      <c r="CX247" s="239"/>
      <c r="CY247" s="239"/>
      <c r="CZ247" s="240"/>
      <c r="DA247" s="155"/>
    </row>
    <row r="248" spans="1:105" ht="15" customHeight="1">
      <c r="A248" s="155"/>
      <c r="B248" s="155"/>
      <c r="C248" s="236"/>
      <c r="D248" s="237"/>
      <c r="E248" s="312"/>
      <c r="F248" s="330"/>
      <c r="G248" s="239"/>
      <c r="H248" s="239"/>
      <c r="I248" s="240"/>
      <c r="J248" s="331"/>
      <c r="K248" s="330"/>
      <c r="L248" s="239"/>
      <c r="M248" s="239"/>
      <c r="N248" s="240"/>
      <c r="O248" s="331"/>
      <c r="P248" s="330"/>
      <c r="Q248" s="239"/>
      <c r="R248" s="239"/>
      <c r="S248" s="240"/>
      <c r="T248" s="331"/>
      <c r="U248" s="323"/>
      <c r="V248" s="239"/>
      <c r="W248" s="239"/>
      <c r="X248" s="240"/>
      <c r="Y248" s="240"/>
      <c r="Z248" s="238"/>
      <c r="AA248" s="239"/>
      <c r="AB248" s="239"/>
      <c r="AC248" s="240"/>
      <c r="AD248" s="240"/>
      <c r="AE248" s="238"/>
      <c r="AF248" s="239"/>
      <c r="AG248" s="239"/>
      <c r="AH248" s="240"/>
      <c r="AI248" s="155"/>
      <c r="AJ248" s="238"/>
      <c r="AK248" s="239"/>
      <c r="AL248" s="239"/>
      <c r="AM248" s="240"/>
      <c r="AN248" s="155"/>
      <c r="AO248" s="238"/>
      <c r="AP248" s="239"/>
      <c r="AQ248" s="239"/>
      <c r="AR248" s="240"/>
      <c r="AS248" s="155"/>
      <c r="AT248" s="238"/>
      <c r="AU248" s="239"/>
      <c r="AV248" s="239"/>
      <c r="AW248" s="240"/>
      <c r="AX248" s="155"/>
      <c r="AY248" s="238"/>
      <c r="AZ248" s="239"/>
      <c r="BA248" s="239"/>
      <c r="BB248" s="240"/>
      <c r="BC248" s="155"/>
      <c r="BD248" s="238"/>
      <c r="BE248" s="239"/>
      <c r="BF248" s="239"/>
      <c r="BG248" s="240"/>
      <c r="BH248" s="155"/>
      <c r="BI248" s="238"/>
      <c r="BJ248" s="239"/>
      <c r="BK248" s="239"/>
      <c r="BL248" s="240"/>
      <c r="BM248" s="155"/>
      <c r="BN248" s="238"/>
      <c r="BO248" s="239"/>
      <c r="BP248" s="239"/>
      <c r="BQ248" s="240"/>
      <c r="BR248" s="155"/>
      <c r="BS248" s="238"/>
      <c r="BT248" s="239"/>
      <c r="BU248" s="239"/>
      <c r="BV248" s="240"/>
      <c r="BW248" s="155"/>
      <c r="BX248" s="238"/>
      <c r="BY248" s="239"/>
      <c r="BZ248" s="239"/>
      <c r="CA248" s="240"/>
      <c r="CB248" s="155"/>
      <c r="CC248" s="238"/>
      <c r="CD248" s="239"/>
      <c r="CE248" s="239"/>
      <c r="CF248" s="240"/>
      <c r="CG248" s="155"/>
      <c r="CH248" s="238"/>
      <c r="CI248" s="239"/>
      <c r="CJ248" s="239"/>
      <c r="CK248" s="240"/>
      <c r="CL248" s="155"/>
      <c r="CM248" s="238"/>
      <c r="CN248" s="239"/>
      <c r="CO248" s="239"/>
      <c r="CP248" s="240"/>
      <c r="CQ248" s="155"/>
      <c r="CR248" s="238"/>
      <c r="CS248" s="239"/>
      <c r="CT248" s="239"/>
      <c r="CU248" s="240"/>
      <c r="CV248" s="155"/>
      <c r="CW248" s="238"/>
      <c r="CX248" s="239"/>
      <c r="CY248" s="239"/>
      <c r="CZ248" s="240"/>
      <c r="DA248" s="155"/>
    </row>
    <row r="249" spans="1:105" ht="15" customHeight="1">
      <c r="A249" s="155"/>
      <c r="B249" s="155"/>
      <c r="C249" s="236"/>
      <c r="D249" s="237"/>
      <c r="E249" s="312"/>
      <c r="F249" s="330"/>
      <c r="G249" s="239"/>
      <c r="H249" s="239"/>
      <c r="I249" s="240"/>
      <c r="J249" s="331"/>
      <c r="K249" s="330"/>
      <c r="L249" s="239"/>
      <c r="M249" s="239"/>
      <c r="N249" s="240"/>
      <c r="O249" s="331"/>
      <c r="P249" s="330"/>
      <c r="Q249" s="239"/>
      <c r="R249" s="239"/>
      <c r="S249" s="240"/>
      <c r="T249" s="331"/>
      <c r="U249" s="323"/>
      <c r="V249" s="239"/>
      <c r="W249" s="239"/>
      <c r="X249" s="240"/>
      <c r="Y249" s="240"/>
      <c r="Z249" s="238"/>
      <c r="AA249" s="239"/>
      <c r="AB249" s="239"/>
      <c r="AC249" s="240"/>
      <c r="AD249" s="240"/>
      <c r="AE249" s="238"/>
      <c r="AF249" s="239"/>
      <c r="AG249" s="239"/>
      <c r="AH249" s="240"/>
      <c r="AI249" s="155"/>
      <c r="AJ249" s="238"/>
      <c r="AK249" s="239"/>
      <c r="AL249" s="239"/>
      <c r="AM249" s="240"/>
      <c r="AN249" s="155"/>
      <c r="AO249" s="238"/>
      <c r="AP249" s="239"/>
      <c r="AQ249" s="239"/>
      <c r="AR249" s="240"/>
      <c r="AS249" s="155"/>
      <c r="AT249" s="238"/>
      <c r="AU249" s="239"/>
      <c r="AV249" s="239"/>
      <c r="AW249" s="240"/>
      <c r="AX249" s="155"/>
      <c r="AY249" s="238"/>
      <c r="AZ249" s="239"/>
      <c r="BA249" s="239"/>
      <c r="BB249" s="240"/>
      <c r="BC249" s="155"/>
      <c r="BD249" s="238"/>
      <c r="BE249" s="239"/>
      <c r="BF249" s="239"/>
      <c r="BG249" s="240"/>
      <c r="BH249" s="155"/>
      <c r="BI249" s="238"/>
      <c r="BJ249" s="239"/>
      <c r="BK249" s="239"/>
      <c r="BL249" s="240"/>
      <c r="BM249" s="155"/>
      <c r="BN249" s="238"/>
      <c r="BO249" s="239"/>
      <c r="BP249" s="239"/>
      <c r="BQ249" s="240"/>
      <c r="BR249" s="155"/>
      <c r="BS249" s="238"/>
      <c r="BT249" s="239"/>
      <c r="BU249" s="239"/>
      <c r="BV249" s="240"/>
      <c r="BW249" s="155"/>
      <c r="BX249" s="238"/>
      <c r="BY249" s="239"/>
      <c r="BZ249" s="239"/>
      <c r="CA249" s="240"/>
      <c r="CB249" s="155"/>
      <c r="CC249" s="238"/>
      <c r="CD249" s="239"/>
      <c r="CE249" s="239"/>
      <c r="CF249" s="240"/>
      <c r="CG249" s="155"/>
      <c r="CH249" s="238"/>
      <c r="CI249" s="239"/>
      <c r="CJ249" s="239"/>
      <c r="CK249" s="240"/>
      <c r="CL249" s="155"/>
      <c r="CM249" s="238"/>
      <c r="CN249" s="239"/>
      <c r="CO249" s="239"/>
      <c r="CP249" s="240"/>
      <c r="CQ249" s="155"/>
      <c r="CR249" s="238"/>
      <c r="CS249" s="239"/>
      <c r="CT249" s="239"/>
      <c r="CU249" s="240"/>
      <c r="CV249" s="155"/>
      <c r="CW249" s="238"/>
      <c r="CX249" s="239"/>
      <c r="CY249" s="239"/>
      <c r="CZ249" s="240"/>
      <c r="DA249" s="155"/>
    </row>
    <row r="250" spans="1:105" ht="15" customHeight="1">
      <c r="A250" s="155"/>
      <c r="B250" s="155"/>
      <c r="C250" s="236"/>
      <c r="D250" s="237"/>
      <c r="E250" s="312"/>
      <c r="F250" s="330"/>
      <c r="G250" s="239"/>
      <c r="H250" s="239"/>
      <c r="I250" s="240"/>
      <c r="J250" s="331"/>
      <c r="K250" s="330"/>
      <c r="L250" s="239"/>
      <c r="M250" s="239"/>
      <c r="N250" s="240"/>
      <c r="O250" s="331"/>
      <c r="P250" s="330"/>
      <c r="Q250" s="239"/>
      <c r="R250" s="239"/>
      <c r="S250" s="240"/>
      <c r="T250" s="331"/>
      <c r="U250" s="323"/>
      <c r="V250" s="239"/>
      <c r="W250" s="239"/>
      <c r="X250" s="240"/>
      <c r="Y250" s="240"/>
      <c r="Z250" s="238"/>
      <c r="AA250" s="239"/>
      <c r="AB250" s="239"/>
      <c r="AC250" s="240"/>
      <c r="AD250" s="240"/>
      <c r="AE250" s="238"/>
      <c r="AF250" s="239"/>
      <c r="AG250" s="239"/>
      <c r="AH250" s="240"/>
      <c r="AI250" s="155"/>
      <c r="AJ250" s="238"/>
      <c r="AK250" s="239"/>
      <c r="AL250" s="239"/>
      <c r="AM250" s="240"/>
      <c r="AN250" s="155"/>
      <c r="AO250" s="238"/>
      <c r="AP250" s="239"/>
      <c r="AQ250" s="239"/>
      <c r="AR250" s="240"/>
      <c r="AS250" s="155"/>
      <c r="AT250" s="238"/>
      <c r="AU250" s="239"/>
      <c r="AV250" s="239"/>
      <c r="AW250" s="240"/>
      <c r="AX250" s="155"/>
      <c r="AY250" s="238"/>
      <c r="AZ250" s="239"/>
      <c r="BA250" s="239"/>
      <c r="BB250" s="240"/>
      <c r="BC250" s="155"/>
      <c r="BD250" s="238"/>
      <c r="BE250" s="239"/>
      <c r="BF250" s="239"/>
      <c r="BG250" s="240"/>
      <c r="BH250" s="155"/>
      <c r="BI250" s="238"/>
      <c r="BJ250" s="239"/>
      <c r="BK250" s="239"/>
      <c r="BL250" s="240"/>
      <c r="BM250" s="155"/>
      <c r="BN250" s="238"/>
      <c r="BO250" s="239"/>
      <c r="BP250" s="239"/>
      <c r="BQ250" s="240"/>
      <c r="BR250" s="155"/>
      <c r="BS250" s="238"/>
      <c r="BT250" s="239"/>
      <c r="BU250" s="239"/>
      <c r="BV250" s="240"/>
      <c r="BW250" s="155"/>
      <c r="BX250" s="238"/>
      <c r="BY250" s="239"/>
      <c r="BZ250" s="239"/>
      <c r="CA250" s="240"/>
      <c r="CB250" s="155"/>
      <c r="CC250" s="238"/>
      <c r="CD250" s="239"/>
      <c r="CE250" s="239"/>
      <c r="CF250" s="240"/>
      <c r="CG250" s="155"/>
      <c r="CH250" s="238"/>
      <c r="CI250" s="239"/>
      <c r="CJ250" s="239"/>
      <c r="CK250" s="240"/>
      <c r="CL250" s="155"/>
      <c r="CM250" s="238"/>
      <c r="CN250" s="239"/>
      <c r="CO250" s="239"/>
      <c r="CP250" s="240"/>
      <c r="CQ250" s="155"/>
      <c r="CR250" s="238"/>
      <c r="CS250" s="239"/>
      <c r="CT250" s="239"/>
      <c r="CU250" s="240"/>
      <c r="CV250" s="155"/>
      <c r="CW250" s="238"/>
      <c r="CX250" s="239"/>
      <c r="CY250" s="239"/>
      <c r="CZ250" s="240"/>
      <c r="DA250" s="155"/>
    </row>
    <row r="251" spans="1:105" ht="15" customHeight="1">
      <c r="A251" s="155"/>
      <c r="B251" s="155"/>
      <c r="C251" s="236"/>
      <c r="D251" s="237"/>
      <c r="E251" s="312"/>
      <c r="F251" s="330"/>
      <c r="G251" s="239"/>
      <c r="H251" s="239"/>
      <c r="I251" s="240"/>
      <c r="J251" s="331"/>
      <c r="K251" s="330"/>
      <c r="L251" s="239"/>
      <c r="M251" s="239"/>
      <c r="N251" s="240"/>
      <c r="O251" s="331"/>
      <c r="P251" s="330"/>
      <c r="Q251" s="239"/>
      <c r="R251" s="239"/>
      <c r="S251" s="240"/>
      <c r="T251" s="331"/>
      <c r="U251" s="323"/>
      <c r="V251" s="239"/>
      <c r="W251" s="239"/>
      <c r="X251" s="240"/>
      <c r="Y251" s="240"/>
      <c r="Z251" s="238"/>
      <c r="AA251" s="239"/>
      <c r="AB251" s="239"/>
      <c r="AC251" s="240"/>
      <c r="AD251" s="240"/>
      <c r="AE251" s="238"/>
      <c r="AF251" s="239"/>
      <c r="AG251" s="239"/>
      <c r="AH251" s="240"/>
      <c r="AI251" s="155"/>
      <c r="AJ251" s="238"/>
      <c r="AK251" s="239"/>
      <c r="AL251" s="239"/>
      <c r="AM251" s="240"/>
      <c r="AN251" s="155"/>
      <c r="AO251" s="238"/>
      <c r="AP251" s="239"/>
      <c r="AQ251" s="239"/>
      <c r="AR251" s="240"/>
      <c r="AS251" s="155"/>
      <c r="AT251" s="238"/>
      <c r="AU251" s="239"/>
      <c r="AV251" s="239"/>
      <c r="AW251" s="240"/>
      <c r="AX251" s="155"/>
      <c r="AY251" s="238"/>
      <c r="AZ251" s="239"/>
      <c r="BA251" s="239"/>
      <c r="BB251" s="240"/>
      <c r="BC251" s="155"/>
      <c r="BD251" s="238"/>
      <c r="BE251" s="239"/>
      <c r="BF251" s="239"/>
      <c r="BG251" s="240"/>
      <c r="BH251" s="155"/>
      <c r="BI251" s="238"/>
      <c r="BJ251" s="239"/>
      <c r="BK251" s="239"/>
      <c r="BL251" s="240"/>
      <c r="BM251" s="155"/>
      <c r="BN251" s="238"/>
      <c r="BO251" s="239"/>
      <c r="BP251" s="239"/>
      <c r="BQ251" s="240"/>
      <c r="BR251" s="155"/>
      <c r="BS251" s="238"/>
      <c r="BT251" s="239"/>
      <c r="BU251" s="239"/>
      <c r="BV251" s="240"/>
      <c r="BW251" s="155"/>
      <c r="BX251" s="238"/>
      <c r="BY251" s="239"/>
      <c r="BZ251" s="239"/>
      <c r="CA251" s="240"/>
      <c r="CB251" s="155"/>
      <c r="CC251" s="238"/>
      <c r="CD251" s="239"/>
      <c r="CE251" s="239"/>
      <c r="CF251" s="240"/>
      <c r="CG251" s="155"/>
      <c r="CH251" s="238"/>
      <c r="CI251" s="239"/>
      <c r="CJ251" s="239"/>
      <c r="CK251" s="240"/>
      <c r="CL251" s="155"/>
      <c r="CM251" s="238"/>
      <c r="CN251" s="239"/>
      <c r="CO251" s="239"/>
      <c r="CP251" s="240"/>
      <c r="CQ251" s="155"/>
      <c r="CR251" s="238"/>
      <c r="CS251" s="239"/>
      <c r="CT251" s="239"/>
      <c r="CU251" s="240"/>
      <c r="CV251" s="155"/>
      <c r="CW251" s="238"/>
      <c r="CX251" s="239"/>
      <c r="CY251" s="239"/>
      <c r="CZ251" s="240"/>
      <c r="DA251" s="155"/>
    </row>
    <row r="252" spans="1:105" ht="15" customHeight="1">
      <c r="A252" s="155"/>
      <c r="B252" s="155"/>
      <c r="C252" s="236"/>
      <c r="D252" s="237"/>
      <c r="E252" s="312"/>
      <c r="F252" s="330"/>
      <c r="G252" s="239"/>
      <c r="H252" s="239"/>
      <c r="I252" s="240"/>
      <c r="J252" s="331"/>
      <c r="K252" s="330"/>
      <c r="L252" s="239"/>
      <c r="M252" s="239"/>
      <c r="N252" s="240"/>
      <c r="O252" s="331"/>
      <c r="P252" s="330"/>
      <c r="Q252" s="239"/>
      <c r="R252" s="239"/>
      <c r="S252" s="240"/>
      <c r="T252" s="331"/>
      <c r="U252" s="323"/>
      <c r="V252" s="239"/>
      <c r="W252" s="239"/>
      <c r="X252" s="240"/>
      <c r="Y252" s="240"/>
      <c r="Z252" s="238"/>
      <c r="AA252" s="239"/>
      <c r="AB252" s="239"/>
      <c r="AC252" s="240"/>
      <c r="AD252" s="240"/>
      <c r="AE252" s="238"/>
      <c r="AF252" s="239"/>
      <c r="AG252" s="239"/>
      <c r="AH252" s="240"/>
      <c r="AI252" s="155"/>
      <c r="AJ252" s="238"/>
      <c r="AK252" s="239"/>
      <c r="AL252" s="239"/>
      <c r="AM252" s="240"/>
      <c r="AN252" s="155"/>
      <c r="AO252" s="238"/>
      <c r="AP252" s="239"/>
      <c r="AQ252" s="239"/>
      <c r="AR252" s="240"/>
      <c r="AS252" s="155"/>
      <c r="AT252" s="238"/>
      <c r="AU252" s="239"/>
      <c r="AV252" s="239"/>
      <c r="AW252" s="240"/>
      <c r="AX252" s="155"/>
      <c r="AY252" s="238"/>
      <c r="AZ252" s="239"/>
      <c r="BA252" s="239"/>
      <c r="BB252" s="240"/>
      <c r="BC252" s="155"/>
      <c r="BD252" s="238"/>
      <c r="BE252" s="239"/>
      <c r="BF252" s="239"/>
      <c r="BG252" s="240"/>
      <c r="BH252" s="155"/>
      <c r="BI252" s="238"/>
      <c r="BJ252" s="239"/>
      <c r="BK252" s="239"/>
      <c r="BL252" s="240"/>
      <c r="BM252" s="155"/>
      <c r="BN252" s="238"/>
      <c r="BO252" s="239"/>
      <c r="BP252" s="239"/>
      <c r="BQ252" s="240"/>
      <c r="BR252" s="155"/>
      <c r="BS252" s="238"/>
      <c r="BT252" s="239"/>
      <c r="BU252" s="239"/>
      <c r="BV252" s="240"/>
      <c r="BW252" s="155"/>
      <c r="BX252" s="238"/>
      <c r="BY252" s="239"/>
      <c r="BZ252" s="239"/>
      <c r="CA252" s="240"/>
      <c r="CB252" s="155"/>
      <c r="CC252" s="238"/>
      <c r="CD252" s="239"/>
      <c r="CE252" s="239"/>
      <c r="CF252" s="240"/>
      <c r="CG252" s="155"/>
      <c r="CH252" s="238"/>
      <c r="CI252" s="239"/>
      <c r="CJ252" s="239"/>
      <c r="CK252" s="240"/>
      <c r="CL252" s="155"/>
      <c r="CM252" s="238"/>
      <c r="CN252" s="239"/>
      <c r="CO252" s="239"/>
      <c r="CP252" s="240"/>
      <c r="CQ252" s="155"/>
      <c r="CR252" s="238"/>
      <c r="CS252" s="239"/>
      <c r="CT252" s="239"/>
      <c r="CU252" s="240"/>
      <c r="CV252" s="155"/>
      <c r="CW252" s="238"/>
      <c r="CX252" s="239"/>
      <c r="CY252" s="239"/>
      <c r="CZ252" s="240"/>
      <c r="DA252" s="155"/>
    </row>
    <row r="253" spans="1:105" ht="15" customHeight="1">
      <c r="A253" s="155"/>
      <c r="B253" s="155"/>
      <c r="C253" s="236"/>
      <c r="D253" s="237"/>
      <c r="E253" s="312"/>
      <c r="F253" s="330"/>
      <c r="G253" s="239"/>
      <c r="H253" s="239"/>
      <c r="I253" s="240"/>
      <c r="J253" s="331"/>
      <c r="K253" s="330"/>
      <c r="L253" s="239"/>
      <c r="M253" s="239"/>
      <c r="N253" s="240"/>
      <c r="O253" s="331"/>
      <c r="P253" s="330"/>
      <c r="Q253" s="239"/>
      <c r="R253" s="239"/>
      <c r="S253" s="240"/>
      <c r="T253" s="331"/>
      <c r="U253" s="323"/>
      <c r="V253" s="239"/>
      <c r="W253" s="239"/>
      <c r="X253" s="240"/>
      <c r="Y253" s="240"/>
      <c r="Z253" s="238"/>
      <c r="AA253" s="239"/>
      <c r="AB253" s="239"/>
      <c r="AC253" s="240"/>
      <c r="AD253" s="240"/>
      <c r="AE253" s="238"/>
      <c r="AF253" s="239"/>
      <c r="AG253" s="239"/>
      <c r="AH253" s="240"/>
      <c r="AI253" s="155"/>
      <c r="AJ253" s="238"/>
      <c r="AK253" s="239"/>
      <c r="AL253" s="239"/>
      <c r="AM253" s="240"/>
      <c r="AN253" s="155"/>
      <c r="AO253" s="238"/>
      <c r="AP253" s="239"/>
      <c r="AQ253" s="239"/>
      <c r="AR253" s="240"/>
      <c r="AS253" s="155"/>
      <c r="AT253" s="238"/>
      <c r="AU253" s="239"/>
      <c r="AV253" s="239"/>
      <c r="AW253" s="240"/>
      <c r="AX253" s="155"/>
      <c r="AY253" s="238"/>
      <c r="AZ253" s="239"/>
      <c r="BA253" s="239"/>
      <c r="BB253" s="240"/>
      <c r="BC253" s="155"/>
      <c r="BD253" s="238"/>
      <c r="BE253" s="239"/>
      <c r="BF253" s="239"/>
      <c r="BG253" s="240"/>
      <c r="BH253" s="155"/>
      <c r="BI253" s="238"/>
      <c r="BJ253" s="239"/>
      <c r="BK253" s="239"/>
      <c r="BL253" s="240"/>
      <c r="BM253" s="155"/>
      <c r="BN253" s="238"/>
      <c r="BO253" s="239"/>
      <c r="BP253" s="239"/>
      <c r="BQ253" s="240"/>
      <c r="BR253" s="155"/>
      <c r="BS253" s="238"/>
      <c r="BT253" s="239"/>
      <c r="BU253" s="239"/>
      <c r="BV253" s="240"/>
      <c r="BW253" s="155"/>
      <c r="BX253" s="238"/>
      <c r="BY253" s="239"/>
      <c r="BZ253" s="239"/>
      <c r="CA253" s="240"/>
      <c r="CB253" s="155"/>
      <c r="CC253" s="238"/>
      <c r="CD253" s="239"/>
      <c r="CE253" s="239"/>
      <c r="CF253" s="240"/>
      <c r="CG253" s="155"/>
      <c r="CH253" s="238"/>
      <c r="CI253" s="239"/>
      <c r="CJ253" s="239"/>
      <c r="CK253" s="240"/>
      <c r="CL253" s="155"/>
      <c r="CM253" s="238"/>
      <c r="CN253" s="239"/>
      <c r="CO253" s="239"/>
      <c r="CP253" s="240"/>
      <c r="CQ253" s="155"/>
      <c r="CR253" s="238"/>
      <c r="CS253" s="239"/>
      <c r="CT253" s="239"/>
      <c r="CU253" s="240"/>
      <c r="CV253" s="155"/>
      <c r="CW253" s="238"/>
      <c r="CX253" s="239"/>
      <c r="CY253" s="239"/>
      <c r="CZ253" s="240"/>
      <c r="DA253" s="155"/>
    </row>
    <row r="254" spans="1:105" ht="15" customHeight="1">
      <c r="A254" s="155"/>
      <c r="B254" s="155"/>
      <c r="C254" s="236"/>
      <c r="D254" s="237"/>
      <c r="E254" s="312"/>
      <c r="F254" s="330"/>
      <c r="G254" s="239"/>
      <c r="H254" s="239"/>
      <c r="I254" s="240"/>
      <c r="J254" s="331"/>
      <c r="K254" s="330"/>
      <c r="L254" s="239"/>
      <c r="M254" s="239"/>
      <c r="N254" s="240"/>
      <c r="O254" s="331"/>
      <c r="P254" s="330"/>
      <c r="Q254" s="239"/>
      <c r="R254" s="239"/>
      <c r="S254" s="240"/>
      <c r="T254" s="331"/>
      <c r="U254" s="323"/>
      <c r="V254" s="239"/>
      <c r="W254" s="239"/>
      <c r="X254" s="240"/>
      <c r="Y254" s="240"/>
      <c r="Z254" s="238"/>
      <c r="AA254" s="239"/>
      <c r="AB254" s="239"/>
      <c r="AC254" s="240"/>
      <c r="AD254" s="240"/>
      <c r="AE254" s="238"/>
      <c r="AF254" s="239"/>
      <c r="AG254" s="239"/>
      <c r="AH254" s="240"/>
      <c r="AI254" s="155"/>
      <c r="AJ254" s="238"/>
      <c r="AK254" s="239"/>
      <c r="AL254" s="239"/>
      <c r="AM254" s="240"/>
      <c r="AN254" s="155"/>
      <c r="AO254" s="238"/>
      <c r="AP254" s="239"/>
      <c r="AQ254" s="239"/>
      <c r="AR254" s="240"/>
      <c r="AS254" s="155"/>
      <c r="AT254" s="238"/>
      <c r="AU254" s="239"/>
      <c r="AV254" s="239"/>
      <c r="AW254" s="240"/>
      <c r="AX254" s="155"/>
      <c r="AY254" s="238"/>
      <c r="AZ254" s="239"/>
      <c r="BA254" s="239"/>
      <c r="BB254" s="240"/>
      <c r="BC254" s="155"/>
      <c r="BD254" s="238"/>
      <c r="BE254" s="239"/>
      <c r="BF254" s="239"/>
      <c r="BG254" s="240"/>
      <c r="BH254" s="155"/>
      <c r="BI254" s="238"/>
      <c r="BJ254" s="239"/>
      <c r="BK254" s="239"/>
      <c r="BL254" s="240"/>
      <c r="BM254" s="155"/>
      <c r="BN254" s="238"/>
      <c r="BO254" s="239"/>
      <c r="BP254" s="239"/>
      <c r="BQ254" s="240"/>
      <c r="BR254" s="155"/>
      <c r="BS254" s="238"/>
      <c r="BT254" s="239"/>
      <c r="BU254" s="239"/>
      <c r="BV254" s="240"/>
      <c r="BW254" s="155"/>
      <c r="BX254" s="238"/>
      <c r="BY254" s="239"/>
      <c r="BZ254" s="239"/>
      <c r="CA254" s="240"/>
      <c r="CB254" s="155"/>
      <c r="CC254" s="238"/>
      <c r="CD254" s="239"/>
      <c r="CE254" s="239"/>
      <c r="CF254" s="240"/>
      <c r="CG254" s="155"/>
      <c r="CH254" s="238"/>
      <c r="CI254" s="239"/>
      <c r="CJ254" s="239"/>
      <c r="CK254" s="240"/>
      <c r="CL254" s="155"/>
      <c r="CM254" s="238"/>
      <c r="CN254" s="239"/>
      <c r="CO254" s="239"/>
      <c r="CP254" s="240"/>
      <c r="CQ254" s="155"/>
      <c r="CR254" s="238"/>
      <c r="CS254" s="239"/>
      <c r="CT254" s="239"/>
      <c r="CU254" s="240"/>
      <c r="CV254" s="155"/>
      <c r="CW254" s="238"/>
      <c r="CX254" s="239"/>
      <c r="CY254" s="239"/>
      <c r="CZ254" s="240"/>
      <c r="DA254" s="155"/>
    </row>
    <row r="255" spans="1:105" ht="15" customHeight="1">
      <c r="A255" s="155"/>
      <c r="B255" s="155"/>
      <c r="C255" s="236"/>
      <c r="D255" s="237"/>
      <c r="E255" s="312"/>
      <c r="F255" s="330"/>
      <c r="G255" s="239"/>
      <c r="H255" s="239"/>
      <c r="I255" s="240"/>
      <c r="J255" s="331"/>
      <c r="K255" s="330"/>
      <c r="L255" s="239"/>
      <c r="M255" s="239"/>
      <c r="N255" s="240"/>
      <c r="O255" s="331"/>
      <c r="P255" s="330"/>
      <c r="Q255" s="239"/>
      <c r="R255" s="239"/>
      <c r="S255" s="240"/>
      <c r="T255" s="331"/>
      <c r="U255" s="323"/>
      <c r="V255" s="239"/>
      <c r="W255" s="239"/>
      <c r="X255" s="240"/>
      <c r="Y255" s="240"/>
      <c r="Z255" s="238"/>
      <c r="AA255" s="239"/>
      <c r="AB255" s="239"/>
      <c r="AC255" s="240"/>
      <c r="AD255" s="240"/>
      <c r="AE255" s="238"/>
      <c r="AF255" s="239"/>
      <c r="AG255" s="239"/>
      <c r="AH255" s="240"/>
      <c r="AI255" s="155"/>
      <c r="AJ255" s="238"/>
      <c r="AK255" s="239"/>
      <c r="AL255" s="239"/>
      <c r="AM255" s="240"/>
      <c r="AN255" s="155"/>
      <c r="AO255" s="238"/>
      <c r="AP255" s="239"/>
      <c r="AQ255" s="239"/>
      <c r="AR255" s="240"/>
      <c r="AS255" s="155"/>
      <c r="AT255" s="238"/>
      <c r="AU255" s="239"/>
      <c r="AV255" s="239"/>
      <c r="AW255" s="240"/>
      <c r="AX255" s="155"/>
      <c r="AY255" s="238"/>
      <c r="AZ255" s="239"/>
      <c r="BA255" s="239"/>
      <c r="BB255" s="240"/>
      <c r="BC255" s="155"/>
      <c r="BD255" s="238"/>
      <c r="BE255" s="239"/>
      <c r="BF255" s="239"/>
      <c r="BG255" s="240"/>
      <c r="BH255" s="155"/>
      <c r="BI255" s="238"/>
      <c r="BJ255" s="239"/>
      <c r="BK255" s="239"/>
      <c r="BL255" s="240"/>
      <c r="BM255" s="155"/>
      <c r="BN255" s="238"/>
      <c r="BO255" s="239"/>
      <c r="BP255" s="239"/>
      <c r="BQ255" s="240"/>
      <c r="BR255" s="155"/>
      <c r="BS255" s="238"/>
      <c r="BT255" s="239"/>
      <c r="BU255" s="239"/>
      <c r="BV255" s="240"/>
      <c r="BW255" s="155"/>
      <c r="BX255" s="238"/>
      <c r="BY255" s="239"/>
      <c r="BZ255" s="239"/>
      <c r="CA255" s="240"/>
      <c r="CB255" s="155"/>
      <c r="CC255" s="238"/>
      <c r="CD255" s="239"/>
      <c r="CE255" s="239"/>
      <c r="CF255" s="240"/>
      <c r="CG255" s="155"/>
      <c r="CH255" s="238"/>
      <c r="CI255" s="239"/>
      <c r="CJ255" s="239"/>
      <c r="CK255" s="240"/>
      <c r="CL255" s="155"/>
      <c r="CM255" s="238"/>
      <c r="CN255" s="239"/>
      <c r="CO255" s="239"/>
      <c r="CP255" s="240"/>
      <c r="CQ255" s="155"/>
      <c r="CR255" s="238"/>
      <c r="CS255" s="239"/>
      <c r="CT255" s="239"/>
      <c r="CU255" s="240"/>
      <c r="CV255" s="155"/>
      <c r="CW255" s="238"/>
      <c r="CX255" s="239"/>
      <c r="CY255" s="239"/>
      <c r="CZ255" s="240"/>
      <c r="DA255" s="155"/>
    </row>
    <row r="256" spans="1:105" ht="15" customHeight="1">
      <c r="A256" s="155"/>
      <c r="B256" s="155"/>
      <c r="C256" s="236"/>
      <c r="D256" s="237"/>
      <c r="E256" s="312"/>
      <c r="F256" s="330"/>
      <c r="G256" s="239"/>
      <c r="H256" s="239"/>
      <c r="I256" s="240"/>
      <c r="J256" s="331"/>
      <c r="K256" s="330"/>
      <c r="L256" s="239"/>
      <c r="M256" s="239"/>
      <c r="N256" s="240"/>
      <c r="O256" s="331"/>
      <c r="P256" s="330"/>
      <c r="Q256" s="239"/>
      <c r="R256" s="239"/>
      <c r="S256" s="240"/>
      <c r="T256" s="331"/>
      <c r="U256" s="323"/>
      <c r="V256" s="239"/>
      <c r="W256" s="239"/>
      <c r="X256" s="240"/>
      <c r="Y256" s="240"/>
      <c r="Z256" s="238"/>
      <c r="AA256" s="239"/>
      <c r="AB256" s="239"/>
      <c r="AC256" s="240"/>
      <c r="AD256" s="240"/>
      <c r="AE256" s="238"/>
      <c r="AF256" s="239"/>
      <c r="AG256" s="239"/>
      <c r="AH256" s="240"/>
      <c r="AI256" s="155"/>
      <c r="AJ256" s="238"/>
      <c r="AK256" s="239"/>
      <c r="AL256" s="239"/>
      <c r="AM256" s="240"/>
      <c r="AN256" s="155"/>
      <c r="AO256" s="238"/>
      <c r="AP256" s="239"/>
      <c r="AQ256" s="239"/>
      <c r="AR256" s="240"/>
      <c r="AS256" s="155"/>
      <c r="AT256" s="238"/>
      <c r="AU256" s="239"/>
      <c r="AV256" s="239"/>
      <c r="AW256" s="240"/>
      <c r="AX256" s="155"/>
      <c r="AY256" s="238"/>
      <c r="AZ256" s="239"/>
      <c r="BA256" s="239"/>
      <c r="BB256" s="240"/>
      <c r="BC256" s="155"/>
      <c r="BD256" s="238"/>
      <c r="BE256" s="239"/>
      <c r="BF256" s="239"/>
      <c r="BG256" s="240"/>
      <c r="BH256" s="155"/>
      <c r="BI256" s="238"/>
      <c r="BJ256" s="239"/>
      <c r="BK256" s="239"/>
      <c r="BL256" s="240"/>
      <c r="BM256" s="155"/>
      <c r="BN256" s="238"/>
      <c r="BO256" s="239"/>
      <c r="BP256" s="239"/>
      <c r="BQ256" s="240"/>
      <c r="BR256" s="155"/>
      <c r="BS256" s="238"/>
      <c r="BT256" s="239"/>
      <c r="BU256" s="239"/>
      <c r="BV256" s="240"/>
      <c r="BW256" s="155"/>
      <c r="BX256" s="238"/>
      <c r="BY256" s="239"/>
      <c r="BZ256" s="239"/>
      <c r="CA256" s="240"/>
      <c r="CB256" s="155"/>
      <c r="CC256" s="238"/>
      <c r="CD256" s="239"/>
      <c r="CE256" s="239"/>
      <c r="CF256" s="240"/>
      <c r="CG256" s="155"/>
      <c r="CH256" s="238"/>
      <c r="CI256" s="239"/>
      <c r="CJ256" s="239"/>
      <c r="CK256" s="240"/>
      <c r="CL256" s="155"/>
      <c r="CM256" s="238"/>
      <c r="CN256" s="239"/>
      <c r="CO256" s="239"/>
      <c r="CP256" s="240"/>
      <c r="CQ256" s="155"/>
      <c r="CR256" s="238"/>
      <c r="CS256" s="239"/>
      <c r="CT256" s="239"/>
      <c r="CU256" s="240"/>
      <c r="CV256" s="155"/>
      <c r="CW256" s="238"/>
      <c r="CX256" s="239"/>
      <c r="CY256" s="239"/>
      <c r="CZ256" s="240"/>
      <c r="DA256" s="155"/>
    </row>
    <row r="257" spans="1:105" ht="15" customHeight="1">
      <c r="A257" s="155"/>
      <c r="B257" s="155"/>
      <c r="C257" s="236"/>
      <c r="D257" s="237"/>
      <c r="E257" s="312"/>
      <c r="F257" s="330"/>
      <c r="G257" s="239"/>
      <c r="H257" s="239"/>
      <c r="I257" s="240"/>
      <c r="J257" s="331"/>
      <c r="K257" s="330"/>
      <c r="L257" s="239"/>
      <c r="M257" s="239"/>
      <c r="N257" s="240"/>
      <c r="O257" s="331"/>
      <c r="P257" s="330"/>
      <c r="Q257" s="239"/>
      <c r="R257" s="239"/>
      <c r="S257" s="240"/>
      <c r="T257" s="331"/>
      <c r="U257" s="323"/>
      <c r="V257" s="239"/>
      <c r="W257" s="239"/>
      <c r="X257" s="240"/>
      <c r="Y257" s="240"/>
      <c r="Z257" s="238"/>
      <c r="AA257" s="239"/>
      <c r="AB257" s="239"/>
      <c r="AC257" s="240"/>
      <c r="AD257" s="240"/>
      <c r="AE257" s="238"/>
      <c r="AF257" s="239"/>
      <c r="AG257" s="239"/>
      <c r="AH257" s="240"/>
      <c r="AI257" s="155"/>
      <c r="AJ257" s="238"/>
      <c r="AK257" s="239"/>
      <c r="AL257" s="239"/>
      <c r="AM257" s="240"/>
      <c r="AN257" s="155"/>
      <c r="AO257" s="238"/>
      <c r="AP257" s="239"/>
      <c r="AQ257" s="239"/>
      <c r="AR257" s="240"/>
      <c r="AS257" s="155"/>
      <c r="AT257" s="238"/>
      <c r="AU257" s="239"/>
      <c r="AV257" s="239"/>
      <c r="AW257" s="240"/>
      <c r="AX257" s="155"/>
      <c r="AY257" s="238"/>
      <c r="AZ257" s="239"/>
      <c r="BA257" s="239"/>
      <c r="BB257" s="240"/>
      <c r="BC257" s="155"/>
      <c r="BD257" s="238"/>
      <c r="BE257" s="239"/>
      <c r="BF257" s="239"/>
      <c r="BG257" s="240"/>
      <c r="BH257" s="155"/>
      <c r="BI257" s="238"/>
      <c r="BJ257" s="239"/>
      <c r="BK257" s="239"/>
      <c r="BL257" s="240"/>
      <c r="BM257" s="155"/>
      <c r="BN257" s="238"/>
      <c r="BO257" s="239"/>
      <c r="BP257" s="239"/>
      <c r="BQ257" s="240"/>
      <c r="BR257" s="155"/>
      <c r="BS257" s="238"/>
      <c r="BT257" s="239"/>
      <c r="BU257" s="239"/>
      <c r="BV257" s="240"/>
      <c r="BW257" s="155"/>
      <c r="BX257" s="238"/>
      <c r="BY257" s="239"/>
      <c r="BZ257" s="239"/>
      <c r="CA257" s="240"/>
      <c r="CB257" s="155"/>
      <c r="CC257" s="238"/>
      <c r="CD257" s="239"/>
      <c r="CE257" s="239"/>
      <c r="CF257" s="240"/>
      <c r="CG257" s="155"/>
      <c r="CH257" s="238"/>
      <c r="CI257" s="239"/>
      <c r="CJ257" s="239"/>
      <c r="CK257" s="240"/>
      <c r="CL257" s="155"/>
      <c r="CM257" s="238"/>
      <c r="CN257" s="239"/>
      <c r="CO257" s="239"/>
      <c r="CP257" s="240"/>
      <c r="CQ257" s="155"/>
      <c r="CR257" s="238"/>
      <c r="CS257" s="239"/>
      <c r="CT257" s="239"/>
      <c r="CU257" s="240"/>
      <c r="CV257" s="155"/>
      <c r="CW257" s="238"/>
      <c r="CX257" s="239"/>
      <c r="CY257" s="239"/>
      <c r="CZ257" s="240"/>
      <c r="DA257" s="155"/>
    </row>
    <row r="258" spans="1:105" ht="15" customHeight="1">
      <c r="A258" s="155"/>
      <c r="B258" s="155"/>
      <c r="C258" s="236"/>
      <c r="D258" s="237"/>
      <c r="E258" s="312"/>
      <c r="F258" s="330"/>
      <c r="G258" s="239"/>
      <c r="H258" s="239"/>
      <c r="I258" s="240"/>
      <c r="J258" s="331"/>
      <c r="K258" s="330"/>
      <c r="L258" s="239"/>
      <c r="M258" s="239"/>
      <c r="N258" s="240"/>
      <c r="O258" s="331"/>
      <c r="P258" s="330"/>
      <c r="Q258" s="239"/>
      <c r="R258" s="239"/>
      <c r="S258" s="240"/>
      <c r="T258" s="331"/>
      <c r="U258" s="323"/>
      <c r="V258" s="239"/>
      <c r="W258" s="239"/>
      <c r="X258" s="240"/>
      <c r="Y258" s="240"/>
      <c r="Z258" s="238"/>
      <c r="AA258" s="239"/>
      <c r="AB258" s="239"/>
      <c r="AC258" s="240"/>
      <c r="AD258" s="240"/>
      <c r="AE258" s="238"/>
      <c r="AF258" s="239"/>
      <c r="AG258" s="239"/>
      <c r="AH258" s="240"/>
      <c r="AI258" s="155"/>
      <c r="AJ258" s="238"/>
      <c r="AK258" s="239"/>
      <c r="AL258" s="239"/>
      <c r="AM258" s="240"/>
      <c r="AN258" s="155"/>
      <c r="AO258" s="238"/>
      <c r="AP258" s="239"/>
      <c r="AQ258" s="239"/>
      <c r="AR258" s="240"/>
      <c r="AS258" s="155"/>
      <c r="AT258" s="238"/>
      <c r="AU258" s="239"/>
      <c r="AV258" s="239"/>
      <c r="AW258" s="240"/>
      <c r="AX258" s="155"/>
      <c r="AY258" s="238"/>
      <c r="AZ258" s="239"/>
      <c r="BA258" s="239"/>
      <c r="BB258" s="240"/>
      <c r="BC258" s="155"/>
      <c r="BD258" s="238"/>
      <c r="BE258" s="239"/>
      <c r="BF258" s="239"/>
      <c r="BG258" s="240"/>
      <c r="BH258" s="155"/>
      <c r="BI258" s="238"/>
      <c r="BJ258" s="239"/>
      <c r="BK258" s="239"/>
      <c r="BL258" s="240"/>
      <c r="BM258" s="155"/>
      <c r="BN258" s="238"/>
      <c r="BO258" s="239"/>
      <c r="BP258" s="239"/>
      <c r="BQ258" s="240"/>
      <c r="BR258" s="155"/>
      <c r="BS258" s="238"/>
      <c r="BT258" s="239"/>
      <c r="BU258" s="239"/>
      <c r="BV258" s="240"/>
      <c r="BW258" s="155"/>
      <c r="BX258" s="238"/>
      <c r="BY258" s="239"/>
      <c r="BZ258" s="239"/>
      <c r="CA258" s="240"/>
      <c r="CB258" s="155"/>
      <c r="CC258" s="238"/>
      <c r="CD258" s="239"/>
      <c r="CE258" s="239"/>
      <c r="CF258" s="240"/>
      <c r="CG258" s="155"/>
      <c r="CH258" s="238"/>
      <c r="CI258" s="239"/>
      <c r="CJ258" s="239"/>
      <c r="CK258" s="240"/>
      <c r="CL258" s="155"/>
      <c r="CM258" s="238"/>
      <c r="CN258" s="239"/>
      <c r="CO258" s="239"/>
      <c r="CP258" s="240"/>
      <c r="CQ258" s="155"/>
      <c r="CR258" s="238"/>
      <c r="CS258" s="239"/>
      <c r="CT258" s="239"/>
      <c r="CU258" s="240"/>
      <c r="CV258" s="155"/>
      <c r="CW258" s="238"/>
      <c r="CX258" s="239"/>
      <c r="CY258" s="239"/>
      <c r="CZ258" s="240"/>
      <c r="DA258" s="155"/>
    </row>
    <row r="259" spans="1:105" ht="15" customHeight="1">
      <c r="A259" s="155"/>
      <c r="B259" s="155"/>
      <c r="C259" s="236"/>
      <c r="D259" s="237"/>
      <c r="E259" s="312"/>
      <c r="F259" s="330"/>
      <c r="G259" s="239"/>
      <c r="H259" s="239"/>
      <c r="I259" s="240"/>
      <c r="J259" s="331"/>
      <c r="K259" s="330"/>
      <c r="L259" s="239"/>
      <c r="M259" s="239"/>
      <c r="N259" s="240"/>
      <c r="O259" s="331"/>
      <c r="P259" s="330"/>
      <c r="Q259" s="239"/>
      <c r="R259" s="239"/>
      <c r="S259" s="240"/>
      <c r="T259" s="331"/>
      <c r="U259" s="323"/>
      <c r="V259" s="239"/>
      <c r="W259" s="239"/>
      <c r="X259" s="240"/>
      <c r="Y259" s="240"/>
      <c r="Z259" s="238"/>
      <c r="AA259" s="239"/>
      <c r="AB259" s="239"/>
      <c r="AC259" s="240"/>
      <c r="AD259" s="240"/>
      <c r="AE259" s="238"/>
      <c r="AF259" s="239"/>
      <c r="AG259" s="239"/>
      <c r="AH259" s="240"/>
      <c r="AI259" s="155"/>
      <c r="AJ259" s="238"/>
      <c r="AK259" s="239"/>
      <c r="AL259" s="239"/>
      <c r="AM259" s="240"/>
      <c r="AN259" s="155"/>
      <c r="AO259" s="238"/>
      <c r="AP259" s="239"/>
      <c r="AQ259" s="239"/>
      <c r="AR259" s="240"/>
      <c r="AS259" s="155"/>
      <c r="AT259" s="238"/>
      <c r="AU259" s="239"/>
      <c r="AV259" s="239"/>
      <c r="AW259" s="240"/>
      <c r="AX259" s="155"/>
      <c r="AY259" s="238"/>
      <c r="AZ259" s="239"/>
      <c r="BA259" s="239"/>
      <c r="BB259" s="240"/>
      <c r="BC259" s="155"/>
      <c r="BD259" s="238"/>
      <c r="BE259" s="239"/>
      <c r="BF259" s="239"/>
      <c r="BG259" s="240"/>
      <c r="BH259" s="155"/>
      <c r="BI259" s="238"/>
      <c r="BJ259" s="239"/>
      <c r="BK259" s="239"/>
      <c r="BL259" s="240"/>
      <c r="BM259" s="155"/>
      <c r="BN259" s="238"/>
      <c r="BO259" s="239"/>
      <c r="BP259" s="239"/>
      <c r="BQ259" s="240"/>
      <c r="BR259" s="155"/>
      <c r="BS259" s="238"/>
      <c r="BT259" s="239"/>
      <c r="BU259" s="239"/>
      <c r="BV259" s="240"/>
      <c r="BW259" s="155"/>
      <c r="BX259" s="238"/>
      <c r="BY259" s="239"/>
      <c r="BZ259" s="239"/>
      <c r="CA259" s="240"/>
      <c r="CB259" s="155"/>
      <c r="CC259" s="238"/>
      <c r="CD259" s="239"/>
      <c r="CE259" s="239"/>
      <c r="CF259" s="240"/>
      <c r="CG259" s="155"/>
      <c r="CH259" s="238"/>
      <c r="CI259" s="239"/>
      <c r="CJ259" s="239"/>
      <c r="CK259" s="240"/>
      <c r="CL259" s="155"/>
      <c r="CM259" s="238"/>
      <c r="CN259" s="239"/>
      <c r="CO259" s="239"/>
      <c r="CP259" s="240"/>
      <c r="CQ259" s="155"/>
      <c r="CR259" s="238"/>
      <c r="CS259" s="239"/>
      <c r="CT259" s="239"/>
      <c r="CU259" s="240"/>
      <c r="CV259" s="155"/>
      <c r="CW259" s="238"/>
      <c r="CX259" s="239"/>
      <c r="CY259" s="239"/>
      <c r="CZ259" s="240"/>
      <c r="DA259" s="155"/>
    </row>
    <row r="260" spans="1:105" ht="15" customHeight="1">
      <c r="A260" s="155"/>
      <c r="B260" s="155"/>
      <c r="C260" s="236"/>
      <c r="D260" s="237"/>
      <c r="E260" s="312"/>
      <c r="F260" s="330"/>
      <c r="G260" s="239"/>
      <c r="H260" s="239"/>
      <c r="I260" s="240"/>
      <c r="J260" s="331"/>
      <c r="K260" s="330"/>
      <c r="L260" s="239"/>
      <c r="M260" s="239"/>
      <c r="N260" s="240"/>
      <c r="O260" s="331"/>
      <c r="P260" s="330"/>
      <c r="Q260" s="239"/>
      <c r="R260" s="239"/>
      <c r="S260" s="240"/>
      <c r="T260" s="331"/>
      <c r="U260" s="323"/>
      <c r="V260" s="239"/>
      <c r="W260" s="239"/>
      <c r="X260" s="240"/>
      <c r="Y260" s="240"/>
      <c r="Z260" s="238"/>
      <c r="AA260" s="239"/>
      <c r="AB260" s="239"/>
      <c r="AC260" s="240"/>
      <c r="AD260" s="240"/>
      <c r="AE260" s="238"/>
      <c r="AF260" s="239"/>
      <c r="AG260" s="239"/>
      <c r="AH260" s="240"/>
      <c r="AI260" s="155"/>
      <c r="AJ260" s="238"/>
      <c r="AK260" s="239"/>
      <c r="AL260" s="239"/>
      <c r="AM260" s="240"/>
      <c r="AN260" s="155"/>
      <c r="AO260" s="238"/>
      <c r="AP260" s="239"/>
      <c r="AQ260" s="239"/>
      <c r="AR260" s="240"/>
      <c r="AS260" s="155"/>
      <c r="AT260" s="238"/>
      <c r="AU260" s="239"/>
      <c r="AV260" s="239"/>
      <c r="AW260" s="240"/>
      <c r="AX260" s="155"/>
      <c r="AY260" s="238"/>
      <c r="AZ260" s="239"/>
      <c r="BA260" s="239"/>
      <c r="BB260" s="240"/>
      <c r="BC260" s="155"/>
      <c r="BD260" s="238"/>
      <c r="BE260" s="239"/>
      <c r="BF260" s="239"/>
      <c r="BG260" s="240"/>
      <c r="BH260" s="155"/>
      <c r="BI260" s="238"/>
      <c r="BJ260" s="239"/>
      <c r="BK260" s="239"/>
      <c r="BL260" s="240"/>
      <c r="BM260" s="155"/>
      <c r="BN260" s="238"/>
      <c r="BO260" s="239"/>
      <c r="BP260" s="239"/>
      <c r="BQ260" s="240"/>
      <c r="BR260" s="155"/>
      <c r="BS260" s="238"/>
      <c r="BT260" s="239"/>
      <c r="BU260" s="239"/>
      <c r="BV260" s="240"/>
      <c r="BW260" s="155"/>
      <c r="BX260" s="238"/>
      <c r="BY260" s="239"/>
      <c r="BZ260" s="239"/>
      <c r="CA260" s="240"/>
      <c r="CB260" s="155"/>
      <c r="CC260" s="238"/>
      <c r="CD260" s="239"/>
      <c r="CE260" s="239"/>
      <c r="CF260" s="240"/>
      <c r="CG260" s="155"/>
      <c r="CH260" s="238"/>
      <c r="CI260" s="239"/>
      <c r="CJ260" s="239"/>
      <c r="CK260" s="240"/>
      <c r="CL260" s="155"/>
      <c r="CM260" s="238"/>
      <c r="CN260" s="239"/>
      <c r="CO260" s="239"/>
      <c r="CP260" s="240"/>
      <c r="CQ260" s="155"/>
      <c r="CR260" s="238"/>
      <c r="CS260" s="239"/>
      <c r="CT260" s="239"/>
      <c r="CU260" s="240"/>
      <c r="CV260" s="155"/>
      <c r="CW260" s="238"/>
      <c r="CX260" s="239"/>
      <c r="CY260" s="239"/>
      <c r="CZ260" s="240"/>
      <c r="DA260" s="155"/>
    </row>
    <row r="261" spans="1:105" ht="15" customHeight="1">
      <c r="A261" s="155"/>
      <c r="B261" s="155"/>
      <c r="C261" s="236"/>
      <c r="D261" s="237"/>
      <c r="E261" s="312"/>
      <c r="F261" s="330"/>
      <c r="G261" s="239"/>
      <c r="H261" s="239"/>
      <c r="I261" s="240"/>
      <c r="J261" s="331"/>
      <c r="K261" s="330"/>
      <c r="L261" s="239"/>
      <c r="M261" s="239"/>
      <c r="N261" s="240"/>
      <c r="O261" s="331"/>
      <c r="P261" s="330"/>
      <c r="Q261" s="239"/>
      <c r="R261" s="239"/>
      <c r="S261" s="240"/>
      <c r="T261" s="331"/>
      <c r="U261" s="323"/>
      <c r="V261" s="239"/>
      <c r="W261" s="239"/>
      <c r="X261" s="240"/>
      <c r="Y261" s="240"/>
      <c r="Z261" s="238"/>
      <c r="AA261" s="239"/>
      <c r="AB261" s="239"/>
      <c r="AC261" s="240"/>
      <c r="AD261" s="240"/>
      <c r="AE261" s="238"/>
      <c r="AF261" s="239"/>
      <c r="AG261" s="239"/>
      <c r="AH261" s="240"/>
      <c r="AI261" s="155"/>
      <c r="AJ261" s="238"/>
      <c r="AK261" s="239"/>
      <c r="AL261" s="239"/>
      <c r="AM261" s="240"/>
      <c r="AN261" s="155"/>
      <c r="AO261" s="238"/>
      <c r="AP261" s="239"/>
      <c r="AQ261" s="239"/>
      <c r="AR261" s="240"/>
      <c r="AS261" s="155"/>
      <c r="AT261" s="238"/>
      <c r="AU261" s="239"/>
      <c r="AV261" s="239"/>
      <c r="AW261" s="240"/>
      <c r="AX261" s="155"/>
      <c r="AY261" s="238"/>
      <c r="AZ261" s="239"/>
      <c r="BA261" s="239"/>
      <c r="BB261" s="240"/>
      <c r="BC261" s="155"/>
      <c r="BD261" s="238"/>
      <c r="BE261" s="239"/>
      <c r="BF261" s="239"/>
      <c r="BG261" s="240"/>
      <c r="BH261" s="155"/>
      <c r="BI261" s="238"/>
      <c r="BJ261" s="239"/>
      <c r="BK261" s="239"/>
      <c r="BL261" s="240"/>
      <c r="BM261" s="155"/>
      <c r="BN261" s="238"/>
      <c r="BO261" s="239"/>
      <c r="BP261" s="239"/>
      <c r="BQ261" s="240"/>
      <c r="BR261" s="155"/>
      <c r="BS261" s="238"/>
      <c r="BT261" s="239"/>
      <c r="BU261" s="239"/>
      <c r="BV261" s="240"/>
      <c r="BW261" s="155"/>
      <c r="BX261" s="238"/>
      <c r="BY261" s="239"/>
      <c r="BZ261" s="239"/>
      <c r="CA261" s="240"/>
      <c r="CB261" s="155"/>
      <c r="CC261" s="238"/>
      <c r="CD261" s="239"/>
      <c r="CE261" s="239"/>
      <c r="CF261" s="240"/>
      <c r="CG261" s="155"/>
      <c r="CH261" s="238"/>
      <c r="CI261" s="239"/>
      <c r="CJ261" s="239"/>
      <c r="CK261" s="240"/>
      <c r="CL261" s="155"/>
      <c r="CM261" s="238"/>
      <c r="CN261" s="239"/>
      <c r="CO261" s="239"/>
      <c r="CP261" s="240"/>
      <c r="CQ261" s="155"/>
      <c r="CR261" s="238"/>
      <c r="CS261" s="239"/>
      <c r="CT261" s="239"/>
      <c r="CU261" s="240"/>
      <c r="CV261" s="155"/>
      <c r="CW261" s="238"/>
      <c r="CX261" s="239"/>
      <c r="CY261" s="239"/>
      <c r="CZ261" s="240"/>
      <c r="DA261" s="155"/>
    </row>
    <row r="262" spans="1:105" ht="15" customHeight="1">
      <c r="A262" s="155"/>
      <c r="B262" s="155"/>
      <c r="C262" s="236"/>
      <c r="D262" s="237"/>
      <c r="E262" s="312"/>
      <c r="F262" s="330"/>
      <c r="G262" s="239"/>
      <c r="H262" s="239"/>
      <c r="I262" s="240"/>
      <c r="J262" s="331"/>
      <c r="K262" s="330"/>
      <c r="L262" s="239"/>
      <c r="M262" s="239"/>
      <c r="N262" s="240"/>
      <c r="O262" s="331"/>
      <c r="P262" s="330"/>
      <c r="Q262" s="239"/>
      <c r="R262" s="239"/>
      <c r="S262" s="240"/>
      <c r="T262" s="331"/>
      <c r="U262" s="323"/>
      <c r="V262" s="239"/>
      <c r="W262" s="239"/>
      <c r="X262" s="240"/>
      <c r="Y262" s="240"/>
      <c r="Z262" s="238"/>
      <c r="AA262" s="239"/>
      <c r="AB262" s="239"/>
      <c r="AC262" s="240"/>
      <c r="AD262" s="240"/>
      <c r="AE262" s="238"/>
      <c r="AF262" s="239"/>
      <c r="AG262" s="239"/>
      <c r="AH262" s="240"/>
      <c r="AI262" s="155"/>
      <c r="AJ262" s="238"/>
      <c r="AK262" s="239"/>
      <c r="AL262" s="239"/>
      <c r="AM262" s="240"/>
      <c r="AN262" s="155"/>
      <c r="AO262" s="238"/>
      <c r="AP262" s="239"/>
      <c r="AQ262" s="239"/>
      <c r="AR262" s="240"/>
      <c r="AS262" s="155"/>
      <c r="AT262" s="238"/>
      <c r="AU262" s="239"/>
      <c r="AV262" s="239"/>
      <c r="AW262" s="240"/>
      <c r="AX262" s="155"/>
      <c r="AY262" s="238"/>
      <c r="AZ262" s="239"/>
      <c r="BA262" s="239"/>
      <c r="BB262" s="240"/>
      <c r="BC262" s="155"/>
      <c r="BD262" s="238"/>
      <c r="BE262" s="239"/>
      <c r="BF262" s="239"/>
      <c r="BG262" s="240"/>
      <c r="BH262" s="155"/>
      <c r="BI262" s="238"/>
      <c r="BJ262" s="239"/>
      <c r="BK262" s="239"/>
      <c r="BL262" s="240"/>
      <c r="BM262" s="155"/>
      <c r="BN262" s="238"/>
      <c r="BO262" s="239"/>
      <c r="BP262" s="239"/>
      <c r="BQ262" s="240"/>
      <c r="BR262" s="155"/>
      <c r="BS262" s="238"/>
      <c r="BT262" s="239"/>
      <c r="BU262" s="239"/>
      <c r="BV262" s="240"/>
      <c r="BW262" s="155"/>
      <c r="BX262" s="238"/>
      <c r="BY262" s="239"/>
      <c r="BZ262" s="239"/>
      <c r="CA262" s="240"/>
      <c r="CB262" s="155"/>
      <c r="CC262" s="238"/>
      <c r="CD262" s="239"/>
      <c r="CE262" s="239"/>
      <c r="CF262" s="240"/>
      <c r="CG262" s="155"/>
      <c r="CH262" s="238"/>
      <c r="CI262" s="239"/>
      <c r="CJ262" s="239"/>
      <c r="CK262" s="240"/>
      <c r="CL262" s="155"/>
      <c r="CM262" s="238"/>
      <c r="CN262" s="239"/>
      <c r="CO262" s="239"/>
      <c r="CP262" s="240"/>
      <c r="CQ262" s="155"/>
      <c r="CR262" s="238"/>
      <c r="CS262" s="239"/>
      <c r="CT262" s="239"/>
      <c r="CU262" s="240"/>
      <c r="CV262" s="155"/>
      <c r="CW262" s="238"/>
      <c r="CX262" s="239"/>
      <c r="CY262" s="239"/>
      <c r="CZ262" s="240"/>
      <c r="DA262" s="155"/>
    </row>
    <row r="263" spans="1:105" ht="15" customHeight="1">
      <c r="A263" s="155"/>
      <c r="B263" s="155"/>
      <c r="C263" s="236"/>
      <c r="D263" s="237"/>
      <c r="E263" s="312"/>
      <c r="F263" s="330"/>
      <c r="G263" s="239"/>
      <c r="H263" s="239"/>
      <c r="I263" s="240"/>
      <c r="J263" s="331"/>
      <c r="K263" s="330"/>
      <c r="L263" s="239"/>
      <c r="M263" s="239"/>
      <c r="N263" s="240"/>
      <c r="O263" s="331"/>
      <c r="P263" s="330"/>
      <c r="Q263" s="239"/>
      <c r="R263" s="239"/>
      <c r="S263" s="240"/>
      <c r="T263" s="331"/>
      <c r="U263" s="323"/>
      <c r="V263" s="239"/>
      <c r="W263" s="239"/>
      <c r="X263" s="240"/>
      <c r="Y263" s="240"/>
      <c r="Z263" s="238"/>
      <c r="AA263" s="239"/>
      <c r="AB263" s="239"/>
      <c r="AC263" s="240"/>
      <c r="AD263" s="240"/>
      <c r="AE263" s="238"/>
      <c r="AF263" s="239"/>
      <c r="AG263" s="239"/>
      <c r="AH263" s="240"/>
      <c r="AI263" s="155"/>
      <c r="AJ263" s="238"/>
      <c r="AK263" s="239"/>
      <c r="AL263" s="239"/>
      <c r="AM263" s="240"/>
      <c r="AN263" s="155"/>
      <c r="AO263" s="238"/>
      <c r="AP263" s="239"/>
      <c r="AQ263" s="239"/>
      <c r="AR263" s="240"/>
      <c r="AS263" s="155"/>
      <c r="AT263" s="238"/>
      <c r="AU263" s="239"/>
      <c r="AV263" s="239"/>
      <c r="AW263" s="240"/>
      <c r="AX263" s="155"/>
      <c r="AY263" s="238"/>
      <c r="AZ263" s="239"/>
      <c r="BA263" s="239"/>
      <c r="BB263" s="240"/>
      <c r="BC263" s="155"/>
      <c r="BD263" s="238"/>
      <c r="BE263" s="239"/>
      <c r="BF263" s="239"/>
      <c r="BG263" s="240"/>
      <c r="BH263" s="155"/>
      <c r="BI263" s="238"/>
      <c r="BJ263" s="239"/>
      <c r="BK263" s="239"/>
      <c r="BL263" s="240"/>
      <c r="BM263" s="155"/>
      <c r="BN263" s="238"/>
      <c r="BO263" s="239"/>
      <c r="BP263" s="239"/>
      <c r="BQ263" s="240"/>
      <c r="BR263" s="155"/>
      <c r="BS263" s="238"/>
      <c r="BT263" s="239"/>
      <c r="BU263" s="239"/>
      <c r="BV263" s="240"/>
      <c r="BW263" s="155"/>
      <c r="BX263" s="238"/>
      <c r="BY263" s="239"/>
      <c r="BZ263" s="239"/>
      <c r="CA263" s="240"/>
      <c r="CB263" s="155"/>
      <c r="CC263" s="238"/>
      <c r="CD263" s="239"/>
      <c r="CE263" s="239"/>
      <c r="CF263" s="240"/>
      <c r="CG263" s="155"/>
      <c r="CH263" s="238"/>
      <c r="CI263" s="239"/>
      <c r="CJ263" s="239"/>
      <c r="CK263" s="240"/>
      <c r="CL263" s="155"/>
      <c r="CM263" s="238"/>
      <c r="CN263" s="239"/>
      <c r="CO263" s="239"/>
      <c r="CP263" s="240"/>
      <c r="CQ263" s="155"/>
      <c r="CR263" s="238"/>
      <c r="CS263" s="239"/>
      <c r="CT263" s="239"/>
      <c r="CU263" s="240"/>
      <c r="CV263" s="155"/>
      <c r="CW263" s="238"/>
      <c r="CX263" s="239"/>
      <c r="CY263" s="239"/>
      <c r="CZ263" s="240"/>
      <c r="DA263" s="155"/>
    </row>
    <row r="264" spans="1:105" ht="15" customHeight="1">
      <c r="A264" s="155"/>
      <c r="B264" s="155"/>
      <c r="C264" s="236"/>
      <c r="D264" s="237"/>
      <c r="E264" s="312"/>
      <c r="F264" s="330"/>
      <c r="G264" s="239"/>
      <c r="H264" s="239"/>
      <c r="I264" s="240"/>
      <c r="J264" s="331"/>
      <c r="K264" s="330"/>
      <c r="L264" s="239"/>
      <c r="M264" s="239"/>
      <c r="N264" s="240"/>
      <c r="O264" s="331"/>
      <c r="P264" s="330"/>
      <c r="Q264" s="239"/>
      <c r="R264" s="239"/>
      <c r="S264" s="240"/>
      <c r="T264" s="331"/>
      <c r="U264" s="323"/>
      <c r="V264" s="239"/>
      <c r="W264" s="239"/>
      <c r="X264" s="240"/>
      <c r="Y264" s="240"/>
      <c r="Z264" s="238"/>
      <c r="AA264" s="239"/>
      <c r="AB264" s="239"/>
      <c r="AC264" s="240"/>
      <c r="AD264" s="240"/>
      <c r="AE264" s="238"/>
      <c r="AF264" s="239"/>
      <c r="AG264" s="239"/>
      <c r="AH264" s="240"/>
      <c r="AI264" s="155"/>
      <c r="AJ264" s="238"/>
      <c r="AK264" s="239"/>
      <c r="AL264" s="239"/>
      <c r="AM264" s="240"/>
      <c r="AN264" s="155"/>
      <c r="AO264" s="238"/>
      <c r="AP264" s="239"/>
      <c r="AQ264" s="239"/>
      <c r="AR264" s="240"/>
      <c r="AS264" s="155"/>
      <c r="AT264" s="238"/>
      <c r="AU264" s="239"/>
      <c r="AV264" s="239"/>
      <c r="AW264" s="240"/>
      <c r="AX264" s="155"/>
      <c r="AY264" s="238"/>
      <c r="AZ264" s="239"/>
      <c r="BA264" s="239"/>
      <c r="BB264" s="240"/>
      <c r="BC264" s="155"/>
      <c r="BD264" s="238"/>
      <c r="BE264" s="239"/>
      <c r="BF264" s="239"/>
      <c r="BG264" s="240"/>
      <c r="BH264" s="155"/>
      <c r="BI264" s="238"/>
      <c r="BJ264" s="239"/>
      <c r="BK264" s="239"/>
      <c r="BL264" s="240"/>
      <c r="BM264" s="155"/>
      <c r="BN264" s="238"/>
      <c r="BO264" s="239"/>
      <c r="BP264" s="239"/>
      <c r="BQ264" s="240"/>
      <c r="BR264" s="155"/>
      <c r="BS264" s="238"/>
      <c r="BT264" s="239"/>
      <c r="BU264" s="239"/>
      <c r="BV264" s="240"/>
      <c r="BW264" s="155"/>
      <c r="BX264" s="238"/>
      <c r="BY264" s="239"/>
      <c r="BZ264" s="239"/>
      <c r="CA264" s="240"/>
      <c r="CB264" s="155"/>
      <c r="CC264" s="238"/>
      <c r="CD264" s="239"/>
      <c r="CE264" s="239"/>
      <c r="CF264" s="240"/>
      <c r="CG264" s="155"/>
      <c r="CH264" s="238"/>
      <c r="CI264" s="239"/>
      <c r="CJ264" s="239"/>
      <c r="CK264" s="240"/>
      <c r="CL264" s="155"/>
      <c r="CM264" s="238"/>
      <c r="CN264" s="239"/>
      <c r="CO264" s="239"/>
      <c r="CP264" s="240"/>
      <c r="CQ264" s="155"/>
      <c r="CR264" s="238"/>
      <c r="CS264" s="239"/>
      <c r="CT264" s="239"/>
      <c r="CU264" s="240"/>
      <c r="CV264" s="155"/>
      <c r="CW264" s="238"/>
      <c r="CX264" s="239"/>
      <c r="CY264" s="239"/>
      <c r="CZ264" s="240"/>
      <c r="DA264" s="155"/>
    </row>
    <row r="265" spans="1:105" ht="15" customHeight="1">
      <c r="A265" s="155"/>
      <c r="B265" s="155"/>
      <c r="C265" s="236"/>
      <c r="D265" s="237"/>
      <c r="E265" s="312"/>
      <c r="F265" s="330"/>
      <c r="G265" s="239"/>
      <c r="H265" s="239"/>
      <c r="I265" s="240"/>
      <c r="J265" s="331"/>
      <c r="K265" s="330"/>
      <c r="L265" s="239"/>
      <c r="M265" s="239"/>
      <c r="N265" s="240"/>
      <c r="O265" s="331"/>
      <c r="P265" s="330"/>
      <c r="Q265" s="239"/>
      <c r="R265" s="239"/>
      <c r="S265" s="240"/>
      <c r="T265" s="331"/>
      <c r="U265" s="323"/>
      <c r="V265" s="239"/>
      <c r="W265" s="239"/>
      <c r="X265" s="240"/>
      <c r="Y265" s="240"/>
      <c r="Z265" s="238"/>
      <c r="AA265" s="239"/>
      <c r="AB265" s="239"/>
      <c r="AC265" s="240"/>
      <c r="AD265" s="240"/>
      <c r="AE265" s="238"/>
      <c r="AF265" s="239"/>
      <c r="AG265" s="239"/>
      <c r="AH265" s="240"/>
      <c r="AI265" s="155"/>
      <c r="AJ265" s="238"/>
      <c r="AK265" s="239"/>
      <c r="AL265" s="239"/>
      <c r="AM265" s="240"/>
      <c r="AN265" s="155"/>
      <c r="AO265" s="238"/>
      <c r="AP265" s="239"/>
      <c r="AQ265" s="239"/>
      <c r="AR265" s="240"/>
      <c r="AS265" s="155"/>
      <c r="AT265" s="238"/>
      <c r="AU265" s="239"/>
      <c r="AV265" s="239"/>
      <c r="AW265" s="240"/>
      <c r="AX265" s="155"/>
      <c r="AY265" s="238"/>
      <c r="AZ265" s="239"/>
      <c r="BA265" s="239"/>
      <c r="BB265" s="240"/>
      <c r="BC265" s="155"/>
      <c r="BD265" s="238"/>
      <c r="BE265" s="239"/>
      <c r="BF265" s="239"/>
      <c r="BG265" s="240"/>
      <c r="BH265" s="155"/>
      <c r="BI265" s="238"/>
      <c r="BJ265" s="239"/>
      <c r="BK265" s="239"/>
      <c r="BL265" s="240"/>
      <c r="BM265" s="155"/>
      <c r="BN265" s="238"/>
      <c r="BO265" s="239"/>
      <c r="BP265" s="239"/>
      <c r="BQ265" s="240"/>
      <c r="BR265" s="155"/>
      <c r="BS265" s="238"/>
      <c r="BT265" s="239"/>
      <c r="BU265" s="239"/>
      <c r="BV265" s="240"/>
      <c r="BW265" s="155"/>
      <c r="BX265" s="238"/>
      <c r="BY265" s="239"/>
      <c r="BZ265" s="239"/>
      <c r="CA265" s="240"/>
      <c r="CB265" s="155"/>
      <c r="CC265" s="238"/>
      <c r="CD265" s="239"/>
      <c r="CE265" s="239"/>
      <c r="CF265" s="240"/>
      <c r="CG265" s="155"/>
      <c r="CH265" s="238"/>
      <c r="CI265" s="239"/>
      <c r="CJ265" s="239"/>
      <c r="CK265" s="240"/>
      <c r="CL265" s="155"/>
      <c r="CM265" s="238"/>
      <c r="CN265" s="239"/>
      <c r="CO265" s="239"/>
      <c r="CP265" s="240"/>
      <c r="CQ265" s="155"/>
      <c r="CR265" s="238"/>
      <c r="CS265" s="239"/>
      <c r="CT265" s="239"/>
      <c r="CU265" s="240"/>
      <c r="CV265" s="155"/>
      <c r="CW265" s="238"/>
      <c r="CX265" s="239"/>
      <c r="CY265" s="239"/>
      <c r="CZ265" s="240"/>
      <c r="DA265" s="155"/>
    </row>
    <row r="266" spans="1:105" ht="15" customHeight="1">
      <c r="A266" s="155"/>
      <c r="B266" s="155"/>
      <c r="C266" s="236"/>
      <c r="D266" s="237"/>
      <c r="E266" s="312"/>
      <c r="F266" s="330"/>
      <c r="G266" s="239"/>
      <c r="H266" s="239"/>
      <c r="I266" s="240"/>
      <c r="J266" s="331"/>
      <c r="K266" s="330"/>
      <c r="L266" s="239"/>
      <c r="M266" s="239"/>
      <c r="N266" s="240"/>
      <c r="O266" s="331"/>
      <c r="P266" s="330"/>
      <c r="Q266" s="239"/>
      <c r="R266" s="239"/>
      <c r="S266" s="240"/>
      <c r="T266" s="331"/>
      <c r="U266" s="323"/>
      <c r="V266" s="239"/>
      <c r="W266" s="239"/>
      <c r="X266" s="240"/>
      <c r="Y266" s="240"/>
      <c r="Z266" s="238"/>
      <c r="AA266" s="239"/>
      <c r="AB266" s="239"/>
      <c r="AC266" s="240"/>
      <c r="AD266" s="240"/>
      <c r="AE266" s="238"/>
      <c r="AF266" s="239"/>
      <c r="AG266" s="239"/>
      <c r="AH266" s="240"/>
      <c r="AJ266" s="238"/>
      <c r="AK266" s="239"/>
      <c r="AL266" s="239"/>
      <c r="AM266" s="240"/>
      <c r="AO266" s="238"/>
      <c r="AP266" s="239"/>
      <c r="AQ266" s="239"/>
      <c r="AR266" s="240"/>
      <c r="AT266" s="238"/>
      <c r="AU266" s="239"/>
      <c r="AV266" s="239"/>
      <c r="AW266" s="240"/>
      <c r="AY266" s="238"/>
      <c r="AZ266" s="239"/>
      <c r="BA266" s="239"/>
      <c r="BB266" s="240"/>
      <c r="BD266" s="238"/>
      <c r="BE266" s="239"/>
      <c r="BF266" s="239"/>
      <c r="BG266" s="240"/>
      <c r="BI266" s="238"/>
      <c r="BJ266" s="239"/>
      <c r="BK266" s="239"/>
      <c r="BL266" s="240"/>
      <c r="BN266" s="238"/>
      <c r="BO266" s="239"/>
      <c r="BP266" s="239"/>
      <c r="BQ266" s="240"/>
      <c r="BS266" s="238"/>
      <c r="BT266" s="239"/>
      <c r="BU266" s="239"/>
      <c r="BV266" s="240"/>
      <c r="BX266" s="238"/>
      <c r="BY266" s="239"/>
      <c r="BZ266" s="239"/>
      <c r="CA266" s="240"/>
      <c r="CC266" s="238"/>
      <c r="CD266" s="239"/>
      <c r="CE266" s="239"/>
      <c r="CF266" s="240"/>
      <c r="CH266" s="238"/>
      <c r="CI266" s="239"/>
      <c r="CJ266" s="239"/>
      <c r="CK266" s="240"/>
      <c r="CM266" s="238"/>
      <c r="CN266" s="239"/>
      <c r="CO266" s="239"/>
      <c r="CP266" s="240"/>
      <c r="CR266" s="238"/>
      <c r="CS266" s="239"/>
      <c r="CT266" s="239"/>
      <c r="CU266" s="240"/>
      <c r="CW266" s="238"/>
      <c r="CX266" s="239"/>
      <c r="CY266" s="239"/>
      <c r="CZ266" s="240"/>
    </row>
    <row r="267" spans="1:105" ht="15" customHeight="1">
      <c r="A267" s="155"/>
      <c r="B267" s="155"/>
      <c r="C267" s="236"/>
      <c r="D267" s="237"/>
      <c r="E267" s="312"/>
      <c r="F267" s="330"/>
      <c r="G267" s="239"/>
      <c r="H267" s="239"/>
      <c r="I267" s="240"/>
      <c r="J267" s="331"/>
      <c r="K267" s="330"/>
      <c r="L267" s="239"/>
      <c r="M267" s="239"/>
      <c r="N267" s="240"/>
      <c r="O267" s="331"/>
      <c r="P267" s="330"/>
      <c r="Q267" s="239"/>
      <c r="R267" s="239"/>
      <c r="S267" s="240"/>
      <c r="T267" s="331"/>
      <c r="U267" s="323"/>
      <c r="V267" s="239"/>
      <c r="W267" s="239"/>
      <c r="X267" s="240"/>
      <c r="Y267" s="240"/>
      <c r="Z267" s="238"/>
      <c r="AA267" s="239"/>
      <c r="AB267" s="239"/>
      <c r="AC267" s="240"/>
      <c r="AD267" s="240"/>
      <c r="AE267" s="238"/>
      <c r="AF267" s="239"/>
      <c r="AG267" s="239"/>
      <c r="AH267" s="240"/>
      <c r="AJ267" s="238"/>
      <c r="AK267" s="239"/>
      <c r="AL267" s="239"/>
      <c r="AM267" s="240"/>
      <c r="AO267" s="238"/>
      <c r="AP267" s="239"/>
      <c r="AQ267" s="239"/>
      <c r="AR267" s="240"/>
      <c r="AT267" s="238"/>
      <c r="AU267" s="239"/>
      <c r="AV267" s="239"/>
      <c r="AW267" s="240"/>
      <c r="AY267" s="238"/>
      <c r="AZ267" s="239"/>
      <c r="BA267" s="239"/>
      <c r="BB267" s="240"/>
      <c r="BD267" s="238"/>
      <c r="BE267" s="239"/>
      <c r="BF267" s="239"/>
      <c r="BG267" s="240"/>
      <c r="BI267" s="238"/>
      <c r="BJ267" s="239"/>
      <c r="BK267" s="239"/>
      <c r="BL267" s="240"/>
      <c r="BN267" s="238"/>
      <c r="BO267" s="239"/>
      <c r="BP267" s="239"/>
      <c r="BQ267" s="240"/>
      <c r="BS267" s="238"/>
      <c r="BT267" s="239"/>
      <c r="BU267" s="239"/>
      <c r="BV267" s="240"/>
      <c r="BX267" s="238"/>
      <c r="BY267" s="239"/>
      <c r="BZ267" s="239"/>
      <c r="CA267" s="240"/>
      <c r="CC267" s="238"/>
      <c r="CD267" s="239"/>
      <c r="CE267" s="239"/>
      <c r="CF267" s="240"/>
      <c r="CH267" s="238"/>
      <c r="CI267" s="239"/>
      <c r="CJ267" s="239"/>
      <c r="CK267" s="240"/>
      <c r="CM267" s="238"/>
      <c r="CN267" s="239"/>
      <c r="CO267" s="239"/>
      <c r="CP267" s="240"/>
      <c r="CR267" s="238"/>
      <c r="CS267" s="239"/>
      <c r="CT267" s="239"/>
      <c r="CU267" s="240"/>
      <c r="CW267" s="238"/>
      <c r="CX267" s="239"/>
      <c r="CY267" s="239"/>
      <c r="CZ267" s="240"/>
    </row>
    <row r="268" spans="1:105" ht="15" customHeight="1">
      <c r="A268" s="155"/>
      <c r="B268" s="155"/>
      <c r="C268" s="236"/>
      <c r="D268" s="237"/>
      <c r="E268" s="312"/>
      <c r="F268" s="330"/>
      <c r="G268" s="239"/>
      <c r="H268" s="239"/>
      <c r="I268" s="240"/>
      <c r="J268" s="331"/>
      <c r="K268" s="330"/>
      <c r="L268" s="239"/>
      <c r="M268" s="239"/>
      <c r="N268" s="240"/>
      <c r="O268" s="331"/>
      <c r="P268" s="330"/>
      <c r="Q268" s="239"/>
      <c r="R268" s="239"/>
      <c r="S268" s="240"/>
      <c r="T268" s="331"/>
      <c r="U268" s="323"/>
      <c r="V268" s="239"/>
      <c r="W268" s="239"/>
      <c r="X268" s="240"/>
      <c r="Y268" s="240"/>
      <c r="Z268" s="238"/>
      <c r="AA268" s="239"/>
      <c r="AB268" s="239"/>
      <c r="AC268" s="240"/>
      <c r="AD268" s="240"/>
      <c r="AE268" s="238"/>
      <c r="AF268" s="239"/>
      <c r="AG268" s="239"/>
      <c r="AH268" s="240"/>
      <c r="AJ268" s="238"/>
      <c r="AK268" s="239"/>
      <c r="AL268" s="239"/>
      <c r="AM268" s="240"/>
      <c r="AO268" s="238"/>
      <c r="AP268" s="239"/>
      <c r="AQ268" s="239"/>
      <c r="AR268" s="240"/>
      <c r="AT268" s="238"/>
      <c r="AU268" s="239"/>
      <c r="AV268" s="239"/>
      <c r="AW268" s="240"/>
      <c r="AY268" s="238"/>
      <c r="AZ268" s="239"/>
      <c r="BA268" s="239"/>
      <c r="BB268" s="240"/>
      <c r="BD268" s="238"/>
      <c r="BE268" s="239"/>
      <c r="BF268" s="239"/>
      <c r="BG268" s="240"/>
      <c r="BI268" s="238"/>
      <c r="BJ268" s="239"/>
      <c r="BK268" s="239"/>
      <c r="BL268" s="240"/>
      <c r="BN268" s="238"/>
      <c r="BO268" s="239"/>
      <c r="BP268" s="239"/>
      <c r="BQ268" s="240"/>
      <c r="BS268" s="238"/>
      <c r="BT268" s="239"/>
      <c r="BU268" s="239"/>
      <c r="BV268" s="240"/>
      <c r="BX268" s="238"/>
      <c r="BY268" s="239"/>
      <c r="BZ268" s="239"/>
      <c r="CA268" s="240"/>
      <c r="CC268" s="238"/>
      <c r="CD268" s="239"/>
      <c r="CE268" s="239"/>
      <c r="CF268" s="240"/>
      <c r="CH268" s="238"/>
      <c r="CI268" s="239"/>
      <c r="CJ268" s="239"/>
      <c r="CK268" s="240"/>
      <c r="CM268" s="238"/>
      <c r="CN268" s="239"/>
      <c r="CO268" s="239"/>
      <c r="CP268" s="240"/>
      <c r="CR268" s="238"/>
      <c r="CS268" s="239"/>
      <c r="CT268" s="239"/>
      <c r="CU268" s="240"/>
      <c r="CW268" s="238"/>
      <c r="CX268" s="239"/>
      <c r="CY268" s="239"/>
      <c r="CZ268" s="240"/>
    </row>
    <row r="269" spans="1:105" ht="15" customHeight="1">
      <c r="A269" s="155"/>
      <c r="B269" s="155"/>
      <c r="C269" s="236"/>
      <c r="D269" s="237"/>
      <c r="E269" s="312"/>
      <c r="F269" s="330"/>
      <c r="G269" s="239"/>
      <c r="H269" s="239"/>
      <c r="I269" s="240"/>
      <c r="J269" s="331"/>
      <c r="K269" s="330"/>
      <c r="L269" s="239"/>
      <c r="M269" s="239"/>
      <c r="N269" s="240"/>
      <c r="O269" s="331"/>
      <c r="P269" s="330"/>
      <c r="Q269" s="239"/>
      <c r="R269" s="239"/>
      <c r="S269" s="240"/>
      <c r="T269" s="331"/>
      <c r="U269" s="323"/>
      <c r="V269" s="239"/>
      <c r="W269" s="239"/>
      <c r="X269" s="240"/>
      <c r="Y269" s="240"/>
      <c r="Z269" s="238"/>
      <c r="AA269" s="239"/>
      <c r="AB269" s="239"/>
      <c r="AC269" s="240"/>
      <c r="AD269" s="240"/>
      <c r="AE269" s="238"/>
      <c r="AF269" s="239"/>
      <c r="AG269" s="239"/>
      <c r="AH269" s="240"/>
      <c r="AJ269" s="238"/>
      <c r="AK269" s="239"/>
      <c r="AL269" s="239"/>
      <c r="AM269" s="240"/>
      <c r="AO269" s="238"/>
      <c r="AP269" s="239"/>
      <c r="AQ269" s="239"/>
      <c r="AR269" s="240"/>
      <c r="AT269" s="238"/>
      <c r="AU269" s="239"/>
      <c r="AV269" s="239"/>
      <c r="AW269" s="240"/>
      <c r="AY269" s="238"/>
      <c r="AZ269" s="239"/>
      <c r="BA269" s="239"/>
      <c r="BB269" s="240"/>
      <c r="BD269" s="238"/>
      <c r="BE269" s="239"/>
      <c r="BF269" s="239"/>
      <c r="BG269" s="240"/>
      <c r="BI269" s="238"/>
      <c r="BJ269" s="239"/>
      <c r="BK269" s="239"/>
      <c r="BL269" s="240"/>
      <c r="BN269" s="238"/>
      <c r="BO269" s="239"/>
      <c r="BP269" s="239"/>
      <c r="BQ269" s="240"/>
      <c r="BS269" s="238"/>
      <c r="BT269" s="239"/>
      <c r="BU269" s="239"/>
      <c r="BV269" s="240"/>
      <c r="BX269" s="238"/>
      <c r="BY269" s="239"/>
      <c r="BZ269" s="239"/>
      <c r="CA269" s="240"/>
      <c r="CC269" s="238"/>
      <c r="CD269" s="239"/>
      <c r="CE269" s="239"/>
      <c r="CF269" s="240"/>
      <c r="CH269" s="238"/>
      <c r="CI269" s="239"/>
      <c r="CJ269" s="239"/>
      <c r="CK269" s="240"/>
      <c r="CM269" s="238"/>
      <c r="CN269" s="239"/>
      <c r="CO269" s="239"/>
      <c r="CP269" s="240"/>
      <c r="CR269" s="238"/>
      <c r="CS269" s="239"/>
      <c r="CT269" s="239"/>
      <c r="CU269" s="240"/>
      <c r="CW269" s="238"/>
      <c r="CX269" s="239"/>
      <c r="CY269" s="239"/>
      <c r="CZ269" s="240"/>
    </row>
    <row r="270" spans="1:105" ht="15" customHeight="1">
      <c r="A270" s="155"/>
      <c r="B270" s="155"/>
      <c r="C270" s="236"/>
      <c r="D270" s="237"/>
      <c r="E270" s="312"/>
      <c r="F270" s="330"/>
      <c r="G270" s="239"/>
      <c r="H270" s="239"/>
      <c r="I270" s="240"/>
      <c r="J270" s="331"/>
      <c r="K270" s="330"/>
      <c r="L270" s="239"/>
      <c r="M270" s="239"/>
      <c r="N270" s="240"/>
      <c r="O270" s="331"/>
      <c r="P270" s="330"/>
      <c r="Q270" s="239"/>
      <c r="R270" s="239"/>
      <c r="S270" s="240"/>
      <c r="T270" s="331"/>
      <c r="U270" s="323"/>
      <c r="V270" s="239"/>
      <c r="W270" s="239"/>
      <c r="X270" s="240"/>
      <c r="Y270" s="240"/>
      <c r="Z270" s="238"/>
      <c r="AA270" s="239"/>
      <c r="AB270" s="239"/>
      <c r="AC270" s="240"/>
      <c r="AD270" s="240"/>
      <c r="AE270" s="238"/>
      <c r="AF270" s="239"/>
      <c r="AG270" s="239"/>
      <c r="AH270" s="240"/>
      <c r="AJ270" s="238"/>
      <c r="AK270" s="239"/>
      <c r="AL270" s="239"/>
      <c r="AM270" s="240"/>
      <c r="AO270" s="238"/>
      <c r="AP270" s="239"/>
      <c r="AQ270" s="239"/>
      <c r="AR270" s="240"/>
      <c r="AT270" s="238"/>
      <c r="AU270" s="239"/>
      <c r="AV270" s="239"/>
      <c r="AW270" s="240"/>
      <c r="AY270" s="238"/>
      <c r="AZ270" s="239"/>
      <c r="BA270" s="239"/>
      <c r="BB270" s="240"/>
      <c r="BD270" s="238"/>
      <c r="BE270" s="239"/>
      <c r="BF270" s="239"/>
      <c r="BG270" s="240"/>
      <c r="BI270" s="238"/>
      <c r="BJ270" s="239"/>
      <c r="BK270" s="239"/>
      <c r="BL270" s="240"/>
      <c r="BN270" s="238"/>
      <c r="BO270" s="239"/>
      <c r="BP270" s="239"/>
      <c r="BQ270" s="240"/>
      <c r="BS270" s="238"/>
      <c r="BT270" s="239"/>
      <c r="BU270" s="239"/>
      <c r="BV270" s="240"/>
      <c r="BX270" s="238"/>
      <c r="BY270" s="239"/>
      <c r="BZ270" s="239"/>
      <c r="CA270" s="240"/>
      <c r="CC270" s="238"/>
      <c r="CD270" s="239"/>
      <c r="CE270" s="239"/>
      <c r="CF270" s="240"/>
      <c r="CH270" s="238"/>
      <c r="CI270" s="239"/>
      <c r="CJ270" s="239"/>
      <c r="CK270" s="240"/>
      <c r="CM270" s="238"/>
      <c r="CN270" s="239"/>
      <c r="CO270" s="239"/>
      <c r="CP270" s="240"/>
      <c r="CR270" s="238"/>
      <c r="CS270" s="239"/>
      <c r="CT270" s="239"/>
      <c r="CU270" s="240"/>
      <c r="CW270" s="238"/>
      <c r="CX270" s="239"/>
      <c r="CY270" s="239"/>
      <c r="CZ270" s="240"/>
    </row>
    <row r="271" spans="1:105" ht="15" customHeight="1">
      <c r="A271" s="155"/>
      <c r="B271" s="155"/>
      <c r="C271" s="236"/>
      <c r="D271" s="237"/>
      <c r="E271" s="312"/>
      <c r="F271" s="330"/>
      <c r="G271" s="239"/>
      <c r="H271" s="239"/>
      <c r="I271" s="240"/>
      <c r="J271" s="331"/>
      <c r="K271" s="330"/>
      <c r="L271" s="239"/>
      <c r="M271" s="239"/>
      <c r="N271" s="240"/>
      <c r="O271" s="331"/>
      <c r="P271" s="330"/>
      <c r="Q271" s="239"/>
      <c r="R271" s="239"/>
      <c r="S271" s="240"/>
      <c r="T271" s="331"/>
      <c r="U271" s="323"/>
      <c r="V271" s="239"/>
      <c r="W271" s="239"/>
      <c r="X271" s="240"/>
      <c r="Y271" s="240"/>
      <c r="Z271" s="238"/>
      <c r="AA271" s="239"/>
      <c r="AB271" s="239"/>
      <c r="AC271" s="240"/>
      <c r="AD271" s="240"/>
      <c r="AE271" s="238"/>
      <c r="AF271" s="239"/>
      <c r="AG271" s="239"/>
      <c r="AH271" s="240"/>
      <c r="AJ271" s="238"/>
      <c r="AK271" s="239"/>
      <c r="AL271" s="239"/>
      <c r="AM271" s="240"/>
      <c r="AO271" s="238"/>
      <c r="AP271" s="239"/>
      <c r="AQ271" s="239"/>
      <c r="AR271" s="240"/>
      <c r="AT271" s="238"/>
      <c r="AU271" s="239"/>
      <c r="AV271" s="239"/>
      <c r="AW271" s="240"/>
      <c r="AY271" s="238"/>
      <c r="AZ271" s="239"/>
      <c r="BA271" s="239"/>
      <c r="BB271" s="240"/>
      <c r="BD271" s="238"/>
      <c r="BE271" s="239"/>
      <c r="BF271" s="239"/>
      <c r="BG271" s="240"/>
      <c r="BI271" s="238"/>
      <c r="BJ271" s="239"/>
      <c r="BK271" s="239"/>
      <c r="BL271" s="240"/>
      <c r="BN271" s="238"/>
      <c r="BO271" s="239"/>
      <c r="BP271" s="239"/>
      <c r="BQ271" s="240"/>
      <c r="BS271" s="238"/>
      <c r="BT271" s="239"/>
      <c r="BU271" s="239"/>
      <c r="BV271" s="240"/>
      <c r="BX271" s="238"/>
      <c r="BY271" s="239"/>
      <c r="BZ271" s="239"/>
      <c r="CA271" s="240"/>
      <c r="CC271" s="238"/>
      <c r="CD271" s="239"/>
      <c r="CE271" s="239"/>
      <c r="CF271" s="240"/>
      <c r="CH271" s="238"/>
      <c r="CI271" s="239"/>
      <c r="CJ271" s="239"/>
      <c r="CK271" s="240"/>
      <c r="CM271" s="238"/>
      <c r="CN271" s="239"/>
      <c r="CO271" s="239"/>
      <c r="CP271" s="240"/>
      <c r="CR271" s="238"/>
      <c r="CS271" s="239"/>
      <c r="CT271" s="239"/>
      <c r="CU271" s="240"/>
      <c r="CW271" s="238"/>
      <c r="CX271" s="239"/>
      <c r="CY271" s="239"/>
      <c r="CZ271" s="240"/>
    </row>
    <row r="272" spans="1:105" ht="15" customHeight="1">
      <c r="A272" s="155"/>
      <c r="B272" s="155"/>
      <c r="C272" s="236"/>
      <c r="D272" s="237"/>
      <c r="E272" s="312"/>
      <c r="F272" s="330"/>
      <c r="G272" s="239"/>
      <c r="H272" s="239"/>
      <c r="I272" s="240"/>
      <c r="J272" s="331"/>
      <c r="K272" s="330"/>
      <c r="L272" s="239"/>
      <c r="M272" s="239"/>
      <c r="N272" s="240"/>
      <c r="O272" s="331"/>
      <c r="P272" s="330"/>
      <c r="Q272" s="239"/>
      <c r="R272" s="239"/>
      <c r="S272" s="240"/>
      <c r="T272" s="331"/>
      <c r="U272" s="323"/>
      <c r="V272" s="239"/>
      <c r="W272" s="239"/>
      <c r="X272" s="240"/>
      <c r="Y272" s="240"/>
      <c r="Z272" s="238"/>
      <c r="AA272" s="239"/>
      <c r="AB272" s="239"/>
      <c r="AC272" s="240"/>
      <c r="AD272" s="240"/>
      <c r="AE272" s="238"/>
      <c r="AF272" s="239"/>
      <c r="AG272" s="239"/>
      <c r="AH272" s="240"/>
      <c r="AJ272" s="238"/>
      <c r="AK272" s="239"/>
      <c r="AL272" s="239"/>
      <c r="AM272" s="240"/>
      <c r="AO272" s="238"/>
      <c r="AP272" s="239"/>
      <c r="AQ272" s="239"/>
      <c r="AR272" s="240"/>
      <c r="AT272" s="238"/>
      <c r="AU272" s="239"/>
      <c r="AV272" s="239"/>
      <c r="AW272" s="240"/>
      <c r="AY272" s="238"/>
      <c r="AZ272" s="239"/>
      <c r="BA272" s="239"/>
      <c r="BB272" s="240"/>
      <c r="BD272" s="238"/>
      <c r="BE272" s="239"/>
      <c r="BF272" s="239"/>
      <c r="BG272" s="240"/>
      <c r="BI272" s="238"/>
      <c r="BJ272" s="239"/>
      <c r="BK272" s="239"/>
      <c r="BL272" s="240"/>
      <c r="BN272" s="238"/>
      <c r="BO272" s="239"/>
      <c r="BP272" s="239"/>
      <c r="BQ272" s="240"/>
      <c r="BS272" s="238"/>
      <c r="BT272" s="239"/>
      <c r="BU272" s="239"/>
      <c r="BV272" s="240"/>
      <c r="BX272" s="238"/>
      <c r="BY272" s="239"/>
      <c r="BZ272" s="239"/>
      <c r="CA272" s="240"/>
      <c r="CC272" s="238"/>
      <c r="CD272" s="239"/>
      <c r="CE272" s="239"/>
      <c r="CF272" s="240"/>
      <c r="CH272" s="238"/>
      <c r="CI272" s="239"/>
      <c r="CJ272" s="239"/>
      <c r="CK272" s="240"/>
      <c r="CM272" s="238"/>
      <c r="CN272" s="239"/>
      <c r="CO272" s="239"/>
      <c r="CP272" s="240"/>
      <c r="CR272" s="238"/>
      <c r="CS272" s="239"/>
      <c r="CT272" s="239"/>
      <c r="CU272" s="240"/>
      <c r="CW272" s="238"/>
      <c r="CX272" s="239"/>
      <c r="CY272" s="239"/>
      <c r="CZ272" s="240"/>
    </row>
    <row r="273" spans="1:104" ht="15" customHeight="1">
      <c r="A273" s="155"/>
      <c r="B273" s="155"/>
      <c r="C273" s="236"/>
      <c r="D273" s="237"/>
      <c r="E273" s="312"/>
      <c r="F273" s="330"/>
      <c r="G273" s="239"/>
      <c r="H273" s="239"/>
      <c r="I273" s="240"/>
      <c r="J273" s="331"/>
      <c r="K273" s="330"/>
      <c r="L273" s="239"/>
      <c r="M273" s="239"/>
      <c r="N273" s="240"/>
      <c r="O273" s="331"/>
      <c r="P273" s="330"/>
      <c r="Q273" s="239"/>
      <c r="R273" s="239"/>
      <c r="S273" s="240"/>
      <c r="T273" s="331"/>
      <c r="U273" s="323"/>
      <c r="V273" s="239"/>
      <c r="W273" s="239"/>
      <c r="X273" s="240"/>
      <c r="Y273" s="240"/>
      <c r="Z273" s="238"/>
      <c r="AA273" s="239"/>
      <c r="AB273" s="239"/>
      <c r="AC273" s="240"/>
      <c r="AD273" s="240"/>
      <c r="AE273" s="238"/>
      <c r="AF273" s="239"/>
      <c r="AG273" s="239"/>
      <c r="AH273" s="240"/>
      <c r="AJ273" s="238"/>
      <c r="AK273" s="239"/>
      <c r="AL273" s="239"/>
      <c r="AM273" s="240"/>
      <c r="AO273" s="238"/>
      <c r="AP273" s="239"/>
      <c r="AQ273" s="239"/>
      <c r="AR273" s="240"/>
      <c r="AT273" s="238"/>
      <c r="AU273" s="239"/>
      <c r="AV273" s="239"/>
      <c r="AW273" s="240"/>
      <c r="AY273" s="238"/>
      <c r="AZ273" s="239"/>
      <c r="BA273" s="239"/>
      <c r="BB273" s="240"/>
      <c r="BD273" s="238"/>
      <c r="BE273" s="239"/>
      <c r="BF273" s="239"/>
      <c r="BG273" s="240"/>
      <c r="BI273" s="238"/>
      <c r="BJ273" s="239"/>
      <c r="BK273" s="239"/>
      <c r="BL273" s="240"/>
      <c r="BN273" s="238"/>
      <c r="BO273" s="239"/>
      <c r="BP273" s="239"/>
      <c r="BQ273" s="240"/>
      <c r="BS273" s="238"/>
      <c r="BT273" s="239"/>
      <c r="BU273" s="239"/>
      <c r="BV273" s="240"/>
      <c r="BX273" s="238"/>
      <c r="BY273" s="239"/>
      <c r="BZ273" s="239"/>
      <c r="CA273" s="240"/>
      <c r="CC273" s="238"/>
      <c r="CD273" s="239"/>
      <c r="CE273" s="239"/>
      <c r="CF273" s="240"/>
      <c r="CH273" s="238"/>
      <c r="CI273" s="239"/>
      <c r="CJ273" s="239"/>
      <c r="CK273" s="240"/>
      <c r="CM273" s="238"/>
      <c r="CN273" s="239"/>
      <c r="CO273" s="239"/>
      <c r="CP273" s="240"/>
      <c r="CR273" s="238"/>
      <c r="CS273" s="239"/>
      <c r="CT273" s="239"/>
      <c r="CU273" s="240"/>
      <c r="CW273" s="238"/>
      <c r="CX273" s="239"/>
      <c r="CY273" s="239"/>
      <c r="CZ273" s="240"/>
    </row>
    <row r="274" spans="1:104" ht="15" customHeight="1">
      <c r="A274" s="155"/>
      <c r="B274" s="155"/>
      <c r="C274" s="236"/>
      <c r="D274" s="237"/>
      <c r="E274" s="312"/>
      <c r="F274" s="330"/>
      <c r="G274" s="239"/>
      <c r="H274" s="239"/>
      <c r="I274" s="240"/>
      <c r="J274" s="331"/>
      <c r="K274" s="330"/>
      <c r="L274" s="239"/>
      <c r="M274" s="239"/>
      <c r="N274" s="240"/>
      <c r="O274" s="331"/>
      <c r="P274" s="330"/>
      <c r="Q274" s="239"/>
      <c r="R274" s="239"/>
      <c r="S274" s="240"/>
      <c r="T274" s="331"/>
      <c r="U274" s="323"/>
      <c r="V274" s="239"/>
      <c r="W274" s="239"/>
      <c r="X274" s="240"/>
      <c r="Y274" s="240"/>
      <c r="Z274" s="238"/>
      <c r="AA274" s="239"/>
      <c r="AB274" s="239"/>
      <c r="AC274" s="240"/>
      <c r="AD274" s="240"/>
      <c r="AE274" s="238"/>
      <c r="AF274" s="239"/>
      <c r="AG274" s="239"/>
      <c r="AH274" s="240"/>
      <c r="AJ274" s="238"/>
      <c r="AK274" s="239"/>
      <c r="AL274" s="239"/>
      <c r="AM274" s="240"/>
      <c r="AO274" s="238"/>
      <c r="AP274" s="239"/>
      <c r="AQ274" s="239"/>
      <c r="AR274" s="240"/>
      <c r="AT274" s="238"/>
      <c r="AU274" s="239"/>
      <c r="AV274" s="239"/>
      <c r="AW274" s="240"/>
      <c r="AY274" s="238"/>
      <c r="AZ274" s="239"/>
      <c r="BA274" s="239"/>
      <c r="BB274" s="240"/>
      <c r="BD274" s="238"/>
      <c r="BE274" s="239"/>
      <c r="BF274" s="239"/>
      <c r="BG274" s="240"/>
      <c r="BI274" s="238"/>
      <c r="BJ274" s="239"/>
      <c r="BK274" s="239"/>
      <c r="BL274" s="240"/>
      <c r="BN274" s="238"/>
      <c r="BO274" s="239"/>
      <c r="BP274" s="239"/>
      <c r="BQ274" s="240"/>
      <c r="BS274" s="238"/>
      <c r="BT274" s="239"/>
      <c r="BU274" s="239"/>
      <c r="BV274" s="240"/>
      <c r="BX274" s="238"/>
      <c r="BY274" s="239"/>
      <c r="BZ274" s="239"/>
      <c r="CA274" s="240"/>
      <c r="CC274" s="238"/>
      <c r="CD274" s="239"/>
      <c r="CE274" s="239"/>
      <c r="CF274" s="240"/>
      <c r="CH274" s="238"/>
      <c r="CI274" s="239"/>
      <c r="CJ274" s="239"/>
      <c r="CK274" s="240"/>
      <c r="CM274" s="238"/>
      <c r="CN274" s="239"/>
      <c r="CO274" s="239"/>
      <c r="CP274" s="240"/>
      <c r="CR274" s="238"/>
      <c r="CS274" s="239"/>
      <c r="CT274" s="239"/>
      <c r="CU274" s="240"/>
      <c r="CW274" s="238"/>
      <c r="CX274" s="239"/>
      <c r="CY274" s="239"/>
      <c r="CZ274" s="240"/>
    </row>
    <row r="275" spans="1:104" ht="15" customHeight="1">
      <c r="A275" s="155"/>
      <c r="B275" s="155"/>
      <c r="C275" s="236"/>
      <c r="D275" s="237"/>
      <c r="E275" s="312"/>
      <c r="F275" s="330"/>
      <c r="G275" s="239"/>
      <c r="H275" s="239"/>
      <c r="I275" s="240"/>
      <c r="J275" s="331"/>
      <c r="K275" s="330"/>
      <c r="L275" s="239"/>
      <c r="M275" s="239"/>
      <c r="N275" s="240"/>
      <c r="O275" s="331"/>
      <c r="P275" s="330"/>
      <c r="Q275" s="239"/>
      <c r="R275" s="239"/>
      <c r="S275" s="240"/>
      <c r="T275" s="331"/>
      <c r="U275" s="323"/>
      <c r="V275" s="239"/>
      <c r="W275" s="239"/>
      <c r="X275" s="240"/>
      <c r="Y275" s="240"/>
      <c r="Z275" s="238"/>
      <c r="AA275" s="239"/>
      <c r="AB275" s="239"/>
      <c r="AC275" s="240"/>
      <c r="AD275" s="240"/>
      <c r="AE275" s="238"/>
      <c r="AF275" s="239"/>
      <c r="AG275" s="239"/>
      <c r="AH275" s="240"/>
      <c r="AJ275" s="238"/>
      <c r="AK275" s="239"/>
      <c r="AL275" s="239"/>
      <c r="AM275" s="240"/>
      <c r="AO275" s="238"/>
      <c r="AP275" s="239"/>
      <c r="AQ275" s="239"/>
      <c r="AR275" s="240"/>
      <c r="AT275" s="238"/>
      <c r="AU275" s="239"/>
      <c r="AV275" s="239"/>
      <c r="AW275" s="240"/>
      <c r="AY275" s="238"/>
      <c r="AZ275" s="239"/>
      <c r="BA275" s="239"/>
      <c r="BB275" s="240"/>
      <c r="BD275" s="238"/>
      <c r="BE275" s="239"/>
      <c r="BF275" s="239"/>
      <c r="BG275" s="240"/>
      <c r="BI275" s="238"/>
      <c r="BJ275" s="239"/>
      <c r="BK275" s="239"/>
      <c r="BL275" s="240"/>
      <c r="BN275" s="238"/>
      <c r="BO275" s="239"/>
      <c r="BP275" s="239"/>
      <c r="BQ275" s="240"/>
      <c r="BS275" s="238"/>
      <c r="BT275" s="239"/>
      <c r="BU275" s="239"/>
      <c r="BV275" s="240"/>
      <c r="BX275" s="238"/>
      <c r="BY275" s="239"/>
      <c r="BZ275" s="239"/>
      <c r="CA275" s="240"/>
      <c r="CC275" s="238"/>
      <c r="CD275" s="239"/>
      <c r="CE275" s="239"/>
      <c r="CF275" s="240"/>
      <c r="CH275" s="238"/>
      <c r="CI275" s="239"/>
      <c r="CJ275" s="239"/>
      <c r="CK275" s="240"/>
      <c r="CM275" s="238"/>
      <c r="CN275" s="239"/>
      <c r="CO275" s="239"/>
      <c r="CP275" s="240"/>
      <c r="CR275" s="238"/>
      <c r="CS275" s="239"/>
      <c r="CT275" s="239"/>
      <c r="CU275" s="240"/>
      <c r="CW275" s="238"/>
      <c r="CX275" s="239"/>
      <c r="CY275" s="239"/>
      <c r="CZ275" s="240"/>
    </row>
    <row r="276" spans="1:104" ht="15" customHeight="1">
      <c r="A276" s="155"/>
      <c r="B276" s="155"/>
      <c r="C276" s="236"/>
      <c r="D276" s="237"/>
      <c r="E276" s="312"/>
      <c r="F276" s="330"/>
      <c r="G276" s="239"/>
      <c r="H276" s="239"/>
      <c r="I276" s="240"/>
      <c r="J276" s="331"/>
      <c r="K276" s="330"/>
      <c r="L276" s="239"/>
      <c r="M276" s="239"/>
      <c r="N276" s="240"/>
      <c r="O276" s="331"/>
      <c r="P276" s="330"/>
      <c r="Q276" s="239"/>
      <c r="R276" s="239"/>
      <c r="S276" s="240"/>
      <c r="T276" s="331"/>
      <c r="U276" s="323"/>
      <c r="V276" s="239"/>
      <c r="W276" s="239"/>
      <c r="X276" s="240"/>
      <c r="Y276" s="240"/>
      <c r="Z276" s="238"/>
      <c r="AA276" s="239"/>
      <c r="AB276" s="239"/>
      <c r="AC276" s="240"/>
      <c r="AD276" s="240"/>
      <c r="AE276" s="238"/>
      <c r="AF276" s="239"/>
      <c r="AG276" s="239"/>
      <c r="AH276" s="240"/>
      <c r="AJ276" s="238"/>
      <c r="AK276" s="239"/>
      <c r="AL276" s="239"/>
      <c r="AM276" s="240"/>
      <c r="AO276" s="238"/>
      <c r="AP276" s="239"/>
      <c r="AQ276" s="239"/>
      <c r="AR276" s="240"/>
      <c r="AT276" s="238"/>
      <c r="AU276" s="239"/>
      <c r="AV276" s="239"/>
      <c r="AW276" s="240"/>
      <c r="AY276" s="238"/>
      <c r="AZ276" s="239"/>
      <c r="BA276" s="239"/>
      <c r="BB276" s="240"/>
      <c r="BD276" s="238"/>
      <c r="BE276" s="239"/>
      <c r="BF276" s="239"/>
      <c r="BG276" s="240"/>
      <c r="BI276" s="238"/>
      <c r="BJ276" s="239"/>
      <c r="BK276" s="239"/>
      <c r="BL276" s="240"/>
      <c r="BN276" s="238"/>
      <c r="BO276" s="239"/>
      <c r="BP276" s="239"/>
      <c r="BQ276" s="240"/>
      <c r="BS276" s="238"/>
      <c r="BT276" s="239"/>
      <c r="BU276" s="239"/>
      <c r="BV276" s="240"/>
      <c r="BX276" s="238"/>
      <c r="BY276" s="239"/>
      <c r="BZ276" s="239"/>
      <c r="CA276" s="240"/>
      <c r="CC276" s="238"/>
      <c r="CD276" s="239"/>
      <c r="CE276" s="239"/>
      <c r="CF276" s="240"/>
      <c r="CH276" s="238"/>
      <c r="CI276" s="239"/>
      <c r="CJ276" s="239"/>
      <c r="CK276" s="240"/>
      <c r="CM276" s="238"/>
      <c r="CN276" s="239"/>
      <c r="CO276" s="239"/>
      <c r="CP276" s="240"/>
      <c r="CR276" s="238"/>
      <c r="CS276" s="239"/>
      <c r="CT276" s="239"/>
      <c r="CU276" s="240"/>
      <c r="CW276" s="238"/>
      <c r="CX276" s="239"/>
      <c r="CY276" s="239"/>
      <c r="CZ276" s="240"/>
    </row>
    <row r="277" spans="1:104" ht="15" customHeight="1">
      <c r="A277" s="155"/>
      <c r="B277" s="155"/>
      <c r="C277" s="236"/>
      <c r="D277" s="237"/>
      <c r="E277" s="312"/>
      <c r="F277" s="330"/>
      <c r="G277" s="239"/>
      <c r="H277" s="239"/>
      <c r="I277" s="240"/>
      <c r="J277" s="331"/>
      <c r="K277" s="330"/>
      <c r="L277" s="239"/>
      <c r="M277" s="239"/>
      <c r="N277" s="240"/>
      <c r="O277" s="331"/>
      <c r="P277" s="330"/>
      <c r="Q277" s="239"/>
      <c r="R277" s="239"/>
      <c r="S277" s="240"/>
      <c r="T277" s="331"/>
      <c r="U277" s="323"/>
      <c r="V277" s="239"/>
      <c r="W277" s="239"/>
      <c r="X277" s="240"/>
      <c r="Y277" s="240"/>
      <c r="Z277" s="238"/>
      <c r="AA277" s="239"/>
      <c r="AB277" s="239"/>
      <c r="AC277" s="240"/>
      <c r="AD277" s="240"/>
      <c r="AE277" s="238"/>
      <c r="AF277" s="239"/>
      <c r="AG277" s="239"/>
      <c r="AH277" s="240"/>
      <c r="AJ277" s="238"/>
      <c r="AK277" s="239"/>
      <c r="AL277" s="239"/>
      <c r="AM277" s="240"/>
      <c r="AO277" s="238"/>
      <c r="AP277" s="239"/>
      <c r="AQ277" s="239"/>
      <c r="AR277" s="240"/>
      <c r="AT277" s="238"/>
      <c r="AU277" s="239"/>
      <c r="AV277" s="239"/>
      <c r="AW277" s="240"/>
      <c r="AY277" s="238"/>
      <c r="AZ277" s="239"/>
      <c r="BA277" s="239"/>
      <c r="BB277" s="240"/>
      <c r="BD277" s="238"/>
      <c r="BE277" s="239"/>
      <c r="BF277" s="239"/>
      <c r="BG277" s="240"/>
      <c r="BI277" s="238"/>
      <c r="BJ277" s="239"/>
      <c r="BK277" s="239"/>
      <c r="BL277" s="240"/>
      <c r="BN277" s="238"/>
      <c r="BO277" s="239"/>
      <c r="BP277" s="239"/>
      <c r="BQ277" s="240"/>
      <c r="BS277" s="238"/>
      <c r="BT277" s="239"/>
      <c r="BU277" s="239"/>
      <c r="BV277" s="240"/>
      <c r="BX277" s="238"/>
      <c r="BY277" s="239"/>
      <c r="BZ277" s="239"/>
      <c r="CA277" s="240"/>
      <c r="CC277" s="238"/>
      <c r="CD277" s="239"/>
      <c r="CE277" s="239"/>
      <c r="CF277" s="240"/>
      <c r="CH277" s="238"/>
      <c r="CI277" s="239"/>
      <c r="CJ277" s="239"/>
      <c r="CK277" s="240"/>
      <c r="CM277" s="238"/>
      <c r="CN277" s="239"/>
      <c r="CO277" s="239"/>
      <c r="CP277" s="240"/>
      <c r="CR277" s="238"/>
      <c r="CS277" s="239"/>
      <c r="CT277" s="239"/>
      <c r="CU277" s="240"/>
      <c r="CW277" s="238"/>
      <c r="CX277" s="239"/>
      <c r="CY277" s="239"/>
      <c r="CZ277" s="240"/>
    </row>
    <row r="278" spans="1:104" ht="15" customHeight="1">
      <c r="A278" s="155"/>
      <c r="B278" s="155"/>
      <c r="C278" s="236"/>
      <c r="D278" s="237"/>
      <c r="E278" s="312"/>
      <c r="F278" s="330"/>
      <c r="G278" s="239"/>
      <c r="H278" s="239"/>
      <c r="I278" s="240"/>
      <c r="J278" s="331"/>
      <c r="K278" s="330"/>
      <c r="L278" s="239"/>
      <c r="M278" s="239"/>
      <c r="N278" s="240"/>
      <c r="O278" s="331"/>
      <c r="P278" s="330"/>
      <c r="Q278" s="239"/>
      <c r="R278" s="239"/>
      <c r="S278" s="240"/>
      <c r="T278" s="331"/>
      <c r="U278" s="323"/>
      <c r="V278" s="239"/>
      <c r="W278" s="239"/>
      <c r="X278" s="240"/>
      <c r="Y278" s="240"/>
      <c r="Z278" s="238"/>
      <c r="AA278" s="239"/>
      <c r="AB278" s="239"/>
      <c r="AC278" s="240"/>
      <c r="AD278" s="240"/>
      <c r="AE278" s="238"/>
      <c r="AF278" s="239"/>
      <c r="AG278" s="239"/>
      <c r="AH278" s="240"/>
      <c r="AJ278" s="238"/>
      <c r="AK278" s="239"/>
      <c r="AL278" s="239"/>
      <c r="AM278" s="240"/>
      <c r="AO278" s="238"/>
      <c r="AP278" s="239"/>
      <c r="AQ278" s="239"/>
      <c r="AR278" s="240"/>
      <c r="AT278" s="238"/>
      <c r="AU278" s="239"/>
      <c r="AV278" s="239"/>
      <c r="AW278" s="240"/>
      <c r="AY278" s="238"/>
      <c r="AZ278" s="239"/>
      <c r="BA278" s="239"/>
      <c r="BB278" s="240"/>
      <c r="BD278" s="238"/>
      <c r="BE278" s="239"/>
      <c r="BF278" s="239"/>
      <c r="BG278" s="240"/>
      <c r="BI278" s="238"/>
      <c r="BJ278" s="239"/>
      <c r="BK278" s="239"/>
      <c r="BL278" s="240"/>
      <c r="BN278" s="238"/>
      <c r="BO278" s="239"/>
      <c r="BP278" s="239"/>
      <c r="BQ278" s="240"/>
      <c r="BS278" s="238"/>
      <c r="BT278" s="239"/>
      <c r="BU278" s="239"/>
      <c r="BV278" s="240"/>
      <c r="BX278" s="238"/>
      <c r="BY278" s="239"/>
      <c r="BZ278" s="239"/>
      <c r="CA278" s="240"/>
      <c r="CC278" s="238"/>
      <c r="CD278" s="239"/>
      <c r="CE278" s="239"/>
      <c r="CF278" s="240"/>
      <c r="CH278" s="238"/>
      <c r="CI278" s="239"/>
      <c r="CJ278" s="239"/>
      <c r="CK278" s="240"/>
      <c r="CM278" s="238"/>
      <c r="CN278" s="239"/>
      <c r="CO278" s="239"/>
      <c r="CP278" s="240"/>
      <c r="CR278" s="238"/>
      <c r="CS278" s="239"/>
      <c r="CT278" s="239"/>
      <c r="CU278" s="240"/>
      <c r="CW278" s="238"/>
      <c r="CX278" s="239"/>
      <c r="CY278" s="239"/>
      <c r="CZ278" s="240"/>
    </row>
    <row r="279" spans="1:104" ht="15" customHeight="1">
      <c r="A279" s="155"/>
      <c r="B279" s="155"/>
      <c r="C279" s="236"/>
      <c r="D279" s="237"/>
      <c r="E279" s="312"/>
      <c r="F279" s="330"/>
      <c r="G279" s="239"/>
      <c r="H279" s="239"/>
      <c r="I279" s="240"/>
      <c r="J279" s="331"/>
      <c r="K279" s="330"/>
      <c r="L279" s="239"/>
      <c r="M279" s="239"/>
      <c r="N279" s="240"/>
      <c r="O279" s="331"/>
      <c r="P279" s="330"/>
      <c r="Q279" s="239"/>
      <c r="R279" s="239"/>
      <c r="S279" s="240"/>
      <c r="T279" s="331"/>
      <c r="U279" s="323"/>
      <c r="V279" s="239"/>
      <c r="W279" s="239"/>
      <c r="X279" s="240"/>
      <c r="Y279" s="240"/>
      <c r="Z279" s="238"/>
      <c r="AA279" s="239"/>
      <c r="AB279" s="239"/>
      <c r="AC279" s="240"/>
      <c r="AD279" s="240"/>
      <c r="AE279" s="238"/>
      <c r="AF279" s="239"/>
      <c r="AG279" s="239"/>
      <c r="AH279" s="240"/>
      <c r="AJ279" s="238"/>
      <c r="AK279" s="239"/>
      <c r="AL279" s="239"/>
      <c r="AM279" s="240"/>
      <c r="AO279" s="238"/>
      <c r="AP279" s="239"/>
      <c r="AQ279" s="239"/>
      <c r="AR279" s="240"/>
      <c r="AT279" s="238"/>
      <c r="AU279" s="239"/>
      <c r="AV279" s="239"/>
      <c r="AW279" s="240"/>
      <c r="AY279" s="238"/>
      <c r="AZ279" s="239"/>
      <c r="BA279" s="239"/>
      <c r="BB279" s="240"/>
      <c r="BD279" s="238"/>
      <c r="BE279" s="239"/>
      <c r="BF279" s="239"/>
      <c r="BG279" s="240"/>
      <c r="BI279" s="238"/>
      <c r="BJ279" s="239"/>
      <c r="BK279" s="239"/>
      <c r="BL279" s="240"/>
      <c r="BN279" s="238"/>
      <c r="BO279" s="239"/>
      <c r="BP279" s="239"/>
      <c r="BQ279" s="240"/>
      <c r="BS279" s="238"/>
      <c r="BT279" s="239"/>
      <c r="BU279" s="239"/>
      <c r="BV279" s="240"/>
      <c r="BX279" s="238"/>
      <c r="BY279" s="239"/>
      <c r="BZ279" s="239"/>
      <c r="CA279" s="240"/>
      <c r="CC279" s="238"/>
      <c r="CD279" s="239"/>
      <c r="CE279" s="239"/>
      <c r="CF279" s="240"/>
      <c r="CH279" s="238"/>
      <c r="CI279" s="239"/>
      <c r="CJ279" s="239"/>
      <c r="CK279" s="240"/>
      <c r="CM279" s="238"/>
      <c r="CN279" s="239"/>
      <c r="CO279" s="239"/>
      <c r="CP279" s="240"/>
      <c r="CR279" s="238"/>
      <c r="CS279" s="239"/>
      <c r="CT279" s="239"/>
      <c r="CU279" s="240"/>
      <c r="CW279" s="238"/>
      <c r="CX279" s="239"/>
      <c r="CY279" s="239"/>
      <c r="CZ279" s="240"/>
    </row>
    <row r="280" spans="1:104" ht="15" customHeight="1">
      <c r="A280" s="155"/>
      <c r="B280" s="155"/>
      <c r="C280" s="236"/>
      <c r="D280" s="237"/>
      <c r="E280" s="312"/>
      <c r="F280" s="330"/>
      <c r="G280" s="239"/>
      <c r="H280" s="239"/>
      <c r="I280" s="240"/>
      <c r="J280" s="331"/>
      <c r="K280" s="330"/>
      <c r="L280" s="239"/>
      <c r="M280" s="239"/>
      <c r="N280" s="240"/>
      <c r="O280" s="331"/>
      <c r="P280" s="330"/>
      <c r="Q280" s="239"/>
      <c r="R280" s="239"/>
      <c r="S280" s="240"/>
      <c r="T280" s="331"/>
      <c r="U280" s="323"/>
      <c r="V280" s="239"/>
      <c r="W280" s="239"/>
      <c r="X280" s="240"/>
      <c r="Y280" s="240"/>
      <c r="Z280" s="238"/>
      <c r="AA280" s="239"/>
      <c r="AB280" s="239"/>
      <c r="AC280" s="240"/>
      <c r="AD280" s="240"/>
      <c r="AE280" s="238"/>
      <c r="AF280" s="239"/>
      <c r="AG280" s="239"/>
      <c r="AH280" s="240"/>
      <c r="AJ280" s="238"/>
      <c r="AK280" s="239"/>
      <c r="AL280" s="239"/>
      <c r="AM280" s="240"/>
      <c r="AO280" s="238"/>
      <c r="AP280" s="239"/>
      <c r="AQ280" s="239"/>
      <c r="AR280" s="240"/>
      <c r="AT280" s="238"/>
      <c r="AU280" s="239"/>
      <c r="AV280" s="239"/>
      <c r="AW280" s="240"/>
      <c r="AY280" s="238"/>
      <c r="AZ280" s="239"/>
      <c r="BA280" s="239"/>
      <c r="BB280" s="240"/>
      <c r="BD280" s="238"/>
      <c r="BE280" s="239"/>
      <c r="BF280" s="239"/>
      <c r="BG280" s="240"/>
      <c r="BI280" s="238"/>
      <c r="BJ280" s="239"/>
      <c r="BK280" s="239"/>
      <c r="BL280" s="240"/>
      <c r="BN280" s="238"/>
      <c r="BO280" s="239"/>
      <c r="BP280" s="239"/>
      <c r="BQ280" s="240"/>
      <c r="BS280" s="238"/>
      <c r="BT280" s="239"/>
      <c r="BU280" s="239"/>
      <c r="BV280" s="240"/>
      <c r="BX280" s="238"/>
      <c r="BY280" s="239"/>
      <c r="BZ280" s="239"/>
      <c r="CA280" s="240"/>
      <c r="CC280" s="238"/>
      <c r="CD280" s="239"/>
      <c r="CE280" s="239"/>
      <c r="CF280" s="240"/>
      <c r="CH280" s="238"/>
      <c r="CI280" s="239"/>
      <c r="CJ280" s="239"/>
      <c r="CK280" s="240"/>
      <c r="CM280" s="238"/>
      <c r="CN280" s="239"/>
      <c r="CO280" s="239"/>
      <c r="CP280" s="240"/>
      <c r="CR280" s="238"/>
      <c r="CS280" s="239"/>
      <c r="CT280" s="239"/>
      <c r="CU280" s="240"/>
      <c r="CW280" s="238"/>
      <c r="CX280" s="239"/>
      <c r="CY280" s="239"/>
      <c r="CZ280" s="240"/>
    </row>
    <row r="281" spans="1:104" ht="15" customHeight="1">
      <c r="A281" s="155"/>
      <c r="B281" s="155"/>
      <c r="C281" s="236"/>
      <c r="D281" s="237"/>
      <c r="E281" s="312"/>
      <c r="F281" s="330"/>
      <c r="G281" s="239"/>
      <c r="H281" s="239"/>
      <c r="I281" s="240"/>
      <c r="J281" s="331"/>
      <c r="K281" s="330"/>
      <c r="L281" s="239"/>
      <c r="M281" s="239"/>
      <c r="N281" s="240"/>
      <c r="O281" s="331"/>
      <c r="P281" s="330"/>
      <c r="Q281" s="239"/>
      <c r="R281" s="239"/>
      <c r="S281" s="240"/>
      <c r="T281" s="331"/>
      <c r="U281" s="323"/>
      <c r="V281" s="239"/>
      <c r="W281" s="239"/>
      <c r="X281" s="240"/>
      <c r="Y281" s="240"/>
      <c r="Z281" s="238"/>
      <c r="AA281" s="239"/>
      <c r="AB281" s="239"/>
      <c r="AC281" s="240"/>
      <c r="AD281" s="240"/>
      <c r="AE281" s="238"/>
      <c r="AF281" s="239"/>
      <c r="AG281" s="239"/>
      <c r="AH281" s="240"/>
      <c r="AJ281" s="238"/>
      <c r="AK281" s="239"/>
      <c r="AL281" s="239"/>
      <c r="AM281" s="240"/>
      <c r="AO281" s="238"/>
      <c r="AP281" s="239"/>
      <c r="AQ281" s="239"/>
      <c r="AR281" s="240"/>
      <c r="AT281" s="238"/>
      <c r="AU281" s="239"/>
      <c r="AV281" s="239"/>
      <c r="AW281" s="240"/>
      <c r="AY281" s="238"/>
      <c r="AZ281" s="239"/>
      <c r="BA281" s="239"/>
      <c r="BB281" s="240"/>
      <c r="BD281" s="238"/>
      <c r="BE281" s="239"/>
      <c r="BF281" s="239"/>
      <c r="BG281" s="240"/>
      <c r="BI281" s="238"/>
      <c r="BJ281" s="239"/>
      <c r="BK281" s="239"/>
      <c r="BL281" s="240"/>
      <c r="BN281" s="238"/>
      <c r="BO281" s="239"/>
      <c r="BP281" s="239"/>
      <c r="BQ281" s="240"/>
      <c r="BS281" s="238"/>
      <c r="BT281" s="239"/>
      <c r="BU281" s="239"/>
      <c r="BV281" s="240"/>
      <c r="BX281" s="238"/>
      <c r="BY281" s="239"/>
      <c r="BZ281" s="239"/>
      <c r="CA281" s="240"/>
      <c r="CC281" s="238"/>
      <c r="CD281" s="239"/>
      <c r="CE281" s="239"/>
      <c r="CF281" s="240"/>
      <c r="CH281" s="238"/>
      <c r="CI281" s="239"/>
      <c r="CJ281" s="239"/>
      <c r="CK281" s="240"/>
      <c r="CM281" s="238"/>
      <c r="CN281" s="239"/>
      <c r="CO281" s="239"/>
      <c r="CP281" s="240"/>
      <c r="CR281" s="238"/>
      <c r="CS281" s="239"/>
      <c r="CT281" s="239"/>
      <c r="CU281" s="240"/>
      <c r="CW281" s="238"/>
      <c r="CX281" s="239"/>
      <c r="CY281" s="239"/>
      <c r="CZ281" s="240"/>
    </row>
    <row r="282" spans="1:104" ht="15" customHeight="1">
      <c r="A282" s="155"/>
      <c r="B282" s="155"/>
      <c r="C282" s="236"/>
      <c r="D282" s="237"/>
      <c r="E282" s="312"/>
      <c r="F282" s="330"/>
      <c r="G282" s="239"/>
      <c r="H282" s="239"/>
      <c r="I282" s="240"/>
      <c r="J282" s="331"/>
      <c r="K282" s="330"/>
      <c r="L282" s="239"/>
      <c r="M282" s="239"/>
      <c r="N282" s="240"/>
      <c r="O282" s="331"/>
      <c r="P282" s="330"/>
      <c r="Q282" s="239"/>
      <c r="R282" s="239"/>
      <c r="S282" s="240"/>
      <c r="T282" s="331"/>
      <c r="U282" s="323"/>
      <c r="V282" s="239"/>
      <c r="W282" s="239"/>
      <c r="X282" s="240"/>
      <c r="Y282" s="240"/>
      <c r="Z282" s="238"/>
      <c r="AA282" s="239"/>
      <c r="AB282" s="239"/>
      <c r="AC282" s="240"/>
      <c r="AD282" s="240"/>
      <c r="AE282" s="238"/>
      <c r="AF282" s="239"/>
      <c r="AG282" s="239"/>
      <c r="AH282" s="240"/>
      <c r="AJ282" s="238"/>
      <c r="AK282" s="239"/>
      <c r="AL282" s="239"/>
      <c r="AM282" s="240"/>
      <c r="AO282" s="238"/>
      <c r="AP282" s="239"/>
      <c r="AQ282" s="239"/>
      <c r="AR282" s="240"/>
      <c r="AT282" s="238"/>
      <c r="AU282" s="239"/>
      <c r="AV282" s="239"/>
      <c r="AW282" s="240"/>
      <c r="AY282" s="238"/>
      <c r="AZ282" s="239"/>
      <c r="BA282" s="239"/>
      <c r="BB282" s="240"/>
      <c r="BD282" s="238"/>
      <c r="BE282" s="239"/>
      <c r="BF282" s="239"/>
      <c r="BG282" s="240"/>
      <c r="BI282" s="238"/>
      <c r="BJ282" s="239"/>
      <c r="BK282" s="239"/>
      <c r="BL282" s="240"/>
      <c r="BN282" s="238"/>
      <c r="BO282" s="239"/>
      <c r="BP282" s="239"/>
      <c r="BQ282" s="240"/>
      <c r="BS282" s="238"/>
      <c r="BT282" s="239"/>
      <c r="BU282" s="239"/>
      <c r="BV282" s="240"/>
      <c r="BX282" s="238"/>
      <c r="BY282" s="239"/>
      <c r="BZ282" s="239"/>
      <c r="CA282" s="240"/>
      <c r="CC282" s="238"/>
      <c r="CD282" s="239"/>
      <c r="CE282" s="239"/>
      <c r="CF282" s="240"/>
      <c r="CH282" s="238"/>
      <c r="CI282" s="239"/>
      <c r="CJ282" s="239"/>
      <c r="CK282" s="240"/>
      <c r="CM282" s="238"/>
      <c r="CN282" s="239"/>
      <c r="CO282" s="239"/>
      <c r="CP282" s="240"/>
      <c r="CR282" s="238"/>
      <c r="CS282" s="239"/>
      <c r="CT282" s="239"/>
      <c r="CU282" s="240"/>
      <c r="CW282" s="238"/>
      <c r="CX282" s="239"/>
      <c r="CY282" s="239"/>
      <c r="CZ282" s="240"/>
    </row>
    <row r="283" spans="1:104" ht="15" customHeight="1">
      <c r="A283" s="155"/>
      <c r="B283" s="155"/>
      <c r="C283" s="236"/>
      <c r="D283" s="237"/>
      <c r="E283" s="312"/>
      <c r="F283" s="330"/>
      <c r="G283" s="239"/>
      <c r="H283" s="239"/>
      <c r="I283" s="240"/>
      <c r="J283" s="331"/>
      <c r="K283" s="330"/>
      <c r="L283" s="239"/>
      <c r="M283" s="239"/>
      <c r="N283" s="240"/>
      <c r="O283" s="331"/>
      <c r="P283" s="330"/>
      <c r="Q283" s="239"/>
      <c r="R283" s="239"/>
      <c r="S283" s="240"/>
      <c r="T283" s="331"/>
      <c r="U283" s="323"/>
      <c r="V283" s="239"/>
      <c r="W283" s="239"/>
      <c r="X283" s="240"/>
      <c r="Y283" s="240"/>
      <c r="Z283" s="238"/>
      <c r="AA283" s="239"/>
      <c r="AB283" s="239"/>
      <c r="AC283" s="240"/>
      <c r="AD283" s="240"/>
      <c r="AE283" s="238"/>
      <c r="AF283" s="239"/>
      <c r="AG283" s="239"/>
      <c r="AH283" s="240"/>
      <c r="AJ283" s="238"/>
      <c r="AK283" s="239"/>
      <c r="AL283" s="239"/>
      <c r="AM283" s="240"/>
      <c r="AO283" s="238"/>
      <c r="AP283" s="239"/>
      <c r="AQ283" s="239"/>
      <c r="AR283" s="240"/>
      <c r="AT283" s="238"/>
      <c r="AU283" s="239"/>
      <c r="AV283" s="239"/>
      <c r="AW283" s="240"/>
      <c r="AY283" s="238"/>
      <c r="AZ283" s="239"/>
      <c r="BA283" s="239"/>
      <c r="BB283" s="240"/>
      <c r="BD283" s="238"/>
      <c r="BE283" s="239"/>
      <c r="BF283" s="239"/>
      <c r="BG283" s="240"/>
      <c r="BI283" s="238"/>
      <c r="BJ283" s="239"/>
      <c r="BK283" s="239"/>
      <c r="BL283" s="240"/>
      <c r="BN283" s="238"/>
      <c r="BO283" s="239"/>
      <c r="BP283" s="239"/>
      <c r="BQ283" s="240"/>
      <c r="BS283" s="238"/>
      <c r="BT283" s="239"/>
      <c r="BU283" s="239"/>
      <c r="BV283" s="240"/>
      <c r="BX283" s="238"/>
      <c r="BY283" s="239"/>
      <c r="BZ283" s="239"/>
      <c r="CA283" s="240"/>
      <c r="CC283" s="238"/>
      <c r="CD283" s="239"/>
      <c r="CE283" s="239"/>
      <c r="CF283" s="240"/>
      <c r="CH283" s="238"/>
      <c r="CI283" s="239"/>
      <c r="CJ283" s="239"/>
      <c r="CK283" s="240"/>
      <c r="CM283" s="238"/>
      <c r="CN283" s="239"/>
      <c r="CO283" s="239"/>
      <c r="CP283" s="240"/>
      <c r="CR283" s="238"/>
      <c r="CS283" s="239"/>
      <c r="CT283" s="239"/>
      <c r="CU283" s="240"/>
      <c r="CW283" s="238"/>
      <c r="CX283" s="239"/>
      <c r="CY283" s="239"/>
      <c r="CZ283" s="240"/>
    </row>
    <row r="284" spans="1:104" ht="15" customHeight="1">
      <c r="A284" s="155"/>
      <c r="B284" s="155"/>
      <c r="C284" s="236"/>
      <c r="D284" s="237"/>
      <c r="E284" s="312"/>
      <c r="F284" s="330"/>
      <c r="G284" s="239"/>
      <c r="H284" s="239"/>
      <c r="I284" s="240"/>
      <c r="J284" s="331"/>
      <c r="K284" s="330"/>
      <c r="L284" s="239"/>
      <c r="M284" s="239"/>
      <c r="N284" s="240"/>
      <c r="O284" s="331"/>
      <c r="P284" s="330"/>
      <c r="Q284" s="239"/>
      <c r="R284" s="239"/>
      <c r="S284" s="240"/>
      <c r="T284" s="331"/>
      <c r="U284" s="323"/>
      <c r="V284" s="239"/>
      <c r="W284" s="239"/>
      <c r="X284" s="240"/>
      <c r="Y284" s="240"/>
      <c r="Z284" s="238"/>
      <c r="AA284" s="239"/>
      <c r="AB284" s="239"/>
      <c r="AC284" s="240"/>
      <c r="AD284" s="240"/>
      <c r="AE284" s="238"/>
      <c r="AF284" s="239"/>
      <c r="AG284" s="239"/>
      <c r="AH284" s="240"/>
      <c r="AJ284" s="238"/>
      <c r="AK284" s="239"/>
      <c r="AL284" s="239"/>
      <c r="AM284" s="240"/>
      <c r="AO284" s="238"/>
      <c r="AP284" s="239"/>
      <c r="AQ284" s="239"/>
      <c r="AR284" s="240"/>
      <c r="AT284" s="238"/>
      <c r="AU284" s="239"/>
      <c r="AV284" s="239"/>
      <c r="AW284" s="240"/>
      <c r="AY284" s="238"/>
      <c r="AZ284" s="239"/>
      <c r="BA284" s="239"/>
      <c r="BB284" s="240"/>
      <c r="BD284" s="238"/>
      <c r="BE284" s="239"/>
      <c r="BF284" s="239"/>
      <c r="BG284" s="240"/>
      <c r="BI284" s="238"/>
      <c r="BJ284" s="239"/>
      <c r="BK284" s="239"/>
      <c r="BL284" s="240"/>
      <c r="BN284" s="238"/>
      <c r="BO284" s="239"/>
      <c r="BP284" s="239"/>
      <c r="BQ284" s="240"/>
      <c r="BS284" s="238"/>
      <c r="BT284" s="239"/>
      <c r="BU284" s="239"/>
      <c r="BV284" s="240"/>
      <c r="BX284" s="238"/>
      <c r="BY284" s="239"/>
      <c r="BZ284" s="239"/>
      <c r="CA284" s="240"/>
      <c r="CC284" s="238"/>
      <c r="CD284" s="239"/>
      <c r="CE284" s="239"/>
      <c r="CF284" s="240"/>
      <c r="CH284" s="238"/>
      <c r="CI284" s="239"/>
      <c r="CJ284" s="239"/>
      <c r="CK284" s="240"/>
      <c r="CM284" s="238"/>
      <c r="CN284" s="239"/>
      <c r="CO284" s="239"/>
      <c r="CP284" s="240"/>
      <c r="CR284" s="238"/>
      <c r="CS284" s="239"/>
      <c r="CT284" s="239"/>
      <c r="CU284" s="240"/>
      <c r="CW284" s="238"/>
      <c r="CX284" s="239"/>
      <c r="CY284" s="239"/>
      <c r="CZ284" s="240"/>
    </row>
    <row r="285" spans="1:104" ht="15" customHeight="1">
      <c r="A285" s="155"/>
      <c r="B285" s="155"/>
      <c r="C285" s="236"/>
      <c r="D285" s="237"/>
      <c r="E285" s="312"/>
      <c r="F285" s="330"/>
      <c r="G285" s="239"/>
      <c r="H285" s="239"/>
      <c r="I285" s="240"/>
      <c r="J285" s="331"/>
      <c r="K285" s="330"/>
      <c r="L285" s="239"/>
      <c r="M285" s="239"/>
      <c r="N285" s="240"/>
      <c r="O285" s="331"/>
      <c r="P285" s="330"/>
      <c r="Q285" s="239"/>
      <c r="R285" s="239"/>
      <c r="S285" s="240"/>
      <c r="T285" s="331"/>
      <c r="U285" s="323"/>
      <c r="V285" s="239"/>
      <c r="W285" s="239"/>
      <c r="X285" s="240"/>
      <c r="Y285" s="240"/>
      <c r="Z285" s="238"/>
      <c r="AA285" s="239"/>
      <c r="AB285" s="239"/>
      <c r="AC285" s="240"/>
      <c r="AD285" s="240"/>
      <c r="AE285" s="238"/>
      <c r="AF285" s="239"/>
      <c r="AG285" s="239"/>
      <c r="AH285" s="240"/>
      <c r="AJ285" s="238"/>
      <c r="AK285" s="239"/>
      <c r="AL285" s="239"/>
      <c r="AM285" s="240"/>
      <c r="AO285" s="238"/>
      <c r="AP285" s="239"/>
      <c r="AQ285" s="239"/>
      <c r="AR285" s="240"/>
      <c r="AT285" s="238"/>
      <c r="AU285" s="239"/>
      <c r="AV285" s="239"/>
      <c r="AW285" s="240"/>
      <c r="AY285" s="238"/>
      <c r="AZ285" s="239"/>
      <c r="BA285" s="239"/>
      <c r="BB285" s="240"/>
      <c r="BD285" s="238"/>
      <c r="BE285" s="239"/>
      <c r="BF285" s="239"/>
      <c r="BG285" s="240"/>
      <c r="BI285" s="238"/>
      <c r="BJ285" s="239"/>
      <c r="BK285" s="239"/>
      <c r="BL285" s="240"/>
      <c r="BN285" s="238"/>
      <c r="BO285" s="239"/>
      <c r="BP285" s="239"/>
      <c r="BQ285" s="240"/>
      <c r="BS285" s="238"/>
      <c r="BT285" s="239"/>
      <c r="BU285" s="239"/>
      <c r="BV285" s="240"/>
      <c r="BX285" s="238"/>
      <c r="BY285" s="239"/>
      <c r="BZ285" s="239"/>
      <c r="CA285" s="240"/>
      <c r="CC285" s="238"/>
      <c r="CD285" s="239"/>
      <c r="CE285" s="239"/>
      <c r="CF285" s="240"/>
      <c r="CH285" s="238"/>
      <c r="CI285" s="239"/>
      <c r="CJ285" s="239"/>
      <c r="CK285" s="240"/>
      <c r="CM285" s="238"/>
      <c r="CN285" s="239"/>
      <c r="CO285" s="239"/>
      <c r="CP285" s="240"/>
      <c r="CR285" s="238"/>
      <c r="CS285" s="239"/>
      <c r="CT285" s="239"/>
      <c r="CU285" s="240"/>
      <c r="CW285" s="238"/>
      <c r="CX285" s="239"/>
      <c r="CY285" s="239"/>
      <c r="CZ285" s="240"/>
    </row>
    <row r="286" spans="1:104" ht="15" customHeight="1">
      <c r="A286" s="155"/>
      <c r="B286" s="155"/>
      <c r="C286" s="236"/>
      <c r="D286" s="237"/>
      <c r="E286" s="312"/>
      <c r="F286" s="330"/>
      <c r="G286" s="239"/>
      <c r="H286" s="239"/>
      <c r="I286" s="240"/>
      <c r="J286" s="331"/>
      <c r="K286" s="330"/>
      <c r="L286" s="239"/>
      <c r="M286" s="239"/>
      <c r="N286" s="240"/>
      <c r="O286" s="331"/>
      <c r="P286" s="330"/>
      <c r="Q286" s="239"/>
      <c r="R286" s="239"/>
      <c r="S286" s="240"/>
      <c r="T286" s="331"/>
      <c r="U286" s="323"/>
      <c r="V286" s="239"/>
      <c r="W286" s="239"/>
      <c r="X286" s="240"/>
      <c r="Y286" s="240"/>
      <c r="Z286" s="238"/>
      <c r="AA286" s="239"/>
      <c r="AB286" s="239"/>
      <c r="AC286" s="240"/>
      <c r="AD286" s="240"/>
      <c r="AE286" s="238"/>
      <c r="AF286" s="239"/>
      <c r="AG286" s="239"/>
      <c r="AH286" s="240"/>
      <c r="AJ286" s="238"/>
      <c r="AK286" s="239"/>
      <c r="AL286" s="239"/>
      <c r="AM286" s="240"/>
      <c r="AO286" s="238"/>
      <c r="AP286" s="239"/>
      <c r="AQ286" s="239"/>
      <c r="AR286" s="240"/>
      <c r="AT286" s="238"/>
      <c r="AU286" s="239"/>
      <c r="AV286" s="239"/>
      <c r="AW286" s="240"/>
      <c r="AY286" s="238"/>
      <c r="AZ286" s="239"/>
      <c r="BA286" s="239"/>
      <c r="BB286" s="240"/>
      <c r="BD286" s="238"/>
      <c r="BE286" s="239"/>
      <c r="BF286" s="239"/>
      <c r="BG286" s="240"/>
      <c r="BI286" s="238"/>
      <c r="BJ286" s="239"/>
      <c r="BK286" s="239"/>
      <c r="BL286" s="240"/>
      <c r="BN286" s="238"/>
      <c r="BO286" s="239"/>
      <c r="BP286" s="239"/>
      <c r="BQ286" s="240"/>
      <c r="BS286" s="238"/>
      <c r="BT286" s="239"/>
      <c r="BU286" s="239"/>
      <c r="BV286" s="240"/>
      <c r="BX286" s="238"/>
      <c r="BY286" s="239"/>
      <c r="BZ286" s="239"/>
      <c r="CA286" s="240"/>
      <c r="CC286" s="238"/>
      <c r="CD286" s="239"/>
      <c r="CE286" s="239"/>
      <c r="CF286" s="240"/>
      <c r="CH286" s="238"/>
      <c r="CI286" s="239"/>
      <c r="CJ286" s="239"/>
      <c r="CK286" s="240"/>
      <c r="CM286" s="238"/>
      <c r="CN286" s="239"/>
      <c r="CO286" s="239"/>
      <c r="CP286" s="240"/>
      <c r="CR286" s="238"/>
      <c r="CS286" s="239"/>
      <c r="CT286" s="239"/>
      <c r="CU286" s="240"/>
      <c r="CW286" s="238"/>
      <c r="CX286" s="239"/>
      <c r="CY286" s="239"/>
      <c r="CZ286" s="240"/>
    </row>
    <row r="287" spans="1:104" ht="15" customHeight="1">
      <c r="A287" s="155"/>
      <c r="B287" s="155"/>
      <c r="C287" s="236"/>
      <c r="D287" s="237"/>
      <c r="E287" s="312"/>
      <c r="F287" s="330"/>
      <c r="G287" s="239"/>
      <c r="H287" s="239"/>
      <c r="I287" s="240"/>
      <c r="J287" s="331"/>
      <c r="K287" s="330"/>
      <c r="L287" s="239"/>
      <c r="M287" s="239"/>
      <c r="N287" s="240"/>
      <c r="O287" s="331"/>
      <c r="P287" s="330"/>
      <c r="Q287" s="239"/>
      <c r="R287" s="239"/>
      <c r="S287" s="240"/>
      <c r="T287" s="331"/>
      <c r="U287" s="323"/>
      <c r="V287" s="239"/>
      <c r="W287" s="239"/>
      <c r="X287" s="240"/>
      <c r="Y287" s="240"/>
      <c r="Z287" s="238"/>
      <c r="AA287" s="239"/>
      <c r="AB287" s="239"/>
      <c r="AC287" s="240"/>
      <c r="AD287" s="240"/>
      <c r="AE287" s="238"/>
      <c r="AF287" s="239"/>
      <c r="AG287" s="239"/>
      <c r="AH287" s="240"/>
      <c r="AJ287" s="238"/>
      <c r="AK287" s="239"/>
      <c r="AL287" s="239"/>
      <c r="AM287" s="240"/>
      <c r="AO287" s="238"/>
      <c r="AP287" s="239"/>
      <c r="AQ287" s="239"/>
      <c r="AR287" s="240"/>
      <c r="AT287" s="238"/>
      <c r="AU287" s="239"/>
      <c r="AV287" s="239"/>
      <c r="AW287" s="240"/>
      <c r="AY287" s="238"/>
      <c r="AZ287" s="239"/>
      <c r="BA287" s="239"/>
      <c r="BB287" s="240"/>
      <c r="BD287" s="238"/>
      <c r="BE287" s="239"/>
      <c r="BF287" s="239"/>
      <c r="BG287" s="240"/>
      <c r="BI287" s="238"/>
      <c r="BJ287" s="239"/>
      <c r="BK287" s="239"/>
      <c r="BL287" s="240"/>
      <c r="BN287" s="238"/>
      <c r="BO287" s="239"/>
      <c r="BP287" s="239"/>
      <c r="BQ287" s="240"/>
      <c r="BS287" s="238"/>
      <c r="BT287" s="239"/>
      <c r="BU287" s="239"/>
      <c r="BV287" s="240"/>
      <c r="BX287" s="238"/>
      <c r="BY287" s="239"/>
      <c r="BZ287" s="239"/>
      <c r="CA287" s="240"/>
      <c r="CC287" s="238"/>
      <c r="CD287" s="239"/>
      <c r="CE287" s="239"/>
      <c r="CF287" s="240"/>
      <c r="CH287" s="238"/>
      <c r="CI287" s="239"/>
      <c r="CJ287" s="239"/>
      <c r="CK287" s="240"/>
      <c r="CM287" s="238"/>
      <c r="CN287" s="239"/>
      <c r="CO287" s="239"/>
      <c r="CP287" s="240"/>
      <c r="CR287" s="238"/>
      <c r="CS287" s="239"/>
      <c r="CT287" s="239"/>
      <c r="CU287" s="240"/>
      <c r="CW287" s="238"/>
      <c r="CX287" s="239"/>
      <c r="CY287" s="239"/>
      <c r="CZ287" s="240"/>
    </row>
    <row r="288" spans="1:104" ht="15" customHeight="1">
      <c r="A288" s="155"/>
      <c r="B288" s="155"/>
      <c r="C288" s="236"/>
      <c r="D288" s="237"/>
      <c r="E288" s="312"/>
      <c r="F288" s="330"/>
      <c r="G288" s="239"/>
      <c r="H288" s="239"/>
      <c r="I288" s="240"/>
      <c r="J288" s="331"/>
      <c r="K288" s="330"/>
      <c r="L288" s="239"/>
      <c r="M288" s="239"/>
      <c r="N288" s="240"/>
      <c r="O288" s="331"/>
      <c r="P288" s="330"/>
      <c r="Q288" s="239"/>
      <c r="R288" s="239"/>
      <c r="S288" s="240"/>
      <c r="T288" s="331"/>
      <c r="U288" s="323"/>
      <c r="V288" s="239"/>
      <c r="W288" s="239"/>
      <c r="X288" s="240"/>
      <c r="Y288" s="240"/>
      <c r="Z288" s="238"/>
      <c r="AA288" s="239"/>
      <c r="AB288" s="239"/>
      <c r="AC288" s="240"/>
      <c r="AD288" s="240"/>
      <c r="AE288" s="238"/>
      <c r="AF288" s="239"/>
      <c r="AG288" s="239"/>
      <c r="AH288" s="240"/>
      <c r="AJ288" s="238"/>
      <c r="AK288" s="239"/>
      <c r="AL288" s="239"/>
      <c r="AM288" s="240"/>
      <c r="AO288" s="238"/>
      <c r="AP288" s="239"/>
      <c r="AQ288" s="239"/>
      <c r="AR288" s="240"/>
      <c r="AT288" s="238"/>
      <c r="AU288" s="239"/>
      <c r="AV288" s="239"/>
      <c r="AW288" s="240"/>
      <c r="AY288" s="238"/>
      <c r="AZ288" s="239"/>
      <c r="BA288" s="239"/>
      <c r="BB288" s="240"/>
      <c r="BD288" s="238"/>
      <c r="BE288" s="239"/>
      <c r="BF288" s="239"/>
      <c r="BG288" s="240"/>
      <c r="BI288" s="238"/>
      <c r="BJ288" s="239"/>
      <c r="BK288" s="239"/>
      <c r="BL288" s="240"/>
      <c r="BN288" s="238"/>
      <c r="BO288" s="239"/>
      <c r="BP288" s="239"/>
      <c r="BQ288" s="240"/>
      <c r="BS288" s="238"/>
      <c r="BT288" s="239"/>
      <c r="BU288" s="239"/>
      <c r="BV288" s="240"/>
      <c r="BX288" s="238"/>
      <c r="BY288" s="239"/>
      <c r="BZ288" s="239"/>
      <c r="CA288" s="240"/>
      <c r="CC288" s="238"/>
      <c r="CD288" s="239"/>
      <c r="CE288" s="239"/>
      <c r="CF288" s="240"/>
      <c r="CH288" s="238"/>
      <c r="CI288" s="239"/>
      <c r="CJ288" s="239"/>
      <c r="CK288" s="240"/>
      <c r="CM288" s="238"/>
      <c r="CN288" s="239"/>
      <c r="CO288" s="239"/>
      <c r="CP288" s="240"/>
      <c r="CR288" s="238"/>
      <c r="CS288" s="239"/>
      <c r="CT288" s="239"/>
      <c r="CU288" s="240"/>
      <c r="CW288" s="238"/>
      <c r="CX288" s="239"/>
      <c r="CY288" s="239"/>
      <c r="CZ288" s="240"/>
    </row>
    <row r="289" spans="1:104" ht="15" customHeight="1">
      <c r="A289" s="155"/>
      <c r="B289" s="155"/>
      <c r="C289" s="236"/>
      <c r="D289" s="237"/>
      <c r="E289" s="312"/>
      <c r="F289" s="330"/>
      <c r="G289" s="239"/>
      <c r="H289" s="239"/>
      <c r="I289" s="240"/>
      <c r="J289" s="331"/>
      <c r="K289" s="330"/>
      <c r="L289" s="239"/>
      <c r="M289" s="239"/>
      <c r="N289" s="240"/>
      <c r="O289" s="331"/>
      <c r="P289" s="330"/>
      <c r="Q289" s="239"/>
      <c r="R289" s="239"/>
      <c r="S289" s="240"/>
      <c r="T289" s="331"/>
      <c r="U289" s="323"/>
      <c r="V289" s="239"/>
      <c r="W289" s="239"/>
      <c r="X289" s="240"/>
      <c r="Y289" s="240"/>
      <c r="Z289" s="238"/>
      <c r="AA289" s="239"/>
      <c r="AB289" s="239"/>
      <c r="AC289" s="240"/>
      <c r="AD289" s="240"/>
      <c r="AE289" s="238"/>
      <c r="AF289" s="239"/>
      <c r="AG289" s="239"/>
      <c r="AH289" s="240"/>
      <c r="AJ289" s="238"/>
      <c r="AK289" s="239"/>
      <c r="AL289" s="239"/>
      <c r="AM289" s="240"/>
      <c r="AO289" s="238"/>
      <c r="AP289" s="239"/>
      <c r="AQ289" s="239"/>
      <c r="AR289" s="240"/>
      <c r="AT289" s="238"/>
      <c r="AU289" s="239"/>
      <c r="AV289" s="239"/>
      <c r="AW289" s="240"/>
      <c r="AY289" s="238"/>
      <c r="AZ289" s="239"/>
      <c r="BA289" s="239"/>
      <c r="BB289" s="240"/>
      <c r="BD289" s="238"/>
      <c r="BE289" s="239"/>
      <c r="BF289" s="239"/>
      <c r="BG289" s="240"/>
      <c r="BI289" s="238"/>
      <c r="BJ289" s="239"/>
      <c r="BK289" s="239"/>
      <c r="BL289" s="240"/>
      <c r="BN289" s="238"/>
      <c r="BO289" s="239"/>
      <c r="BP289" s="239"/>
      <c r="BQ289" s="240"/>
      <c r="BS289" s="238"/>
      <c r="BT289" s="239"/>
      <c r="BU289" s="239"/>
      <c r="BV289" s="240"/>
      <c r="BX289" s="238"/>
      <c r="BY289" s="239"/>
      <c r="BZ289" s="239"/>
      <c r="CA289" s="240"/>
      <c r="CC289" s="238"/>
      <c r="CD289" s="239"/>
      <c r="CE289" s="239"/>
      <c r="CF289" s="240"/>
      <c r="CH289" s="238"/>
      <c r="CI289" s="239"/>
      <c r="CJ289" s="239"/>
      <c r="CK289" s="240"/>
      <c r="CM289" s="238"/>
      <c r="CN289" s="239"/>
      <c r="CO289" s="239"/>
      <c r="CP289" s="240"/>
      <c r="CR289" s="238"/>
      <c r="CS289" s="239"/>
      <c r="CT289" s="239"/>
      <c r="CU289" s="240"/>
      <c r="CW289" s="238"/>
      <c r="CX289" s="239"/>
      <c r="CY289" s="239"/>
      <c r="CZ289" s="240"/>
    </row>
    <row r="290" spans="1:104" ht="15" customHeight="1"/>
    <row r="291" spans="1:104" ht="15" customHeight="1"/>
    <row r="292" spans="1:104" ht="15" customHeight="1"/>
    <row r="293" spans="1:104" ht="15" customHeight="1"/>
    <row r="294" spans="1:104" ht="15" customHeight="1"/>
    <row r="295" spans="1:104" ht="15" customHeight="1"/>
    <row r="296" spans="1:104" ht="15" customHeight="1"/>
    <row r="297" spans="1:104" ht="15" customHeight="1"/>
    <row r="298" spans="1:104" ht="15" customHeight="1"/>
    <row r="299" spans="1:104" ht="15" customHeight="1"/>
    <row r="300" spans="1:104" ht="15" customHeight="1"/>
    <row r="301" spans="1:104" ht="15" customHeight="1"/>
    <row r="302" spans="1:104" ht="15" customHeight="1"/>
    <row r="303" spans="1:104" ht="15" customHeight="1"/>
    <row r="304" spans="1:1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</sheetData>
  <phoneticPr fontId="31" type="noConversion"/>
  <pageMargins left="0.70833333333333304" right="0.70833333333333304" top="0.74791666666666701" bottom="0.74791666666666701" header="0.51180555555555496" footer="0.51180555555555496"/>
  <pageSetup paperSize="9" scale="10" firstPageNumber="0" orientation="landscape" verticalDpi="300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>
    <pageSetUpPr fitToPage="1"/>
  </sheetPr>
  <dimension ref="A1:IR421"/>
  <sheetViews>
    <sheetView zoomScale="80" zoomScaleNormal="80" workbookViewId="0">
      <pane xSplit="5" ySplit="1" topLeftCell="GF197" activePane="bottomRight" state="frozen"/>
      <selection pane="topRight" activeCell="E1" sqref="E1"/>
      <selection pane="bottomLeft" activeCell="A2" sqref="A2"/>
      <selection pane="bottomRight" activeCell="D204" sqref="D204"/>
    </sheetView>
  </sheetViews>
  <sheetFormatPr defaultColWidth="9.42578125" defaultRowHeight="18" outlineLevelCol="3"/>
  <cols>
    <col min="1" max="1" width="3.7109375" style="577" customWidth="1"/>
    <col min="2" max="2" width="14.140625" style="154" customWidth="1"/>
    <col min="3" max="3" width="30.7109375" style="154" customWidth="1"/>
    <col min="4" max="4" width="34.7109375" style="241" customWidth="1"/>
    <col min="5" max="5" width="22.42578125" style="242" customWidth="1"/>
    <col min="6" max="6" width="5" style="313" customWidth="1"/>
    <col min="7" max="7" width="9.42578125" style="332" customWidth="1" outlineLevel="1"/>
    <col min="8" max="8" width="12" style="244" customWidth="1" outlineLevel="1"/>
    <col min="9" max="9" width="9.5703125" style="244" customWidth="1" outlineLevel="1"/>
    <col min="10" max="10" width="9.7109375" style="80" customWidth="1" outlineLevel="1"/>
    <col min="11" max="11" width="12" style="87" customWidth="1" outlineLevel="1" collapsed="1"/>
    <col min="12" max="12" width="9.42578125" style="332" customWidth="1" outlineLevel="2"/>
    <col min="13" max="13" width="12" style="244" customWidth="1" outlineLevel="2"/>
    <col min="14" max="14" width="9.5703125" style="244" customWidth="1" outlineLevel="2"/>
    <col min="15" max="15" width="10.7109375" style="80" customWidth="1" outlineLevel="2"/>
    <col min="16" max="16" width="10.7109375" style="87" customWidth="1" outlineLevel="1" collapsed="1"/>
    <col min="17" max="17" width="9.42578125" style="332" customWidth="1" outlineLevel="2"/>
    <col min="18" max="18" width="12" style="244" customWidth="1" outlineLevel="2"/>
    <col min="19" max="19" width="9.5703125" style="244" customWidth="1" outlineLevel="2"/>
    <col min="20" max="20" width="10.7109375" style="80" customWidth="1" outlineLevel="2"/>
    <col min="21" max="21" width="10.140625" style="87" customWidth="1" outlineLevel="1" collapsed="1"/>
    <col min="22" max="22" width="9.42578125" style="324" customWidth="1" outlineLevel="2"/>
    <col min="23" max="23" width="12" style="244" customWidth="1" outlineLevel="2"/>
    <col min="24" max="24" width="9.5703125" style="244" customWidth="1" outlineLevel="2"/>
    <col min="25" max="25" width="10.7109375" style="80" customWidth="1" outlineLevel="2"/>
    <col min="26" max="26" width="11" style="80" customWidth="1" outlineLevel="1" collapsed="1"/>
    <col min="27" max="27" width="10.85546875" style="243" customWidth="1" outlineLevel="2"/>
    <col min="28" max="28" width="12" style="244" customWidth="1" outlineLevel="2"/>
    <col min="29" max="29" width="9.5703125" style="244" customWidth="1" outlineLevel="2"/>
    <col min="30" max="30" width="10.7109375" style="80" customWidth="1" outlineLevel="2"/>
    <col min="31" max="31" width="9.85546875" style="80" customWidth="1" outlineLevel="1" collapsed="1"/>
    <col min="32" max="32" width="9.42578125" style="243" customWidth="1" outlineLevel="3"/>
    <col min="33" max="33" width="12" style="244" customWidth="1" outlineLevel="3"/>
    <col min="34" max="34" width="9.5703125" style="244" customWidth="1" outlineLevel="3"/>
    <col min="35" max="35" width="10.7109375" style="80" customWidth="1" outlineLevel="3"/>
    <col min="36" max="36" width="9.7109375" style="154" customWidth="1" outlineLevel="1" collapsed="1"/>
    <col min="37" max="37" width="9.42578125" style="243" customWidth="1" outlineLevel="2"/>
    <col min="38" max="38" width="12" style="244" customWidth="1" outlineLevel="2"/>
    <col min="39" max="39" width="9.5703125" style="244" customWidth="1" outlineLevel="2"/>
    <col min="40" max="40" width="10.7109375" style="80" customWidth="1" outlineLevel="2"/>
    <col min="41" max="41" width="9.7109375" style="154" customWidth="1" outlineLevel="1" collapsed="1"/>
    <col min="42" max="42" width="9.42578125" style="243" customWidth="1" outlineLevel="2"/>
    <col min="43" max="43" width="12" style="244" customWidth="1" outlineLevel="2"/>
    <col min="44" max="44" width="9.5703125" style="244" customWidth="1" outlineLevel="2"/>
    <col min="45" max="45" width="10.7109375" style="80" customWidth="1" outlineLevel="2"/>
    <col min="46" max="46" width="9.7109375" style="154" customWidth="1" outlineLevel="1" collapsed="1"/>
    <col min="47" max="47" width="9.42578125" style="243" customWidth="1" outlineLevel="2"/>
    <col min="48" max="48" width="12" style="244" customWidth="1" outlineLevel="2"/>
    <col min="49" max="49" width="9.5703125" style="244" customWidth="1" outlineLevel="2"/>
    <col min="50" max="50" width="10.7109375" style="80" customWidth="1" outlineLevel="2"/>
    <col min="51" max="51" width="9.7109375" style="154" customWidth="1" outlineLevel="1" collapsed="1"/>
    <col min="52" max="52" width="9.42578125" style="243" customWidth="1" outlineLevel="2"/>
    <col min="53" max="53" width="12" style="244" customWidth="1" outlineLevel="2"/>
    <col min="54" max="54" width="9.5703125" style="244" customWidth="1" outlineLevel="2"/>
    <col min="55" max="55" width="10.7109375" style="80" customWidth="1" outlineLevel="2"/>
    <col min="56" max="56" width="9.7109375" style="154" customWidth="1" outlineLevel="1" collapsed="1"/>
    <col min="57" max="57" width="9.42578125" style="243" customWidth="1" outlineLevel="2"/>
    <col min="58" max="58" width="12" style="244" customWidth="1" outlineLevel="2"/>
    <col min="59" max="59" width="9.5703125" style="244" customWidth="1" outlineLevel="2"/>
    <col min="60" max="60" width="10.7109375" style="80" customWidth="1" outlineLevel="2"/>
    <col min="61" max="61" width="9.7109375" style="154" customWidth="1" outlineLevel="1" collapsed="1"/>
    <col min="62" max="62" width="9.42578125" style="243" customWidth="1" outlineLevel="2"/>
    <col min="63" max="63" width="12" style="244" customWidth="1" outlineLevel="2"/>
    <col min="64" max="64" width="9.5703125" style="244" customWidth="1" outlineLevel="2"/>
    <col min="65" max="65" width="10.7109375" style="80" customWidth="1" outlineLevel="2"/>
    <col min="66" max="66" width="9.7109375" style="154" customWidth="1" outlineLevel="1" collapsed="1"/>
    <col min="67" max="67" width="9.42578125" style="243" customWidth="1" outlineLevel="1"/>
    <col min="68" max="68" width="12" style="244" customWidth="1" outlineLevel="1"/>
    <col min="69" max="69" width="9.5703125" style="244" customWidth="1" outlineLevel="1"/>
    <col min="70" max="70" width="10.7109375" style="80" customWidth="1" outlineLevel="1"/>
    <col min="71" max="71" width="9.7109375" style="154" customWidth="1"/>
    <col min="72" max="72" width="9.42578125" style="243" customWidth="1" outlineLevel="1"/>
    <col min="73" max="73" width="12" style="244" customWidth="1" outlineLevel="1"/>
    <col min="74" max="74" width="9.5703125" style="244" customWidth="1" outlineLevel="1"/>
    <col min="75" max="75" width="10.7109375" style="80" customWidth="1" outlineLevel="1"/>
    <col min="76" max="76" width="9.7109375" style="154" customWidth="1" collapsed="1"/>
    <col min="77" max="77" width="9.42578125" style="243" customWidth="1" outlineLevel="1"/>
    <col min="78" max="78" width="12" style="244" customWidth="1" outlineLevel="1"/>
    <col min="79" max="79" width="9.5703125" style="244" customWidth="1" outlineLevel="1"/>
    <col min="80" max="80" width="10.7109375" style="80" customWidth="1" outlineLevel="1"/>
    <col min="81" max="81" width="9.7109375" style="154" customWidth="1" collapsed="1"/>
    <col min="82" max="82" width="9.42578125" style="243" customWidth="1" outlineLevel="1"/>
    <col min="83" max="83" width="12" style="244" customWidth="1" outlineLevel="1"/>
    <col min="84" max="84" width="9.5703125" style="244" customWidth="1" outlineLevel="1"/>
    <col min="85" max="85" width="10.7109375" style="80" customWidth="1" outlineLevel="1"/>
    <col min="86" max="86" width="9.7109375" style="154" customWidth="1" collapsed="1"/>
    <col min="87" max="87" width="9.42578125" style="243" customWidth="1" outlineLevel="1"/>
    <col min="88" max="88" width="12" style="244" customWidth="1" outlineLevel="1"/>
    <col min="89" max="89" width="9.5703125" style="244" customWidth="1" outlineLevel="1"/>
    <col min="90" max="90" width="10.7109375" style="80" customWidth="1" outlineLevel="1"/>
    <col min="91" max="91" width="9.7109375" style="154" customWidth="1" collapsed="1"/>
    <col min="92" max="92" width="9.42578125" style="243" customWidth="1" outlineLevel="1"/>
    <col min="93" max="93" width="12" style="244" customWidth="1" outlineLevel="1"/>
    <col min="94" max="94" width="9.5703125" style="244" customWidth="1" outlineLevel="1"/>
    <col min="95" max="95" width="10.7109375" style="80" customWidth="1" outlineLevel="1"/>
    <col min="96" max="96" width="9.7109375" style="154" customWidth="1" collapsed="1"/>
    <col min="97" max="97" width="9.42578125" style="243" customWidth="1" outlineLevel="1"/>
    <col min="98" max="98" width="12" style="244" customWidth="1" outlineLevel="1"/>
    <col min="99" max="99" width="9.5703125" style="244" customWidth="1" outlineLevel="1"/>
    <col min="100" max="100" width="10.7109375" style="80" customWidth="1" outlineLevel="1"/>
    <col min="101" max="101" width="9.7109375" style="154" customWidth="1" collapsed="1"/>
    <col min="102" max="102" width="9.42578125" style="243" customWidth="1" outlineLevel="1"/>
    <col min="103" max="103" width="12" style="244" customWidth="1" outlineLevel="1"/>
    <col min="104" max="104" width="9.5703125" style="244" customWidth="1" outlineLevel="1"/>
    <col min="105" max="105" width="10.7109375" style="80" customWidth="1" outlineLevel="1"/>
    <col min="106" max="106" width="9.7109375" style="154" customWidth="1" collapsed="1"/>
    <col min="107" max="107" width="9.42578125" style="243" customWidth="1" outlineLevel="1"/>
    <col min="108" max="108" width="12" style="244" customWidth="1" outlineLevel="1"/>
    <col min="109" max="109" width="9.5703125" style="244" customWidth="1" outlineLevel="1"/>
    <col min="110" max="110" width="10.7109375" style="80" customWidth="1" outlineLevel="1"/>
    <col min="111" max="111" width="9.7109375" style="154" customWidth="1" collapsed="1"/>
    <col min="112" max="112" width="9.42578125" style="243" customWidth="1" outlineLevel="1"/>
    <col min="113" max="113" width="12" style="244" customWidth="1" outlineLevel="1"/>
    <col min="114" max="114" width="9.5703125" style="244" customWidth="1" outlineLevel="1"/>
    <col min="115" max="115" width="10.7109375" style="80" customWidth="1" outlineLevel="1"/>
    <col min="116" max="116" width="9.7109375" style="154" customWidth="1" collapsed="1"/>
    <col min="117" max="117" width="9.42578125" style="243" customWidth="1" outlineLevel="1"/>
    <col min="118" max="118" width="12" style="244" customWidth="1" outlineLevel="1"/>
    <col min="119" max="119" width="9.5703125" style="244" customWidth="1" outlineLevel="1"/>
    <col min="120" max="120" width="10.7109375" style="80" customWidth="1" outlineLevel="1"/>
    <col min="121" max="121" width="9.7109375" style="154" customWidth="1" collapsed="1"/>
    <col min="122" max="122" width="9.42578125" style="243" customWidth="1" outlineLevel="1"/>
    <col min="123" max="123" width="12" style="244" customWidth="1" outlineLevel="1"/>
    <col min="124" max="124" width="9.5703125" style="244" customWidth="1" outlineLevel="1"/>
    <col min="125" max="125" width="10.7109375" style="80" customWidth="1" outlineLevel="1"/>
    <col min="126" max="126" width="9.7109375" style="154" customWidth="1" collapsed="1"/>
    <col min="127" max="127" width="9.42578125" style="243" customWidth="1" outlineLevel="1"/>
    <col min="128" max="128" width="12" style="244" customWidth="1" outlineLevel="1"/>
    <col min="129" max="129" width="9.5703125" style="244" customWidth="1" outlineLevel="1"/>
    <col min="130" max="130" width="10.7109375" style="80" customWidth="1" outlineLevel="1"/>
    <col min="131" max="131" width="9.7109375" style="154" customWidth="1" collapsed="1"/>
    <col min="132" max="132" width="9.42578125" style="243" customWidth="1" outlineLevel="1"/>
    <col min="133" max="133" width="12" style="244" customWidth="1" outlineLevel="1"/>
    <col min="134" max="134" width="10.5703125" style="244" customWidth="1" outlineLevel="1"/>
    <col min="135" max="135" width="10.7109375" style="80" customWidth="1" outlineLevel="1"/>
    <col min="136" max="136" width="9.7109375" style="154" customWidth="1" collapsed="1"/>
    <col min="137" max="137" width="9.42578125" style="243" customWidth="1" outlineLevel="1"/>
    <col min="138" max="138" width="12" style="244" customWidth="1" outlineLevel="1"/>
    <col min="139" max="139" width="9.5703125" style="244" customWidth="1" outlineLevel="1"/>
    <col min="140" max="140" width="10.7109375" style="80" customWidth="1" outlineLevel="1"/>
    <col min="141" max="141" width="9.7109375" style="154" customWidth="1" collapsed="1"/>
    <col min="142" max="142" width="9.42578125" style="243" customWidth="1" outlineLevel="1"/>
    <col min="143" max="143" width="12" style="244" customWidth="1" outlineLevel="1"/>
    <col min="144" max="144" width="9.5703125" style="244" customWidth="1" outlineLevel="1"/>
    <col min="145" max="145" width="10.7109375" style="80" customWidth="1" outlineLevel="1"/>
    <col min="146" max="146" width="9.7109375" style="154" customWidth="1" collapsed="1"/>
    <col min="147" max="147" width="9.42578125" style="243" customWidth="1" outlineLevel="1"/>
    <col min="148" max="148" width="12" style="244" customWidth="1" outlineLevel="1"/>
    <col min="149" max="149" width="9.5703125" style="244" customWidth="1" outlineLevel="1"/>
    <col min="150" max="150" width="10.7109375" style="80" customWidth="1" outlineLevel="1"/>
    <col min="151" max="151" width="9.7109375" style="154" customWidth="1" collapsed="1"/>
    <col min="152" max="152" width="9.42578125" style="243" customWidth="1" outlineLevel="1"/>
    <col min="153" max="153" width="12" style="244" customWidth="1" outlineLevel="1"/>
    <col min="154" max="154" width="9.5703125" style="244" customWidth="1" outlineLevel="1"/>
    <col min="155" max="155" width="10.7109375" style="80" customWidth="1" outlineLevel="1"/>
    <col min="156" max="156" width="9.7109375" style="154" customWidth="1" collapsed="1"/>
    <col min="157" max="157" width="9.42578125" style="243" customWidth="1" outlineLevel="1"/>
    <col min="158" max="158" width="12" style="244" customWidth="1" outlineLevel="1"/>
    <col min="159" max="159" width="9.5703125" style="244" customWidth="1" outlineLevel="1"/>
    <col min="160" max="160" width="10.7109375" style="80" customWidth="1" outlineLevel="1"/>
    <col min="161" max="161" width="9.7109375" style="154" customWidth="1" collapsed="1"/>
    <col min="162" max="162" width="9.42578125" style="243" customWidth="1" outlineLevel="1"/>
    <col min="163" max="163" width="12" style="244" customWidth="1" outlineLevel="1"/>
    <col min="164" max="164" width="9.5703125" style="244" customWidth="1" outlineLevel="1"/>
    <col min="165" max="165" width="10.7109375" style="80" customWidth="1" outlineLevel="1"/>
    <col min="166" max="166" width="9.7109375" style="154" customWidth="1" collapsed="1"/>
    <col min="167" max="167" width="9.42578125" style="243" customWidth="1" outlineLevel="1"/>
    <col min="168" max="168" width="12" style="244" customWidth="1" outlineLevel="1"/>
    <col min="169" max="169" width="9.5703125" style="244" customWidth="1" outlineLevel="1"/>
    <col min="170" max="170" width="10.7109375" style="80" customWidth="1" outlineLevel="1"/>
    <col min="171" max="171" width="9.7109375" style="154" customWidth="1" collapsed="1"/>
    <col min="172" max="172" width="9.42578125" style="243" customWidth="1" outlineLevel="1"/>
    <col min="173" max="173" width="12" style="244" customWidth="1" outlineLevel="1"/>
    <col min="174" max="174" width="9.5703125" style="244" customWidth="1" outlineLevel="1"/>
    <col min="175" max="175" width="10.7109375" style="80" customWidth="1" outlineLevel="1"/>
    <col min="176" max="176" width="9.7109375" style="154" customWidth="1" collapsed="1"/>
    <col min="177" max="177" width="9.42578125" style="243" customWidth="1" outlineLevel="1"/>
    <col min="178" max="178" width="12" style="244" customWidth="1" outlineLevel="1"/>
    <col min="179" max="179" width="9.5703125" style="244" customWidth="1" outlineLevel="1"/>
    <col min="180" max="180" width="10.7109375" style="80" customWidth="1" outlineLevel="1"/>
    <col min="181" max="181" width="9.7109375" style="154" customWidth="1" collapsed="1"/>
    <col min="182" max="182" width="9.42578125" style="243" customWidth="1" outlineLevel="1"/>
    <col min="183" max="183" width="12" style="244" customWidth="1" outlineLevel="1"/>
    <col min="184" max="184" width="9.5703125" style="244" customWidth="1" outlineLevel="1"/>
    <col min="185" max="185" width="10.7109375" style="80" customWidth="1" outlineLevel="1"/>
    <col min="186" max="186" width="9.7109375" style="154" customWidth="1"/>
    <col min="187" max="187" width="9.42578125" style="243" customWidth="1" outlineLevel="1"/>
    <col min="188" max="188" width="12" style="244" customWidth="1" outlineLevel="1"/>
    <col min="189" max="189" width="10.7109375" style="244" customWidth="1" outlineLevel="1"/>
    <col min="190" max="190" width="10.7109375" style="80" customWidth="1" outlineLevel="1"/>
    <col min="191" max="191" width="9.7109375" style="154" customWidth="1"/>
    <col min="192" max="192" width="9.42578125" style="1563" customWidth="1" outlineLevel="1"/>
    <col min="193" max="193" width="12" style="244" customWidth="1" outlineLevel="1"/>
    <col min="194" max="194" width="10.5703125" style="244" customWidth="1" outlineLevel="1"/>
    <col min="195" max="195" width="10.7109375" style="80" customWidth="1" outlineLevel="1"/>
    <col min="196" max="196" width="9.7109375" style="154" customWidth="1"/>
    <col min="197" max="197" width="9.42578125" style="243" customWidth="1" outlineLevel="1"/>
    <col min="198" max="198" width="12" style="244" customWidth="1" outlineLevel="1"/>
    <col min="199" max="199" width="9.5703125" style="244" customWidth="1" outlineLevel="1"/>
    <col min="200" max="200" width="10.7109375" style="80" customWidth="1" outlineLevel="1"/>
    <col min="201" max="201" width="9.7109375" style="154" customWidth="1"/>
    <col min="202" max="202" width="9.42578125" style="243" customWidth="1" outlineLevel="1"/>
    <col min="203" max="203" width="12" style="244" customWidth="1" outlineLevel="1"/>
    <col min="204" max="204" width="9.5703125" style="244" customWidth="1" outlineLevel="1"/>
    <col min="205" max="205" width="10.7109375" style="80" customWidth="1" outlineLevel="1"/>
    <col min="206" max="206" width="9.7109375" style="154" customWidth="1"/>
    <col min="207" max="207" width="9.42578125" style="243" customWidth="1" outlineLevel="1"/>
    <col min="208" max="208" width="12" style="244" customWidth="1" outlineLevel="1"/>
    <col min="209" max="209" width="9.5703125" style="244" customWidth="1" outlineLevel="1"/>
    <col min="210" max="210" width="10.7109375" style="80" customWidth="1" outlineLevel="1"/>
    <col min="211" max="211" width="9.7109375" style="154" customWidth="1"/>
    <col min="212" max="212" width="9.42578125" style="243" customWidth="1" outlineLevel="1"/>
    <col min="213" max="213" width="12" style="244" customWidth="1" outlineLevel="1"/>
    <col min="214" max="214" width="9.5703125" style="244" customWidth="1" outlineLevel="1"/>
    <col min="215" max="215" width="10.7109375" style="80" customWidth="1" outlineLevel="1"/>
    <col min="216" max="216" width="9.7109375" style="154" customWidth="1"/>
    <col min="217" max="217" width="9.42578125" style="243" customWidth="1" outlineLevel="1"/>
    <col min="218" max="218" width="12" style="244" customWidth="1" outlineLevel="1"/>
    <col min="219" max="219" width="9.5703125" style="244" customWidth="1" outlineLevel="1"/>
    <col min="220" max="220" width="10.7109375" style="80" customWidth="1" outlineLevel="1"/>
    <col min="221" max="221" width="9.7109375" style="154" customWidth="1" collapsed="1"/>
    <col min="222" max="222" width="9.42578125" style="243" customWidth="1" outlineLevel="1"/>
    <col min="223" max="223" width="12" style="244" customWidth="1" outlineLevel="1"/>
    <col min="224" max="224" width="9.5703125" style="244" customWidth="1" outlineLevel="1"/>
    <col min="225" max="225" width="10.7109375" style="80" customWidth="1" outlineLevel="1"/>
    <col min="226" max="226" width="9.7109375" style="154" customWidth="1" collapsed="1"/>
    <col min="227" max="227" width="9.42578125" style="243" customWidth="1" outlineLevel="1"/>
    <col min="228" max="228" width="12" style="244" customWidth="1" outlineLevel="1"/>
    <col min="229" max="229" width="9.5703125" style="244" customWidth="1" outlineLevel="1"/>
    <col min="230" max="230" width="10.7109375" style="80" customWidth="1" outlineLevel="1"/>
    <col min="231" max="231" width="9.7109375" style="154" customWidth="1" collapsed="1"/>
    <col min="232" max="232" width="9.42578125" style="243" customWidth="1" outlineLevel="1"/>
    <col min="233" max="233" width="12" style="244" customWidth="1" outlineLevel="1"/>
    <col min="234" max="234" width="9.5703125" style="244" customWidth="1" outlineLevel="1"/>
    <col min="235" max="235" width="10.7109375" style="80" customWidth="1" outlineLevel="1"/>
    <col min="236" max="236" width="9.7109375" style="154" customWidth="1" collapsed="1"/>
    <col min="237" max="237" width="9.42578125" style="243" customWidth="1" outlineLevel="1"/>
    <col min="238" max="238" width="12" style="244" customWidth="1" outlineLevel="1"/>
    <col min="239" max="239" width="9.5703125" style="244" customWidth="1" outlineLevel="1"/>
    <col min="240" max="240" width="10.7109375" style="80" customWidth="1" outlineLevel="1"/>
    <col min="241" max="241" width="9.7109375" style="154" customWidth="1" collapsed="1"/>
    <col min="242" max="242" width="9.42578125" style="243" customWidth="1" outlineLevel="1"/>
    <col min="243" max="243" width="12" style="244" customWidth="1" outlineLevel="1"/>
    <col min="244" max="244" width="9.5703125" style="244" customWidth="1" outlineLevel="1"/>
    <col min="245" max="245" width="10.7109375" style="80" customWidth="1" outlineLevel="1"/>
    <col min="246" max="246" width="9.7109375" style="154" customWidth="1" collapsed="1"/>
    <col min="247" max="247" width="9.42578125" style="243" customWidth="1" outlineLevel="1"/>
    <col min="248" max="248" width="12" style="244" customWidth="1" outlineLevel="1"/>
    <col min="249" max="249" width="9.5703125" style="244" customWidth="1" outlineLevel="1"/>
    <col min="250" max="250" width="10.7109375" style="80" customWidth="1" outlineLevel="1"/>
    <col min="251" max="251" width="9.7109375" style="154" customWidth="1" collapsed="1"/>
    <col min="252" max="16384" width="9.42578125" style="16"/>
  </cols>
  <sheetData>
    <row r="1" spans="1:251" s="1495" customFormat="1" ht="38.25" customHeight="1" thickBot="1">
      <c r="B1" s="1496" t="s">
        <v>0</v>
      </c>
      <c r="C1" s="1496" t="s">
        <v>1</v>
      </c>
      <c r="D1" s="1497" t="s">
        <v>2</v>
      </c>
      <c r="E1" s="1498" t="s">
        <v>3</v>
      </c>
      <c r="F1" s="1499" t="s">
        <v>193</v>
      </c>
      <c r="G1" s="1500" t="s">
        <v>4</v>
      </c>
      <c r="H1" s="1501" t="s">
        <v>5</v>
      </c>
      <c r="I1" s="1501" t="s">
        <v>6</v>
      </c>
      <c r="J1" s="1502" t="s">
        <v>7</v>
      </c>
      <c r="K1" s="1503" t="s">
        <v>196</v>
      </c>
      <c r="L1" s="1504" t="s">
        <v>4</v>
      </c>
      <c r="M1" s="1505" t="s">
        <v>5</v>
      </c>
      <c r="N1" s="1505" t="s">
        <v>6</v>
      </c>
      <c r="O1" s="1506" t="s">
        <v>7</v>
      </c>
      <c r="P1" s="1503" t="s">
        <v>197</v>
      </c>
      <c r="Q1" s="1504" t="s">
        <v>4</v>
      </c>
      <c r="R1" s="1505" t="s">
        <v>5</v>
      </c>
      <c r="S1" s="1505" t="s">
        <v>6</v>
      </c>
      <c r="T1" s="1506" t="s">
        <v>7</v>
      </c>
      <c r="U1" s="1507" t="s">
        <v>198</v>
      </c>
      <c r="V1" s="1508" t="s">
        <v>4</v>
      </c>
      <c r="W1" s="1509" t="s">
        <v>5</v>
      </c>
      <c r="X1" s="1509" t="s">
        <v>6</v>
      </c>
      <c r="Y1" s="1510" t="s">
        <v>7</v>
      </c>
      <c r="Z1" s="1511" t="s">
        <v>199</v>
      </c>
      <c r="AA1" s="1512" t="s">
        <v>4</v>
      </c>
      <c r="AB1" s="1509" t="s">
        <v>5</v>
      </c>
      <c r="AC1" s="1509" t="s">
        <v>6</v>
      </c>
      <c r="AD1" s="1510" t="s">
        <v>7</v>
      </c>
      <c r="AE1" s="1511" t="s">
        <v>218</v>
      </c>
      <c r="AF1" s="1512" t="s">
        <v>4</v>
      </c>
      <c r="AG1" s="1509" t="s">
        <v>5</v>
      </c>
      <c r="AH1" s="1509" t="s">
        <v>6</v>
      </c>
      <c r="AI1" s="1510" t="s">
        <v>7</v>
      </c>
      <c r="AJ1" s="1513" t="s">
        <v>294</v>
      </c>
      <c r="AK1" s="1512" t="s">
        <v>4</v>
      </c>
      <c r="AL1" s="1509" t="s">
        <v>5</v>
      </c>
      <c r="AM1" s="1509" t="s">
        <v>6</v>
      </c>
      <c r="AN1" s="1510" t="s">
        <v>7</v>
      </c>
      <c r="AO1" s="1513" t="s">
        <v>295</v>
      </c>
      <c r="AP1" s="1512" t="s">
        <v>4</v>
      </c>
      <c r="AQ1" s="1509" t="s">
        <v>5</v>
      </c>
      <c r="AR1" s="1509" t="s">
        <v>6</v>
      </c>
      <c r="AS1" s="1510" t="s">
        <v>7</v>
      </c>
      <c r="AT1" s="1514" t="s">
        <v>327</v>
      </c>
      <c r="AU1" s="1512" t="s">
        <v>4</v>
      </c>
      <c r="AV1" s="1509" t="s">
        <v>5</v>
      </c>
      <c r="AW1" s="1509" t="s">
        <v>6</v>
      </c>
      <c r="AX1" s="1510" t="s">
        <v>7</v>
      </c>
      <c r="AY1" s="1514" t="s">
        <v>328</v>
      </c>
      <c r="AZ1" s="1512" t="s">
        <v>4</v>
      </c>
      <c r="BA1" s="1509" t="s">
        <v>5</v>
      </c>
      <c r="BB1" s="1509" t="s">
        <v>6</v>
      </c>
      <c r="BC1" s="1510" t="s">
        <v>7</v>
      </c>
      <c r="BD1" s="1514" t="s">
        <v>414</v>
      </c>
      <c r="BE1" s="1512" t="s">
        <v>4</v>
      </c>
      <c r="BF1" s="1509" t="s">
        <v>5</v>
      </c>
      <c r="BG1" s="1509" t="s">
        <v>6</v>
      </c>
      <c r="BH1" s="1510" t="s">
        <v>7</v>
      </c>
      <c r="BI1" s="1514" t="s">
        <v>415</v>
      </c>
      <c r="BJ1" s="1512" t="s">
        <v>4</v>
      </c>
      <c r="BK1" s="1509" t="s">
        <v>5</v>
      </c>
      <c r="BL1" s="1509" t="s">
        <v>6</v>
      </c>
      <c r="BM1" s="1510" t="s">
        <v>7</v>
      </c>
      <c r="BN1" s="1514" t="s">
        <v>416</v>
      </c>
      <c r="BO1" s="1512" t="s">
        <v>4</v>
      </c>
      <c r="BP1" s="1509" t="s">
        <v>5</v>
      </c>
      <c r="BQ1" s="1509" t="s">
        <v>6</v>
      </c>
      <c r="BR1" s="1510" t="s">
        <v>7</v>
      </c>
      <c r="BS1" s="1514" t="s">
        <v>417</v>
      </c>
      <c r="BT1" s="1515" t="s">
        <v>4</v>
      </c>
      <c r="BU1" s="1516" t="s">
        <v>5</v>
      </c>
      <c r="BV1" s="1516" t="s">
        <v>6</v>
      </c>
      <c r="BW1" s="1517" t="s">
        <v>7</v>
      </c>
      <c r="BX1" s="1514" t="s">
        <v>418</v>
      </c>
      <c r="BY1" s="1515" t="s">
        <v>4</v>
      </c>
      <c r="BZ1" s="1516" t="s">
        <v>5</v>
      </c>
      <c r="CA1" s="1516" t="s">
        <v>6</v>
      </c>
      <c r="CB1" s="1517" t="s">
        <v>7</v>
      </c>
      <c r="CC1" s="1514" t="s">
        <v>419</v>
      </c>
      <c r="CD1" s="1515" t="s">
        <v>4</v>
      </c>
      <c r="CE1" s="1516" t="s">
        <v>5</v>
      </c>
      <c r="CF1" s="1516" t="s">
        <v>6</v>
      </c>
      <c r="CG1" s="1517" t="s">
        <v>7</v>
      </c>
      <c r="CH1" s="1514" t="s">
        <v>420</v>
      </c>
      <c r="CI1" s="1515" t="s">
        <v>4</v>
      </c>
      <c r="CJ1" s="1516" t="s">
        <v>5</v>
      </c>
      <c r="CK1" s="1516" t="s">
        <v>6</v>
      </c>
      <c r="CL1" s="1517" t="s">
        <v>7</v>
      </c>
      <c r="CM1" s="1514" t="s">
        <v>421</v>
      </c>
      <c r="CN1" s="1515" t="s">
        <v>4</v>
      </c>
      <c r="CO1" s="1516" t="s">
        <v>5</v>
      </c>
      <c r="CP1" s="1516" t="s">
        <v>6</v>
      </c>
      <c r="CQ1" s="1517" t="s">
        <v>7</v>
      </c>
      <c r="CR1" s="1514" t="s">
        <v>422</v>
      </c>
      <c r="CS1" s="1515" t="s">
        <v>4</v>
      </c>
      <c r="CT1" s="1516" t="s">
        <v>5</v>
      </c>
      <c r="CU1" s="1516" t="s">
        <v>6</v>
      </c>
      <c r="CV1" s="1518" t="s">
        <v>7</v>
      </c>
      <c r="CW1" s="1514" t="s">
        <v>423</v>
      </c>
      <c r="CX1" s="1515" t="s">
        <v>4</v>
      </c>
      <c r="CY1" s="1516" t="s">
        <v>5</v>
      </c>
      <c r="CZ1" s="1516" t="s">
        <v>6</v>
      </c>
      <c r="DA1" s="1517" t="s">
        <v>7</v>
      </c>
      <c r="DB1" s="1514" t="s">
        <v>424</v>
      </c>
      <c r="DC1" s="1515" t="s">
        <v>4</v>
      </c>
      <c r="DD1" s="1516" t="s">
        <v>5</v>
      </c>
      <c r="DE1" s="1516" t="s">
        <v>6</v>
      </c>
      <c r="DF1" s="1517" t="s">
        <v>7</v>
      </c>
      <c r="DG1" s="1514" t="s">
        <v>471</v>
      </c>
      <c r="DH1" s="1515" t="s">
        <v>4</v>
      </c>
      <c r="DI1" s="1516" t="s">
        <v>5</v>
      </c>
      <c r="DJ1" s="1516" t="s">
        <v>6</v>
      </c>
      <c r="DK1" s="1519" t="s">
        <v>7</v>
      </c>
      <c r="DL1" s="1514" t="s">
        <v>472</v>
      </c>
      <c r="DM1" s="1515" t="s">
        <v>4</v>
      </c>
      <c r="DN1" s="1516" t="s">
        <v>5</v>
      </c>
      <c r="DO1" s="1516" t="s">
        <v>6</v>
      </c>
      <c r="DP1" s="1517" t="s">
        <v>7</v>
      </c>
      <c r="DQ1" s="1514" t="s">
        <v>473</v>
      </c>
      <c r="DR1" s="1515" t="s">
        <v>4</v>
      </c>
      <c r="DS1" s="1516" t="s">
        <v>5</v>
      </c>
      <c r="DT1" s="1516" t="s">
        <v>6</v>
      </c>
      <c r="DU1" s="1517" t="s">
        <v>7</v>
      </c>
      <c r="DV1" s="1514" t="s">
        <v>474</v>
      </c>
      <c r="DW1" s="1515" t="s">
        <v>4</v>
      </c>
      <c r="DX1" s="1516" t="s">
        <v>5</v>
      </c>
      <c r="DY1" s="1516" t="s">
        <v>6</v>
      </c>
      <c r="DZ1" s="1517" t="s">
        <v>7</v>
      </c>
      <c r="EA1" s="1514" t="s">
        <v>475</v>
      </c>
      <c r="EB1" s="1515" t="s">
        <v>4</v>
      </c>
      <c r="EC1" s="1516" t="s">
        <v>5</v>
      </c>
      <c r="ED1" s="1516" t="s">
        <v>6</v>
      </c>
      <c r="EE1" s="1517" t="s">
        <v>7</v>
      </c>
      <c r="EF1" s="1514" t="s">
        <v>1166</v>
      </c>
      <c r="EG1" s="1515" t="s">
        <v>4</v>
      </c>
      <c r="EH1" s="1516" t="s">
        <v>5</v>
      </c>
      <c r="EI1" s="1516" t="s">
        <v>6</v>
      </c>
      <c r="EJ1" s="1517" t="s">
        <v>7</v>
      </c>
      <c r="EK1" s="1514" t="s">
        <v>1167</v>
      </c>
      <c r="EL1" s="1515" t="s">
        <v>4</v>
      </c>
      <c r="EM1" s="1516" t="s">
        <v>5</v>
      </c>
      <c r="EN1" s="1516" t="s">
        <v>6</v>
      </c>
      <c r="EO1" s="1517" t="s">
        <v>7</v>
      </c>
      <c r="EP1" s="1514" t="s">
        <v>1168</v>
      </c>
      <c r="EQ1" s="1515" t="s">
        <v>4</v>
      </c>
      <c r="ER1" s="1516" t="s">
        <v>5</v>
      </c>
      <c r="ES1" s="1516" t="s">
        <v>6</v>
      </c>
      <c r="ET1" s="1517" t="s">
        <v>7</v>
      </c>
      <c r="EU1" s="1514" t="s">
        <v>1169</v>
      </c>
      <c r="EV1" s="1515" t="s">
        <v>4</v>
      </c>
      <c r="EW1" s="1516" t="s">
        <v>5</v>
      </c>
      <c r="EX1" s="1516" t="s">
        <v>6</v>
      </c>
      <c r="EY1" s="1517" t="s">
        <v>7</v>
      </c>
      <c r="EZ1" s="1514" t="s">
        <v>1170</v>
      </c>
      <c r="FA1" s="1515" t="s">
        <v>4</v>
      </c>
      <c r="FB1" s="1516" t="s">
        <v>5</v>
      </c>
      <c r="FC1" s="1516" t="s">
        <v>6</v>
      </c>
      <c r="FD1" s="1517" t="s">
        <v>7</v>
      </c>
      <c r="FE1" s="1514" t="s">
        <v>1177</v>
      </c>
      <c r="FF1" s="1515" t="s">
        <v>4</v>
      </c>
      <c r="FG1" s="1516" t="s">
        <v>5</v>
      </c>
      <c r="FH1" s="1516" t="s">
        <v>6</v>
      </c>
      <c r="FI1" s="1517" t="s">
        <v>7</v>
      </c>
      <c r="FJ1" s="1514" t="s">
        <v>1178</v>
      </c>
      <c r="FK1" s="1515" t="s">
        <v>4</v>
      </c>
      <c r="FL1" s="1516" t="s">
        <v>5</v>
      </c>
      <c r="FM1" s="1516" t="s">
        <v>6</v>
      </c>
      <c r="FN1" s="1517" t="s">
        <v>7</v>
      </c>
      <c r="FO1" s="1514" t="s">
        <v>1179</v>
      </c>
      <c r="FP1" s="1515" t="s">
        <v>4</v>
      </c>
      <c r="FQ1" s="1516" t="s">
        <v>5</v>
      </c>
      <c r="FR1" s="1516" t="s">
        <v>6</v>
      </c>
      <c r="FS1" s="1517" t="s">
        <v>7</v>
      </c>
      <c r="FT1" s="1514" t="s">
        <v>1180</v>
      </c>
      <c r="FU1" s="1515" t="s">
        <v>4</v>
      </c>
      <c r="FV1" s="1516" t="s">
        <v>5</v>
      </c>
      <c r="FW1" s="1516" t="s">
        <v>6</v>
      </c>
      <c r="FX1" s="1517" t="s">
        <v>7</v>
      </c>
      <c r="FY1" s="1514" t="s">
        <v>1181</v>
      </c>
      <c r="FZ1" s="1515" t="s">
        <v>4</v>
      </c>
      <c r="GA1" s="1516" t="s">
        <v>5</v>
      </c>
      <c r="GB1" s="1516" t="s">
        <v>6</v>
      </c>
      <c r="GC1" s="1517" t="s">
        <v>7</v>
      </c>
      <c r="GD1" s="1514" t="s">
        <v>1182</v>
      </c>
      <c r="GE1" s="1515" t="s">
        <v>4</v>
      </c>
      <c r="GF1" s="1516" t="s">
        <v>5</v>
      </c>
      <c r="GG1" s="1516" t="s">
        <v>6</v>
      </c>
      <c r="GH1" s="1517" t="s">
        <v>7</v>
      </c>
      <c r="GI1" s="1514" t="s">
        <v>1183</v>
      </c>
      <c r="GJ1" s="1543" t="s">
        <v>4</v>
      </c>
      <c r="GK1" s="1516" t="s">
        <v>5</v>
      </c>
      <c r="GL1" s="1516" t="s">
        <v>6</v>
      </c>
      <c r="GM1" s="1517" t="s">
        <v>7</v>
      </c>
      <c r="GN1" s="1514" t="s">
        <v>1216</v>
      </c>
      <c r="GO1" s="1515" t="s">
        <v>4</v>
      </c>
      <c r="GP1" s="1516" t="s">
        <v>5</v>
      </c>
      <c r="GQ1" s="1516" t="s">
        <v>6</v>
      </c>
      <c r="GR1" s="1517" t="s">
        <v>7</v>
      </c>
      <c r="GS1" s="1514" t="s">
        <v>1217</v>
      </c>
      <c r="GT1" s="1515" t="s">
        <v>4</v>
      </c>
      <c r="GU1" s="1516" t="s">
        <v>5</v>
      </c>
      <c r="GV1" s="1516" t="s">
        <v>6</v>
      </c>
      <c r="GW1" s="1517" t="s">
        <v>7</v>
      </c>
      <c r="GX1" s="1514" t="s">
        <v>1227</v>
      </c>
      <c r="GY1" s="1515" t="s">
        <v>4</v>
      </c>
      <c r="GZ1" s="1516" t="s">
        <v>5</v>
      </c>
      <c r="HA1" s="1516" t="s">
        <v>6</v>
      </c>
      <c r="HB1" s="1517" t="s">
        <v>7</v>
      </c>
      <c r="HC1" s="1514" t="s">
        <v>1226</v>
      </c>
      <c r="HD1" s="1515" t="s">
        <v>4</v>
      </c>
      <c r="HE1" s="1516" t="s">
        <v>5</v>
      </c>
      <c r="HF1" s="1516" t="s">
        <v>6</v>
      </c>
      <c r="HG1" s="1517" t="s">
        <v>7</v>
      </c>
      <c r="HH1" s="1514" t="s">
        <v>1225</v>
      </c>
      <c r="HI1" s="1515" t="s">
        <v>4</v>
      </c>
      <c r="HJ1" s="1516" t="s">
        <v>5</v>
      </c>
      <c r="HK1" s="1516" t="s">
        <v>6</v>
      </c>
      <c r="HL1" s="1517" t="s">
        <v>7</v>
      </c>
      <c r="HM1" s="1514" t="s">
        <v>1224</v>
      </c>
      <c r="HN1" s="1515" t="s">
        <v>4</v>
      </c>
      <c r="HO1" s="1516" t="s">
        <v>5</v>
      </c>
      <c r="HP1" s="1516" t="s">
        <v>6</v>
      </c>
      <c r="HQ1" s="1517" t="s">
        <v>7</v>
      </c>
      <c r="HR1" s="1514" t="s">
        <v>1223</v>
      </c>
      <c r="HS1" s="1515" t="s">
        <v>4</v>
      </c>
      <c r="HT1" s="1516" t="s">
        <v>5</v>
      </c>
      <c r="HU1" s="1516" t="s">
        <v>6</v>
      </c>
      <c r="HV1" s="1517" t="s">
        <v>7</v>
      </c>
      <c r="HW1" s="1514" t="s">
        <v>1222</v>
      </c>
      <c r="HX1" s="1515" t="s">
        <v>4</v>
      </c>
      <c r="HY1" s="1516" t="s">
        <v>5</v>
      </c>
      <c r="HZ1" s="1516" t="s">
        <v>6</v>
      </c>
      <c r="IA1" s="1517" t="s">
        <v>7</v>
      </c>
      <c r="IB1" s="1514" t="s">
        <v>1221</v>
      </c>
      <c r="IC1" s="1515" t="s">
        <v>4</v>
      </c>
      <c r="ID1" s="1516" t="s">
        <v>5</v>
      </c>
      <c r="IE1" s="1516" t="s">
        <v>6</v>
      </c>
      <c r="IF1" s="1517" t="s">
        <v>7</v>
      </c>
      <c r="IG1" s="1514" t="s">
        <v>1220</v>
      </c>
      <c r="IH1" s="1515" t="s">
        <v>4</v>
      </c>
      <c r="II1" s="1516" t="s">
        <v>5</v>
      </c>
      <c r="IJ1" s="1516" t="s">
        <v>6</v>
      </c>
      <c r="IK1" s="1517" t="s">
        <v>7</v>
      </c>
      <c r="IL1" s="1514" t="s">
        <v>1219</v>
      </c>
      <c r="IM1" s="1515" t="s">
        <v>4</v>
      </c>
      <c r="IN1" s="1516" t="s">
        <v>5</v>
      </c>
      <c r="IO1" s="1516" t="s">
        <v>6</v>
      </c>
      <c r="IP1" s="1517" t="s">
        <v>7</v>
      </c>
      <c r="IQ1" s="1514" t="s">
        <v>1218</v>
      </c>
    </row>
    <row r="2" spans="1:251" s="255" customFormat="1" ht="18" customHeight="1">
      <c r="A2" s="683"/>
      <c r="B2" s="251" t="s">
        <v>1198</v>
      </c>
      <c r="C2" s="251" t="s">
        <v>1199</v>
      </c>
      <c r="D2" s="1479"/>
      <c r="E2" s="253"/>
      <c r="F2" s="253"/>
      <c r="G2" s="1520"/>
      <c r="H2" s="1520"/>
      <c r="I2" s="1520"/>
      <c r="J2" s="1520"/>
      <c r="K2" s="1520"/>
      <c r="L2" s="1521"/>
      <c r="M2" s="1522"/>
      <c r="N2" s="1522"/>
      <c r="O2" s="1523"/>
      <c r="P2" s="1523"/>
      <c r="Q2" s="1521"/>
      <c r="R2" s="1522"/>
      <c r="S2" s="1522"/>
      <c r="T2" s="1523"/>
      <c r="U2" s="1523"/>
      <c r="V2" s="1521"/>
      <c r="W2" s="1522"/>
      <c r="X2" s="1522"/>
      <c r="Y2" s="1523"/>
      <c r="Z2" s="1523"/>
      <c r="AA2" s="1521"/>
      <c r="AB2" s="1522"/>
      <c r="AC2" s="1522"/>
      <c r="AD2" s="1523"/>
      <c r="AE2" s="1523"/>
      <c r="AF2" s="1521"/>
      <c r="AG2" s="1522"/>
      <c r="AH2" s="1522"/>
      <c r="AI2" s="1523"/>
      <c r="AJ2" s="1523"/>
      <c r="AK2" s="1521"/>
      <c r="AL2" s="1522"/>
      <c r="AM2" s="1522"/>
      <c r="AN2" s="1523"/>
      <c r="AO2" s="1523"/>
      <c r="AP2" s="1521"/>
      <c r="AQ2" s="1522"/>
      <c r="AR2" s="1522"/>
      <c r="AS2" s="1523"/>
      <c r="AT2" s="1523"/>
      <c r="AU2" s="1521"/>
      <c r="AV2" s="1522"/>
      <c r="AW2" s="1522"/>
      <c r="AX2" s="1523"/>
      <c r="AY2" s="1523"/>
      <c r="AZ2" s="1521"/>
      <c r="BA2" s="1522"/>
      <c r="BB2" s="1522"/>
      <c r="BC2" s="1523"/>
      <c r="BD2" s="1523"/>
      <c r="BE2" s="1521"/>
      <c r="BF2" s="1522"/>
      <c r="BG2" s="1522"/>
      <c r="BH2" s="1523"/>
      <c r="BI2" s="1523"/>
      <c r="BJ2" s="1521"/>
      <c r="BK2" s="1522"/>
      <c r="BL2" s="1522"/>
      <c r="BM2" s="1523"/>
      <c r="BN2" s="1523"/>
      <c r="BO2" s="1521"/>
      <c r="BP2" s="1522"/>
      <c r="BQ2" s="1522"/>
      <c r="BR2" s="1523"/>
      <c r="BS2" s="1523"/>
      <c r="BT2" s="1521"/>
      <c r="BU2" s="1522"/>
      <c r="BV2" s="1522"/>
      <c r="BW2" s="1523"/>
      <c r="BX2" s="1523"/>
      <c r="BY2" s="1521"/>
      <c r="BZ2" s="1522"/>
      <c r="CA2" s="1522"/>
      <c r="CB2" s="1523"/>
      <c r="CC2" s="1523"/>
      <c r="CD2" s="1521"/>
      <c r="CE2" s="1522"/>
      <c r="CF2" s="1522"/>
      <c r="CG2" s="1523"/>
      <c r="CH2" s="1523"/>
      <c r="CI2" s="1521"/>
      <c r="CJ2" s="1522"/>
      <c r="CK2" s="1522"/>
      <c r="CL2" s="1523"/>
      <c r="CM2" s="1523"/>
      <c r="CN2" s="1521"/>
      <c r="CO2" s="1522"/>
      <c r="CP2" s="1522"/>
      <c r="CQ2" s="1523"/>
      <c r="CR2" s="1523"/>
      <c r="CS2" s="1521"/>
      <c r="CT2" s="1522"/>
      <c r="CU2" s="1522"/>
      <c r="CV2" s="1523"/>
      <c r="CW2" s="1523"/>
      <c r="CX2" s="1521"/>
      <c r="CY2" s="1522"/>
      <c r="CZ2" s="1522"/>
      <c r="DA2" s="1523"/>
      <c r="DB2" s="1523"/>
      <c r="DC2" s="1521"/>
      <c r="DD2" s="1522"/>
      <c r="DE2" s="1522"/>
      <c r="DF2" s="1523"/>
      <c r="DG2" s="1523"/>
      <c r="DH2" s="1521"/>
      <c r="DI2" s="1522"/>
      <c r="DJ2" s="1522"/>
      <c r="DK2" s="1523"/>
      <c r="DL2" s="1523"/>
      <c r="DM2" s="1521"/>
      <c r="DN2" s="1522"/>
      <c r="DO2" s="1522"/>
      <c r="DP2" s="1523"/>
      <c r="DQ2" s="1523"/>
      <c r="DR2" s="1521"/>
      <c r="DS2" s="1522"/>
      <c r="DT2" s="1522"/>
      <c r="DU2" s="1523"/>
      <c r="DV2" s="1523"/>
      <c r="DW2" s="1521"/>
      <c r="DX2" s="1522"/>
      <c r="DY2" s="1522"/>
      <c r="DZ2" s="1523"/>
      <c r="EA2" s="1523"/>
      <c r="EB2" s="1521"/>
      <c r="EC2" s="1522"/>
      <c r="ED2" s="1522"/>
      <c r="EE2" s="1523"/>
      <c r="EF2" s="1523"/>
      <c r="EG2" s="1521"/>
      <c r="EH2" s="1522"/>
      <c r="EI2" s="1522"/>
      <c r="EJ2" s="1523"/>
      <c r="EK2" s="1523"/>
      <c r="EL2" s="1521"/>
      <c r="EM2" s="1522"/>
      <c r="EN2" s="1522"/>
      <c r="EO2" s="1523"/>
      <c r="EP2" s="1523"/>
      <c r="EQ2" s="1521"/>
      <c r="ER2" s="1522"/>
      <c r="ES2" s="1522"/>
      <c r="ET2" s="1523"/>
      <c r="EU2" s="1523"/>
      <c r="EV2" s="1521"/>
      <c r="EW2" s="1522"/>
      <c r="EX2" s="1522"/>
      <c r="EY2" s="1523"/>
      <c r="EZ2" s="1523"/>
      <c r="FA2" s="1521"/>
      <c r="FB2" s="1522"/>
      <c r="FC2" s="1522"/>
      <c r="FD2" s="1523"/>
      <c r="FE2" s="1523"/>
      <c r="FF2" s="1521"/>
      <c r="FG2" s="1522"/>
      <c r="FH2" s="1522"/>
      <c r="FI2" s="1523"/>
      <c r="FJ2" s="1523"/>
      <c r="FK2" s="1521"/>
      <c r="FL2" s="1522"/>
      <c r="FM2" s="1522"/>
      <c r="FN2" s="1523"/>
      <c r="FO2" s="1523"/>
      <c r="FP2" s="1521"/>
      <c r="FQ2" s="1522"/>
      <c r="FR2" s="1522"/>
      <c r="FS2" s="1523"/>
      <c r="FT2" s="1523"/>
      <c r="FU2" s="1521"/>
      <c r="FV2" s="1522"/>
      <c r="FW2" s="1522"/>
      <c r="FX2" s="1523"/>
      <c r="FY2" s="1523"/>
      <c r="FZ2" s="1521"/>
      <c r="GA2" s="1522"/>
      <c r="GB2" s="1522"/>
      <c r="GC2" s="1523"/>
      <c r="GD2" s="1523"/>
      <c r="GE2" s="1521"/>
      <c r="GF2" s="1522"/>
      <c r="GG2" s="1522"/>
      <c r="GH2" s="1523"/>
      <c r="GI2" s="1523"/>
      <c r="GJ2" s="1544"/>
      <c r="GK2" s="1522"/>
      <c r="GL2" s="1522"/>
      <c r="GM2" s="1523"/>
      <c r="GN2" s="1523"/>
      <c r="GO2" s="1521"/>
      <c r="GP2" s="1522"/>
      <c r="GQ2" s="1522"/>
      <c r="GR2" s="1523"/>
      <c r="GS2" s="1523"/>
      <c r="GT2" s="1521"/>
      <c r="GU2" s="1522"/>
      <c r="GV2" s="1522"/>
      <c r="GW2" s="1523"/>
      <c r="GX2" s="1523"/>
      <c r="GY2" s="1521"/>
      <c r="GZ2" s="1522"/>
      <c r="HA2" s="1522"/>
      <c r="HB2" s="1523"/>
      <c r="HC2" s="1523"/>
      <c r="HD2" s="1521"/>
      <c r="HE2" s="1522"/>
      <c r="HF2" s="1522"/>
      <c r="HG2" s="1523"/>
      <c r="HH2" s="1523"/>
      <c r="HI2" s="1521"/>
      <c r="HJ2" s="1522"/>
      <c r="HK2" s="1522"/>
      <c r="HL2" s="1523"/>
      <c r="HM2" s="1523"/>
      <c r="HN2" s="1521"/>
      <c r="HO2" s="1522"/>
      <c r="HP2" s="1522"/>
      <c r="HQ2" s="1523"/>
      <c r="HR2" s="1523"/>
      <c r="HS2" s="1521"/>
      <c r="HT2" s="1522"/>
      <c r="HU2" s="1522"/>
      <c r="HV2" s="1523"/>
      <c r="HW2" s="1523"/>
      <c r="HX2" s="1521"/>
      <c r="HY2" s="1522"/>
      <c r="HZ2" s="1522"/>
      <c r="IA2" s="1523"/>
      <c r="IB2" s="1523"/>
      <c r="IC2" s="1521"/>
      <c r="ID2" s="1522"/>
      <c r="IE2" s="1522"/>
      <c r="IF2" s="1523"/>
      <c r="IG2" s="1523"/>
      <c r="IH2" s="1521"/>
      <c r="II2" s="1522"/>
      <c r="IJ2" s="1522"/>
      <c r="IK2" s="1523"/>
      <c r="IL2" s="1523"/>
      <c r="IM2" s="1521"/>
      <c r="IN2" s="1522"/>
      <c r="IO2" s="1522"/>
      <c r="IP2" s="1523"/>
      <c r="IQ2" s="1523"/>
    </row>
    <row r="3" spans="1:251" s="789" customFormat="1" ht="18" customHeight="1">
      <c r="A3" s="799"/>
      <c r="B3" s="781"/>
      <c r="C3" s="781">
        <v>44878589</v>
      </c>
      <c r="D3" s="1478" t="s">
        <v>378</v>
      </c>
      <c r="E3" s="785" t="s">
        <v>13</v>
      </c>
      <c r="F3" s="785"/>
      <c r="G3" s="1491"/>
      <c r="H3" s="1481"/>
      <c r="I3" s="1481"/>
      <c r="J3" s="784"/>
      <c r="K3" s="784"/>
      <c r="L3" s="1492"/>
      <c r="M3" s="1493"/>
      <c r="N3" s="1493"/>
      <c r="O3" s="1494"/>
      <c r="P3" s="1494"/>
      <c r="Q3" s="1492"/>
      <c r="R3" s="1493"/>
      <c r="S3" s="1493"/>
      <c r="T3" s="1494"/>
      <c r="U3" s="1494"/>
      <c r="V3" s="1492"/>
      <c r="W3" s="1493"/>
      <c r="X3" s="1493"/>
      <c r="Y3" s="1494"/>
      <c r="Z3" s="1494"/>
      <c r="AA3" s="1492"/>
      <c r="AB3" s="1493"/>
      <c r="AC3" s="1493"/>
      <c r="AD3" s="1494"/>
      <c r="AE3" s="1494"/>
      <c r="AF3" s="1492"/>
      <c r="AG3" s="1493"/>
      <c r="AH3" s="1493"/>
      <c r="AI3" s="1494"/>
      <c r="AJ3" s="1494"/>
      <c r="AK3" s="1492"/>
      <c r="AL3" s="1493"/>
      <c r="AM3" s="1493"/>
      <c r="AN3" s="1494"/>
      <c r="AO3" s="1494"/>
      <c r="AP3" s="1492"/>
      <c r="AQ3" s="1493"/>
      <c r="AR3" s="1493"/>
      <c r="AS3" s="1494"/>
      <c r="AT3" s="1494"/>
      <c r="AU3" s="1492"/>
      <c r="AV3" s="1493"/>
      <c r="AW3" s="1493"/>
      <c r="AX3" s="1494"/>
      <c r="AY3" s="1494"/>
      <c r="AZ3" s="1492"/>
      <c r="BA3" s="1493"/>
      <c r="BB3" s="1493"/>
      <c r="BC3" s="1494"/>
      <c r="BD3" s="1494"/>
      <c r="BE3" s="1492"/>
      <c r="BF3" s="1493"/>
      <c r="BG3" s="1493"/>
      <c r="BH3" s="1494"/>
      <c r="BI3" s="1494"/>
      <c r="BJ3" s="1492"/>
      <c r="BK3" s="1493"/>
      <c r="BL3" s="1493"/>
      <c r="BM3" s="1494"/>
      <c r="BN3" s="1494"/>
      <c r="BO3" s="1492"/>
      <c r="BP3" s="1493"/>
      <c r="BQ3" s="1493"/>
      <c r="BR3" s="1494"/>
      <c r="BS3" s="1494"/>
      <c r="BT3" s="1492"/>
      <c r="BU3" s="1493"/>
      <c r="BV3" s="1493"/>
      <c r="BW3" s="1494"/>
      <c r="BX3" s="1494"/>
      <c r="BY3" s="1492"/>
      <c r="BZ3" s="1493"/>
      <c r="CA3" s="1493"/>
      <c r="CB3" s="1494"/>
      <c r="CC3" s="1494"/>
      <c r="CD3" s="1492"/>
      <c r="CE3" s="1493"/>
      <c r="CF3" s="1493"/>
      <c r="CG3" s="1494"/>
      <c r="CH3" s="1494"/>
      <c r="CI3" s="1492"/>
      <c r="CJ3" s="1493"/>
      <c r="CK3" s="1493"/>
      <c r="CL3" s="1494"/>
      <c r="CM3" s="1494"/>
      <c r="CN3" s="1492"/>
      <c r="CO3" s="1493"/>
      <c r="CP3" s="1493"/>
      <c r="CQ3" s="1494"/>
      <c r="CR3" s="1494"/>
      <c r="CS3" s="1492"/>
      <c r="CT3" s="1493"/>
      <c r="CU3" s="1493"/>
      <c r="CV3" s="1494"/>
      <c r="CW3" s="1494"/>
      <c r="CX3" s="1492"/>
      <c r="CY3" s="1493"/>
      <c r="CZ3" s="1493"/>
      <c r="DA3" s="1494"/>
      <c r="DB3" s="1494"/>
      <c r="DC3" s="1492"/>
      <c r="DD3" s="1493"/>
      <c r="DE3" s="1493"/>
      <c r="DF3" s="1494"/>
      <c r="DG3" s="1494"/>
      <c r="DH3" s="1492"/>
      <c r="DI3" s="1493"/>
      <c r="DJ3" s="1493"/>
      <c r="DK3" s="1494"/>
      <c r="DL3" s="1494"/>
      <c r="DM3" s="1492"/>
      <c r="DN3" s="1493"/>
      <c r="DO3" s="1493"/>
      <c r="DP3" s="1494"/>
      <c r="DQ3" s="1494"/>
      <c r="DR3" s="1492"/>
      <c r="DS3" s="1493"/>
      <c r="DT3" s="1493"/>
      <c r="DU3" s="1494"/>
      <c r="DV3" s="1494"/>
      <c r="DW3" s="1492"/>
      <c r="DX3" s="1493"/>
      <c r="DY3" s="1493"/>
      <c r="DZ3" s="1494"/>
      <c r="EA3" s="1494"/>
      <c r="EB3" s="1492"/>
      <c r="EC3" s="1493"/>
      <c r="ED3" s="1493"/>
      <c r="EE3" s="1494"/>
      <c r="EF3" s="1494"/>
      <c r="EG3" s="1492"/>
      <c r="EH3" s="1493"/>
      <c r="EI3" s="1493"/>
      <c r="EJ3" s="1494"/>
      <c r="EK3" s="1494"/>
      <c r="EL3" s="1492"/>
      <c r="EM3" s="1493"/>
      <c r="EN3" s="1493"/>
      <c r="EO3" s="1494"/>
      <c r="EP3" s="1494"/>
      <c r="EQ3" s="1492"/>
      <c r="ER3" s="1493"/>
      <c r="ES3" s="1493"/>
      <c r="ET3" s="1494"/>
      <c r="EU3" s="1494"/>
      <c r="EV3" s="1492"/>
      <c r="EW3" s="1537">
        <v>67210</v>
      </c>
      <c r="EX3" s="1538">
        <v>559858.76</v>
      </c>
      <c r="EY3" s="1494"/>
      <c r="EZ3" s="1494"/>
      <c r="FA3" s="1492"/>
      <c r="FB3" s="1537">
        <v>88730</v>
      </c>
      <c r="FC3" s="1538">
        <v>794292.86</v>
      </c>
      <c r="FD3" s="1494"/>
      <c r="FE3" s="1494"/>
      <c r="FF3" s="1492"/>
      <c r="FG3" s="1537">
        <v>89720</v>
      </c>
      <c r="FH3" s="1538">
        <v>855837.29</v>
      </c>
      <c r="FI3" s="1529" t="s">
        <v>1207</v>
      </c>
      <c r="FJ3" s="1494"/>
      <c r="FK3" s="1492"/>
      <c r="FL3" s="1537">
        <v>75890</v>
      </c>
      <c r="FM3" s="1538">
        <v>735882.26</v>
      </c>
      <c r="FN3" s="1529">
        <v>546986.88</v>
      </c>
      <c r="FO3" s="1494"/>
      <c r="FP3" s="1492"/>
      <c r="FQ3" s="1493"/>
      <c r="FR3" s="1493"/>
      <c r="FS3" s="1529">
        <v>312287.23</v>
      </c>
      <c r="FT3" s="1494"/>
      <c r="FU3" s="1492"/>
      <c r="FV3" s="1493"/>
      <c r="FW3" s="1493"/>
      <c r="FX3" s="1494"/>
      <c r="FY3" s="1494"/>
      <c r="FZ3" s="1492"/>
      <c r="GA3" s="1493"/>
      <c r="GB3" s="1493"/>
      <c r="GC3" s="1494"/>
      <c r="GD3" s="1494"/>
      <c r="GE3" s="1492"/>
      <c r="GF3" s="1493"/>
      <c r="GG3" s="1493"/>
      <c r="GH3" s="1494"/>
      <c r="GI3" s="1494"/>
      <c r="GJ3" s="1545"/>
      <c r="GK3" s="1493"/>
      <c r="GL3" s="1493"/>
      <c r="GM3" s="1494"/>
      <c r="GN3" s="1494"/>
      <c r="GO3" s="1492"/>
      <c r="GP3" s="1493"/>
      <c r="GQ3" s="1493"/>
      <c r="GR3" s="1494"/>
      <c r="GS3" s="1494"/>
      <c r="GT3" s="1492">
        <f>GV3/GU3</f>
        <v>11.233164070612668</v>
      </c>
      <c r="GU3" s="1616">
        <f>18310+950</f>
        <v>19260</v>
      </c>
      <c r="GV3" s="1538">
        <v>216350.74</v>
      </c>
      <c r="GW3" s="1494"/>
      <c r="GX3" s="1494"/>
      <c r="GY3" s="1492"/>
      <c r="GZ3" s="1493"/>
      <c r="HA3" s="1493"/>
      <c r="HB3" s="1494"/>
      <c r="HC3" s="1494"/>
      <c r="HD3" s="1492"/>
      <c r="HE3" s="1568">
        <v>67210</v>
      </c>
      <c r="HF3" s="1569">
        <v>559858.76</v>
      </c>
      <c r="HG3" s="1494"/>
      <c r="HH3" s="1494"/>
      <c r="HI3" s="1492"/>
      <c r="HJ3" s="1568">
        <v>88730</v>
      </c>
      <c r="HK3" s="1569">
        <v>794292.86</v>
      </c>
      <c r="HL3" s="1494"/>
      <c r="HM3" s="1494"/>
      <c r="HN3" s="1492"/>
      <c r="HO3" s="1568">
        <v>89720</v>
      </c>
      <c r="HP3" s="1569">
        <v>855837.29</v>
      </c>
      <c r="HQ3" s="1494" t="s">
        <v>1207</v>
      </c>
      <c r="HR3" s="1494"/>
      <c r="HS3" s="1492"/>
      <c r="HT3" s="1568">
        <v>75890</v>
      </c>
      <c r="HU3" s="1569">
        <v>735882.26</v>
      </c>
      <c r="HV3" s="1494">
        <v>546986.88</v>
      </c>
      <c r="HW3" s="1494"/>
      <c r="HX3" s="1492"/>
      <c r="HY3" s="1493"/>
      <c r="HZ3" s="1493"/>
      <c r="IA3" s="1494">
        <v>312287.23</v>
      </c>
      <c r="IB3" s="1494"/>
      <c r="IC3" s="1492"/>
      <c r="ID3" s="1493"/>
      <c r="IE3" s="1493"/>
      <c r="IF3" s="1494"/>
      <c r="IG3" s="1494"/>
      <c r="IH3" s="1492"/>
      <c r="II3" s="1493"/>
      <c r="IJ3" s="1493"/>
      <c r="IK3" s="1494"/>
      <c r="IL3" s="1494"/>
      <c r="IM3" s="1492"/>
      <c r="IN3" s="1493"/>
      <c r="IO3" s="1493"/>
      <c r="IP3" s="1494"/>
      <c r="IQ3" s="1494"/>
    </row>
    <row r="4" spans="1:251" s="789" customFormat="1" ht="33" customHeight="1">
      <c r="A4" s="799"/>
      <c r="B4" s="781"/>
      <c r="C4" s="781">
        <v>23243188</v>
      </c>
      <c r="D4" s="1478" t="s">
        <v>1201</v>
      </c>
      <c r="E4" s="785" t="s">
        <v>15</v>
      </c>
      <c r="F4" s="785"/>
      <c r="G4" s="1491"/>
      <c r="H4" s="1481"/>
      <c r="I4" s="1481"/>
      <c r="J4" s="784"/>
      <c r="K4" s="784"/>
      <c r="L4" s="1492"/>
      <c r="M4" s="1493"/>
      <c r="N4" s="1493"/>
      <c r="O4" s="1494"/>
      <c r="P4" s="1494"/>
      <c r="Q4" s="1492"/>
      <c r="R4" s="1493"/>
      <c r="S4" s="1493"/>
      <c r="T4" s="1494"/>
      <c r="U4" s="1494"/>
      <c r="V4" s="1492"/>
      <c r="W4" s="1493"/>
      <c r="X4" s="1493"/>
      <c r="Y4" s="1494"/>
      <c r="Z4" s="1494"/>
      <c r="AA4" s="1492"/>
      <c r="AB4" s="1493"/>
      <c r="AC4" s="1493"/>
      <c r="AD4" s="1494"/>
      <c r="AE4" s="1494"/>
      <c r="AF4" s="1492"/>
      <c r="AG4" s="1493"/>
      <c r="AH4" s="1493"/>
      <c r="AI4" s="1494"/>
      <c r="AJ4" s="1494"/>
      <c r="AK4" s="1492"/>
      <c r="AL4" s="1493"/>
      <c r="AM4" s="1493"/>
      <c r="AN4" s="1494"/>
      <c r="AO4" s="1494"/>
      <c r="AP4" s="1492"/>
      <c r="AQ4" s="1493"/>
      <c r="AR4" s="1493"/>
      <c r="AS4" s="1494"/>
      <c r="AT4" s="1494"/>
      <c r="AU4" s="1492"/>
      <c r="AV4" s="1493"/>
      <c r="AW4" s="1493"/>
      <c r="AX4" s="1494"/>
      <c r="AY4" s="1494"/>
      <c r="AZ4" s="1492"/>
      <c r="BA4" s="1493"/>
      <c r="BB4" s="1493"/>
      <c r="BC4" s="1494"/>
      <c r="BD4" s="1494"/>
      <c r="BE4" s="1492"/>
      <c r="BF4" s="1493"/>
      <c r="BG4" s="1493"/>
      <c r="BH4" s="1494"/>
      <c r="BI4" s="1494"/>
      <c r="BJ4" s="1492"/>
      <c r="BK4" s="1493"/>
      <c r="BL4" s="1493"/>
      <c r="BM4" s="1494"/>
      <c r="BN4" s="1494"/>
      <c r="BO4" s="1492"/>
      <c r="BP4" s="1493"/>
      <c r="BQ4" s="1493"/>
      <c r="BR4" s="1494"/>
      <c r="BS4" s="1494"/>
      <c r="BT4" s="1492"/>
      <c r="BU4" s="1493"/>
      <c r="BV4" s="1493"/>
      <c r="BW4" s="1494"/>
      <c r="BX4" s="1494"/>
      <c r="BY4" s="1492"/>
      <c r="BZ4" s="1493"/>
      <c r="CA4" s="1493"/>
      <c r="CB4" s="1494"/>
      <c r="CC4" s="1494"/>
      <c r="CD4" s="1492"/>
      <c r="CE4" s="1493"/>
      <c r="CF4" s="1493"/>
      <c r="CG4" s="1494"/>
      <c r="CH4" s="1494"/>
      <c r="CI4" s="1492"/>
      <c r="CJ4" s="1493"/>
      <c r="CK4" s="1493"/>
      <c r="CL4" s="1494"/>
      <c r="CM4" s="1494"/>
      <c r="CN4" s="1492"/>
      <c r="CO4" s="1493"/>
      <c r="CP4" s="1493"/>
      <c r="CQ4" s="1494"/>
      <c r="CR4" s="1494"/>
      <c r="CS4" s="1492"/>
      <c r="CT4" s="1493"/>
      <c r="CU4" s="1493"/>
      <c r="CV4" s="1494"/>
      <c r="CW4" s="1494"/>
      <c r="CX4" s="1492"/>
      <c r="CY4" s="1493"/>
      <c r="CZ4" s="1493"/>
      <c r="DA4" s="1494"/>
      <c r="DB4" s="1494"/>
      <c r="DC4" s="1492"/>
      <c r="DD4" s="1493"/>
      <c r="DE4" s="1493"/>
      <c r="DF4" s="1494"/>
      <c r="DG4" s="1494"/>
      <c r="DH4" s="1492"/>
      <c r="DI4" s="1493"/>
      <c r="DJ4" s="1493"/>
      <c r="DK4" s="1494"/>
      <c r="DL4" s="1494"/>
      <c r="DM4" s="1492"/>
      <c r="DN4" s="1493"/>
      <c r="DO4" s="1493"/>
      <c r="DP4" s="1494"/>
      <c r="DQ4" s="1494"/>
      <c r="DR4" s="1492"/>
      <c r="DS4" s="1493"/>
      <c r="DT4" s="1493"/>
      <c r="DU4" s="1494"/>
      <c r="DV4" s="1494"/>
      <c r="DW4" s="1492"/>
      <c r="DX4" s="1493"/>
      <c r="DY4" s="1493"/>
      <c r="DZ4" s="1494"/>
      <c r="EA4" s="1494"/>
      <c r="EB4" s="1492"/>
      <c r="EC4" s="1493"/>
      <c r="ED4" s="1493"/>
      <c r="EE4" s="1494"/>
      <c r="EF4" s="1494"/>
      <c r="EG4" s="1492"/>
      <c r="EH4" s="1493"/>
      <c r="EI4" s="1493"/>
      <c r="EJ4" s="1494"/>
      <c r="EK4" s="1494"/>
      <c r="EL4" s="1492"/>
      <c r="EM4" s="1493"/>
      <c r="EN4" s="1493"/>
      <c r="EO4" s="1494"/>
      <c r="EP4" s="1494"/>
      <c r="EQ4" s="1492"/>
      <c r="ER4" s="1493"/>
      <c r="ES4" s="1493"/>
      <c r="ET4" s="1494"/>
      <c r="EU4" s="1494"/>
      <c r="EV4" s="1492"/>
      <c r="EW4" s="1493"/>
      <c r="EX4" s="1493"/>
      <c r="EY4" s="1494"/>
      <c r="EZ4" s="1494"/>
      <c r="FA4" s="1492"/>
      <c r="FB4" s="1493"/>
      <c r="FC4" s="1493"/>
      <c r="FD4" s="1494"/>
      <c r="FE4" s="1494"/>
      <c r="FF4" s="1492"/>
      <c r="FG4" s="1493"/>
      <c r="FH4" s="1493"/>
      <c r="FJ4" s="1494"/>
      <c r="FK4" s="1492"/>
      <c r="FL4" s="1493"/>
      <c r="FM4" s="1493"/>
      <c r="FN4" s="1529" t="s">
        <v>1206</v>
      </c>
      <c r="FO4" s="1494"/>
      <c r="FP4" s="1492"/>
      <c r="FQ4" s="1493"/>
      <c r="FR4" s="1493"/>
      <c r="FS4" s="1494"/>
      <c r="FT4" s="1494"/>
      <c r="FU4" s="1492"/>
      <c r="FV4" s="1528"/>
      <c r="FW4" s="1528">
        <v>10688.9</v>
      </c>
      <c r="FX4" s="1529"/>
      <c r="FY4" s="1494"/>
      <c r="FZ4" s="1492"/>
      <c r="GA4" s="1493"/>
      <c r="GB4" s="1493"/>
      <c r="GC4" s="1494"/>
      <c r="GD4" s="1494"/>
      <c r="GE4" s="1492"/>
      <c r="GF4" s="1493"/>
      <c r="GG4" s="1493"/>
      <c r="GH4" s="1494"/>
      <c r="GI4" s="1494"/>
      <c r="GJ4" s="1545"/>
      <c r="GK4" s="1493"/>
      <c r="GL4" s="1493"/>
      <c r="GM4" s="1494"/>
      <c r="GN4" s="1494"/>
      <c r="GO4" s="1492"/>
      <c r="GP4" s="1493"/>
      <c r="GQ4" s="1493"/>
      <c r="GR4" s="1494"/>
      <c r="GS4" s="1494"/>
      <c r="GT4" s="1492"/>
      <c r="GU4" s="1616"/>
      <c r="GV4" s="1538">
        <v>22972.92</v>
      </c>
      <c r="GW4" s="1529">
        <v>22972.92</v>
      </c>
      <c r="GX4" s="1494"/>
      <c r="GY4" s="1492"/>
      <c r="GZ4" s="1493"/>
      <c r="HA4" s="1493"/>
      <c r="HB4" s="1494"/>
      <c r="HC4" s="1494"/>
      <c r="HD4" s="1492"/>
      <c r="HE4" s="1493"/>
      <c r="HF4" s="1493"/>
      <c r="HG4" s="1494"/>
      <c r="HH4" s="1494"/>
      <c r="HI4" s="1492"/>
      <c r="HJ4" s="1493"/>
      <c r="HK4" s="1493"/>
      <c r="HL4" s="1494"/>
      <c r="HM4" s="1494"/>
      <c r="HN4" s="1492"/>
      <c r="HO4" s="1493"/>
      <c r="HP4" s="1493"/>
      <c r="HQ4" s="1572"/>
      <c r="HR4" s="1494"/>
      <c r="HS4" s="1492"/>
      <c r="HT4" s="1493"/>
      <c r="HU4" s="1493"/>
      <c r="HV4" s="1494" t="s">
        <v>1206</v>
      </c>
      <c r="HW4" s="1494"/>
      <c r="HX4" s="1492"/>
      <c r="HY4" s="1493"/>
      <c r="HZ4" s="1493"/>
      <c r="IA4" s="1494"/>
      <c r="IB4" s="1494"/>
      <c r="IC4" s="1492"/>
      <c r="ID4" s="1493"/>
      <c r="IE4" s="1493">
        <v>10688.9</v>
      </c>
      <c r="IF4" s="1494"/>
      <c r="IG4" s="1494"/>
      <c r="IH4" s="1492"/>
      <c r="II4" s="1493"/>
      <c r="IJ4" s="1493"/>
      <c r="IK4" s="1494"/>
      <c r="IL4" s="1494"/>
      <c r="IM4" s="1492"/>
      <c r="IN4" s="1493"/>
      <c r="IO4" s="1493"/>
      <c r="IP4" s="1494"/>
      <c r="IQ4" s="1494"/>
    </row>
    <row r="5" spans="1:251" s="789" customFormat="1" ht="18" customHeight="1">
      <c r="A5" s="799"/>
      <c r="B5" s="781"/>
      <c r="C5" s="781">
        <v>40635553</v>
      </c>
      <c r="D5" s="1478" t="s">
        <v>1200</v>
      </c>
      <c r="E5" s="785" t="s">
        <v>542</v>
      </c>
      <c r="F5" s="785"/>
      <c r="G5" s="1491"/>
      <c r="H5" s="1481"/>
      <c r="I5" s="1481"/>
      <c r="J5" s="784"/>
      <c r="K5" s="784"/>
      <c r="L5" s="1492"/>
      <c r="M5" s="1493"/>
      <c r="N5" s="1493"/>
      <c r="O5" s="1494"/>
      <c r="P5" s="1494"/>
      <c r="Q5" s="1492"/>
      <c r="R5" s="1493"/>
      <c r="S5" s="1493"/>
      <c r="T5" s="1494"/>
      <c r="U5" s="1494"/>
      <c r="V5" s="1492"/>
      <c r="W5" s="1493"/>
      <c r="X5" s="1493"/>
      <c r="Y5" s="1494"/>
      <c r="Z5" s="1494"/>
      <c r="AA5" s="1492"/>
      <c r="AB5" s="1493"/>
      <c r="AC5" s="1493"/>
      <c r="AD5" s="1494"/>
      <c r="AE5" s="1494"/>
      <c r="AF5" s="1492"/>
      <c r="AG5" s="1493"/>
      <c r="AH5" s="1493"/>
      <c r="AI5" s="1494"/>
      <c r="AJ5" s="1494"/>
      <c r="AK5" s="1492"/>
      <c r="AL5" s="1493"/>
      <c r="AM5" s="1493"/>
      <c r="AN5" s="1494"/>
      <c r="AO5" s="1494"/>
      <c r="AP5" s="1492"/>
      <c r="AQ5" s="1493"/>
      <c r="AR5" s="1493"/>
      <c r="AS5" s="1494"/>
      <c r="AT5" s="1494"/>
      <c r="AU5" s="1492"/>
      <c r="AV5" s="1493"/>
      <c r="AW5" s="1493"/>
      <c r="AX5" s="1494"/>
      <c r="AY5" s="1494"/>
      <c r="AZ5" s="1492"/>
      <c r="BA5" s="1493"/>
      <c r="BB5" s="1493"/>
      <c r="BC5" s="1494"/>
      <c r="BD5" s="1494"/>
      <c r="BE5" s="1492"/>
      <c r="BF5" s="1493"/>
      <c r="BG5" s="1493"/>
      <c r="BH5" s="1494"/>
      <c r="BI5" s="1494"/>
      <c r="BJ5" s="1492"/>
      <c r="BK5" s="1493"/>
      <c r="BL5" s="1493"/>
      <c r="BM5" s="1494"/>
      <c r="BN5" s="1494"/>
      <c r="BO5" s="1492"/>
      <c r="BP5" s="1493"/>
      <c r="BQ5" s="1493"/>
      <c r="BR5" s="1494"/>
      <c r="BS5" s="1494"/>
      <c r="BT5" s="1492"/>
      <c r="BU5" s="1493"/>
      <c r="BV5" s="1493"/>
      <c r="BW5" s="1494"/>
      <c r="BX5" s="1494"/>
      <c r="BY5" s="1492"/>
      <c r="BZ5" s="1493"/>
      <c r="CA5" s="1493"/>
      <c r="CB5" s="1494"/>
      <c r="CC5" s="1494"/>
      <c r="CD5" s="1492"/>
      <c r="CE5" s="1493"/>
      <c r="CF5" s="1493"/>
      <c r="CG5" s="1494"/>
      <c r="CH5" s="1494"/>
      <c r="CI5" s="1492"/>
      <c r="CJ5" s="1493"/>
      <c r="CK5" s="1493"/>
      <c r="CL5" s="1494"/>
      <c r="CM5" s="1494"/>
      <c r="CN5" s="1492"/>
      <c r="CO5" s="1493"/>
      <c r="CP5" s="1493"/>
      <c r="CQ5" s="1494"/>
      <c r="CR5" s="1494"/>
      <c r="CS5" s="1492"/>
      <c r="CT5" s="1493"/>
      <c r="CU5" s="1493"/>
      <c r="CV5" s="1494"/>
      <c r="CW5" s="1494"/>
      <c r="CX5" s="1492"/>
      <c r="CY5" s="1493"/>
      <c r="CZ5" s="1493"/>
      <c r="DA5" s="1494"/>
      <c r="DB5" s="1494"/>
      <c r="DC5" s="1492"/>
      <c r="DD5" s="1493"/>
      <c r="DE5" s="1493"/>
      <c r="DF5" s="1494"/>
      <c r="DG5" s="1494"/>
      <c r="DH5" s="1492"/>
      <c r="DI5" s="1493"/>
      <c r="DJ5" s="1493"/>
      <c r="DK5" s="1494"/>
      <c r="DL5" s="1494"/>
      <c r="DM5" s="1492"/>
      <c r="DN5" s="1493"/>
      <c r="DO5" s="1493"/>
      <c r="DP5" s="1494"/>
      <c r="DQ5" s="1494"/>
      <c r="DR5" s="1492"/>
      <c r="DS5" s="1493"/>
      <c r="DT5" s="1493"/>
      <c r="DU5" s="1494"/>
      <c r="DV5" s="1494"/>
      <c r="DW5" s="1492"/>
      <c r="DX5" s="1493"/>
      <c r="DY5" s="1493"/>
      <c r="DZ5" s="1494"/>
      <c r="EA5" s="1494"/>
      <c r="EB5" s="1492"/>
      <c r="EC5" s="1493"/>
      <c r="ED5" s="1493"/>
      <c r="EE5" s="1494"/>
      <c r="EF5" s="1494"/>
      <c r="EG5" s="1492"/>
      <c r="EH5" s="1493"/>
      <c r="EI5" s="1493"/>
      <c r="EJ5" s="1494"/>
      <c r="EK5" s="1494"/>
      <c r="EL5" s="1492"/>
      <c r="EM5" s="1493"/>
      <c r="EN5" s="1493"/>
      <c r="EO5" s="1494"/>
      <c r="EP5" s="1494"/>
      <c r="EQ5" s="1492"/>
      <c r="ER5" s="1493"/>
      <c r="ES5" s="1493"/>
      <c r="ET5" s="1494"/>
      <c r="EU5" s="1494"/>
      <c r="EV5" s="1492"/>
      <c r="EW5" s="1493"/>
      <c r="EX5" s="1493"/>
      <c r="EY5" s="1494"/>
      <c r="EZ5" s="1494"/>
      <c r="FA5" s="1492"/>
      <c r="FB5" s="1493"/>
      <c r="FC5" s="1493"/>
      <c r="FD5" s="1494"/>
      <c r="FE5" s="1529" t="s">
        <v>1208</v>
      </c>
      <c r="FF5" s="1492"/>
      <c r="FG5" s="1528">
        <v>1</v>
      </c>
      <c r="FH5" s="1528" t="s">
        <v>1205</v>
      </c>
      <c r="FI5" s="1529"/>
      <c r="FJ5" s="1494"/>
      <c r="FK5" s="1492"/>
      <c r="FL5" s="1528">
        <v>1</v>
      </c>
      <c r="FM5" s="1528" t="s">
        <v>1205</v>
      </c>
      <c r="FN5" s="1529"/>
      <c r="FO5" s="1494"/>
      <c r="FP5" s="1492"/>
      <c r="FQ5" s="1528">
        <v>1</v>
      </c>
      <c r="FR5" s="1528" t="s">
        <v>1205</v>
      </c>
      <c r="FS5" s="1529"/>
      <c r="FT5" s="1494"/>
      <c r="FU5" s="1492"/>
      <c r="FV5" s="1528">
        <v>1</v>
      </c>
      <c r="FW5" s="1528" t="s">
        <v>1205</v>
      </c>
      <c r="FX5" s="1529"/>
      <c r="FY5" s="1494"/>
      <c r="FZ5" s="1492"/>
      <c r="GA5" s="1493"/>
      <c r="GB5" s="1493"/>
      <c r="GC5" s="1494"/>
      <c r="GD5" s="1494"/>
      <c r="GE5" s="1492"/>
      <c r="GF5" s="1493"/>
      <c r="GG5" s="1493"/>
      <c r="GH5" s="1494"/>
      <c r="GI5" s="1494"/>
      <c r="GJ5" s="1545"/>
      <c r="GK5" s="1493"/>
      <c r="GL5" s="1493"/>
      <c r="GM5" s="1494"/>
      <c r="GN5" s="1494"/>
      <c r="GO5" s="1492"/>
      <c r="GP5" s="1493"/>
      <c r="GQ5" s="1493"/>
      <c r="GR5" s="1494"/>
      <c r="GS5" s="1494"/>
      <c r="GT5" s="1492"/>
      <c r="GU5" s="1528"/>
      <c r="GV5" s="1617">
        <v>1440</v>
      </c>
      <c r="GW5" s="1529"/>
      <c r="GX5" s="1494"/>
      <c r="GY5" s="1492"/>
      <c r="GZ5" s="1493"/>
      <c r="HA5" s="1493"/>
      <c r="HB5" s="1494"/>
      <c r="HC5" s="1494"/>
      <c r="HD5" s="1492"/>
      <c r="HE5" s="1493"/>
      <c r="HF5" s="1493"/>
      <c r="HG5" s="1494"/>
      <c r="HH5" s="1494"/>
      <c r="HI5" s="1492"/>
      <c r="HJ5" s="1493"/>
      <c r="HK5" s="1493"/>
      <c r="HL5" s="1494"/>
      <c r="HM5" s="1529" t="s">
        <v>1208</v>
      </c>
      <c r="HN5" s="1492"/>
      <c r="HO5" s="1493">
        <v>1</v>
      </c>
      <c r="HP5" s="1493" t="s">
        <v>1205</v>
      </c>
      <c r="HQ5" s="1494"/>
      <c r="HR5" s="1494"/>
      <c r="HS5" s="1492"/>
      <c r="HT5" s="1493">
        <v>1</v>
      </c>
      <c r="HU5" s="1493" t="s">
        <v>1205</v>
      </c>
      <c r="HV5" s="1494"/>
      <c r="HW5" s="1494"/>
      <c r="HX5" s="1492"/>
      <c r="HY5" s="1493">
        <v>1</v>
      </c>
      <c r="HZ5" s="1493" t="s">
        <v>1205</v>
      </c>
      <c r="IA5" s="1494"/>
      <c r="IB5" s="1494"/>
      <c r="IC5" s="1492"/>
      <c r="ID5" s="1493">
        <v>1</v>
      </c>
      <c r="IE5" s="1493" t="s">
        <v>1205</v>
      </c>
      <c r="IF5" s="1494"/>
      <c r="IG5" s="1494"/>
      <c r="IH5" s="1492"/>
      <c r="II5" s="1493"/>
      <c r="IJ5" s="1493"/>
      <c r="IK5" s="1494"/>
      <c r="IL5" s="1494"/>
      <c r="IM5" s="1492"/>
      <c r="IN5" s="1493"/>
      <c r="IO5" s="1493"/>
      <c r="IP5" s="1494"/>
      <c r="IQ5" s="1494"/>
    </row>
    <row r="6" spans="1:251" s="789" customFormat="1" ht="18" customHeight="1">
      <c r="A6" s="799"/>
      <c r="B6" s="781"/>
      <c r="C6" s="781"/>
      <c r="D6" s="1478"/>
      <c r="E6" s="785"/>
      <c r="F6" s="785"/>
      <c r="G6" s="1491"/>
      <c r="H6" s="1481"/>
      <c r="I6" s="1481"/>
      <c r="J6" s="784"/>
      <c r="K6" s="784"/>
      <c r="L6" s="1492"/>
      <c r="M6" s="1493"/>
      <c r="N6" s="1493"/>
      <c r="O6" s="1494"/>
      <c r="P6" s="1494"/>
      <c r="Q6" s="1492"/>
      <c r="R6" s="1493"/>
      <c r="S6" s="1493"/>
      <c r="T6" s="1494"/>
      <c r="U6" s="1494"/>
      <c r="V6" s="1492"/>
      <c r="W6" s="1493"/>
      <c r="X6" s="1493"/>
      <c r="Y6" s="1494"/>
      <c r="Z6" s="1494"/>
      <c r="AA6" s="1492"/>
      <c r="AB6" s="1493"/>
      <c r="AC6" s="1493"/>
      <c r="AD6" s="1494"/>
      <c r="AE6" s="1494"/>
      <c r="AF6" s="1492"/>
      <c r="AG6" s="1493"/>
      <c r="AH6" s="1493"/>
      <c r="AI6" s="1494"/>
      <c r="AJ6" s="1494"/>
      <c r="AK6" s="1492"/>
      <c r="AL6" s="1493"/>
      <c r="AM6" s="1493"/>
      <c r="AN6" s="1494"/>
      <c r="AO6" s="1494"/>
      <c r="AP6" s="1492"/>
      <c r="AQ6" s="1493"/>
      <c r="AR6" s="1493"/>
      <c r="AS6" s="1494"/>
      <c r="AT6" s="1494"/>
      <c r="AU6" s="1492"/>
      <c r="AV6" s="1493"/>
      <c r="AW6" s="1493"/>
      <c r="AX6" s="1494"/>
      <c r="AY6" s="1494"/>
      <c r="AZ6" s="1492"/>
      <c r="BA6" s="1493"/>
      <c r="BB6" s="1493"/>
      <c r="BC6" s="1494"/>
      <c r="BD6" s="1494"/>
      <c r="BE6" s="1492"/>
      <c r="BF6" s="1493"/>
      <c r="BG6" s="1493"/>
      <c r="BH6" s="1494"/>
      <c r="BI6" s="1494"/>
      <c r="BJ6" s="1492"/>
      <c r="BK6" s="1493"/>
      <c r="BL6" s="1493"/>
      <c r="BM6" s="1494"/>
      <c r="BN6" s="1494"/>
      <c r="BO6" s="1492"/>
      <c r="BP6" s="1493"/>
      <c r="BQ6" s="1493"/>
      <c r="BR6" s="1494"/>
      <c r="BS6" s="1494"/>
      <c r="BT6" s="1492"/>
      <c r="BU6" s="1493"/>
      <c r="BV6" s="1493"/>
      <c r="BW6" s="1494"/>
      <c r="BX6" s="1494"/>
      <c r="BY6" s="1492"/>
      <c r="BZ6" s="1493"/>
      <c r="CA6" s="1493"/>
      <c r="CB6" s="1494"/>
      <c r="CC6" s="1494"/>
      <c r="CD6" s="1492"/>
      <c r="CE6" s="1493"/>
      <c r="CF6" s="1493"/>
      <c r="CG6" s="1494"/>
      <c r="CH6" s="1494"/>
      <c r="CI6" s="1492"/>
      <c r="CJ6" s="1493"/>
      <c r="CK6" s="1493"/>
      <c r="CL6" s="1494"/>
      <c r="CM6" s="1494"/>
      <c r="CN6" s="1492"/>
      <c r="CO6" s="1493"/>
      <c r="CP6" s="1493"/>
      <c r="CQ6" s="1494"/>
      <c r="CR6" s="1494"/>
      <c r="CS6" s="1492"/>
      <c r="CT6" s="1493"/>
      <c r="CU6" s="1493"/>
      <c r="CV6" s="1494"/>
      <c r="CW6" s="1494"/>
      <c r="CX6" s="1492"/>
      <c r="CY6" s="1493"/>
      <c r="CZ6" s="1493"/>
      <c r="DA6" s="1494"/>
      <c r="DB6" s="1494"/>
      <c r="DC6" s="1492"/>
      <c r="DD6" s="1493"/>
      <c r="DE6" s="1493"/>
      <c r="DF6" s="1494"/>
      <c r="DG6" s="1494"/>
      <c r="DH6" s="1492"/>
      <c r="DI6" s="1493"/>
      <c r="DJ6" s="1493"/>
      <c r="DK6" s="1494"/>
      <c r="DL6" s="1494"/>
      <c r="DM6" s="1492"/>
      <c r="DN6" s="1493"/>
      <c r="DO6" s="1493"/>
      <c r="DP6" s="1494"/>
      <c r="DQ6" s="1494"/>
      <c r="DR6" s="1492"/>
      <c r="DS6" s="1493"/>
      <c r="DT6" s="1493"/>
      <c r="DU6" s="1494"/>
      <c r="DV6" s="1494"/>
      <c r="DW6" s="1492"/>
      <c r="DX6" s="1493"/>
      <c r="DY6" s="1493"/>
      <c r="DZ6" s="1494"/>
      <c r="EA6" s="1494"/>
      <c r="EB6" s="1492"/>
      <c r="EC6" s="1493"/>
      <c r="ED6" s="1493"/>
      <c r="EE6" s="1494"/>
      <c r="EF6" s="1494"/>
      <c r="EG6" s="1492"/>
      <c r="EH6" s="1493"/>
      <c r="EI6" s="1493"/>
      <c r="EJ6" s="1494"/>
      <c r="EK6" s="1494"/>
      <c r="EL6" s="1492"/>
      <c r="EM6" s="1493"/>
      <c r="EN6" s="1493"/>
      <c r="EO6" s="1494"/>
      <c r="EP6" s="1494"/>
      <c r="EQ6" s="1492"/>
      <c r="ER6" s="1493"/>
      <c r="ES6" s="1493"/>
      <c r="ET6" s="1494"/>
      <c r="EU6" s="1494"/>
      <c r="EV6" s="1492"/>
      <c r="EW6" s="1493"/>
      <c r="EX6" s="1493"/>
      <c r="EY6" s="1494"/>
      <c r="EZ6" s="1494"/>
      <c r="FA6" s="1492"/>
      <c r="FB6" s="1493"/>
      <c r="FC6" s="1493"/>
      <c r="FD6" s="1494"/>
      <c r="FE6" s="1494"/>
      <c r="FF6" s="1492"/>
      <c r="FG6" s="1493"/>
      <c r="FH6" s="1493"/>
      <c r="FI6" s="1494"/>
      <c r="FJ6" s="1494"/>
      <c r="FK6" s="1492"/>
      <c r="FL6" s="1493"/>
      <c r="FM6" s="1493"/>
      <c r="FN6" s="1494"/>
      <c r="FO6" s="1494"/>
      <c r="FP6" s="1492"/>
      <c r="FQ6" s="1493"/>
      <c r="FR6" s="1493"/>
      <c r="FS6" s="1494"/>
      <c r="FT6" s="1494"/>
      <c r="FU6" s="1492"/>
      <c r="FV6" s="1493"/>
      <c r="FW6" s="1493"/>
      <c r="FX6" s="1494"/>
      <c r="FY6" s="1494"/>
      <c r="FZ6" s="1492"/>
      <c r="GA6" s="1493"/>
      <c r="GB6" s="1493"/>
      <c r="GC6" s="1494"/>
      <c r="GD6" s="1494"/>
      <c r="GE6" s="1492"/>
      <c r="GF6" s="1493"/>
      <c r="GG6" s="1493"/>
      <c r="GH6" s="1494"/>
      <c r="GI6" s="1494"/>
      <c r="GJ6" s="1545"/>
      <c r="GK6" s="1493"/>
      <c r="GL6" s="1493"/>
      <c r="GM6" s="1494"/>
      <c r="GN6" s="1494"/>
      <c r="GO6" s="1492"/>
      <c r="GP6" s="1493"/>
      <c r="GQ6" s="1493"/>
      <c r="GR6" s="1494"/>
      <c r="GS6" s="1494"/>
      <c r="GT6" s="1492"/>
      <c r="GU6" s="1493"/>
      <c r="GV6" s="1493"/>
      <c r="GW6" s="1494"/>
      <c r="GX6" s="1494"/>
      <c r="GY6" s="1492"/>
      <c r="GZ6" s="1493"/>
      <c r="HA6" s="1493"/>
      <c r="HB6" s="1494"/>
      <c r="HC6" s="1494"/>
      <c r="HD6" s="1492"/>
      <c r="HE6" s="1493"/>
      <c r="HF6" s="1493"/>
      <c r="HG6" s="1494"/>
      <c r="HH6" s="1494"/>
      <c r="HI6" s="1492"/>
      <c r="HJ6" s="1493"/>
      <c r="HK6" s="1493"/>
      <c r="HL6" s="1494"/>
      <c r="HM6" s="1494"/>
      <c r="HN6" s="1492"/>
      <c r="HO6" s="1493"/>
      <c r="HP6" s="1493"/>
      <c r="HQ6" s="1494"/>
      <c r="HR6" s="1494"/>
      <c r="HS6" s="1492"/>
      <c r="HT6" s="1493"/>
      <c r="HU6" s="1493"/>
      <c r="HV6" s="1494"/>
      <c r="HW6" s="1494"/>
      <c r="HX6" s="1492"/>
      <c r="HY6" s="1493"/>
      <c r="HZ6" s="1493"/>
      <c r="IA6" s="1494"/>
      <c r="IB6" s="1494"/>
      <c r="IC6" s="1492"/>
      <c r="ID6" s="1493"/>
      <c r="IE6" s="1493"/>
      <c r="IF6" s="1494"/>
      <c r="IG6" s="1494"/>
      <c r="IH6" s="1492"/>
      <c r="II6" s="1493"/>
      <c r="IJ6" s="1493"/>
      <c r="IK6" s="1494"/>
      <c r="IL6" s="1494"/>
      <c r="IM6" s="1492"/>
      <c r="IN6" s="1493"/>
      <c r="IO6" s="1493"/>
      <c r="IP6" s="1494"/>
      <c r="IQ6" s="1494"/>
    </row>
    <row r="7" spans="1:251" s="264" customFormat="1" ht="18" customHeight="1" thickBot="1">
      <c r="A7" s="685"/>
      <c r="B7" s="258"/>
      <c r="C7" s="258"/>
      <c r="D7" s="1477"/>
      <c r="E7" s="259"/>
      <c r="F7" s="259"/>
      <c r="G7" s="1524"/>
      <c r="H7" s="1525"/>
      <c r="I7" s="1525"/>
      <c r="J7" s="48"/>
      <c r="K7" s="48"/>
      <c r="L7" s="1526"/>
      <c r="M7" s="817"/>
      <c r="N7" s="817"/>
      <c r="O7" s="818"/>
      <c r="P7" s="818"/>
      <c r="Q7" s="1526"/>
      <c r="R7" s="817"/>
      <c r="S7" s="817"/>
      <c r="T7" s="818"/>
      <c r="U7" s="818"/>
      <c r="V7" s="1526"/>
      <c r="W7" s="817"/>
      <c r="X7" s="817"/>
      <c r="Y7" s="818"/>
      <c r="Z7" s="818"/>
      <c r="AA7" s="1526"/>
      <c r="AB7" s="817"/>
      <c r="AC7" s="817"/>
      <c r="AD7" s="818"/>
      <c r="AE7" s="818"/>
      <c r="AF7" s="1526"/>
      <c r="AG7" s="817"/>
      <c r="AH7" s="817"/>
      <c r="AI7" s="818"/>
      <c r="AJ7" s="818"/>
      <c r="AK7" s="1526"/>
      <c r="AL7" s="817"/>
      <c r="AM7" s="817"/>
      <c r="AN7" s="818"/>
      <c r="AO7" s="818"/>
      <c r="AP7" s="1526"/>
      <c r="AQ7" s="817"/>
      <c r="AR7" s="817"/>
      <c r="AS7" s="818"/>
      <c r="AT7" s="818"/>
      <c r="AU7" s="1526"/>
      <c r="AV7" s="817"/>
      <c r="AW7" s="817"/>
      <c r="AX7" s="818"/>
      <c r="AY7" s="818"/>
      <c r="AZ7" s="1526"/>
      <c r="BA7" s="817"/>
      <c r="BB7" s="817"/>
      <c r="BC7" s="818"/>
      <c r="BD7" s="818"/>
      <c r="BE7" s="1526"/>
      <c r="BF7" s="817"/>
      <c r="BG7" s="817"/>
      <c r="BH7" s="818"/>
      <c r="BI7" s="818"/>
      <c r="BJ7" s="1526"/>
      <c r="BK7" s="817"/>
      <c r="BL7" s="817"/>
      <c r="BM7" s="818"/>
      <c r="BN7" s="818"/>
      <c r="BO7" s="1526"/>
      <c r="BP7" s="817"/>
      <c r="BQ7" s="817"/>
      <c r="BR7" s="818"/>
      <c r="BS7" s="818"/>
      <c r="BT7" s="1526"/>
      <c r="BU7" s="817"/>
      <c r="BV7" s="817"/>
      <c r="BW7" s="818"/>
      <c r="BX7" s="818"/>
      <c r="BY7" s="1526"/>
      <c r="BZ7" s="817"/>
      <c r="CA7" s="817"/>
      <c r="CB7" s="818"/>
      <c r="CC7" s="818"/>
      <c r="CD7" s="1526"/>
      <c r="CE7" s="817"/>
      <c r="CF7" s="817"/>
      <c r="CG7" s="818"/>
      <c r="CH7" s="818"/>
      <c r="CI7" s="1526"/>
      <c r="CJ7" s="817"/>
      <c r="CK7" s="817"/>
      <c r="CL7" s="818"/>
      <c r="CM7" s="818"/>
      <c r="CN7" s="1526"/>
      <c r="CO7" s="817"/>
      <c r="CP7" s="817"/>
      <c r="CQ7" s="818"/>
      <c r="CR7" s="818"/>
      <c r="CS7" s="1526"/>
      <c r="CT7" s="817"/>
      <c r="CU7" s="817"/>
      <c r="CV7" s="818"/>
      <c r="CW7" s="818"/>
      <c r="CX7" s="1526"/>
      <c r="CY7" s="817"/>
      <c r="CZ7" s="817"/>
      <c r="DA7" s="818"/>
      <c r="DB7" s="818"/>
      <c r="DC7" s="1526"/>
      <c r="DD7" s="817"/>
      <c r="DE7" s="817"/>
      <c r="DF7" s="818"/>
      <c r="DG7" s="818"/>
      <c r="DH7" s="1526"/>
      <c r="DI7" s="817"/>
      <c r="DJ7" s="817"/>
      <c r="DK7" s="818"/>
      <c r="DL7" s="818"/>
      <c r="DM7" s="1526"/>
      <c r="DN7" s="817"/>
      <c r="DO7" s="817"/>
      <c r="DP7" s="818"/>
      <c r="DQ7" s="818"/>
      <c r="DR7" s="1526"/>
      <c r="DS7" s="817"/>
      <c r="DT7" s="817"/>
      <c r="DU7" s="818"/>
      <c r="DV7" s="818"/>
      <c r="DW7" s="1526"/>
      <c r="DX7" s="817"/>
      <c r="DY7" s="817"/>
      <c r="DZ7" s="818"/>
      <c r="EA7" s="818"/>
      <c r="EB7" s="1526"/>
      <c r="EC7" s="817"/>
      <c r="ED7" s="817"/>
      <c r="EE7" s="818"/>
      <c r="EF7" s="818"/>
      <c r="EG7" s="1526"/>
      <c r="EH7" s="817"/>
      <c r="EI7" s="817"/>
      <c r="EJ7" s="818"/>
      <c r="EK7" s="818"/>
      <c r="EL7" s="1526"/>
      <c r="EM7" s="817"/>
      <c r="EN7" s="817"/>
      <c r="EO7" s="818"/>
      <c r="EP7" s="818"/>
      <c r="EQ7" s="1526"/>
      <c r="ER7" s="817"/>
      <c r="ES7" s="817"/>
      <c r="ET7" s="818"/>
      <c r="EU7" s="818"/>
      <c r="EV7" s="1526"/>
      <c r="EW7" s="817"/>
      <c r="EX7" s="817"/>
      <c r="EY7" s="818"/>
      <c r="EZ7" s="818"/>
      <c r="FA7" s="1526"/>
      <c r="FB7" s="817"/>
      <c r="FC7" s="817"/>
      <c r="FD7" s="818"/>
      <c r="FE7" s="818"/>
      <c r="FF7" s="1526"/>
      <c r="FG7" s="817"/>
      <c r="FH7" s="817"/>
      <c r="FI7" s="818"/>
      <c r="FJ7" s="818"/>
      <c r="FK7" s="1526"/>
      <c r="FL7" s="817"/>
      <c r="FM7" s="817"/>
      <c r="FN7" s="818"/>
      <c r="FO7" s="818"/>
      <c r="FP7" s="1526"/>
      <c r="FQ7" s="817"/>
      <c r="FR7" s="817"/>
      <c r="FS7" s="818"/>
      <c r="FT7" s="818"/>
      <c r="FU7" s="1526"/>
      <c r="FV7" s="817"/>
      <c r="FW7" s="817"/>
      <c r="FX7" s="818"/>
      <c r="FY7" s="818"/>
      <c r="FZ7" s="1526"/>
      <c r="GA7" s="817"/>
      <c r="GB7" s="817"/>
      <c r="GC7" s="818"/>
      <c r="GD7" s="818"/>
      <c r="GE7" s="1526"/>
      <c r="GF7" s="817"/>
      <c r="GG7" s="817"/>
      <c r="GH7" s="818"/>
      <c r="GI7" s="818"/>
      <c r="GJ7" s="1546"/>
      <c r="GK7" s="817"/>
      <c r="GL7" s="817"/>
      <c r="GM7" s="818"/>
      <c r="GN7" s="818"/>
      <c r="GO7" s="1526"/>
      <c r="GP7" s="817"/>
      <c r="GQ7" s="817"/>
      <c r="GR7" s="818"/>
      <c r="GS7" s="818"/>
      <c r="GT7" s="1526"/>
      <c r="GU7" s="817"/>
      <c r="GV7" s="817"/>
      <c r="GW7" s="818"/>
      <c r="GX7" s="818"/>
      <c r="GY7" s="1526"/>
      <c r="GZ7" s="817"/>
      <c r="HA7" s="817"/>
      <c r="HB7" s="818"/>
      <c r="HC7" s="818"/>
      <c r="HD7" s="1526"/>
      <c r="HE7" s="817"/>
      <c r="HF7" s="817"/>
      <c r="HG7" s="818"/>
      <c r="HH7" s="818"/>
      <c r="HI7" s="1526"/>
      <c r="HJ7" s="817"/>
      <c r="HK7" s="817"/>
      <c r="HL7" s="818"/>
      <c r="HM7" s="818"/>
      <c r="HN7" s="1526"/>
      <c r="HO7" s="817"/>
      <c r="HP7" s="817"/>
      <c r="HQ7" s="818"/>
      <c r="HR7" s="818"/>
      <c r="HS7" s="1526"/>
      <c r="HT7" s="817"/>
      <c r="HU7" s="817"/>
      <c r="HV7" s="818"/>
      <c r="HW7" s="818"/>
      <c r="HX7" s="1526"/>
      <c r="HY7" s="817"/>
      <c r="HZ7" s="817"/>
      <c r="IA7" s="818"/>
      <c r="IB7" s="818"/>
      <c r="IC7" s="1526"/>
      <c r="ID7" s="817"/>
      <c r="IE7" s="817"/>
      <c r="IF7" s="818"/>
      <c r="IG7" s="818"/>
      <c r="IH7" s="1526"/>
      <c r="II7" s="817"/>
      <c r="IJ7" s="817"/>
      <c r="IK7" s="818"/>
      <c r="IL7" s="818"/>
      <c r="IM7" s="1526"/>
      <c r="IN7" s="817"/>
      <c r="IO7" s="817"/>
      <c r="IP7" s="818"/>
      <c r="IQ7" s="818"/>
    </row>
    <row r="8" spans="1:251" s="249" customFormat="1" ht="18.95" customHeight="1">
      <c r="A8" s="649"/>
      <c r="B8" s="265" t="s">
        <v>296</v>
      </c>
      <c r="C8" s="5" t="s">
        <v>8</v>
      </c>
      <c r="D8" s="1482" t="s">
        <v>9</v>
      </c>
      <c r="E8" s="7" t="s">
        <v>10</v>
      </c>
      <c r="F8" s="4"/>
      <c r="G8" s="1483"/>
      <c r="H8" s="1484"/>
      <c r="I8" s="1485"/>
      <c r="J8" s="1486"/>
      <c r="K8" s="1487"/>
      <c r="L8" s="1483"/>
      <c r="M8" s="1484"/>
      <c r="N8" s="1485"/>
      <c r="O8" s="1486"/>
      <c r="P8" s="1487"/>
      <c r="Q8" s="1483"/>
      <c r="R8" s="1484"/>
      <c r="S8" s="1485"/>
      <c r="T8" s="1486"/>
      <c r="U8" s="1487"/>
      <c r="V8" s="1488"/>
      <c r="W8" s="1484"/>
      <c r="X8" s="1489" t="s">
        <v>222</v>
      </c>
      <c r="Y8" s="1486"/>
      <c r="Z8" s="788">
        <f>SUM(X8:X12)*1.1</f>
        <v>266598.77200000006</v>
      </c>
      <c r="AA8" s="1490">
        <v>330000</v>
      </c>
      <c r="AB8" s="1484"/>
      <c r="AC8" s="1485">
        <v>100</v>
      </c>
      <c r="AD8" s="1486"/>
      <c r="AE8" s="788">
        <f>SUM(AC8:AC12)*1.1</f>
        <v>254435.92900000003</v>
      </c>
      <c r="AF8" s="1490"/>
      <c r="AG8" s="1484"/>
      <c r="AH8" s="1489">
        <f>3277.5+600</f>
        <v>3877.5</v>
      </c>
      <c r="AI8" s="1486"/>
      <c r="AJ8" s="788">
        <f>AJ9*1.1</f>
        <v>304938.28200000001</v>
      </c>
      <c r="AK8" s="1490"/>
      <c r="AL8" s="1484"/>
      <c r="AM8" s="1485">
        <v>100</v>
      </c>
      <c r="AN8" s="1486"/>
      <c r="AO8" s="788">
        <f>AO9*1.2</f>
        <v>244056.492</v>
      </c>
      <c r="AP8" s="1490"/>
      <c r="AQ8" s="1484"/>
      <c r="AR8" s="1485">
        <v>100</v>
      </c>
      <c r="AS8" s="1486"/>
      <c r="AT8" s="788">
        <f>SUM(AR8:AR12)*1.3</f>
        <v>417523.31400000007</v>
      </c>
      <c r="AU8" s="1490"/>
      <c r="AV8" s="1484"/>
      <c r="AW8" s="1485">
        <v>100</v>
      </c>
      <c r="AX8" s="1486"/>
      <c r="AY8" s="788">
        <f>SUM(AW8:AW12)*1</f>
        <v>339604.38</v>
      </c>
      <c r="AZ8" s="1490"/>
      <c r="BA8" s="1484"/>
      <c r="BB8" s="1485">
        <v>100</v>
      </c>
      <c r="BC8" s="1486"/>
      <c r="BD8" s="788">
        <f>SUM(BB8:BB12)*1.11</f>
        <v>341852.34989999997</v>
      </c>
      <c r="BE8" s="1490"/>
      <c r="BF8" s="1484"/>
      <c r="BG8" s="1485">
        <v>100</v>
      </c>
      <c r="BH8" s="1486"/>
      <c r="BI8" s="788">
        <f>SUM(BG8:BG12)*1.1</f>
        <v>326765.93400000001</v>
      </c>
      <c r="BJ8" s="1490"/>
      <c r="BK8" s="1484"/>
      <c r="BL8" s="1485">
        <v>100</v>
      </c>
      <c r="BM8" s="1486"/>
      <c r="BN8" s="788">
        <f>SUM(BL8:BL12)*1.1</f>
        <v>373177.56299999997</v>
      </c>
      <c r="BO8" s="1490"/>
      <c r="BP8" s="1484"/>
      <c r="BQ8" s="1485">
        <v>100</v>
      </c>
      <c r="BR8" s="1486"/>
      <c r="BS8" s="788">
        <f>SUM(BQ8:BQ12)*1.1</f>
        <v>407182.35800000007</v>
      </c>
      <c r="BT8" s="1490"/>
      <c r="BU8" s="1484"/>
      <c r="BV8" s="1485">
        <v>100</v>
      </c>
      <c r="BW8" s="1486"/>
      <c r="BX8" s="788">
        <f>SUM(BV8:BV12)*1.1</f>
        <v>385830.64300000004</v>
      </c>
      <c r="BY8" s="1490"/>
      <c r="BZ8" s="1484"/>
      <c r="CA8" s="1485">
        <v>100</v>
      </c>
      <c r="CB8" s="1486"/>
      <c r="CC8" s="788">
        <f>SUM(CA8:CA12)*1.1</f>
        <v>332482.38100000005</v>
      </c>
      <c r="CD8" s="1490"/>
      <c r="CE8" s="1484"/>
      <c r="CF8" s="1485">
        <v>100</v>
      </c>
      <c r="CG8" s="1486"/>
      <c r="CH8" s="788">
        <f>SUM(CF8:CF12)*1.1</f>
        <v>334293.696</v>
      </c>
      <c r="CI8" s="1490"/>
      <c r="CJ8" s="1484"/>
      <c r="CK8" s="1485">
        <v>100</v>
      </c>
      <c r="CL8" s="1486"/>
      <c r="CM8" s="788">
        <f>SUM(CK8:CK12)*1.1</f>
        <v>310806.01640000002</v>
      </c>
      <c r="CN8" s="1490"/>
      <c r="CO8" s="1484"/>
      <c r="CP8" s="1485">
        <v>100</v>
      </c>
      <c r="CQ8" s="1486"/>
      <c r="CR8" s="788">
        <f>SUM(CP8:CP12)*1.1</f>
        <v>374522.28</v>
      </c>
      <c r="CS8" s="1490"/>
      <c r="CT8" s="1484"/>
      <c r="CU8" s="1485">
        <v>100</v>
      </c>
      <c r="CV8" s="1486"/>
      <c r="CW8" s="788">
        <f>SUM(CU8:CU12)*1.1</f>
        <v>465603.58019999997</v>
      </c>
      <c r="CX8" s="1490"/>
      <c r="CY8" s="1484"/>
      <c r="CZ8" s="1485">
        <v>100</v>
      </c>
      <c r="DA8" s="1486"/>
      <c r="DB8" s="788">
        <f>SUM(CZ8:CZ12)*1.1</f>
        <v>524540.46700000006</v>
      </c>
      <c r="DC8" s="1490"/>
      <c r="DD8" s="1484"/>
      <c r="DE8" s="1485">
        <v>100</v>
      </c>
      <c r="DF8" s="1486"/>
      <c r="DG8" s="788">
        <f>SUM(DE8:DE12)*1.1</f>
        <v>492256.18419999996</v>
      </c>
      <c r="DH8" s="1490"/>
      <c r="DI8" s="1484"/>
      <c r="DJ8" s="1485">
        <v>100</v>
      </c>
      <c r="DK8" s="1486"/>
      <c r="DL8" s="788">
        <f>SUM(DJ8:DJ12)*1.1</f>
        <v>463958.34100000001</v>
      </c>
      <c r="DM8" s="1490"/>
      <c r="DN8" s="1484"/>
      <c r="DO8" s="1485">
        <v>100</v>
      </c>
      <c r="DP8" s="1486"/>
      <c r="DQ8" s="788">
        <f>SUM(DO8:DO12)*1.1</f>
        <v>509103.65220000001</v>
      </c>
      <c r="DR8" s="1490"/>
      <c r="DS8" s="1484"/>
      <c r="DT8" s="1485">
        <v>100</v>
      </c>
      <c r="DU8" s="1486"/>
      <c r="DV8" s="788">
        <f>SUM(DT8:DT12)*1.1</f>
        <v>506792.50819999998</v>
      </c>
      <c r="DW8" s="1490"/>
      <c r="DX8" s="1484"/>
      <c r="DY8" s="1485">
        <v>100</v>
      </c>
      <c r="DZ8" s="1486"/>
      <c r="EA8" s="788">
        <f>SUM(DY8:DY12)*1.1</f>
        <v>550649.62479999999</v>
      </c>
      <c r="EB8" s="1490"/>
      <c r="EC8" s="1484"/>
      <c r="ED8" s="1485">
        <v>100</v>
      </c>
      <c r="EE8" s="1486"/>
      <c r="EF8" s="788">
        <f>SUM(ED8:ED12)*1.1</f>
        <v>548888.81079999998</v>
      </c>
      <c r="EG8" s="1490"/>
      <c r="EH8" s="1484"/>
      <c r="EI8" s="1485">
        <v>100</v>
      </c>
      <c r="EJ8" s="1486"/>
      <c r="EK8" s="788">
        <f>SUM(EI8:EI12)*1.1</f>
        <v>589577.04519999993</v>
      </c>
      <c r="EL8" s="1490"/>
      <c r="EM8" s="1484"/>
      <c r="EN8" s="1485">
        <v>100</v>
      </c>
      <c r="EO8" s="1486"/>
      <c r="EP8" s="788">
        <f>SUM(EN8:EN12)*1.1</f>
        <v>396906.57600000006</v>
      </c>
      <c r="EQ8" s="1490"/>
      <c r="ER8" s="1484"/>
      <c r="ES8" s="1485">
        <v>100</v>
      </c>
      <c r="ET8" s="1486"/>
      <c r="EU8" s="788">
        <f>SUM(ES8:ES12)*1.1</f>
        <v>532550.16760000004</v>
      </c>
      <c r="EV8" s="1490"/>
      <c r="EW8" s="1484"/>
      <c r="EX8" s="1485">
        <v>100</v>
      </c>
      <c r="EY8" s="1486"/>
      <c r="EZ8" s="788">
        <f>SUM(EX8:EX12)*1.1</f>
        <v>503620.55479999998</v>
      </c>
      <c r="FA8" s="1490"/>
      <c r="FB8" s="1484"/>
      <c r="FC8" s="1485">
        <v>100</v>
      </c>
      <c r="FD8" s="1486"/>
      <c r="FE8" s="788">
        <f>SUM(FC8:FC12)*1.1</f>
        <v>453684.68860000005</v>
      </c>
      <c r="FF8" s="1490"/>
      <c r="FG8" s="1484"/>
      <c r="FH8" s="1485">
        <v>100</v>
      </c>
      <c r="FI8" s="1486"/>
      <c r="FJ8" s="788">
        <f>SUM(FH8:FH12)*1.1</f>
        <v>522971.69100000005</v>
      </c>
      <c r="FK8" s="1490"/>
      <c r="FL8" s="1484"/>
      <c r="FM8" s="1485">
        <v>100</v>
      </c>
      <c r="FN8" s="1486"/>
      <c r="FO8" s="788">
        <f>SUM(FM8:FM12)*1.1</f>
        <v>566179.68660000002</v>
      </c>
      <c r="FP8" s="1490"/>
      <c r="FQ8" s="1484"/>
      <c r="FR8" s="1485">
        <v>100</v>
      </c>
      <c r="FS8" s="1486"/>
      <c r="FT8" s="788">
        <f>SUM(FR8:FR12)*1.1</f>
        <v>478467.71939999994</v>
      </c>
      <c r="FU8" s="1490"/>
      <c r="FV8" s="1484"/>
      <c r="FW8" s="1485">
        <v>100</v>
      </c>
      <c r="FX8" s="1486"/>
      <c r="FY8" s="788">
        <f>SUM(FW8:FW12)*1.1</f>
        <v>595643.41540000006</v>
      </c>
      <c r="FZ8" s="1490"/>
      <c r="GA8" s="1484"/>
      <c r="GB8" s="1485">
        <v>100</v>
      </c>
      <c r="GC8" s="1486"/>
      <c r="GD8" s="788">
        <f>SUM(GB8:GB12)*1.1</f>
        <v>588465.13219999999</v>
      </c>
      <c r="GE8" s="1490"/>
      <c r="GF8" s="1484"/>
      <c r="GG8" s="1485">
        <v>100</v>
      </c>
      <c r="GH8" s="1486"/>
      <c r="GI8" s="788">
        <f>SUM(GG8:GG12)*1.1</f>
        <v>676933.99400000006</v>
      </c>
      <c r="GJ8" s="1547"/>
      <c r="GK8" s="1484"/>
      <c r="GL8" s="1485">
        <v>100</v>
      </c>
      <c r="GM8" s="1486"/>
      <c r="GN8" s="788">
        <f>SUM(GL8:GL12)*1.1</f>
        <v>548888.81079999998</v>
      </c>
      <c r="GO8" s="1490"/>
      <c r="GP8" s="1484"/>
      <c r="GQ8" s="1485">
        <v>100</v>
      </c>
      <c r="GR8" s="1486"/>
      <c r="GS8" s="788">
        <f>SUM(GQ8:GQ12)*1.1</f>
        <v>752381.14160000009</v>
      </c>
      <c r="GT8" s="1490"/>
      <c r="GU8" s="1484"/>
      <c r="GV8" s="1485">
        <v>100</v>
      </c>
      <c r="GW8" s="1486"/>
      <c r="GX8" s="788">
        <f>SUM(GV8:GV12)*1.1</f>
        <v>655159.43020000006</v>
      </c>
      <c r="GY8" s="1490"/>
      <c r="GZ8" s="1484"/>
      <c r="HA8" s="1485">
        <v>100</v>
      </c>
      <c r="HB8" s="1486"/>
      <c r="HC8" s="788">
        <f>SUM(HA8:HA12)*1.1</f>
        <v>532550.16760000004</v>
      </c>
      <c r="HD8" s="1490"/>
      <c r="HE8" s="1484"/>
      <c r="HF8" s="1485">
        <v>100</v>
      </c>
      <c r="HG8" s="1486"/>
      <c r="HH8" s="788">
        <f>SUM(HF8:HF12)*1.1</f>
        <v>503620.55479999998</v>
      </c>
      <c r="HI8" s="1490"/>
      <c r="HJ8" s="1484"/>
      <c r="HK8" s="1485">
        <v>100</v>
      </c>
      <c r="HL8" s="1486"/>
      <c r="HM8" s="788">
        <f>SUM(HK8:HK12)*1.1</f>
        <v>453684.68860000005</v>
      </c>
      <c r="HN8" s="1490"/>
      <c r="HO8" s="1484"/>
      <c r="HP8" s="1485">
        <v>100</v>
      </c>
      <c r="HQ8" s="1486"/>
      <c r="HR8" s="788">
        <f>SUM(HP8:HP12)*1.1</f>
        <v>522971.69100000005</v>
      </c>
      <c r="HS8" s="1490"/>
      <c r="HT8" s="1484"/>
      <c r="HU8" s="1485">
        <v>100</v>
      </c>
      <c r="HV8" s="1486"/>
      <c r="HW8" s="788">
        <f>SUM(HU8:HU12)*1.1</f>
        <v>566179.68660000002</v>
      </c>
      <c r="HX8" s="1490"/>
      <c r="HY8" s="1484"/>
      <c r="HZ8" s="1485">
        <v>100</v>
      </c>
      <c r="IA8" s="1486"/>
      <c r="IB8" s="788">
        <f>SUM(HZ8:HZ12)*1.1</f>
        <v>478467.71939999994</v>
      </c>
      <c r="IC8" s="1490"/>
      <c r="ID8" s="1484"/>
      <c r="IE8" s="1485">
        <v>100</v>
      </c>
      <c r="IF8" s="1486"/>
      <c r="IG8" s="788">
        <f>SUM(IE8:IE12)*1.1</f>
        <v>595643.41540000006</v>
      </c>
      <c r="IH8" s="1490"/>
      <c r="II8" s="1484"/>
      <c r="IJ8" s="1485">
        <v>100</v>
      </c>
      <c r="IK8" s="1486"/>
      <c r="IL8" s="788">
        <f>SUM(IJ8:IJ12)*1.1</f>
        <v>272793.48800000001</v>
      </c>
      <c r="IM8" s="1490"/>
      <c r="IN8" s="1484"/>
      <c r="IO8" s="1485">
        <v>100</v>
      </c>
      <c r="IP8" s="1486"/>
      <c r="IQ8" s="788">
        <f>SUM(IO8:IO12)*1.1</f>
        <v>266185.50200000004</v>
      </c>
    </row>
    <row r="9" spans="1:251" ht="26.25" customHeight="1">
      <c r="A9" s="647"/>
      <c r="B9" s="256"/>
      <c r="C9" s="215">
        <v>45812183</v>
      </c>
      <c r="D9" s="45" t="s">
        <v>1193</v>
      </c>
      <c r="E9" s="216" t="s">
        <v>11</v>
      </c>
      <c r="F9" s="22"/>
      <c r="G9" s="101"/>
      <c r="H9" s="50"/>
      <c r="I9" s="51"/>
      <c r="J9" s="52"/>
      <c r="K9" s="84"/>
      <c r="L9" s="101"/>
      <c r="M9" s="50"/>
      <c r="N9" s="51"/>
      <c r="O9" s="52"/>
      <c r="P9" s="84"/>
      <c r="Q9" s="101"/>
      <c r="R9" s="50"/>
      <c r="S9" s="51"/>
      <c r="T9" s="52"/>
      <c r="U9" s="84"/>
      <c r="V9" s="113"/>
      <c r="W9" s="50"/>
      <c r="X9" s="51"/>
      <c r="Y9" s="52"/>
      <c r="Z9" s="403">
        <f>SUM(X8:X12)*1</f>
        <v>242362.52000000002</v>
      </c>
      <c r="AA9" s="90"/>
      <c r="AB9" s="50"/>
      <c r="AC9" s="51"/>
      <c r="AD9" s="52"/>
      <c r="AE9" s="403">
        <f>SUM(AC8:AC12)*1</f>
        <v>231305.39</v>
      </c>
      <c r="AF9" s="90"/>
      <c r="AG9" s="50"/>
      <c r="AH9" s="51"/>
      <c r="AI9" s="52"/>
      <c r="AJ9" s="403">
        <f>SUM(AH11:AH12)+AI10+AH8*1</f>
        <v>277216.62</v>
      </c>
      <c r="AK9" s="90"/>
      <c r="AL9" s="50"/>
      <c r="AM9" s="51"/>
      <c r="AN9" s="52"/>
      <c r="AO9" s="403">
        <f>SUM(AM11:AM12)+AN10+AM8*1</f>
        <v>203380.41</v>
      </c>
      <c r="AP9" s="90"/>
      <c r="AQ9" s="50"/>
      <c r="AR9" s="51"/>
      <c r="AS9" s="52"/>
      <c r="AT9" s="403">
        <f>SUM(AR8:AR12)*1</f>
        <v>321171.78000000003</v>
      </c>
      <c r="AU9" s="90"/>
      <c r="AV9" s="50"/>
      <c r="AW9" s="51"/>
      <c r="AX9" s="52"/>
      <c r="AY9" s="403">
        <f>SUM(AW8:AW12)*1</f>
        <v>339604.38</v>
      </c>
      <c r="AZ9" s="90"/>
      <c r="BA9" s="50"/>
      <c r="BB9" s="51"/>
      <c r="BC9" s="52"/>
      <c r="BD9" s="403">
        <f>SUM(BB12+BB11+BB8+BC10)</f>
        <v>334718.34999999998</v>
      </c>
      <c r="BE9" s="90"/>
      <c r="BF9" s="50"/>
      <c r="BG9" s="51"/>
      <c r="BH9" s="52"/>
      <c r="BI9" s="403">
        <f>SUM(BG8:BG12)*1</f>
        <v>297059.94</v>
      </c>
      <c r="BJ9" s="90"/>
      <c r="BK9" s="50"/>
      <c r="BL9" s="51"/>
      <c r="BM9" s="52"/>
      <c r="BN9" s="403">
        <f>SUM(BL8:BL12)*1</f>
        <v>339252.32999999996</v>
      </c>
      <c r="BO9" s="90"/>
      <c r="BP9" s="50"/>
      <c r="BQ9" s="51"/>
      <c r="BR9" s="52"/>
      <c r="BS9" s="403">
        <f>SUM(BQ8:BQ12)*1</f>
        <v>370165.78</v>
      </c>
      <c r="BT9" s="90"/>
      <c r="BU9" s="50"/>
      <c r="BV9" s="51"/>
      <c r="BW9" s="52"/>
      <c r="BX9" s="403">
        <f>SUM(BV12+BV11+BW10+BV8)*1</f>
        <v>401619.69</v>
      </c>
      <c r="BY9" s="90"/>
      <c r="BZ9" s="50"/>
      <c r="CA9" s="51"/>
      <c r="CB9" s="52"/>
      <c r="CC9" s="403">
        <f>SUM(CA8:CA12)*1</f>
        <v>302256.71000000002</v>
      </c>
      <c r="CD9" s="90"/>
      <c r="CE9" s="50"/>
      <c r="CF9" s="51"/>
      <c r="CG9" s="52"/>
      <c r="CH9" s="403">
        <f>SUM(CF8:CF12)*1</f>
        <v>303903.35999999999</v>
      </c>
      <c r="CI9" s="90"/>
      <c r="CJ9" s="50"/>
      <c r="CK9" s="51"/>
      <c r="CL9" s="52"/>
      <c r="CM9" s="403">
        <f>SUM(CK8:CK12)*1</f>
        <v>282550.924</v>
      </c>
      <c r="CN9" s="90"/>
      <c r="CO9" s="50"/>
      <c r="CP9" s="51"/>
      <c r="CQ9" s="52"/>
      <c r="CR9" s="403">
        <f>SUM(CP8:CP12)*1</f>
        <v>340474.8</v>
      </c>
      <c r="CS9" s="90"/>
      <c r="CT9" s="50"/>
      <c r="CU9" s="51"/>
      <c r="CV9" s="52"/>
      <c r="CW9" s="403">
        <f>SUM(CU8:CU12)*1</f>
        <v>423275.98199999996</v>
      </c>
      <c r="CX9" s="90"/>
      <c r="CY9" s="50"/>
      <c r="CZ9" s="51"/>
      <c r="DA9" s="52"/>
      <c r="DB9" s="403">
        <f>SUM(CZ8:CZ12)*1</f>
        <v>476854.97000000003</v>
      </c>
      <c r="DC9" s="90"/>
      <c r="DD9" s="50"/>
      <c r="DE9" s="51"/>
      <c r="DF9" s="52"/>
      <c r="DG9" s="403">
        <f>SUM(DE8:DE12)*1</f>
        <v>447505.62199999992</v>
      </c>
      <c r="DH9" s="90"/>
      <c r="DI9" s="50"/>
      <c r="DJ9" s="51"/>
      <c r="DK9" s="52"/>
      <c r="DL9" s="403">
        <f>SUM(DJ8:DJ12)*1</f>
        <v>421780.31</v>
      </c>
      <c r="DM9" s="90"/>
      <c r="DN9" s="50"/>
      <c r="DO9" s="51"/>
      <c r="DP9" s="52"/>
      <c r="DQ9" s="403">
        <f>SUM(DO8:DO12)*1</f>
        <v>462821.50199999998</v>
      </c>
      <c r="DR9" s="90"/>
      <c r="DS9" s="50"/>
      <c r="DT9" s="51"/>
      <c r="DU9" s="52"/>
      <c r="DV9" s="403">
        <f>SUM(DT8:DT12)*1</f>
        <v>460720.46199999994</v>
      </c>
      <c r="DW9" s="90"/>
      <c r="DX9" s="50"/>
      <c r="DY9" s="51"/>
      <c r="DZ9" s="52"/>
      <c r="EA9" s="403">
        <f>SUM(DY8:DY12)*1</f>
        <v>500590.56799999997</v>
      </c>
      <c r="EB9" s="90"/>
      <c r="EC9" s="50"/>
      <c r="ED9" s="51"/>
      <c r="EE9" s="52"/>
      <c r="EF9" s="403">
        <f>SUM(ED12+ED11+EE10+ED8)*1</f>
        <v>635649.80000000005</v>
      </c>
      <c r="EG9" s="90"/>
      <c r="EH9" s="50"/>
      <c r="EI9" s="51"/>
      <c r="EJ9" s="52"/>
      <c r="EK9" s="403">
        <f>SUM(EI8:EI12)*1</f>
        <v>535979.13199999987</v>
      </c>
      <c r="EL9" s="90"/>
      <c r="EM9" s="50"/>
      <c r="EN9" s="51"/>
      <c r="EO9" s="52"/>
      <c r="EP9" s="403">
        <f>SUM(EN8:EN12)*1</f>
        <v>360824.16000000003</v>
      </c>
      <c r="EQ9" s="90"/>
      <c r="ER9" s="50"/>
      <c r="ES9" s="51"/>
      <c r="ET9" s="52"/>
      <c r="EU9" s="403">
        <f>SUM(ES8:ES12)*1</f>
        <v>484136.516</v>
      </c>
      <c r="EV9" s="90"/>
      <c r="EW9" s="50"/>
      <c r="EX9" s="51"/>
      <c r="EY9" s="52"/>
      <c r="EZ9" s="403">
        <f>SUM(EX8:EX12)*1</f>
        <v>457836.86799999996</v>
      </c>
      <c r="FA9" s="90"/>
      <c r="FB9" s="126"/>
      <c r="FC9" s="125" t="s">
        <v>1209</v>
      </c>
      <c r="FD9" s="127"/>
      <c r="FE9" s="403">
        <f>SUM(FC8:FC12)*1</f>
        <v>412440.62599999999</v>
      </c>
      <c r="FF9" s="90"/>
      <c r="FG9" s="126"/>
      <c r="FH9" s="125" t="s">
        <v>1209</v>
      </c>
      <c r="FI9" s="127"/>
      <c r="FJ9" s="403">
        <f>SUM(FH8:FH12)*1</f>
        <v>475428.81</v>
      </c>
      <c r="FK9" s="90"/>
      <c r="FL9" s="126"/>
      <c r="FM9" s="125" t="s">
        <v>1209</v>
      </c>
      <c r="FN9" s="127"/>
      <c r="FO9" s="403">
        <f>SUM(FM8:FM12)*1</f>
        <v>514708.80599999992</v>
      </c>
      <c r="FP9" s="90"/>
      <c r="FQ9" s="126"/>
      <c r="FR9" s="125" t="s">
        <v>1209</v>
      </c>
      <c r="FS9" s="127"/>
      <c r="FT9" s="403">
        <f>SUM(FR8:FR12)*1</f>
        <v>434970.65399999992</v>
      </c>
      <c r="FU9" s="90"/>
      <c r="FV9" s="126"/>
      <c r="FW9" s="125" t="s">
        <v>1209</v>
      </c>
      <c r="FX9" s="127"/>
      <c r="FY9" s="403">
        <f>SUM(FW8:FW12)*1</f>
        <v>541494.01399999997</v>
      </c>
      <c r="FZ9" s="90"/>
      <c r="GA9" s="126"/>
      <c r="GB9" s="125">
        <v>10076.950000000001</v>
      </c>
      <c r="GC9" s="127"/>
      <c r="GD9" s="403">
        <f>SUM(GB8:GB12)*1</f>
        <v>534968.30199999991</v>
      </c>
      <c r="GE9" s="90"/>
      <c r="GF9" s="126"/>
      <c r="GG9" s="125">
        <v>10076.950000000001</v>
      </c>
      <c r="GH9" s="127"/>
      <c r="GI9" s="403">
        <f>SUM(GG8:GG12)*1</f>
        <v>615394.54</v>
      </c>
      <c r="GJ9" s="1425"/>
      <c r="GK9" s="50"/>
      <c r="GL9" s="51"/>
      <c r="GM9" s="52"/>
      <c r="GN9" s="403">
        <f>SUM(GL12+GL11+GM10+GL8)*1</f>
        <v>635649.80000000005</v>
      </c>
      <c r="GO9" s="90"/>
      <c r="GP9" s="50"/>
      <c r="GQ9" s="51"/>
      <c r="GR9" s="52"/>
      <c r="GS9" s="403">
        <f>SUM(GQ8:GQ12)*1</f>
        <v>683982.85600000003</v>
      </c>
      <c r="GT9" s="90"/>
      <c r="GU9" s="50"/>
      <c r="GV9" s="51"/>
      <c r="GW9" s="52"/>
      <c r="GX9" s="403">
        <f>SUM(GV8:GV12)*1</f>
        <v>595599.48199999996</v>
      </c>
      <c r="GY9" s="90"/>
      <c r="GZ9" s="50"/>
      <c r="HA9" s="51"/>
      <c r="HB9" s="52"/>
      <c r="HC9" s="403">
        <f>SUM(HA8:HA12)*1</f>
        <v>484136.516</v>
      </c>
      <c r="HD9" s="90"/>
      <c r="HE9" s="50"/>
      <c r="HF9" s="51"/>
      <c r="HG9" s="52"/>
      <c r="HH9" s="403">
        <f>SUM(HF8:HF12)*1</f>
        <v>457836.86799999996</v>
      </c>
      <c r="HI9" s="90"/>
      <c r="HJ9" s="50"/>
      <c r="HK9" s="51" t="s">
        <v>1209</v>
      </c>
      <c r="HL9" s="52"/>
      <c r="HM9" s="403">
        <f>SUM(HK8:HK12)*1</f>
        <v>412440.62599999999</v>
      </c>
      <c r="HN9" s="90"/>
      <c r="HO9" s="50"/>
      <c r="HP9" s="51" t="s">
        <v>1209</v>
      </c>
      <c r="HQ9" s="52"/>
      <c r="HR9" s="403">
        <f>SUM(HP8:HP12)*1</f>
        <v>475428.81</v>
      </c>
      <c r="HS9" s="90"/>
      <c r="HT9" s="50"/>
      <c r="HU9" s="51" t="s">
        <v>1209</v>
      </c>
      <c r="HV9" s="52"/>
      <c r="HW9" s="403">
        <f>SUM(HU8:HU12)*1</f>
        <v>514708.80599999992</v>
      </c>
      <c r="HX9" s="90"/>
      <c r="HY9" s="50"/>
      <c r="HZ9" s="51" t="s">
        <v>1209</v>
      </c>
      <c r="IA9" s="52"/>
      <c r="IB9" s="403">
        <f>SUM(HZ8:HZ12)*1</f>
        <v>434970.65399999992</v>
      </c>
      <c r="IC9" s="90"/>
      <c r="ID9" s="50"/>
      <c r="IE9" s="51"/>
      <c r="IF9" s="52"/>
      <c r="IG9" s="403">
        <f>SUM(IE8:IE12)*1</f>
        <v>541494.01399999997</v>
      </c>
      <c r="IH9" s="90"/>
      <c r="II9" s="50"/>
      <c r="IJ9" s="51"/>
      <c r="IK9" s="52"/>
      <c r="IL9" s="403">
        <f>SUM(IJ8:IJ12)*1</f>
        <v>247994.08</v>
      </c>
      <c r="IM9" s="90"/>
      <c r="IN9" s="50"/>
      <c r="IO9" s="51"/>
      <c r="IP9" s="52"/>
      <c r="IQ9" s="403">
        <f>SUM(IO8:IO12)*1</f>
        <v>241986.82</v>
      </c>
    </row>
    <row r="10" spans="1:251" ht="30" customHeight="1">
      <c r="A10" s="647">
        <v>1</v>
      </c>
      <c r="B10" s="256"/>
      <c r="C10" s="215">
        <v>44878589</v>
      </c>
      <c r="D10" s="222" t="s">
        <v>378</v>
      </c>
      <c r="E10" s="216" t="s">
        <v>13</v>
      </c>
      <c r="F10" s="22"/>
      <c r="G10" s="102">
        <f>I10/H10</f>
        <v>6.2021215745411054</v>
      </c>
      <c r="H10" s="124">
        <v>38462</v>
      </c>
      <c r="I10" s="125">
        <v>238546</v>
      </c>
      <c r="J10" s="54">
        <v>270000</v>
      </c>
      <c r="K10" s="85"/>
      <c r="L10" s="102">
        <f>N10/M10</f>
        <v>6.4444440428138234</v>
      </c>
      <c r="M10" s="124">
        <v>49797</v>
      </c>
      <c r="N10" s="125">
        <v>320913.98</v>
      </c>
      <c r="O10" s="54">
        <v>270000</v>
      </c>
      <c r="P10" s="85"/>
      <c r="Q10" s="102">
        <f>S10/R10</f>
        <v>6.0761996898308839</v>
      </c>
      <c r="R10" s="124">
        <v>40623</v>
      </c>
      <c r="S10" s="125">
        <v>246833.46</v>
      </c>
      <c r="T10" s="54">
        <v>325000</v>
      </c>
      <c r="U10" s="85"/>
      <c r="V10" s="114">
        <f>X10/W10</f>
        <v>5.1846597938144336</v>
      </c>
      <c r="W10" s="124">
        <v>46075</v>
      </c>
      <c r="X10" s="125">
        <v>238883.20000000001</v>
      </c>
      <c r="Y10" s="54">
        <v>300000</v>
      </c>
      <c r="Z10" s="54"/>
      <c r="AA10" s="91">
        <f>AC10/AB10</f>
        <v>5.8564076046409923</v>
      </c>
      <c r="AB10" s="124">
        <v>38871</v>
      </c>
      <c r="AC10" s="125">
        <v>227644.42</v>
      </c>
      <c r="AD10" s="54">
        <v>250000</v>
      </c>
      <c r="AE10" s="54"/>
      <c r="AF10" s="91">
        <f>AH10/AG10</f>
        <v>5.843027470156767</v>
      </c>
      <c r="AG10" s="418">
        <v>41718</v>
      </c>
      <c r="AH10" s="419">
        <v>243759.42</v>
      </c>
      <c r="AI10" s="54">
        <v>270000</v>
      </c>
      <c r="AJ10" s="55"/>
      <c r="AK10" s="91">
        <f>AM10/AL10</f>
        <v>5.9171158248502262</v>
      </c>
      <c r="AL10" s="418">
        <v>41062</v>
      </c>
      <c r="AM10" s="419">
        <v>242968.61</v>
      </c>
      <c r="AN10" s="54">
        <v>200000</v>
      </c>
      <c r="AO10" s="55"/>
      <c r="AP10" s="91">
        <f>AR10/AQ10</f>
        <v>6.6963835529783866</v>
      </c>
      <c r="AQ10" s="418">
        <v>47425</v>
      </c>
      <c r="AR10" s="419">
        <v>317575.99</v>
      </c>
      <c r="AS10" s="55">
        <v>270000</v>
      </c>
      <c r="AT10" s="54"/>
      <c r="AU10" s="91">
        <f>AW10/AV10</f>
        <v>7.3038959595519328</v>
      </c>
      <c r="AV10" s="418">
        <v>45886</v>
      </c>
      <c r="AW10" s="419">
        <v>335146.57</v>
      </c>
      <c r="AX10" s="54">
        <f>130588.31+399432.6</f>
        <v>530020.90999999992</v>
      </c>
      <c r="AY10" s="54"/>
      <c r="AZ10" s="91">
        <f>BB10/BA10</f>
        <v>7.0350960203609434</v>
      </c>
      <c r="BA10" s="418">
        <v>43220</v>
      </c>
      <c r="BB10" s="419">
        <v>304056.84999999998</v>
      </c>
      <c r="BC10" s="54">
        <v>330800.11</v>
      </c>
      <c r="BD10" s="54"/>
      <c r="BE10" s="91">
        <f>BG10/BF10</f>
        <v>7.1411038254010499</v>
      </c>
      <c r="BF10" s="418">
        <v>41329</v>
      </c>
      <c r="BG10" s="419">
        <v>295134.68</v>
      </c>
      <c r="BH10" s="54">
        <v>270000</v>
      </c>
      <c r="BI10" s="54"/>
      <c r="BJ10" s="91">
        <f>BL10/BK10</f>
        <v>7.4900641039958895</v>
      </c>
      <c r="BK10" s="418">
        <v>44771</v>
      </c>
      <c r="BL10" s="419">
        <v>335337.65999999997</v>
      </c>
      <c r="BM10" s="54">
        <v>270000</v>
      </c>
      <c r="BN10" s="54"/>
      <c r="BO10" s="565">
        <f>BQ10/BP10</f>
        <v>7.1331720659553834</v>
      </c>
      <c r="BP10" s="418">
        <v>51550</v>
      </c>
      <c r="BQ10" s="419">
        <v>367715.02</v>
      </c>
      <c r="BR10" s="54">
        <v>300000</v>
      </c>
      <c r="BS10" s="54"/>
      <c r="BT10" s="91">
        <f>BV10/BU10</f>
        <v>7.0676880194400766</v>
      </c>
      <c r="BU10" s="418">
        <v>48971</v>
      </c>
      <c r="BV10" s="419">
        <v>346111.75</v>
      </c>
      <c r="BW10" s="54">
        <v>396976.31</v>
      </c>
      <c r="BX10" s="54"/>
      <c r="BY10" s="91">
        <f>CA10/BZ10</f>
        <v>6.5105519068260431</v>
      </c>
      <c r="BZ10" s="418">
        <v>45678</v>
      </c>
      <c r="CA10" s="419">
        <v>297388.99</v>
      </c>
      <c r="CB10" s="54">
        <v>248322.31</v>
      </c>
      <c r="CC10" s="54"/>
      <c r="CD10" s="91">
        <f>CF10/CE10</f>
        <v>6.384912035270677</v>
      </c>
      <c r="CE10" s="418">
        <v>47178</v>
      </c>
      <c r="CF10" s="419">
        <v>301227.38</v>
      </c>
      <c r="CG10" s="54">
        <v>300000</v>
      </c>
      <c r="CH10" s="54"/>
      <c r="CI10" s="91">
        <f>CK10/CJ10</f>
        <v>6.8136359705159704</v>
      </c>
      <c r="CJ10" s="418">
        <v>40700</v>
      </c>
      <c r="CK10" s="419">
        <f>1.2*231095.82</f>
        <v>277314.984</v>
      </c>
      <c r="CL10" s="54">
        <f>186088.56+59259.76+27886.94</f>
        <v>273235.26</v>
      </c>
      <c r="CM10" s="54"/>
      <c r="CN10" s="91">
        <f>CP10/CO10</f>
        <v>7.8172559955382033</v>
      </c>
      <c r="CO10" s="418">
        <v>43032</v>
      </c>
      <c r="CP10" s="419">
        <f>1.2*280326.8</f>
        <v>336392.16</v>
      </c>
      <c r="CQ10" s="54">
        <v>335931.84</v>
      </c>
      <c r="CR10" s="54"/>
      <c r="CS10" s="91">
        <f>CU10/CT10</f>
        <v>8.9189038722606497</v>
      </c>
      <c r="CT10" s="418">
        <v>46407</v>
      </c>
      <c r="CU10" s="419">
        <v>413899.57199999999</v>
      </c>
      <c r="CV10" s="372">
        <f>167720.76+149085.12+55906.92</f>
        <v>372712.8</v>
      </c>
      <c r="CW10" s="54"/>
      <c r="CX10" s="91">
        <f>CZ10/CY10</f>
        <v>9.7384920601491096</v>
      </c>
      <c r="CY10" s="418">
        <v>47482</v>
      </c>
      <c r="CZ10" s="419">
        <f>1.2*385335.9</f>
        <v>462403.08</v>
      </c>
      <c r="DA10" s="54">
        <f>227455.02+202182.24+75818.34</f>
        <v>505455.6</v>
      </c>
      <c r="DB10" s="54"/>
      <c r="DC10" s="91">
        <f>DE10/DD10</f>
        <v>9.6512640981202491</v>
      </c>
      <c r="DD10" s="771">
        <v>45006</v>
      </c>
      <c r="DE10" s="419">
        <f>1.2*361970.66</f>
        <v>434364.79199999996</v>
      </c>
      <c r="DF10" s="54">
        <f>385756.43+198723.01</f>
        <v>584479.43999999994</v>
      </c>
      <c r="DG10" s="54"/>
      <c r="DH10" s="91">
        <f>DJ10/DI10</f>
        <v>9.9899452887538001</v>
      </c>
      <c r="DI10" s="418">
        <v>41125</v>
      </c>
      <c r="DJ10" s="419">
        <f>1.2*342363.75</f>
        <v>410836.5</v>
      </c>
      <c r="DK10" s="54">
        <v>405693.5</v>
      </c>
      <c r="DL10" s="54"/>
      <c r="DM10" s="91">
        <f>DO10/DN10</f>
        <v>9.864288089848511</v>
      </c>
      <c r="DN10" s="771">
        <v>45944</v>
      </c>
      <c r="DO10" s="419">
        <f>1.2*377670.71</f>
        <v>453204.85200000001</v>
      </c>
      <c r="DP10" s="54">
        <v>500996.66400000005</v>
      </c>
      <c r="DQ10" s="54"/>
      <c r="DR10" s="91">
        <f>DT10/DS10</f>
        <v>9.8405880227267772</v>
      </c>
      <c r="DS10" s="771">
        <v>45937</v>
      </c>
      <c r="DT10" s="419">
        <f>1.2*376705.91</f>
        <v>452047.09199999995</v>
      </c>
      <c r="DU10" s="54">
        <v>324720.06</v>
      </c>
      <c r="DV10" s="54"/>
      <c r="DW10" s="91">
        <f>DY10/DX10</f>
        <v>10.385999999999999</v>
      </c>
      <c r="DX10" s="418">
        <v>47508</v>
      </c>
      <c r="DY10" s="419">
        <f>411181.74*1.2</f>
        <v>493418.08799999999</v>
      </c>
      <c r="DZ10" s="54">
        <v>321785.09999999998</v>
      </c>
      <c r="EA10" s="54"/>
      <c r="EB10" s="91">
        <f>ED10/EC10</f>
        <v>10.464575985632429</v>
      </c>
      <c r="EC10" s="771">
        <v>46772</v>
      </c>
      <c r="ED10" s="419">
        <f>1.2*407874.29</f>
        <v>489449.14799999993</v>
      </c>
      <c r="EE10" s="54">
        <f>469581.84+156527.28</f>
        <v>626109.12</v>
      </c>
      <c r="EF10" s="55"/>
      <c r="EG10" s="91">
        <f>EI10/EH10</f>
        <v>10.774823952879579</v>
      </c>
      <c r="EH10" s="771">
        <v>48896</v>
      </c>
      <c r="EI10" s="419">
        <f>1.2*439038.16</f>
        <v>526845.7919999999</v>
      </c>
      <c r="EJ10" s="55">
        <v>248322.31</v>
      </c>
      <c r="EK10" s="55"/>
      <c r="EL10" s="91">
        <f>EN10/EM10</f>
        <v>9.7057079584775092</v>
      </c>
      <c r="EM10" s="418">
        <v>36125</v>
      </c>
      <c r="EN10" s="419">
        <f>1.2*292182.25</f>
        <v>350618.7</v>
      </c>
      <c r="EO10" s="55">
        <v>300000</v>
      </c>
      <c r="EP10" s="55"/>
      <c r="EQ10" s="91">
        <f>ES10/ER10</f>
        <v>8.7547440127727505</v>
      </c>
      <c r="ER10" s="771">
        <v>54491</v>
      </c>
      <c r="ES10" s="419">
        <f>1.2*397545.63</f>
        <v>477054.75599999999</v>
      </c>
      <c r="ET10" s="55">
        <f>186088.56+59259.76+27886.94</f>
        <v>273235.26</v>
      </c>
      <c r="EU10" s="55"/>
      <c r="EV10" s="91">
        <f>EX10/EW10</f>
        <v>8.9610239730828543</v>
      </c>
      <c r="EW10" s="771">
        <v>49931</v>
      </c>
      <c r="EX10" s="419">
        <f>1.2*372860.74</f>
        <v>447432.88799999998</v>
      </c>
      <c r="EY10" s="54">
        <v>425549.16</v>
      </c>
      <c r="EZ10" s="55"/>
      <c r="FA10" s="91">
        <f>FC10/FB10</f>
        <v>8.965596022207853</v>
      </c>
      <c r="FB10" s="1424">
        <v>44849</v>
      </c>
      <c r="FC10" s="51">
        <f>1.2*335081.68</f>
        <v>402098.016</v>
      </c>
      <c r="FD10" s="372">
        <v>564847.13</v>
      </c>
      <c r="FE10" s="55"/>
      <c r="FF10" s="91">
        <f>FH10/FG10</f>
        <v>9.7384920601491096</v>
      </c>
      <c r="FG10" s="53">
        <v>47482</v>
      </c>
      <c r="FH10" s="51">
        <f>1.2*385335.9</f>
        <v>462403.08</v>
      </c>
      <c r="FI10" s="55">
        <f>227455.02+202182.24+75818.34</f>
        <v>505455.6</v>
      </c>
      <c r="FJ10" s="55"/>
      <c r="FK10" s="91">
        <f>FM10/FL10</f>
        <v>9.9160680084912318</v>
      </c>
      <c r="FL10" s="771">
        <v>50876</v>
      </c>
      <c r="FM10" s="419">
        <f>1.2*420408.23</f>
        <v>504489.87599999993</v>
      </c>
      <c r="FN10" s="54">
        <v>511153.5</v>
      </c>
      <c r="FO10" s="55"/>
      <c r="FP10" s="91">
        <f>FR10/FQ10</f>
        <v>9.3381598784060618</v>
      </c>
      <c r="FQ10" s="771">
        <v>45397</v>
      </c>
      <c r="FR10" s="419">
        <f>1.2*353270.37</f>
        <v>423924.44399999996</v>
      </c>
      <c r="FS10" s="54">
        <v>457678.10000000003</v>
      </c>
      <c r="FT10" s="55"/>
      <c r="FU10" s="91">
        <f>FW10/FV10</f>
        <v>11.593907987998433</v>
      </c>
      <c r="FV10" s="771">
        <v>45994</v>
      </c>
      <c r="FW10" s="419">
        <f>1.2*444375.17</f>
        <v>533250.20399999991</v>
      </c>
      <c r="FX10" s="55">
        <v>500996.66400000005</v>
      </c>
      <c r="FY10" s="55"/>
      <c r="FZ10" s="91">
        <f>GB10/GA10</f>
        <v>12.129503988704553</v>
      </c>
      <c r="GA10" s="418">
        <v>42495</v>
      </c>
      <c r="GB10" s="419">
        <f>1.2*429536.06</f>
        <v>515443.272</v>
      </c>
      <c r="GC10" s="55">
        <v>324720.06</v>
      </c>
      <c r="GD10" s="55"/>
      <c r="GE10" s="91">
        <f>GG10/GF10</f>
        <v>12.287652023904874</v>
      </c>
      <c r="GF10" s="771">
        <v>48693</v>
      </c>
      <c r="GG10" s="419">
        <f>1.2*498602.2</f>
        <v>598322.64</v>
      </c>
      <c r="GH10" s="55"/>
      <c r="GI10" s="55"/>
      <c r="GJ10" s="91">
        <f>GL10/GK10</f>
        <v>10.464575985632429</v>
      </c>
      <c r="GK10" s="1424">
        <v>46772</v>
      </c>
      <c r="GL10" s="51">
        <f>1.2*407874.29</f>
        <v>489449.14799999993</v>
      </c>
      <c r="GM10" s="55">
        <f>469581.84+156527.28</f>
        <v>626109.12</v>
      </c>
      <c r="GN10" s="55"/>
      <c r="GO10" s="91">
        <f>GQ10/GP10</f>
        <v>16.413911950298456</v>
      </c>
      <c r="GP10" s="771">
        <v>41045</v>
      </c>
      <c r="GQ10" s="419">
        <f>1.2*561424.18</f>
        <v>673709.01600000006</v>
      </c>
      <c r="GR10" s="55">
        <v>248322.31</v>
      </c>
      <c r="GS10" s="55"/>
      <c r="GT10" s="91">
        <f>GV10/GU10</f>
        <v>13.515143942395078</v>
      </c>
      <c r="GU10" s="418">
        <v>42913</v>
      </c>
      <c r="GV10" s="419">
        <f>1.2*483312.81</f>
        <v>579975.37199999997</v>
      </c>
      <c r="GW10" s="55">
        <v>300000</v>
      </c>
      <c r="GX10" s="55"/>
      <c r="GY10" s="91">
        <f>HA10/GZ10</f>
        <v>8.7547440127727505</v>
      </c>
      <c r="GZ10" s="1424">
        <v>54491</v>
      </c>
      <c r="HA10" s="51">
        <f>1.2*397545.63</f>
        <v>477054.75599999999</v>
      </c>
      <c r="HB10" s="55">
        <f>186088.56+59259.76+27886.94</f>
        <v>273235.26</v>
      </c>
      <c r="HC10" s="55"/>
      <c r="HD10" s="91">
        <f>HF10/HE10</f>
        <v>8.9610239730828543</v>
      </c>
      <c r="HE10" s="1424">
        <v>49931</v>
      </c>
      <c r="HF10" s="51">
        <f>1.2*372860.74</f>
        <v>447432.88799999998</v>
      </c>
      <c r="HG10" s="55">
        <v>425549.16</v>
      </c>
      <c r="HH10" s="55"/>
      <c r="HI10" s="91">
        <f>HK10/HJ10</f>
        <v>8.965596022207853</v>
      </c>
      <c r="HJ10" s="1424">
        <v>44849</v>
      </c>
      <c r="HK10" s="51">
        <f>1.2*335081.68</f>
        <v>402098.016</v>
      </c>
      <c r="HL10" s="509">
        <v>564847.13</v>
      </c>
      <c r="HM10" s="55"/>
      <c r="HN10" s="91">
        <f>HP10/HO10</f>
        <v>9.7384920601491096</v>
      </c>
      <c r="HO10" s="53">
        <v>47482</v>
      </c>
      <c r="HP10" s="51">
        <f>1.2*385335.9</f>
        <v>462403.08</v>
      </c>
      <c r="HQ10" s="55">
        <f>227455.02+202182.24+75818.34</f>
        <v>505455.6</v>
      </c>
      <c r="HR10" s="55"/>
      <c r="HS10" s="91">
        <f>HU10/HT10</f>
        <v>9.9160680084912318</v>
      </c>
      <c r="HT10" s="1424">
        <v>50876</v>
      </c>
      <c r="HU10" s="51">
        <f>1.2*420408.23</f>
        <v>504489.87599999993</v>
      </c>
      <c r="HV10" s="55">
        <v>511153.5</v>
      </c>
      <c r="HW10" s="55"/>
      <c r="HX10" s="91">
        <f>HZ10/HY10</f>
        <v>9.3381598784060618</v>
      </c>
      <c r="HY10" s="1424">
        <v>45397</v>
      </c>
      <c r="HZ10" s="51">
        <f>1.2*353270.37</f>
        <v>423924.44399999996</v>
      </c>
      <c r="IA10" s="55">
        <v>457678.10000000003</v>
      </c>
      <c r="IB10" s="55"/>
      <c r="IC10" s="91">
        <f>IE10/ID10</f>
        <v>11.593907987998433</v>
      </c>
      <c r="ID10" s="1424">
        <v>45994</v>
      </c>
      <c r="IE10" s="51">
        <f>1.2*444375.17</f>
        <v>533250.20399999991</v>
      </c>
      <c r="IF10" s="55">
        <v>500996.66400000005</v>
      </c>
      <c r="IG10" s="55"/>
      <c r="IH10" s="91">
        <f>IJ10/II10</f>
        <v>6.2021215745411054</v>
      </c>
      <c r="II10" s="53">
        <v>38462</v>
      </c>
      <c r="IJ10" s="51">
        <v>238546</v>
      </c>
      <c r="IK10" s="55">
        <v>324720.06</v>
      </c>
      <c r="IL10" s="55"/>
      <c r="IM10" s="91">
        <f>IO10/IN10</f>
        <v>6.2021215745411054</v>
      </c>
      <c r="IN10" s="53">
        <v>38462</v>
      </c>
      <c r="IO10" s="51">
        <v>238546</v>
      </c>
      <c r="IP10" s="55"/>
      <c r="IQ10" s="55"/>
    </row>
    <row r="11" spans="1:251" ht="30" customHeight="1">
      <c r="A11" s="647"/>
      <c r="B11" s="256"/>
      <c r="C11" s="215">
        <v>22048622</v>
      </c>
      <c r="D11" s="45" t="s">
        <v>14</v>
      </c>
      <c r="E11" s="216" t="s">
        <v>15</v>
      </c>
      <c r="F11" s="22"/>
      <c r="G11" s="101"/>
      <c r="H11" s="126">
        <v>1</v>
      </c>
      <c r="I11" s="54">
        <v>990.06</v>
      </c>
      <c r="J11" s="127"/>
      <c r="K11" s="135"/>
      <c r="L11" s="101"/>
      <c r="M11" s="126">
        <v>1</v>
      </c>
      <c r="N11" s="54">
        <v>1198.26</v>
      </c>
      <c r="O11" s="127"/>
      <c r="P11" s="135"/>
      <c r="Q11" s="101"/>
      <c r="R11" s="126">
        <v>1</v>
      </c>
      <c r="S11" s="54">
        <v>1065.68</v>
      </c>
      <c r="T11" s="127"/>
      <c r="U11" s="135"/>
      <c r="V11" s="113"/>
      <c r="W11" s="126">
        <v>1</v>
      </c>
      <c r="X11" s="54">
        <v>1278.7</v>
      </c>
      <c r="Y11" s="127"/>
      <c r="Z11" s="127"/>
      <c r="AA11" s="90"/>
      <c r="AB11" s="126">
        <v>1</v>
      </c>
      <c r="AC11" s="54">
        <v>1135.1300000000001</v>
      </c>
      <c r="AD11" s="127"/>
      <c r="AE11" s="127"/>
      <c r="AF11" s="90"/>
      <c r="AG11" s="126">
        <v>1</v>
      </c>
      <c r="AH11" s="54">
        <v>1251.1099999999999</v>
      </c>
      <c r="AI11" s="127"/>
      <c r="AJ11" s="127"/>
      <c r="AK11" s="90"/>
      <c r="AL11" s="126">
        <v>1</v>
      </c>
      <c r="AM11" s="54">
        <v>1342.54</v>
      </c>
      <c r="AN11" s="127"/>
      <c r="AO11" s="127"/>
      <c r="AP11" s="90"/>
      <c r="AQ11" s="126">
        <v>1</v>
      </c>
      <c r="AR11" s="372">
        <v>1595.46</v>
      </c>
      <c r="AS11" s="127"/>
      <c r="AT11" s="127"/>
      <c r="AU11" s="90"/>
      <c r="AV11" s="126">
        <v>1</v>
      </c>
      <c r="AW11" s="54">
        <v>1894.44</v>
      </c>
      <c r="AX11" s="127"/>
      <c r="AY11" s="127"/>
      <c r="AZ11" s="90"/>
      <c r="BA11" s="126">
        <v>1</v>
      </c>
      <c r="BB11" s="54">
        <v>2030.52</v>
      </c>
      <c r="BC11" s="127"/>
      <c r="BD11" s="127"/>
      <c r="BE11" s="90"/>
      <c r="BF11" s="126">
        <v>1</v>
      </c>
      <c r="BG11" s="54" t="s">
        <v>361</v>
      </c>
      <c r="BH11" s="127"/>
      <c r="BI11" s="127"/>
      <c r="BJ11" s="90"/>
      <c r="BK11" s="126">
        <v>1</v>
      </c>
      <c r="BL11" s="54" t="s">
        <v>367</v>
      </c>
      <c r="BM11" s="127"/>
      <c r="BN11" s="127"/>
      <c r="BO11" s="90"/>
      <c r="BP11" s="558">
        <v>1</v>
      </c>
      <c r="BQ11" s="557" t="s">
        <v>385</v>
      </c>
      <c r="BR11" s="421"/>
      <c r="BS11" s="127"/>
      <c r="BT11" s="90"/>
      <c r="BU11" s="558">
        <v>1</v>
      </c>
      <c r="BV11" s="557">
        <v>1742.18</v>
      </c>
      <c r="BW11" s="421"/>
      <c r="BX11" s="127"/>
      <c r="BY11" s="90"/>
      <c r="BZ11" s="558">
        <v>1</v>
      </c>
      <c r="CA11" s="557">
        <v>1553.63</v>
      </c>
      <c r="CB11" s="421"/>
      <c r="CC11" s="127"/>
      <c r="CD11" s="90"/>
      <c r="CE11" s="126">
        <v>1</v>
      </c>
      <c r="CF11" s="54" t="s">
        <v>478</v>
      </c>
      <c r="CG11" s="127"/>
      <c r="CH11" s="127"/>
      <c r="CI11" s="90"/>
      <c r="CJ11" s="126">
        <v>1</v>
      </c>
      <c r="CK11" s="54">
        <v>1208.6600000000001</v>
      </c>
      <c r="CL11" s="127"/>
      <c r="CM11" s="127"/>
      <c r="CN11" s="90"/>
      <c r="CO11" s="126">
        <v>1</v>
      </c>
      <c r="CP11" s="54">
        <v>1444.2</v>
      </c>
      <c r="CQ11" s="127"/>
      <c r="CR11" s="127"/>
      <c r="CS11" s="90"/>
      <c r="CT11" s="126">
        <v>1</v>
      </c>
      <c r="CU11" s="54">
        <v>2794.79</v>
      </c>
      <c r="CV11" s="127"/>
      <c r="CW11" s="127"/>
      <c r="CX11" s="90"/>
      <c r="CY11" s="126">
        <v>1</v>
      </c>
      <c r="CZ11" s="54">
        <v>3553.74</v>
      </c>
      <c r="DA11" s="127"/>
      <c r="DB11" s="127"/>
      <c r="DC11" s="90"/>
      <c r="DD11" s="126">
        <v>1</v>
      </c>
      <c r="DE11" s="372">
        <v>3759.11</v>
      </c>
      <c r="DF11" s="127"/>
      <c r="DG11" s="127"/>
      <c r="DH11" s="90"/>
      <c r="DI11" s="126">
        <v>1</v>
      </c>
      <c r="DJ11" s="54">
        <v>3238.14</v>
      </c>
      <c r="DK11" s="127"/>
      <c r="DL11" s="127"/>
      <c r="DM11" s="90"/>
      <c r="DN11" s="126">
        <v>1</v>
      </c>
      <c r="DO11" s="54">
        <v>3187.97</v>
      </c>
      <c r="DP11" s="127"/>
      <c r="DQ11" s="127"/>
      <c r="DR11" s="90"/>
      <c r="DS11" s="126">
        <v>1</v>
      </c>
      <c r="DT11" s="54">
        <v>2164.88</v>
      </c>
      <c r="DU11" s="127"/>
      <c r="DV11" s="127"/>
      <c r="DW11" s="90"/>
      <c r="DX11" s="126">
        <v>1</v>
      </c>
      <c r="DY11" s="54">
        <v>2340.04</v>
      </c>
      <c r="DZ11" s="127"/>
      <c r="EA11" s="127"/>
      <c r="EB11" s="90"/>
      <c r="EC11" s="126">
        <v>1</v>
      </c>
      <c r="ED11" s="54">
        <v>3446</v>
      </c>
      <c r="EE11" s="127"/>
      <c r="EF11" s="52"/>
      <c r="EG11" s="1425"/>
      <c r="EH11" s="126">
        <v>1</v>
      </c>
      <c r="EI11" s="54">
        <v>2879.94</v>
      </c>
      <c r="EJ11" s="127"/>
      <c r="EK11" s="52"/>
      <c r="EL11" s="1425"/>
      <c r="EM11" s="126">
        <v>1</v>
      </c>
      <c r="EN11" s="540">
        <v>3040.87</v>
      </c>
      <c r="EO11" s="127"/>
      <c r="EP11" s="52"/>
      <c r="EQ11" s="1425"/>
      <c r="ER11" s="50">
        <v>1</v>
      </c>
      <c r="ES11" s="55">
        <v>0</v>
      </c>
      <c r="ET11" s="52"/>
      <c r="EU11" s="52"/>
      <c r="EV11" s="1425"/>
      <c r="EW11" s="126">
        <v>1</v>
      </c>
      <c r="EX11" s="54">
        <v>3570.73</v>
      </c>
      <c r="EY11" s="127"/>
      <c r="EZ11" s="52"/>
      <c r="FA11" s="1425"/>
      <c r="FB11" s="126">
        <v>1</v>
      </c>
      <c r="FC11" s="54">
        <v>4172.05</v>
      </c>
      <c r="FD11" s="127"/>
      <c r="FE11" s="52"/>
      <c r="FF11" s="1425"/>
      <c r="FG11" s="126">
        <v>1</v>
      </c>
      <c r="FH11" s="54">
        <v>4535.76</v>
      </c>
      <c r="FI11" s="127"/>
      <c r="FJ11" s="127"/>
      <c r="FK11" s="1425"/>
      <c r="FL11" s="126">
        <v>1</v>
      </c>
      <c r="FM11" s="372">
        <v>4711.12</v>
      </c>
      <c r="FN11" s="127"/>
      <c r="FO11" s="52"/>
      <c r="FP11" s="1425"/>
      <c r="FQ11" s="126">
        <v>1</v>
      </c>
      <c r="FR11" s="54">
        <v>4295.8</v>
      </c>
      <c r="FS11" s="127"/>
      <c r="FT11" s="52"/>
      <c r="FU11" s="1425"/>
      <c r="FV11" s="126">
        <v>1</v>
      </c>
      <c r="FW11" s="54">
        <v>2570.27</v>
      </c>
      <c r="FX11" s="127"/>
      <c r="FY11" s="52"/>
      <c r="FZ11" s="1425"/>
      <c r="GA11" s="126">
        <v>1</v>
      </c>
      <c r="GB11" s="54">
        <v>3608.86</v>
      </c>
      <c r="GC11" s="127"/>
      <c r="GD11" s="52"/>
      <c r="GE11" s="1425"/>
      <c r="GF11" s="50">
        <v>1</v>
      </c>
      <c r="GG11" s="55">
        <v>990.06</v>
      </c>
      <c r="GH11" s="52"/>
      <c r="GI11" s="52"/>
      <c r="GJ11" s="1425"/>
      <c r="GK11" s="50">
        <v>1</v>
      </c>
      <c r="GL11" s="55">
        <v>3446</v>
      </c>
      <c r="GM11" s="52"/>
      <c r="GN11" s="52"/>
      <c r="GO11" s="1425"/>
      <c r="GP11" s="126">
        <v>1</v>
      </c>
      <c r="GQ11" s="54">
        <v>4195.72</v>
      </c>
      <c r="GR11" s="127"/>
      <c r="GS11" s="52"/>
      <c r="GT11" s="1425"/>
      <c r="GU11" s="126">
        <v>1</v>
      </c>
      <c r="GV11" s="540">
        <v>8057.34</v>
      </c>
      <c r="GW11" s="127"/>
      <c r="GX11" s="52"/>
      <c r="GY11" s="1425"/>
      <c r="GZ11" s="50">
        <v>1</v>
      </c>
      <c r="HA11" s="55">
        <v>0</v>
      </c>
      <c r="HB11" s="52"/>
      <c r="HC11" s="52"/>
      <c r="HD11" s="1425"/>
      <c r="HE11" s="50">
        <v>1</v>
      </c>
      <c r="HF11" s="55">
        <v>3570.73</v>
      </c>
      <c r="HG11" s="52"/>
      <c r="HH11" s="52"/>
      <c r="HI11" s="1425"/>
      <c r="HJ11" s="50">
        <v>1</v>
      </c>
      <c r="HK11" s="55">
        <v>4172.05</v>
      </c>
      <c r="HL11" s="52"/>
      <c r="HM11" s="52"/>
      <c r="HN11" s="1425"/>
      <c r="HO11" s="50">
        <v>1</v>
      </c>
      <c r="HP11" s="55">
        <v>4535.76</v>
      </c>
      <c r="HQ11" s="52"/>
      <c r="HR11" s="127"/>
      <c r="HS11" s="1425"/>
      <c r="HT11" s="50">
        <v>1</v>
      </c>
      <c r="HU11" s="509">
        <v>4711.12</v>
      </c>
      <c r="HV11" s="52"/>
      <c r="HW11" s="52"/>
      <c r="HX11" s="1425"/>
      <c r="HY11" s="50">
        <v>1</v>
      </c>
      <c r="HZ11" s="55">
        <v>4295.8</v>
      </c>
      <c r="IA11" s="52"/>
      <c r="IB11" s="52"/>
      <c r="IC11" s="1425"/>
      <c r="ID11" s="50">
        <v>1</v>
      </c>
      <c r="IE11" s="55">
        <v>2570.27</v>
      </c>
      <c r="IF11" s="52"/>
      <c r="IG11" s="52"/>
      <c r="IH11" s="1425"/>
      <c r="II11" s="50">
        <v>1</v>
      </c>
      <c r="IJ11" s="55">
        <v>3608.86</v>
      </c>
      <c r="IK11" s="52"/>
      <c r="IL11" s="52"/>
      <c r="IM11" s="1425"/>
      <c r="IN11" s="50">
        <v>1</v>
      </c>
      <c r="IO11" s="55">
        <v>990.06</v>
      </c>
      <c r="IP11" s="52"/>
      <c r="IQ11" s="52"/>
    </row>
    <row r="12" spans="1:251" s="264" customFormat="1" ht="26.25" customHeight="1" thickBot="1">
      <c r="A12" s="648"/>
      <c r="B12" s="257"/>
      <c r="C12" s="365" t="s">
        <v>212</v>
      </c>
      <c r="D12" s="20" t="s">
        <v>16</v>
      </c>
      <c r="E12" s="259" t="s">
        <v>17</v>
      </c>
      <c r="F12" s="23"/>
      <c r="G12" s="188">
        <v>37.536000000000001</v>
      </c>
      <c r="H12" s="189">
        <f>Таблица32[[#This Row],[Сумма]]/Таблица32[[#This Row],[Тариф]]</f>
        <v>59.627024722932646</v>
      </c>
      <c r="I12" s="190">
        <v>2238.16</v>
      </c>
      <c r="J12" s="191"/>
      <c r="K12" s="192"/>
      <c r="L12" s="188">
        <f>N12/M12</f>
        <v>37.928166666666669</v>
      </c>
      <c r="M12" s="189">
        <v>60</v>
      </c>
      <c r="N12" s="190">
        <v>2275.69</v>
      </c>
      <c r="O12" s="191"/>
      <c r="P12" s="192"/>
      <c r="Q12" s="188">
        <f>S12/R12</f>
        <v>37.928166666666669</v>
      </c>
      <c r="R12" s="189">
        <v>60</v>
      </c>
      <c r="S12" s="190">
        <v>2275.69</v>
      </c>
      <c r="T12" s="191"/>
      <c r="U12" s="192"/>
      <c r="V12" s="315">
        <f>X12/W12</f>
        <v>37.941724137931033</v>
      </c>
      <c r="W12" s="189">
        <v>58</v>
      </c>
      <c r="X12" s="190">
        <v>2200.62</v>
      </c>
      <c r="Y12" s="191"/>
      <c r="Z12" s="191"/>
      <c r="AA12" s="260">
        <f>AC12/AB12</f>
        <v>37.903750000000002</v>
      </c>
      <c r="AB12" s="189">
        <v>64</v>
      </c>
      <c r="AC12" s="190">
        <v>2425.84</v>
      </c>
      <c r="AD12" s="191"/>
      <c r="AE12" s="191"/>
      <c r="AF12" s="260">
        <f>AH12/AG12</f>
        <v>37.963818181818183</v>
      </c>
      <c r="AG12" s="189">
        <v>55</v>
      </c>
      <c r="AH12" s="190">
        <v>2088.0100000000002</v>
      </c>
      <c r="AI12" s="191"/>
      <c r="AJ12" s="191"/>
      <c r="AK12" s="260">
        <f>AM12/AL12</f>
        <v>37.997450980392152</v>
      </c>
      <c r="AL12" s="189">
        <v>51</v>
      </c>
      <c r="AM12" s="190">
        <v>1937.87</v>
      </c>
      <c r="AN12" s="191"/>
      <c r="AO12" s="191"/>
      <c r="AP12" s="260">
        <f>AR12/AQ12</f>
        <v>38.006599999999999</v>
      </c>
      <c r="AQ12" s="189">
        <v>50</v>
      </c>
      <c r="AR12" s="510">
        <v>1900.33</v>
      </c>
      <c r="AS12" s="191"/>
      <c r="AT12" s="191"/>
      <c r="AU12" s="260">
        <f>AW12/AV12</f>
        <v>37.897999999999996</v>
      </c>
      <c r="AV12" s="189">
        <v>65</v>
      </c>
      <c r="AW12" s="190">
        <v>2463.37</v>
      </c>
      <c r="AX12" s="191"/>
      <c r="AY12" s="191"/>
      <c r="AZ12" s="260">
        <f>BB12/BA12</f>
        <v>38.036595744680852</v>
      </c>
      <c r="BA12" s="189">
        <v>47</v>
      </c>
      <c r="BB12" s="190">
        <v>1787.72</v>
      </c>
      <c r="BC12" s="191"/>
      <c r="BD12" s="191"/>
      <c r="BE12" s="260">
        <f>BG12/BF12</f>
        <v>38.026249999999997</v>
      </c>
      <c r="BF12" s="189">
        <v>48</v>
      </c>
      <c r="BG12" s="190">
        <f>1825.26</f>
        <v>1825.26</v>
      </c>
      <c r="BH12" s="191">
        <v>192.61</v>
      </c>
      <c r="BI12" s="191"/>
      <c r="BJ12" s="260">
        <f>BL12/BK12</f>
        <v>37.769009900990099</v>
      </c>
      <c r="BK12" s="189">
        <v>101</v>
      </c>
      <c r="BL12" s="190">
        <v>3814.67</v>
      </c>
      <c r="BM12" s="191"/>
      <c r="BN12" s="191"/>
      <c r="BO12" s="566">
        <f>BQ12/BP12</f>
        <v>37.915483870967748</v>
      </c>
      <c r="BP12" s="189">
        <v>62</v>
      </c>
      <c r="BQ12" s="190">
        <v>2350.7600000000002</v>
      </c>
      <c r="BR12" s="191"/>
      <c r="BS12" s="191"/>
      <c r="BT12" s="260">
        <f>BV12/BU12</f>
        <v>37.854054054054053</v>
      </c>
      <c r="BU12" s="189">
        <v>74</v>
      </c>
      <c r="BV12" s="190">
        <v>2801.2</v>
      </c>
      <c r="BW12" s="191"/>
      <c r="BX12" s="191"/>
      <c r="BY12" s="260">
        <f>CA12/BZ12</f>
        <v>37.812823529411766</v>
      </c>
      <c r="BZ12" s="189">
        <v>85</v>
      </c>
      <c r="CA12" s="190">
        <v>3214.09</v>
      </c>
      <c r="CB12" s="191"/>
      <c r="CC12" s="191"/>
      <c r="CD12" s="260">
        <f>CF12/CE12</f>
        <v>37.882058823529412</v>
      </c>
      <c r="CE12" s="189">
        <v>68</v>
      </c>
      <c r="CF12" s="190">
        <v>2575.98</v>
      </c>
      <c r="CG12" s="191"/>
      <c r="CH12" s="191"/>
      <c r="CI12" s="260">
        <f>CK12/CJ12</f>
        <v>37.762307692307694</v>
      </c>
      <c r="CJ12" s="189">
        <v>104</v>
      </c>
      <c r="CK12" s="190">
        <v>3927.28</v>
      </c>
      <c r="CL12" s="191"/>
      <c r="CM12" s="191"/>
      <c r="CN12" s="260">
        <f>CP12/CO12</f>
        <v>37.887164179104481</v>
      </c>
      <c r="CO12" s="189">
        <v>67</v>
      </c>
      <c r="CP12" s="190">
        <v>2538.44</v>
      </c>
      <c r="CQ12" s="191"/>
      <c r="CR12" s="191"/>
      <c r="CS12" s="260">
        <f>CU12/CT12</f>
        <v>65.470909090909089</v>
      </c>
      <c r="CT12" s="189">
        <v>99</v>
      </c>
      <c r="CU12" s="190">
        <v>6481.62</v>
      </c>
      <c r="CV12" s="191"/>
      <c r="CW12" s="191"/>
      <c r="CX12" s="260">
        <f>CZ12/CY12</f>
        <v>79.986296296296288</v>
      </c>
      <c r="CY12" s="189">
        <v>135</v>
      </c>
      <c r="CZ12" s="190">
        <v>10798.15</v>
      </c>
      <c r="DA12" s="191"/>
      <c r="DB12" s="191"/>
      <c r="DC12" s="260">
        <f>DE12/DD12</f>
        <v>80.014827586206891</v>
      </c>
      <c r="DD12" s="189">
        <v>116</v>
      </c>
      <c r="DE12" s="190">
        <v>9281.7199999999993</v>
      </c>
      <c r="DF12" s="191"/>
      <c r="DG12" s="191"/>
      <c r="DH12" s="260">
        <f>DJ12/DI12</f>
        <v>80.059684210526314</v>
      </c>
      <c r="DI12" s="189">
        <v>95</v>
      </c>
      <c r="DJ12" s="190">
        <v>7605.67</v>
      </c>
      <c r="DK12" s="191"/>
      <c r="DL12" s="191"/>
      <c r="DM12" s="260">
        <f>DO12/DN12</f>
        <v>80.109873417721516</v>
      </c>
      <c r="DN12" s="189">
        <v>79</v>
      </c>
      <c r="DO12" s="190">
        <v>6328.68</v>
      </c>
      <c r="DP12" s="191"/>
      <c r="DQ12" s="191"/>
      <c r="DR12" s="260">
        <f>DT12/DS12</f>
        <v>80.106124999999992</v>
      </c>
      <c r="DS12" s="189">
        <v>80</v>
      </c>
      <c r="DT12" s="190">
        <v>6408.49</v>
      </c>
      <c r="DU12" s="191"/>
      <c r="DV12" s="191"/>
      <c r="DW12" s="260">
        <f>DY12/DX12</f>
        <v>80.210847457627111</v>
      </c>
      <c r="DX12" s="189">
        <v>59</v>
      </c>
      <c r="DY12" s="190">
        <v>4732.4399999999996</v>
      </c>
      <c r="DZ12" s="191"/>
      <c r="EA12" s="191"/>
      <c r="EB12" s="260">
        <f>ED12/EC12</f>
        <v>82.118904109589039</v>
      </c>
      <c r="EC12" s="189">
        <v>73</v>
      </c>
      <c r="ED12" s="190">
        <v>5994.68</v>
      </c>
      <c r="EE12" s="263"/>
      <c r="EF12" s="263"/>
      <c r="EG12" s="1426">
        <f>EI12/EH12</f>
        <v>83.154054054054043</v>
      </c>
      <c r="EH12" s="189">
        <v>74</v>
      </c>
      <c r="EI12" s="190">
        <v>6153.4</v>
      </c>
      <c r="EJ12" s="191"/>
      <c r="EK12" s="263"/>
      <c r="EL12" s="1426">
        <f>EN12/EM12</f>
        <v>83.11282352941177</v>
      </c>
      <c r="EM12" s="189">
        <v>85</v>
      </c>
      <c r="EN12" s="190">
        <v>7064.59</v>
      </c>
      <c r="EO12" s="191"/>
      <c r="EP12" s="263"/>
      <c r="EQ12" s="1426">
        <f>ES12/ER12</f>
        <v>83.116190476190482</v>
      </c>
      <c r="ER12" s="189">
        <v>84</v>
      </c>
      <c r="ES12" s="190">
        <v>6981.76</v>
      </c>
      <c r="ET12" s="191"/>
      <c r="EU12" s="263"/>
      <c r="EV12" s="1426">
        <f>EX12/EW12</f>
        <v>83.126543209876544</v>
      </c>
      <c r="EW12" s="189">
        <v>81</v>
      </c>
      <c r="EX12" s="190">
        <v>6733.25</v>
      </c>
      <c r="EY12" s="191"/>
      <c r="EZ12" s="263"/>
      <c r="FA12" s="1426">
        <f>FC12/FB12</f>
        <v>83.158356164383562</v>
      </c>
      <c r="FB12" s="189">
        <v>73</v>
      </c>
      <c r="FC12" s="190">
        <v>6070.56</v>
      </c>
      <c r="FD12" s="191"/>
      <c r="FE12" s="263"/>
      <c r="FF12" s="1426">
        <f>FH12/FG12</f>
        <v>83.069009900990096</v>
      </c>
      <c r="FG12" s="189">
        <v>101</v>
      </c>
      <c r="FH12" s="190">
        <v>8389.9699999999993</v>
      </c>
      <c r="FI12" s="191"/>
      <c r="FJ12" s="263"/>
      <c r="FK12" s="1426">
        <f>FM12/FL12</f>
        <v>83.197076923076935</v>
      </c>
      <c r="FL12" s="189">
        <v>65</v>
      </c>
      <c r="FM12" s="190">
        <v>5407.81</v>
      </c>
      <c r="FN12" s="191"/>
      <c r="FO12" s="263"/>
      <c r="FP12" s="1426">
        <f>FR12/FQ12</f>
        <v>83.130124999999992</v>
      </c>
      <c r="FQ12" s="189">
        <v>80</v>
      </c>
      <c r="FR12" s="190">
        <v>6650.41</v>
      </c>
      <c r="FS12" s="191"/>
      <c r="FT12" s="263"/>
      <c r="FU12" s="1426">
        <f>FW12/FV12</f>
        <v>83.187164179104471</v>
      </c>
      <c r="FV12" s="189">
        <v>67</v>
      </c>
      <c r="FW12" s="190">
        <v>5573.54</v>
      </c>
      <c r="FX12" s="191"/>
      <c r="FY12" s="263"/>
      <c r="FZ12" s="1426">
        <f>GB12/GA12</f>
        <v>83.177101449275369</v>
      </c>
      <c r="GA12" s="189">
        <v>69</v>
      </c>
      <c r="GB12" s="190">
        <v>5739.22</v>
      </c>
      <c r="GC12" s="191"/>
      <c r="GD12" s="263"/>
      <c r="GE12" s="1426">
        <f>GG12/GF12</f>
        <v>83.167464788732403</v>
      </c>
      <c r="GF12" s="189">
        <v>71</v>
      </c>
      <c r="GG12" s="190">
        <v>5904.89</v>
      </c>
      <c r="GH12" s="191"/>
      <c r="GI12" s="263"/>
      <c r="GJ12" s="1426">
        <f>GL12/GK12</f>
        <v>82.118904109589039</v>
      </c>
      <c r="GK12" s="261">
        <v>73</v>
      </c>
      <c r="GL12" s="262">
        <v>5994.68</v>
      </c>
      <c r="GM12" s="263"/>
      <c r="GN12" s="263"/>
      <c r="GO12" s="1426">
        <f>GQ12/GP12</f>
        <v>106.75214285714286</v>
      </c>
      <c r="GP12" s="189">
        <v>56</v>
      </c>
      <c r="GQ12" s="190">
        <v>5978.12</v>
      </c>
      <c r="GR12" s="191"/>
      <c r="GS12" s="263"/>
      <c r="GT12" s="1426">
        <f>GV12/GU12</f>
        <v>106.66814285714287</v>
      </c>
      <c r="GU12" s="189">
        <v>70</v>
      </c>
      <c r="GV12" s="190">
        <v>7466.77</v>
      </c>
      <c r="GW12" s="191"/>
      <c r="GX12" s="263"/>
      <c r="GY12" s="1426">
        <f>HA12/GZ12</f>
        <v>83.116190476190482</v>
      </c>
      <c r="GZ12" s="261">
        <v>84</v>
      </c>
      <c r="HA12" s="262">
        <v>6981.76</v>
      </c>
      <c r="HB12" s="263"/>
      <c r="HC12" s="263"/>
      <c r="HD12" s="1426">
        <f>HF12/HE12</f>
        <v>83.126543209876544</v>
      </c>
      <c r="HE12" s="261">
        <v>81</v>
      </c>
      <c r="HF12" s="262">
        <v>6733.25</v>
      </c>
      <c r="HG12" s="263"/>
      <c r="HH12" s="263"/>
      <c r="HI12" s="1426">
        <f>HK12/HJ12</f>
        <v>83.158356164383562</v>
      </c>
      <c r="HJ12" s="261">
        <v>73</v>
      </c>
      <c r="HK12" s="262">
        <v>6070.56</v>
      </c>
      <c r="HL12" s="263"/>
      <c r="HM12" s="263"/>
      <c r="HN12" s="1426">
        <f>HP12/HO12</f>
        <v>83.069009900990096</v>
      </c>
      <c r="HO12" s="261">
        <v>101</v>
      </c>
      <c r="HP12" s="262">
        <v>8389.9699999999993</v>
      </c>
      <c r="HQ12" s="263"/>
      <c r="HR12" s="263"/>
      <c r="HS12" s="1426">
        <f>HU12/HT12</f>
        <v>83.197076923076935</v>
      </c>
      <c r="HT12" s="261">
        <v>65</v>
      </c>
      <c r="HU12" s="262">
        <v>5407.81</v>
      </c>
      <c r="HV12" s="263"/>
      <c r="HW12" s="263"/>
      <c r="HX12" s="1426">
        <f>HZ12/HY12</f>
        <v>83.130124999999992</v>
      </c>
      <c r="HY12" s="261">
        <v>80</v>
      </c>
      <c r="HZ12" s="262">
        <v>6650.41</v>
      </c>
      <c r="IA12" s="263"/>
      <c r="IB12" s="263"/>
      <c r="IC12" s="1426">
        <f>IE12/ID12</f>
        <v>83.187164179104471</v>
      </c>
      <c r="ID12" s="261">
        <v>67</v>
      </c>
      <c r="IE12" s="262">
        <v>5573.54</v>
      </c>
      <c r="IF12" s="263"/>
      <c r="IG12" s="263"/>
      <c r="IH12" s="1426">
        <f>IJ12/II12</f>
        <v>83.177101449275369</v>
      </c>
      <c r="II12" s="261">
        <v>69</v>
      </c>
      <c r="IJ12" s="262">
        <v>5739.22</v>
      </c>
      <c r="IK12" s="263"/>
      <c r="IL12" s="263"/>
      <c r="IM12" s="1426">
        <f>IO12/IN12</f>
        <v>37.915483870967748</v>
      </c>
      <c r="IN12" s="261">
        <v>62</v>
      </c>
      <c r="IO12" s="262">
        <v>2350.7600000000002</v>
      </c>
      <c r="IP12" s="263"/>
      <c r="IQ12" s="263"/>
    </row>
    <row r="13" spans="1:251" s="249" customFormat="1" ht="15" customHeight="1">
      <c r="A13" s="649"/>
      <c r="B13" s="265" t="s">
        <v>297</v>
      </c>
      <c r="C13" s="5" t="s">
        <v>18</v>
      </c>
      <c r="D13" s="6" t="s">
        <v>19</v>
      </c>
      <c r="E13" s="7" t="s">
        <v>10</v>
      </c>
      <c r="F13" s="4"/>
      <c r="G13" s="196"/>
      <c r="H13" s="197"/>
      <c r="I13" s="197"/>
      <c r="J13" s="197"/>
      <c r="K13" s="325"/>
      <c r="L13" s="196"/>
      <c r="M13" s="197"/>
      <c r="N13" s="197"/>
      <c r="O13" s="197"/>
      <c r="P13" s="325"/>
      <c r="Q13" s="196"/>
      <c r="R13" s="197"/>
      <c r="S13" s="197"/>
      <c r="T13" s="197"/>
      <c r="U13" s="325"/>
      <c r="V13" s="207"/>
      <c r="W13" s="197"/>
      <c r="X13" s="204">
        <v>1990</v>
      </c>
      <c r="Y13" s="197"/>
      <c r="Z13" s="402">
        <f>SUM(X13:X17)*1.1</f>
        <v>64870.718000000001</v>
      </c>
      <c r="AA13" s="36"/>
      <c r="AB13" s="197"/>
      <c r="AC13" s="204">
        <v>1548</v>
      </c>
      <c r="AD13" s="197"/>
      <c r="AE13" s="402">
        <f>SUM(AC13:AC17)*1.1</f>
        <v>49751.473200000008</v>
      </c>
      <c r="AF13" s="36"/>
      <c r="AG13" s="197"/>
      <c r="AH13" s="204">
        <v>1920</v>
      </c>
      <c r="AI13" s="197"/>
      <c r="AJ13" s="402">
        <f>AJ14*1.1</f>
        <v>64838.782799999994</v>
      </c>
      <c r="AK13" s="36"/>
      <c r="AL13" s="197"/>
      <c r="AM13" s="204">
        <v>1990</v>
      </c>
      <c r="AN13" s="197"/>
      <c r="AO13" s="402">
        <f>AO14*1.2</f>
        <v>82628.32799999998</v>
      </c>
      <c r="AP13" s="36"/>
      <c r="AQ13" s="204"/>
      <c r="AR13" s="204">
        <v>1769</v>
      </c>
      <c r="AS13" s="204"/>
      <c r="AT13" s="402">
        <f>SUM(AR13:AR17)*1.2</f>
        <v>101644.944</v>
      </c>
      <c r="AU13" s="36"/>
      <c r="AV13" s="197"/>
      <c r="AW13" s="197"/>
      <c r="AX13" s="197"/>
      <c r="AY13" s="402">
        <f>SUM(AW13:AW17)*1.1</f>
        <v>106741.39080000001</v>
      </c>
      <c r="AZ13" s="36"/>
      <c r="BA13" s="197"/>
      <c r="BB13" s="197"/>
      <c r="BC13" s="197"/>
      <c r="BD13" s="402">
        <f>SUM(BB13:BB17)*1.22</f>
        <v>106425.64103999996</v>
      </c>
      <c r="BE13" s="36"/>
      <c r="BF13" s="197"/>
      <c r="BG13" s="197"/>
      <c r="BH13" s="197"/>
      <c r="BI13" s="402">
        <f>SUM(BG13:BG17)*1.1</f>
        <v>68123.642399999997</v>
      </c>
      <c r="BJ13" s="36"/>
      <c r="BK13" s="197"/>
      <c r="BL13" s="197"/>
      <c r="BM13" s="197"/>
      <c r="BN13" s="402">
        <f>SUM(BL13:BL17)*1.1</f>
        <v>104238.50139999999</v>
      </c>
      <c r="BO13" s="36"/>
      <c r="BP13" s="197"/>
      <c r="BQ13" s="197"/>
      <c r="BR13" s="197"/>
      <c r="BS13" s="402">
        <f>SUM(BQ13:BQ17)*1.1</f>
        <v>74185.702799999999</v>
      </c>
      <c r="BT13" s="36"/>
      <c r="BU13" s="197"/>
      <c r="BV13" s="197"/>
      <c r="BW13" s="197"/>
      <c r="BX13" s="402">
        <f>SUM(BV13:BV17)*1.1</f>
        <v>19813.353999999999</v>
      </c>
      <c r="BY13" s="36"/>
      <c r="BZ13" s="197"/>
      <c r="CA13" s="197"/>
      <c r="CB13" s="197"/>
      <c r="CC13" s="402">
        <f>SUM(CA13:CA17)*1.1</f>
        <v>100292.54399999999</v>
      </c>
      <c r="CD13" s="36"/>
      <c r="CE13" s="197"/>
      <c r="CF13" s="197"/>
      <c r="CG13" s="197"/>
      <c r="CH13" s="402">
        <f>SUM(CF13:CF17)*1.1</f>
        <v>54633.044400000006</v>
      </c>
      <c r="CI13" s="36"/>
      <c r="CJ13" s="197"/>
      <c r="CK13" s="197"/>
      <c r="CL13" s="197"/>
      <c r="CM13" s="402">
        <f>SUM(CK13:CK17)*1.1</f>
        <v>56634.758400000013</v>
      </c>
      <c r="CN13" s="36"/>
      <c r="CO13" s="197"/>
      <c r="CP13" s="197"/>
      <c r="CQ13" s="197"/>
      <c r="CR13" s="402">
        <f>SUM(CP13:CP17)*1.1</f>
        <v>81742.914000000019</v>
      </c>
      <c r="CS13" s="36"/>
      <c r="CT13" s="197"/>
      <c r="CU13" s="197"/>
      <c r="CV13" s="197"/>
      <c r="CW13" s="402">
        <f>SUM(CU13:CU17)*1.1</f>
        <v>107988.99980000001</v>
      </c>
      <c r="CX13" s="36"/>
      <c r="CY13" s="197"/>
      <c r="CZ13" s="197"/>
      <c r="DA13" s="197"/>
      <c r="DB13" s="402">
        <f>SUM(CZ13:CZ17)*1.1</f>
        <v>128841.64920000001</v>
      </c>
      <c r="DC13" s="36"/>
      <c r="DD13" s="197"/>
      <c r="DE13" s="197"/>
      <c r="DF13" s="197"/>
      <c r="DG13" s="402">
        <f>SUM(DE13:DE17)*1.1</f>
        <v>125271.88080000001</v>
      </c>
      <c r="DH13" s="36"/>
      <c r="DI13" s="197"/>
      <c r="DJ13" s="197"/>
      <c r="DK13" s="197"/>
      <c r="DL13" s="402">
        <f>SUM(DJ13:DJ17)*1.1</f>
        <v>111571.3236</v>
      </c>
      <c r="DM13" s="36"/>
      <c r="DN13" s="197"/>
      <c r="DO13" s="197"/>
      <c r="DP13" s="197"/>
      <c r="DQ13" s="402">
        <f>SUM(DO13:DO17)*1.1</f>
        <v>114805.5656</v>
      </c>
      <c r="DR13" s="36"/>
      <c r="DS13" s="197"/>
      <c r="DT13" s="197"/>
      <c r="DU13" s="197"/>
      <c r="DV13" s="402">
        <f>SUM(DT13:DT17)*1.1</f>
        <v>111955.26980000001</v>
      </c>
      <c r="DW13" s="36"/>
      <c r="DX13" s="197"/>
      <c r="DY13" s="197"/>
      <c r="DZ13" s="197"/>
      <c r="EA13" s="402">
        <f>SUM(DY13:DY17)*1.1</f>
        <v>98577.441599999991</v>
      </c>
      <c r="EB13" s="36"/>
      <c r="EC13" s="197"/>
      <c r="ED13" s="197"/>
      <c r="EE13" s="197"/>
      <c r="EF13" s="402">
        <f>SUM(ED13:ED17)*1.1</f>
        <v>7901.3088000000007</v>
      </c>
      <c r="EG13" s="36"/>
      <c r="EH13" s="197"/>
      <c r="EI13" s="197"/>
      <c r="EJ13" s="197"/>
      <c r="EK13" s="402">
        <f>SUM(EI13:EI17)*1.1</f>
        <v>218455.6176</v>
      </c>
      <c r="EL13" s="36"/>
      <c r="EM13" s="197"/>
      <c r="EN13" s="197"/>
      <c r="EO13" s="197"/>
      <c r="EP13" s="402">
        <f>SUM(EN13:EN17)*1.1</f>
        <v>101002.0242</v>
      </c>
      <c r="EQ13" s="36"/>
      <c r="ER13" s="197"/>
      <c r="ES13" s="197"/>
      <c r="ET13" s="197"/>
      <c r="EU13" s="402">
        <f>SUM(ES13:ES17)*1.1</f>
        <v>86848.579400000002</v>
      </c>
      <c r="EV13" s="36"/>
      <c r="EW13" s="197"/>
      <c r="EX13" s="197"/>
      <c r="EY13" s="197"/>
      <c r="EZ13" s="402">
        <f>SUM(EX13:EX17)*1.1</f>
        <v>85650.061200000011</v>
      </c>
      <c r="FA13" s="36"/>
      <c r="FB13" s="197"/>
      <c r="FC13" s="197"/>
      <c r="FD13" s="197"/>
      <c r="FE13" s="402">
        <f>SUM(FC13:FC17)*1.1</f>
        <v>114027.59280000003</v>
      </c>
      <c r="FF13" s="36"/>
      <c r="FG13" s="197"/>
      <c r="FH13" s="197"/>
      <c r="FI13" s="197"/>
      <c r="FJ13" s="402">
        <f>SUM(FH13:FH17)*1.1</f>
        <v>119724.75239999998</v>
      </c>
      <c r="FK13" s="36"/>
      <c r="FL13" s="197"/>
      <c r="FM13" s="197"/>
      <c r="FN13" s="197"/>
      <c r="FO13" s="402">
        <f>SUM(FM13:FM17)*1.1</f>
        <v>153187.46520000001</v>
      </c>
      <c r="FP13" s="36"/>
      <c r="FQ13" s="197"/>
      <c r="FR13" s="197"/>
      <c r="FS13" s="197"/>
      <c r="FT13" s="402">
        <f>SUM(FR13:FR17)*1.1</f>
        <v>98465.994000000021</v>
      </c>
      <c r="FU13" s="36"/>
      <c r="FV13" s="197"/>
      <c r="FW13" s="197"/>
      <c r="FX13" s="197"/>
      <c r="FY13" s="402">
        <f>SUM(FW13:FW17)*1.1</f>
        <v>96821.577600000004</v>
      </c>
      <c r="FZ13" s="36"/>
      <c r="GA13" s="197"/>
      <c r="GB13" s="197"/>
      <c r="GC13" s="197"/>
      <c r="GD13" s="402">
        <f>SUM(GB13:GB17)*1.1</f>
        <v>105971.36880000001</v>
      </c>
      <c r="GE13" s="36"/>
      <c r="GF13" s="197"/>
      <c r="GG13" s="197"/>
      <c r="GH13" s="197"/>
      <c r="GI13" s="402">
        <f>SUM(GG13:GG17)*1.1</f>
        <v>41354.412000000004</v>
      </c>
      <c r="GJ13" s="280"/>
      <c r="GK13" s="197"/>
      <c r="GL13" s="197"/>
      <c r="GM13" s="197"/>
      <c r="GN13" s="402">
        <f>SUM(GL13:GL17)*1.1</f>
        <v>67396.045200000008</v>
      </c>
      <c r="GO13" s="36"/>
      <c r="GP13" s="197"/>
      <c r="GQ13" s="197"/>
      <c r="GR13" s="197"/>
      <c r="GS13" s="402">
        <f>SUM(GQ13:GQ17)*1.1</f>
        <v>92150.124000000025</v>
      </c>
      <c r="GT13" s="36"/>
      <c r="GU13" s="197"/>
      <c r="GV13" s="197"/>
      <c r="GW13" s="197"/>
      <c r="GX13" s="402">
        <f>SUM(GV13:GV17)*1.1</f>
        <v>97660.833599999998</v>
      </c>
      <c r="GY13" s="36"/>
      <c r="GZ13" s="197"/>
      <c r="HA13" s="197"/>
      <c r="HB13" s="197"/>
      <c r="HC13" s="402">
        <f>SUM(HA13:HA17)*1.1</f>
        <v>86848.579400000002</v>
      </c>
      <c r="HD13" s="36"/>
      <c r="HE13" s="197"/>
      <c r="HF13" s="197"/>
      <c r="HG13" s="197"/>
      <c r="HH13" s="402">
        <f>SUM(HF13:HF17)*1.1</f>
        <v>85650.061200000011</v>
      </c>
      <c r="HI13" s="36"/>
      <c r="HJ13" s="197"/>
      <c r="HK13" s="197"/>
      <c r="HL13" s="197"/>
      <c r="HM13" s="402">
        <f>SUM(HK13:HK17)*1.1</f>
        <v>114027.59280000003</v>
      </c>
      <c r="HN13" s="36"/>
      <c r="HO13" s="197"/>
      <c r="HP13" s="197"/>
      <c r="HQ13" s="197"/>
      <c r="HR13" s="402">
        <f>SUM(HP13:HP17)*1.1</f>
        <v>119724.75239999998</v>
      </c>
      <c r="HS13" s="36"/>
      <c r="HT13" s="197"/>
      <c r="HU13" s="197"/>
      <c r="HV13" s="197"/>
      <c r="HW13" s="402">
        <f>SUM(HU13:HU17)*1.1</f>
        <v>153187.46520000001</v>
      </c>
      <c r="HX13" s="36"/>
      <c r="HY13" s="197"/>
      <c r="HZ13" s="197"/>
      <c r="IA13" s="197"/>
      <c r="IB13" s="402">
        <f>SUM(HZ13:HZ17)*1.1</f>
        <v>98465.994000000021</v>
      </c>
      <c r="IC13" s="36"/>
      <c r="ID13" s="197"/>
      <c r="IE13" s="197"/>
      <c r="IF13" s="197"/>
      <c r="IG13" s="402">
        <f>SUM(IE13:IE17)*1.1</f>
        <v>93823.725599999991</v>
      </c>
      <c r="IH13" s="36"/>
      <c r="II13" s="197"/>
      <c r="IJ13" s="197"/>
      <c r="IK13" s="197"/>
      <c r="IL13" s="402">
        <f>SUM(IJ13:IJ17)*1.1</f>
        <v>41354.412000000004</v>
      </c>
      <c r="IM13" s="36"/>
      <c r="IN13" s="197"/>
      <c r="IO13" s="197"/>
      <c r="IP13" s="197"/>
      <c r="IQ13" s="402">
        <f>SUM(IO13:IO17)*1.1</f>
        <v>41354.412000000004</v>
      </c>
    </row>
    <row r="14" spans="1:251" ht="15" customHeight="1">
      <c r="A14" s="647"/>
      <c r="B14" s="256"/>
      <c r="C14" s="215">
        <v>35791356</v>
      </c>
      <c r="D14" s="45" t="s">
        <v>20</v>
      </c>
      <c r="E14" s="216" t="s">
        <v>11</v>
      </c>
      <c r="F14" s="22"/>
      <c r="G14" s="103"/>
      <c r="H14" s="128">
        <v>1</v>
      </c>
      <c r="I14" s="74">
        <f>1.2*2899.56</f>
        <v>3479.4719999999998</v>
      </c>
      <c r="J14" s="128"/>
      <c r="K14" s="136"/>
      <c r="L14" s="103"/>
      <c r="M14" s="128">
        <v>1</v>
      </c>
      <c r="N14" s="74">
        <f>1.2*2899.56</f>
        <v>3479.4719999999998</v>
      </c>
      <c r="O14" s="128"/>
      <c r="P14" s="136"/>
      <c r="Q14" s="103"/>
      <c r="R14" s="128">
        <v>1</v>
      </c>
      <c r="S14" s="74">
        <f>1.2*2899.56</f>
        <v>3479.4719999999998</v>
      </c>
      <c r="T14" s="128"/>
      <c r="U14" s="136"/>
      <c r="V14" s="47"/>
      <c r="W14" s="128">
        <v>1</v>
      </c>
      <c r="X14" s="74">
        <f>1.2*2899.56</f>
        <v>3479.4719999999998</v>
      </c>
      <c r="Y14" s="128"/>
      <c r="Z14" s="403">
        <f>SUM(X13:X17)*1</f>
        <v>58973.38</v>
      </c>
      <c r="AA14" s="46"/>
      <c r="AB14" s="128">
        <v>1</v>
      </c>
      <c r="AC14" s="74">
        <f>1.2*2899.56</f>
        <v>3479.4719999999998</v>
      </c>
      <c r="AD14" s="128"/>
      <c r="AE14" s="403">
        <f>SUM(AC13:AC17)*1</f>
        <v>45228.612000000001</v>
      </c>
      <c r="AF14" s="46"/>
      <c r="AG14" s="128">
        <v>1</v>
      </c>
      <c r="AH14" s="74">
        <f>1.2*2899.56</f>
        <v>3479.4719999999998</v>
      </c>
      <c r="AI14" s="128"/>
      <c r="AJ14" s="403">
        <f>SUM(AH13:AH17)*1</f>
        <v>58944.347999999991</v>
      </c>
      <c r="AK14" s="46"/>
      <c r="AL14" s="128">
        <v>1</v>
      </c>
      <c r="AM14" s="74">
        <f>1.2*2899.56</f>
        <v>3479.4719999999998</v>
      </c>
      <c r="AN14" s="128"/>
      <c r="AO14" s="403">
        <f>SUM(AM13:AM17)*1</f>
        <v>68856.939999999988</v>
      </c>
      <c r="AP14" s="46"/>
      <c r="AQ14" s="128">
        <v>1</v>
      </c>
      <c r="AR14" s="74">
        <f>1.2*2899.56</f>
        <v>3479.4719999999998</v>
      </c>
      <c r="AS14" s="128"/>
      <c r="AT14" s="403">
        <f>SUM(AR13:AR17)*1</f>
        <v>84704.12000000001</v>
      </c>
      <c r="AU14" s="46"/>
      <c r="AV14" s="128">
        <v>1</v>
      </c>
      <c r="AW14" s="74">
        <f>1.2*2899.56</f>
        <v>3479.4719999999998</v>
      </c>
      <c r="AX14" s="56"/>
      <c r="AY14" s="403">
        <f>SUM(AW13:AW17)*1</f>
        <v>97037.627999999997</v>
      </c>
      <c r="AZ14" s="46"/>
      <c r="BA14" s="128">
        <v>1</v>
      </c>
      <c r="BB14" s="74">
        <f>1.2*2899.56</f>
        <v>3479.4719999999998</v>
      </c>
      <c r="BC14" s="128"/>
      <c r="BD14" s="403">
        <f>SUM(BB13:BB17)*1</f>
        <v>87234.131999999969</v>
      </c>
      <c r="BE14" s="46"/>
      <c r="BF14" s="128">
        <v>1</v>
      </c>
      <c r="BG14" s="74">
        <f>1.2*2899.56</f>
        <v>3479.4719999999998</v>
      </c>
      <c r="BH14" s="128"/>
      <c r="BI14" s="403">
        <f>SUM(BG13:BG17)*1</f>
        <v>61930.583999999995</v>
      </c>
      <c r="BJ14" s="46"/>
      <c r="BK14" s="128">
        <v>1</v>
      </c>
      <c r="BL14" s="74">
        <f>1.2*2899.56</f>
        <v>3479.4719999999998</v>
      </c>
      <c r="BM14" s="128"/>
      <c r="BN14" s="403">
        <f>SUM(BL13:BL17)*1</f>
        <v>94762.27399999999</v>
      </c>
      <c r="BO14" s="46"/>
      <c r="BP14" s="128">
        <v>1</v>
      </c>
      <c r="BQ14" s="74">
        <f>1.2*2899.56</f>
        <v>3479.4719999999998</v>
      </c>
      <c r="BR14" s="128"/>
      <c r="BS14" s="403">
        <f>SUM(BQ13:BQ17)*1</f>
        <v>67441.547999999995</v>
      </c>
      <c r="BT14" s="46"/>
      <c r="BU14" s="56">
        <v>1</v>
      </c>
      <c r="BV14" s="74">
        <v>0</v>
      </c>
      <c r="BW14" s="56"/>
      <c r="BX14" s="403">
        <f>SUM(BV13:BV17)*1</f>
        <v>18012.14</v>
      </c>
      <c r="BY14" s="46"/>
      <c r="BZ14" s="56">
        <v>1</v>
      </c>
      <c r="CA14" s="74">
        <v>0</v>
      </c>
      <c r="CB14" s="56"/>
      <c r="CC14" s="403">
        <f>SUM(CA13:CA17)*1</f>
        <v>91175.039999999994</v>
      </c>
      <c r="CD14" s="46"/>
      <c r="CE14" s="56">
        <v>1</v>
      </c>
      <c r="CF14" s="74" t="s">
        <v>484</v>
      </c>
      <c r="CG14" s="56"/>
      <c r="CH14" s="403">
        <f>SUM(CF13:CF17)*1</f>
        <v>49666.404000000002</v>
      </c>
      <c r="CI14" s="46"/>
      <c r="CJ14" s="128">
        <v>1</v>
      </c>
      <c r="CK14" s="74">
        <f>1.2*2899.56</f>
        <v>3479.4719999999998</v>
      </c>
      <c r="CL14" s="128"/>
      <c r="CM14" s="403">
        <f>SUM(CK13:CK17)*1</f>
        <v>51486.144000000008</v>
      </c>
      <c r="CN14" s="46"/>
      <c r="CO14" s="56">
        <v>1</v>
      </c>
      <c r="CP14" s="57">
        <f>1.2*2899.56</f>
        <v>3479.4719999999998</v>
      </c>
      <c r="CQ14" s="56"/>
      <c r="CR14" s="403">
        <f>SUM(CP13:CP17)*1</f>
        <v>74311.740000000005</v>
      </c>
      <c r="CS14" s="46"/>
      <c r="CT14" s="56">
        <v>1</v>
      </c>
      <c r="CU14" s="74">
        <f>(1.2*2899.56)*2</f>
        <v>6958.9439999999995</v>
      </c>
      <c r="CV14" s="56"/>
      <c r="CW14" s="403">
        <f>SUM(CU13:CU17)*1</f>
        <v>98171.817999999999</v>
      </c>
      <c r="CX14" s="46"/>
      <c r="CY14" s="56">
        <v>1</v>
      </c>
      <c r="CZ14" s="57">
        <f>1.2*2899.56</f>
        <v>3479.4719999999998</v>
      </c>
      <c r="DA14" s="56"/>
      <c r="DB14" s="403">
        <f>SUM(CZ13:CZ17)*1</f>
        <v>117128.772</v>
      </c>
      <c r="DC14" s="46"/>
      <c r="DD14" s="128">
        <v>1</v>
      </c>
      <c r="DE14" s="74">
        <f>1.2*(2899.56*2)</f>
        <v>6958.9439999999995</v>
      </c>
      <c r="DF14" s="128"/>
      <c r="DG14" s="403">
        <f>SUM(DE13:DE17)*1</f>
        <v>113883.52800000001</v>
      </c>
      <c r="DH14" s="46"/>
      <c r="DI14" s="56">
        <v>1</v>
      </c>
      <c r="DJ14" s="57">
        <f>1.2*2899.56</f>
        <v>3479.4719999999998</v>
      </c>
      <c r="DK14" s="56"/>
      <c r="DL14" s="403">
        <f>SUM(DJ13:DJ17)*1</f>
        <v>101428.476</v>
      </c>
      <c r="DM14" s="46"/>
      <c r="DN14" s="56">
        <v>1</v>
      </c>
      <c r="DO14" s="57">
        <f>1.2*2899.56</f>
        <v>3479.4719999999998</v>
      </c>
      <c r="DP14" s="56"/>
      <c r="DQ14" s="403">
        <f>SUM(DO13:DO17)*1</f>
        <v>104368.696</v>
      </c>
      <c r="DR14" s="46"/>
      <c r="DS14" s="56">
        <v>1</v>
      </c>
      <c r="DT14" s="57">
        <f>1.2*2899.56</f>
        <v>3479.4719999999998</v>
      </c>
      <c r="DU14" s="56"/>
      <c r="DV14" s="403">
        <f>SUM(DT13:DT17)*1</f>
        <v>101777.518</v>
      </c>
      <c r="DW14" s="46"/>
      <c r="DX14" s="56">
        <v>1</v>
      </c>
      <c r="DY14" s="57">
        <f>1.2*2899.56</f>
        <v>3479.4719999999998</v>
      </c>
      <c r="DZ14" s="56"/>
      <c r="EA14" s="403">
        <f>SUM(DY13:DY17)*1</f>
        <v>89615.855999999985</v>
      </c>
      <c r="EB14" s="46"/>
      <c r="EC14" s="128">
        <v>1</v>
      </c>
      <c r="ED14" s="74">
        <f>1.2*2899.56</f>
        <v>3479.4719999999998</v>
      </c>
      <c r="EE14" s="128"/>
      <c r="EF14" s="403">
        <f>SUM(ED13:ED17)*1</f>
        <v>7183.0079999999998</v>
      </c>
      <c r="EG14" s="46"/>
      <c r="EH14" s="56">
        <v>1</v>
      </c>
      <c r="EI14" s="57">
        <v>0</v>
      </c>
      <c r="EJ14" s="56"/>
      <c r="EK14" s="403">
        <f>SUM(EI13:EI17)*1</f>
        <v>198596.01599999997</v>
      </c>
      <c r="EL14" s="46"/>
      <c r="EM14" s="56">
        <v>1</v>
      </c>
      <c r="EN14" s="57" t="s">
        <v>484</v>
      </c>
      <c r="EO14" s="56"/>
      <c r="EP14" s="403">
        <f>SUM(EN13:EN17)*1</f>
        <v>91820.021999999997</v>
      </c>
      <c r="EQ14" s="46"/>
      <c r="ER14" s="128">
        <v>1</v>
      </c>
      <c r="ES14" s="74">
        <v>6204.79</v>
      </c>
      <c r="ET14" s="128"/>
      <c r="EU14" s="403">
        <f>SUM(ES13:ES17)*1</f>
        <v>78953.254000000001</v>
      </c>
      <c r="EV14" s="46"/>
      <c r="EW14" s="128">
        <v>1</v>
      </c>
      <c r="EX14" s="74">
        <f>1.2*5170.66</f>
        <v>6204.7919999999995</v>
      </c>
      <c r="EY14" s="128"/>
      <c r="EZ14" s="403">
        <f>SUM(EX13:EX17)*1</f>
        <v>77863.69200000001</v>
      </c>
      <c r="FA14" s="46"/>
      <c r="FB14" s="56">
        <v>1</v>
      </c>
      <c r="FC14" s="57">
        <f>(1.2*2899.56)*2</f>
        <v>6958.9439999999995</v>
      </c>
      <c r="FD14" s="56"/>
      <c r="FE14" s="403">
        <f>SUM(FC13:FC17)*1</f>
        <v>103661.44800000002</v>
      </c>
      <c r="FF14" s="46"/>
      <c r="FG14" s="56">
        <v>1</v>
      </c>
      <c r="FH14" s="57">
        <f>1.2*2899.56</f>
        <v>3479.4719999999998</v>
      </c>
      <c r="FI14" s="56"/>
      <c r="FJ14" s="403">
        <f>SUM(FH13:FH17)*1</f>
        <v>108840.68399999998</v>
      </c>
      <c r="FK14" s="46"/>
      <c r="FL14" s="128">
        <v>1</v>
      </c>
      <c r="FM14" s="74">
        <f>1.2*(5170.66*3)</f>
        <v>18614.376</v>
      </c>
      <c r="FN14" s="128"/>
      <c r="FO14" s="403">
        <f>SUM(FM13:FM17)*1</f>
        <v>139261.33199999999</v>
      </c>
      <c r="FP14" s="46"/>
      <c r="FQ14" s="128">
        <v>1</v>
      </c>
      <c r="FR14" s="74">
        <f>1.2*5170.66</f>
        <v>6204.7919999999995</v>
      </c>
      <c r="FS14" s="128"/>
      <c r="FT14" s="403">
        <f>SUM(FR13:FR17)*1</f>
        <v>89514.540000000008</v>
      </c>
      <c r="FU14" s="46"/>
      <c r="FV14" s="56">
        <v>1</v>
      </c>
      <c r="FW14" s="57">
        <v>6204.7919999999995</v>
      </c>
      <c r="FX14" s="56"/>
      <c r="FY14" s="403">
        <f>SUM(FW13:FW17)*1</f>
        <v>88019.615999999995</v>
      </c>
      <c r="FZ14" s="46"/>
      <c r="GA14" s="128">
        <v>1</v>
      </c>
      <c r="GB14" s="74">
        <f>1.2*(5170.66*2)</f>
        <v>12409.583999999999</v>
      </c>
      <c r="GC14" s="128"/>
      <c r="GD14" s="403">
        <f>SUM(GB13:GB17)*1</f>
        <v>96337.608000000007</v>
      </c>
      <c r="GE14" s="46"/>
      <c r="GF14" s="56">
        <v>1</v>
      </c>
      <c r="GG14" s="57">
        <f>1.2*2899.56</f>
        <v>3479.4719999999998</v>
      </c>
      <c r="GH14" s="56"/>
      <c r="GI14" s="403">
        <f>SUM(GG13:GG17)*1</f>
        <v>37594.92</v>
      </c>
      <c r="GJ14" s="97"/>
      <c r="GK14" s="56">
        <v>1</v>
      </c>
      <c r="GL14" s="57">
        <f>1.2*2899.56</f>
        <v>3479.4719999999998</v>
      </c>
      <c r="GM14" s="56"/>
      <c r="GN14" s="403">
        <f>SUM(GL13:GL17)*1</f>
        <v>61269.131999999998</v>
      </c>
      <c r="GO14" s="46"/>
      <c r="GP14" s="128">
        <v>1</v>
      </c>
      <c r="GQ14" s="74">
        <f>1.2*5170.66</f>
        <v>6204.7919999999995</v>
      </c>
      <c r="GR14" s="128"/>
      <c r="GS14" s="403">
        <f>SUM(GQ13:GQ17)*1</f>
        <v>83772.840000000011</v>
      </c>
      <c r="GT14" s="46"/>
      <c r="GU14" s="56">
        <v>1</v>
      </c>
      <c r="GV14" s="57" t="s">
        <v>484</v>
      </c>
      <c r="GW14" s="56"/>
      <c r="GX14" s="403">
        <f>SUM(GV13:GV17)*1</f>
        <v>88782.575999999986</v>
      </c>
      <c r="GY14" s="46"/>
      <c r="GZ14" s="56">
        <v>1</v>
      </c>
      <c r="HA14" s="57">
        <v>6204.79</v>
      </c>
      <c r="HB14" s="56"/>
      <c r="HC14" s="403">
        <f>SUM(HA13:HA17)*1</f>
        <v>78953.254000000001</v>
      </c>
      <c r="HD14" s="46"/>
      <c r="HE14" s="56">
        <v>1</v>
      </c>
      <c r="HF14" s="57">
        <f>1.2*5170.66</f>
        <v>6204.7919999999995</v>
      </c>
      <c r="HG14" s="56"/>
      <c r="HH14" s="403">
        <f>SUM(HF13:HF17)*1</f>
        <v>77863.69200000001</v>
      </c>
      <c r="HI14" s="46"/>
      <c r="HJ14" s="56">
        <v>1</v>
      </c>
      <c r="HK14" s="57">
        <f>(1.2*2899.56)*2</f>
        <v>6958.9439999999995</v>
      </c>
      <c r="HL14" s="56"/>
      <c r="HM14" s="403">
        <f>SUM(HK13:HK17)*1</f>
        <v>103661.44800000002</v>
      </c>
      <c r="HN14" s="46"/>
      <c r="HO14" s="56">
        <v>1</v>
      </c>
      <c r="HP14" s="57">
        <f>1.2*2899.56</f>
        <v>3479.4719999999998</v>
      </c>
      <c r="HQ14" s="56"/>
      <c r="HR14" s="403">
        <f>SUM(HP13:HP17)*1</f>
        <v>108840.68399999998</v>
      </c>
      <c r="HS14" s="46"/>
      <c r="HT14" s="56">
        <v>1</v>
      </c>
      <c r="HU14" s="57">
        <f>1.2*(5170.66*3)</f>
        <v>18614.376</v>
      </c>
      <c r="HV14" s="56"/>
      <c r="HW14" s="403">
        <f>SUM(HU13:HU17)*1</f>
        <v>139261.33199999999</v>
      </c>
      <c r="HX14" s="46"/>
      <c r="HY14" s="56">
        <v>1</v>
      </c>
      <c r="HZ14" s="57">
        <f>1.2*5170.66</f>
        <v>6204.7919999999995</v>
      </c>
      <c r="IA14" s="56"/>
      <c r="IB14" s="403">
        <f>SUM(HZ13:HZ17)*1</f>
        <v>89514.540000000008</v>
      </c>
      <c r="IC14" s="46"/>
      <c r="ID14" s="56">
        <v>1</v>
      </c>
      <c r="IE14" s="57">
        <f>1.2*2899.56</f>
        <v>3479.4719999999998</v>
      </c>
      <c r="IF14" s="56"/>
      <c r="IG14" s="403">
        <f>SUM(IE13:IE17)*1</f>
        <v>85294.295999999988</v>
      </c>
      <c r="IH14" s="46"/>
      <c r="II14" s="56">
        <v>1</v>
      </c>
      <c r="IJ14" s="57">
        <f>1.2*2899.56</f>
        <v>3479.4719999999998</v>
      </c>
      <c r="IK14" s="56"/>
      <c r="IL14" s="403">
        <f>SUM(IJ13:IJ17)*1</f>
        <v>37594.92</v>
      </c>
      <c r="IM14" s="46"/>
      <c r="IN14" s="56">
        <v>1</v>
      </c>
      <c r="IO14" s="57">
        <f>1.2*2899.56</f>
        <v>3479.4719999999998</v>
      </c>
      <c r="IP14" s="56"/>
      <c r="IQ14" s="403">
        <f>SUM(IO13:IO17)*1</f>
        <v>37594.92</v>
      </c>
    </row>
    <row r="15" spans="1:251" ht="15" customHeight="1">
      <c r="A15" s="647">
        <v>1</v>
      </c>
      <c r="B15" s="1471" t="s">
        <v>333</v>
      </c>
      <c r="C15" s="215"/>
      <c r="D15" s="45"/>
      <c r="E15" s="216" t="s">
        <v>13</v>
      </c>
      <c r="F15" s="22"/>
      <c r="G15" s="104">
        <f>I15/H15</f>
        <v>5.2317112697919903</v>
      </c>
      <c r="H15" s="128">
        <v>6442</v>
      </c>
      <c r="I15" s="74">
        <f>1.2*28085.57</f>
        <v>33702.684000000001</v>
      </c>
      <c r="J15" s="128"/>
      <c r="K15" s="136"/>
      <c r="L15" s="104">
        <f>N15/M15</f>
        <v>5.2938113207547168</v>
      </c>
      <c r="M15" s="128">
        <v>6837</v>
      </c>
      <c r="N15" s="74">
        <f>1.2*30161.49</f>
        <v>36193.788</v>
      </c>
      <c r="O15" s="128"/>
      <c r="P15" s="136"/>
      <c r="Q15" s="104">
        <f>S15/R15</f>
        <v>5.3313120149022044</v>
      </c>
      <c r="R15" s="128">
        <v>6442</v>
      </c>
      <c r="S15" s="74">
        <f>1.2*28620.26</f>
        <v>34344.311999999998</v>
      </c>
      <c r="T15" s="128"/>
      <c r="U15" s="136"/>
      <c r="V15" s="115">
        <f>X15/W15</f>
        <v>5.2188720070942951</v>
      </c>
      <c r="W15" s="128">
        <v>10149</v>
      </c>
      <c r="X15" s="74">
        <f>1.2*44138.61</f>
        <v>52966.332000000002</v>
      </c>
      <c r="Y15" s="128"/>
      <c r="Z15" s="128"/>
      <c r="AA15" s="92">
        <f>AC15/AB15</f>
        <v>5.0483035714285709</v>
      </c>
      <c r="AB15" s="128">
        <v>7840</v>
      </c>
      <c r="AC15" s="74">
        <f>1.2*32982.25</f>
        <v>39578.699999999997</v>
      </c>
      <c r="AD15" s="128"/>
      <c r="AE15" s="128"/>
      <c r="AF15" s="92">
        <f>AH15/AG15</f>
        <v>4.8623882743362827</v>
      </c>
      <c r="AG15" s="128">
        <v>10848</v>
      </c>
      <c r="AH15" s="74">
        <f>1.2*43955.99</f>
        <v>52747.187999999995</v>
      </c>
      <c r="AI15" s="128"/>
      <c r="AJ15" s="128"/>
      <c r="AK15" s="92">
        <f>AM15/AL15</f>
        <v>5.2394158432423374</v>
      </c>
      <c r="AL15" s="128">
        <v>11942</v>
      </c>
      <c r="AM15" s="74">
        <f>1.2*52140.92</f>
        <v>62569.103999999992</v>
      </c>
      <c r="AN15" s="128"/>
      <c r="AO15" s="128"/>
      <c r="AP15" s="92">
        <f>AR15/AQ15</f>
        <v>5.6894517251377215</v>
      </c>
      <c r="AQ15" s="128">
        <v>13796</v>
      </c>
      <c r="AR15" s="74">
        <f>1.2*65409.73</f>
        <v>78491.676000000007</v>
      </c>
      <c r="AS15" s="128"/>
      <c r="AT15" s="128"/>
      <c r="AU15" s="92">
        <f>AW15/AV15</f>
        <v>6.5030283982806001</v>
      </c>
      <c r="AV15" s="128">
        <v>14191</v>
      </c>
      <c r="AW15" s="74">
        <f>1.2*76903.73</f>
        <v>92284.475999999995</v>
      </c>
      <c r="AX15" s="128"/>
      <c r="AY15" s="128"/>
      <c r="AZ15" s="92">
        <f>BB15/BA15</f>
        <v>6.4884476908576803</v>
      </c>
      <c r="BA15" s="128">
        <v>12732</v>
      </c>
      <c r="BB15" s="74">
        <f>1.2*68842.43</f>
        <v>82610.915999999983</v>
      </c>
      <c r="BC15" s="128"/>
      <c r="BD15" s="128"/>
      <c r="BE15" s="92">
        <f>BG15/BF15</f>
        <v>6.7719605077574041</v>
      </c>
      <c r="BF15" s="128">
        <v>8508</v>
      </c>
      <c r="BG15" s="74">
        <f>1.2*48013.2</f>
        <v>57615.839999999997</v>
      </c>
      <c r="BH15" s="128"/>
      <c r="BI15" s="128"/>
      <c r="BJ15" s="92">
        <f>BL15/BK15</f>
        <v>6.9206275830399511</v>
      </c>
      <c r="BK15" s="128">
        <v>13066</v>
      </c>
      <c r="BL15" s="74">
        <f>1.2*75354.1</f>
        <v>90424.92</v>
      </c>
      <c r="BM15" s="128"/>
      <c r="BN15" s="128"/>
      <c r="BO15" s="92">
        <f>BQ15/BP15</f>
        <v>7.0693801874163311</v>
      </c>
      <c r="BP15" s="128">
        <v>8964</v>
      </c>
      <c r="BQ15" s="74">
        <f>1.2*52808.27</f>
        <v>63369.923999999992</v>
      </c>
      <c r="BR15" s="128"/>
      <c r="BS15" s="128"/>
      <c r="BT15" s="92">
        <f>BV15/BU15</f>
        <v>6.1674965132496515</v>
      </c>
      <c r="BU15" s="128">
        <v>2868</v>
      </c>
      <c r="BV15" s="74">
        <v>17688.38</v>
      </c>
      <c r="BW15" s="128"/>
      <c r="BX15" s="128"/>
      <c r="BY15" s="92">
        <f>CA15/BZ15</f>
        <v>5.9139361256544491</v>
      </c>
      <c r="BZ15" s="128">
        <v>15280</v>
      </c>
      <c r="CA15" s="74">
        <f>1.2*75304.12</f>
        <v>90364.943999999989</v>
      </c>
      <c r="CB15" s="128"/>
      <c r="CC15" s="128"/>
      <c r="CD15" s="92">
        <f>CF15/CE15</f>
        <v>5.5426083624478757</v>
      </c>
      <c r="CE15" s="128">
        <v>8873</v>
      </c>
      <c r="CF15" s="74">
        <f>1.2*40982.97</f>
        <v>49179.563999999998</v>
      </c>
      <c r="CG15" s="128"/>
      <c r="CH15" s="128"/>
      <c r="CI15" s="92">
        <f>CK15/CJ15</f>
        <v>5.1429726315789477</v>
      </c>
      <c r="CJ15" s="128">
        <v>9025</v>
      </c>
      <c r="CK15" s="74">
        <f>1.2*38679.44</f>
        <v>46415.328000000001</v>
      </c>
      <c r="CL15" s="128"/>
      <c r="CM15" s="128"/>
      <c r="CN15" s="92">
        <f>CP15/CO15</f>
        <v>6.6155034642032335</v>
      </c>
      <c r="CO15" s="128">
        <v>10392</v>
      </c>
      <c r="CP15" s="74">
        <f>1.2*57290.26</f>
        <v>68748.312000000005</v>
      </c>
      <c r="CQ15" s="128"/>
      <c r="CR15" s="128"/>
      <c r="CS15" s="92">
        <f>CU15/CT15</f>
        <v>7.7378877713075704</v>
      </c>
      <c r="CT15" s="128">
        <v>11334</v>
      </c>
      <c r="CU15" s="74">
        <f>1.2*73084.35</f>
        <v>87701.22</v>
      </c>
      <c r="CV15" s="128"/>
      <c r="CW15" s="128"/>
      <c r="CX15" s="92">
        <f>CZ15/CY15</f>
        <v>8.2090804854441224</v>
      </c>
      <c r="CY15" s="629">
        <v>13431</v>
      </c>
      <c r="CZ15" s="552">
        <v>110256.16</v>
      </c>
      <c r="DA15" s="128"/>
      <c r="DB15" s="128"/>
      <c r="DC15" s="92">
        <f>DE15/DD15</f>
        <v>8.2691876347951112</v>
      </c>
      <c r="DD15" s="128">
        <v>12519</v>
      </c>
      <c r="DE15" s="74">
        <f>1.2*86268.3</f>
        <v>103521.96</v>
      </c>
      <c r="DF15" s="128"/>
      <c r="DG15" s="128"/>
      <c r="DH15" s="92">
        <f>DJ15/DI15</f>
        <v>8.4385195168913008</v>
      </c>
      <c r="DI15" s="128">
        <v>11426</v>
      </c>
      <c r="DJ15" s="74">
        <f>1.2*80348.77</f>
        <v>96418.524000000005</v>
      </c>
      <c r="DK15" s="128"/>
      <c r="DL15" s="128"/>
      <c r="DM15" s="92">
        <f>DO15/DN15</f>
        <v>8.4963717419921014</v>
      </c>
      <c r="DN15" s="128">
        <v>11395</v>
      </c>
      <c r="DO15" s="74">
        <f>80680.13*1.2</f>
        <v>96816.156000000003</v>
      </c>
      <c r="DP15" s="128"/>
      <c r="DQ15" s="128"/>
      <c r="DR15" s="92">
        <f>DT15/DS15</f>
        <v>8.4418802373673802</v>
      </c>
      <c r="DS15" s="128">
        <v>11122</v>
      </c>
      <c r="DT15" s="74">
        <f>1.2*78242.16</f>
        <v>93890.592000000004</v>
      </c>
      <c r="DU15" s="128"/>
      <c r="DV15" s="128"/>
      <c r="DW15" s="92">
        <f>DY15/DX15</f>
        <v>9.0018269149386363</v>
      </c>
      <c r="DX15" s="128">
        <v>9452</v>
      </c>
      <c r="DY15" s="74">
        <f>1.2*70904.39</f>
        <v>85085.267999999996</v>
      </c>
      <c r="DZ15" s="128"/>
      <c r="EA15" s="128"/>
      <c r="EB15" s="92" t="e">
        <f>ED15/EC15</f>
        <v>#DIV/0!</v>
      </c>
      <c r="EC15" s="1464">
        <v>0</v>
      </c>
      <c r="ED15" s="424">
        <v>0</v>
      </c>
      <c r="EE15" s="1464"/>
      <c r="EF15" s="128"/>
      <c r="EG15" s="92">
        <f>EI15/EH15</f>
        <v>9.5795037351691814</v>
      </c>
      <c r="EH15" s="1470">
        <v>20481</v>
      </c>
      <c r="EI15" s="74">
        <f>1.2*163498.18</f>
        <v>196197.81599999999</v>
      </c>
      <c r="EJ15" s="128"/>
      <c r="EK15" s="128"/>
      <c r="EL15" s="92">
        <f>EN15/EM15</f>
        <v>8.4257517796347869</v>
      </c>
      <c r="EM15" s="128">
        <v>9693</v>
      </c>
      <c r="EN15" s="1472">
        <f>1.2*68059.01</f>
        <v>81670.811999999991</v>
      </c>
      <c r="EO15" s="128"/>
      <c r="EP15" s="128"/>
      <c r="EQ15" s="92">
        <f>ES15/ER15</f>
        <v>7.346544450579791</v>
      </c>
      <c r="ER15" s="128">
        <v>9055</v>
      </c>
      <c r="ES15" s="74">
        <f>1.2*55435.8</f>
        <v>66522.960000000006</v>
      </c>
      <c r="ET15" s="128"/>
      <c r="EU15" s="128"/>
      <c r="EV15" s="92">
        <f>EX15/EW15</f>
        <v>7.4830799053307793</v>
      </c>
      <c r="EW15" s="128">
        <v>8873</v>
      </c>
      <c r="EX15" s="74">
        <f>1.2*55331.14</f>
        <v>66397.368000000002</v>
      </c>
      <c r="EY15" s="128"/>
      <c r="EZ15" s="128"/>
      <c r="FA15" s="92">
        <f>FC15/FB15</f>
        <v>7.4432159118140433</v>
      </c>
      <c r="FB15" s="128">
        <v>12519</v>
      </c>
      <c r="FC15" s="74">
        <f>1.2*77651.35</f>
        <v>93181.62000000001</v>
      </c>
      <c r="FD15" s="128"/>
      <c r="FE15" s="128"/>
      <c r="FF15" s="92">
        <f>FH15/FG15</f>
        <v>8.1897122626327636</v>
      </c>
      <c r="FG15" s="629">
        <v>12428</v>
      </c>
      <c r="FH15" s="552">
        <f>1.2*84818.12</f>
        <v>101781.74399999999</v>
      </c>
      <c r="FI15" s="128"/>
      <c r="FJ15" s="128"/>
      <c r="FK15" s="92">
        <f>FM15/FL15</f>
        <v>8.2378319861431866</v>
      </c>
      <c r="FL15" s="128">
        <v>13856</v>
      </c>
      <c r="FM15" s="74">
        <f>1.2*95119.5</f>
        <v>114143.4</v>
      </c>
      <c r="FN15" s="128"/>
      <c r="FO15" s="128"/>
      <c r="FP15" s="92">
        <f>FR15/FQ15</f>
        <v>7.415951953125</v>
      </c>
      <c r="FQ15" s="128">
        <v>10240</v>
      </c>
      <c r="FR15" s="74">
        <f>1.2*63282.79</f>
        <v>75939.347999999998</v>
      </c>
      <c r="FS15" s="128"/>
      <c r="FT15" s="128"/>
      <c r="FU15" s="92">
        <f>FW15/FV15</f>
        <v>9.8454960707269148</v>
      </c>
      <c r="FV15" s="128">
        <v>8144</v>
      </c>
      <c r="FW15" s="74">
        <f>66818.1*1.2</f>
        <v>80181.72</v>
      </c>
      <c r="FX15" s="128"/>
      <c r="FY15" s="128"/>
      <c r="FZ15" s="92">
        <f>GB15/GA15</f>
        <v>10.449935733643052</v>
      </c>
      <c r="GA15" s="128">
        <v>7749</v>
      </c>
      <c r="GB15" s="74">
        <f>1.2*67480.46</f>
        <v>80976.552000000011</v>
      </c>
      <c r="GC15" s="128"/>
      <c r="GD15" s="128"/>
      <c r="GE15" s="92">
        <f>GG15/GF15</f>
        <v>5.2317112697919903</v>
      </c>
      <c r="GF15" s="56">
        <v>6442</v>
      </c>
      <c r="GG15" s="57">
        <f>1.2*28085.57</f>
        <v>33702.684000000001</v>
      </c>
      <c r="GH15" s="56"/>
      <c r="GI15" s="128"/>
      <c r="GJ15" s="98">
        <f>GL15/GK15</f>
        <v>12.606743531547888</v>
      </c>
      <c r="GK15" s="128">
        <v>4406</v>
      </c>
      <c r="GL15" s="74">
        <f>1.2*46287.76</f>
        <v>55545.311999999998</v>
      </c>
      <c r="GM15" s="56"/>
      <c r="GN15" s="128"/>
      <c r="GO15" s="92">
        <f>GQ15/GP15</f>
        <v>14.579172575905975</v>
      </c>
      <c r="GP15" s="1470">
        <v>5105</v>
      </c>
      <c r="GQ15" s="74">
        <f>1.2*62022.23</f>
        <v>74426.676000000007</v>
      </c>
      <c r="GR15" s="128"/>
      <c r="GS15" s="128"/>
      <c r="GT15" s="92">
        <f>GV15/GU15</f>
        <v>11.077344476364585</v>
      </c>
      <c r="GU15" s="128">
        <v>7658</v>
      </c>
      <c r="GV15" s="1472">
        <f>1.2*70691.92</f>
        <v>84830.303999999989</v>
      </c>
      <c r="GW15" s="128"/>
      <c r="GX15" s="128"/>
      <c r="GY15" s="92">
        <f>HA15/GZ15</f>
        <v>7.346544450579791</v>
      </c>
      <c r="GZ15" s="56">
        <v>9055</v>
      </c>
      <c r="HA15" s="57">
        <f>1.2*55435.8</f>
        <v>66522.960000000006</v>
      </c>
      <c r="HB15" s="56"/>
      <c r="HC15" s="128"/>
      <c r="HD15" s="92">
        <f>HF15/HE15</f>
        <v>7.4830799053307793</v>
      </c>
      <c r="HE15" s="56">
        <v>8873</v>
      </c>
      <c r="HF15" s="57">
        <f>1.2*55331.14</f>
        <v>66397.368000000002</v>
      </c>
      <c r="HG15" s="56"/>
      <c r="HH15" s="128"/>
      <c r="HI15" s="92">
        <f>HK15/HJ15</f>
        <v>7.4432159118140433</v>
      </c>
      <c r="HJ15" s="56">
        <v>12519</v>
      </c>
      <c r="HK15" s="57">
        <f>1.2*77651.35</f>
        <v>93181.62000000001</v>
      </c>
      <c r="HL15" s="56"/>
      <c r="HM15" s="128"/>
      <c r="HN15" s="92">
        <f>HP15/HO15</f>
        <v>8.1897122626327636</v>
      </c>
      <c r="HO15" s="570">
        <v>12428</v>
      </c>
      <c r="HP15" s="1449">
        <f>1.2*84818.12</f>
        <v>101781.74399999999</v>
      </c>
      <c r="HQ15" s="56"/>
      <c r="HR15" s="128"/>
      <c r="HS15" s="92">
        <f>HU15/HT15</f>
        <v>8.2378319861431866</v>
      </c>
      <c r="HT15" s="56">
        <v>13856</v>
      </c>
      <c r="HU15" s="57">
        <f>1.2*95119.5</f>
        <v>114143.4</v>
      </c>
      <c r="HV15" s="56"/>
      <c r="HW15" s="128"/>
      <c r="HX15" s="92">
        <f>HZ15/HY15</f>
        <v>7.415951953125</v>
      </c>
      <c r="HY15" s="56">
        <v>10240</v>
      </c>
      <c r="HZ15" s="57">
        <f>1.2*63282.79</f>
        <v>75939.347999999998</v>
      </c>
      <c r="IA15" s="56"/>
      <c r="IB15" s="128"/>
      <c r="IC15" s="92">
        <f>IE15/ID15</f>
        <v>9.8454960707269148</v>
      </c>
      <c r="ID15" s="56">
        <v>8144</v>
      </c>
      <c r="IE15" s="57">
        <f>66818.1*1.2</f>
        <v>80181.72</v>
      </c>
      <c r="IF15" s="56"/>
      <c r="IG15" s="128"/>
      <c r="IH15" s="92">
        <f>IJ15/II15</f>
        <v>5.2317112697919903</v>
      </c>
      <c r="II15" s="56">
        <v>6442</v>
      </c>
      <c r="IJ15" s="57">
        <f>1.2*28085.57</f>
        <v>33702.684000000001</v>
      </c>
      <c r="IK15" s="56"/>
      <c r="IL15" s="128"/>
      <c r="IM15" s="92">
        <f>IO15/IN15</f>
        <v>5.2317112697919903</v>
      </c>
      <c r="IN15" s="56">
        <v>6442</v>
      </c>
      <c r="IO15" s="57">
        <f>1.2*28085.57</f>
        <v>33702.684000000001</v>
      </c>
      <c r="IP15" s="56"/>
      <c r="IQ15" s="128"/>
    </row>
    <row r="16" spans="1:251" ht="15" customHeight="1">
      <c r="A16" s="647"/>
      <c r="B16" s="256"/>
      <c r="C16" s="215"/>
      <c r="D16" s="45"/>
      <c r="E16" s="216" t="s">
        <v>15</v>
      </c>
      <c r="F16" s="22"/>
      <c r="G16" s="103"/>
      <c r="H16" s="128">
        <v>1</v>
      </c>
      <c r="I16" s="74">
        <f>1.2*235.35</f>
        <v>282.41999999999996</v>
      </c>
      <c r="J16" s="128"/>
      <c r="K16" s="136"/>
      <c r="L16" s="103"/>
      <c r="M16" s="128">
        <v>1</v>
      </c>
      <c r="N16" s="74">
        <f>1.2*282.36</f>
        <v>338.83199999999999</v>
      </c>
      <c r="O16" s="128"/>
      <c r="P16" s="136"/>
      <c r="Q16" s="103"/>
      <c r="R16" s="128">
        <v>1</v>
      </c>
      <c r="S16" s="74">
        <f>1.2*334.73</f>
        <v>401.67599999999999</v>
      </c>
      <c r="T16" s="128"/>
      <c r="U16" s="136"/>
      <c r="V16" s="47"/>
      <c r="W16" s="128">
        <v>1</v>
      </c>
      <c r="X16" s="74">
        <f>1.2*344.42</f>
        <v>413.30400000000003</v>
      </c>
      <c r="Y16" s="128"/>
      <c r="Z16" s="128"/>
      <c r="AA16" s="46"/>
      <c r="AB16" s="128">
        <v>1</v>
      </c>
      <c r="AC16" s="74">
        <f>1.2*407.54</f>
        <v>489.048</v>
      </c>
      <c r="AD16" s="128"/>
      <c r="AE16" s="128"/>
      <c r="AF16" s="46"/>
      <c r="AG16" s="128">
        <v>1</v>
      </c>
      <c r="AH16" s="74">
        <f>1.2*556.12</f>
        <v>667.34399999999994</v>
      </c>
      <c r="AI16" s="128"/>
      <c r="AJ16" s="128"/>
      <c r="AK16" s="46"/>
      <c r="AL16" s="128">
        <v>1</v>
      </c>
      <c r="AM16" s="74">
        <f>1.2*570.81</f>
        <v>684.97199999999987</v>
      </c>
      <c r="AN16" s="128"/>
      <c r="AO16" s="128"/>
      <c r="AP16" s="46"/>
      <c r="AQ16" s="128">
        <v>1</v>
      </c>
      <c r="AR16" s="74">
        <f>1.2*735.2</f>
        <v>882.24</v>
      </c>
      <c r="AS16" s="128"/>
      <c r="AT16" s="128"/>
      <c r="AU16" s="46"/>
      <c r="AV16" s="128">
        <v>1</v>
      </c>
      <c r="AW16" s="74">
        <f>1.2*909.73</f>
        <v>1091.6759999999999</v>
      </c>
      <c r="AX16" s="128"/>
      <c r="AY16" s="128"/>
      <c r="AZ16" s="46"/>
      <c r="BA16" s="128">
        <v>1</v>
      </c>
      <c r="BB16" s="74">
        <f>1.2*920.46</f>
        <v>1104.5519999999999</v>
      </c>
      <c r="BC16" s="128"/>
      <c r="BD16" s="128"/>
      <c r="BE16" s="46"/>
      <c r="BF16" s="128">
        <v>1</v>
      </c>
      <c r="BG16" s="74">
        <f>1.2*582.38</f>
        <v>698.85599999999999</v>
      </c>
      <c r="BH16" s="128"/>
      <c r="BI16" s="128"/>
      <c r="BJ16" s="46"/>
      <c r="BK16" s="128">
        <v>1</v>
      </c>
      <c r="BL16" s="74">
        <v>818.69</v>
      </c>
      <c r="BM16" s="128"/>
      <c r="BN16" s="128"/>
      <c r="BO16" s="46"/>
      <c r="BP16" s="128">
        <v>1</v>
      </c>
      <c r="BQ16" s="74">
        <f>1.2*384.84</f>
        <v>461.80799999999994</v>
      </c>
      <c r="BR16" s="128"/>
      <c r="BS16" s="128"/>
      <c r="BT16" s="46"/>
      <c r="BU16" s="128">
        <v>1</v>
      </c>
      <c r="BV16" s="74">
        <f>1.2*158.64</f>
        <v>190.36799999999997</v>
      </c>
      <c r="BW16" s="128"/>
      <c r="BX16" s="128"/>
      <c r="BY16" s="46"/>
      <c r="BZ16" s="128">
        <v>1</v>
      </c>
      <c r="CA16" s="74">
        <f>1.2*563.92</f>
        <v>676.70399999999995</v>
      </c>
      <c r="CB16" s="128"/>
      <c r="CC16" s="128"/>
      <c r="CD16" s="46"/>
      <c r="CE16" s="128">
        <v>1</v>
      </c>
      <c r="CF16" s="74">
        <f>1.2*299.62</f>
        <v>359.54399999999998</v>
      </c>
      <c r="CG16" s="128"/>
      <c r="CH16" s="128"/>
      <c r="CI16" s="46"/>
      <c r="CJ16" s="128">
        <v>1</v>
      </c>
      <c r="CK16" s="74">
        <f>1.2*404.98</f>
        <v>485.976</v>
      </c>
      <c r="CL16" s="128"/>
      <c r="CM16" s="128"/>
      <c r="CN16" s="46"/>
      <c r="CO16" s="128">
        <v>1</v>
      </c>
      <c r="CP16" s="74">
        <f>1.2*101.87</f>
        <v>122.244</v>
      </c>
      <c r="CQ16" s="128"/>
      <c r="CR16" s="128"/>
      <c r="CS16" s="46"/>
      <c r="CT16" s="128">
        <v>1</v>
      </c>
      <c r="CU16" s="74">
        <v>1731.79</v>
      </c>
      <c r="CV16" s="128"/>
      <c r="CW16" s="128"/>
      <c r="CX16" s="46"/>
      <c r="CY16" s="629">
        <v>1</v>
      </c>
      <c r="CZ16" s="552">
        <v>1470.74</v>
      </c>
      <c r="DA16" s="128"/>
      <c r="DB16" s="128"/>
      <c r="DC16" s="46"/>
      <c r="DD16" s="128">
        <v>1</v>
      </c>
      <c r="DE16" s="74">
        <f>1.2*1311.64</f>
        <v>1573.9680000000001</v>
      </c>
      <c r="DF16" s="128"/>
      <c r="DG16" s="128"/>
      <c r="DH16" s="46"/>
      <c r="DI16" s="128">
        <v>1</v>
      </c>
      <c r="DJ16" s="74">
        <f>1.2*1166.78</f>
        <v>1400.136</v>
      </c>
      <c r="DK16" s="128"/>
      <c r="DL16" s="128"/>
      <c r="DM16" s="46"/>
      <c r="DN16" s="128">
        <v>1</v>
      </c>
      <c r="DO16" s="74">
        <f>1089.14*1.2</f>
        <v>1306.9680000000001</v>
      </c>
      <c r="DP16" s="128"/>
      <c r="DQ16" s="128"/>
      <c r="DR16" s="46"/>
      <c r="DS16" s="128">
        <v>1</v>
      </c>
      <c r="DT16" s="74">
        <f>1.2*860.02</f>
        <v>1032.0239999999999</v>
      </c>
      <c r="DU16" s="128"/>
      <c r="DV16" s="128"/>
      <c r="DW16" s="46"/>
      <c r="DX16" s="128">
        <v>1</v>
      </c>
      <c r="DY16" s="74">
        <f>1.2*767.31</f>
        <v>920.77199999999993</v>
      </c>
      <c r="DZ16" s="128"/>
      <c r="EA16" s="128"/>
      <c r="EB16" s="46"/>
      <c r="EC16" s="1464">
        <v>0</v>
      </c>
      <c r="ED16" s="424">
        <v>0</v>
      </c>
      <c r="EE16" s="1464"/>
      <c r="EF16" s="128"/>
      <c r="EG16" s="46"/>
      <c r="EH16" s="128">
        <v>1</v>
      </c>
      <c r="EI16" s="74">
        <f>1.2*1887.34</f>
        <v>2264.808</v>
      </c>
      <c r="EJ16" s="128"/>
      <c r="EK16" s="128"/>
      <c r="EL16" s="46"/>
      <c r="EM16" s="128">
        <v>1</v>
      </c>
      <c r="EN16" s="74">
        <v>955.35</v>
      </c>
      <c r="EO16" s="128"/>
      <c r="EP16" s="128"/>
      <c r="EQ16" s="46"/>
      <c r="ER16" s="128">
        <v>1</v>
      </c>
      <c r="ES16" s="74">
        <f>1.2*941.67</f>
        <v>1130.0039999999999</v>
      </c>
      <c r="ET16" s="128"/>
      <c r="EU16" s="128"/>
      <c r="EV16" s="46"/>
      <c r="EW16" s="128">
        <v>1</v>
      </c>
      <c r="EX16" s="74">
        <f>1.2*929.71</f>
        <v>1115.652</v>
      </c>
      <c r="EY16" s="128"/>
      <c r="EZ16" s="128"/>
      <c r="FA16" s="46"/>
      <c r="FB16" s="128">
        <v>1</v>
      </c>
      <c r="FC16" s="74">
        <f>1.2*1450.85</f>
        <v>1741.0199999999998</v>
      </c>
      <c r="FD16" s="128"/>
      <c r="FE16" s="128"/>
      <c r="FF16" s="46"/>
      <c r="FG16" s="629">
        <v>1</v>
      </c>
      <c r="FH16" s="552">
        <f>1.2*1380.89</f>
        <v>1657.068</v>
      </c>
      <c r="FI16" s="128"/>
      <c r="FJ16" s="128"/>
      <c r="FK16" s="46"/>
      <c r="FL16" s="128">
        <v>1</v>
      </c>
      <c r="FM16" s="74">
        <f>1.2*1756.48</f>
        <v>2107.7759999999998</v>
      </c>
      <c r="FN16" s="128"/>
      <c r="FO16" s="128"/>
      <c r="FP16" s="46"/>
      <c r="FQ16" s="128">
        <v>1</v>
      </c>
      <c r="FR16" s="74">
        <f>1.2*1479.25</f>
        <v>1775.1</v>
      </c>
      <c r="FS16" s="128"/>
      <c r="FT16" s="128"/>
      <c r="FU16" s="46"/>
      <c r="FV16" s="128">
        <v>1</v>
      </c>
      <c r="FW16" s="74">
        <v>816.55200000000002</v>
      </c>
      <c r="FX16" s="128"/>
      <c r="FY16" s="128"/>
      <c r="FZ16" s="46"/>
      <c r="GA16" s="128">
        <v>1</v>
      </c>
      <c r="GB16" s="74">
        <f>1.2*968.81</f>
        <v>1162.5719999999999</v>
      </c>
      <c r="GC16" s="128"/>
      <c r="GD16" s="128"/>
      <c r="GE16" s="46"/>
      <c r="GF16" s="56">
        <v>1</v>
      </c>
      <c r="GG16" s="57">
        <f>1.2*235.35</f>
        <v>282.41999999999996</v>
      </c>
      <c r="GH16" s="56"/>
      <c r="GI16" s="128"/>
      <c r="GJ16" s="97"/>
      <c r="GK16" s="128">
        <v>1</v>
      </c>
      <c r="GL16" s="74">
        <f>1.2*456.24</f>
        <v>547.48799999999994</v>
      </c>
      <c r="GM16" s="56"/>
      <c r="GN16" s="128"/>
      <c r="GO16" s="46"/>
      <c r="GP16" s="128">
        <v>1</v>
      </c>
      <c r="GQ16" s="74">
        <f>1.2*664.45</f>
        <v>797.34</v>
      </c>
      <c r="GR16" s="128"/>
      <c r="GS16" s="128"/>
      <c r="GT16" s="46"/>
      <c r="GU16" s="128">
        <v>1</v>
      </c>
      <c r="GV16" s="74">
        <f>1.2*1446.52</f>
        <v>1735.8239999999998</v>
      </c>
      <c r="GW16" s="128"/>
      <c r="GX16" s="128"/>
      <c r="GY16" s="46"/>
      <c r="GZ16" s="56">
        <v>1</v>
      </c>
      <c r="HA16" s="57">
        <f>1.2*941.67</f>
        <v>1130.0039999999999</v>
      </c>
      <c r="HB16" s="56"/>
      <c r="HC16" s="128"/>
      <c r="HD16" s="46"/>
      <c r="HE16" s="56">
        <v>1</v>
      </c>
      <c r="HF16" s="57">
        <f>1.2*929.71</f>
        <v>1115.652</v>
      </c>
      <c r="HG16" s="56"/>
      <c r="HH16" s="128"/>
      <c r="HI16" s="46"/>
      <c r="HJ16" s="56">
        <v>1</v>
      </c>
      <c r="HK16" s="57">
        <f>1.2*1450.85</f>
        <v>1741.0199999999998</v>
      </c>
      <c r="HL16" s="56"/>
      <c r="HM16" s="128"/>
      <c r="HN16" s="46"/>
      <c r="HO16" s="570">
        <v>1</v>
      </c>
      <c r="HP16" s="1449">
        <f>1.2*1380.89</f>
        <v>1657.068</v>
      </c>
      <c r="HQ16" s="56"/>
      <c r="HR16" s="128"/>
      <c r="HS16" s="46"/>
      <c r="HT16" s="56">
        <v>1</v>
      </c>
      <c r="HU16" s="57">
        <f>1.2*1756.48</f>
        <v>2107.7759999999998</v>
      </c>
      <c r="HV16" s="56"/>
      <c r="HW16" s="128"/>
      <c r="HX16" s="46"/>
      <c r="HY16" s="56">
        <v>1</v>
      </c>
      <c r="HZ16" s="57">
        <f>1.2*1479.25</f>
        <v>1775.1</v>
      </c>
      <c r="IA16" s="56"/>
      <c r="IB16" s="128"/>
      <c r="IC16" s="46"/>
      <c r="ID16" s="56">
        <v>1</v>
      </c>
      <c r="IE16" s="57">
        <v>816.55200000000002</v>
      </c>
      <c r="IF16" s="56"/>
      <c r="IG16" s="128"/>
      <c r="IH16" s="46"/>
      <c r="II16" s="56">
        <v>1</v>
      </c>
      <c r="IJ16" s="57">
        <f>1.2*235.35</f>
        <v>282.41999999999996</v>
      </c>
      <c r="IK16" s="56"/>
      <c r="IL16" s="128"/>
      <c r="IM16" s="46"/>
      <c r="IN16" s="56">
        <v>1</v>
      </c>
      <c r="IO16" s="57">
        <f>1.2*235.35</f>
        <v>282.41999999999996</v>
      </c>
      <c r="IP16" s="56"/>
      <c r="IQ16" s="128"/>
    </row>
    <row r="17" spans="1:251" s="264" customFormat="1" ht="15" customHeight="1" thickBot="1">
      <c r="A17" s="648"/>
      <c r="B17" s="257"/>
      <c r="C17" s="258"/>
      <c r="D17" s="20"/>
      <c r="E17" s="259" t="s">
        <v>17</v>
      </c>
      <c r="F17" s="23"/>
      <c r="G17" s="168">
        <f>I17/H17</f>
        <v>33.76787564766839</v>
      </c>
      <c r="H17" s="172">
        <v>3.86</v>
      </c>
      <c r="I17" s="170">
        <f>1.2*108.62</f>
        <v>130.34399999999999</v>
      </c>
      <c r="J17" s="172"/>
      <c r="K17" s="18"/>
      <c r="L17" s="168">
        <f>N17/M17</f>
        <v>28.797927461139896</v>
      </c>
      <c r="M17" s="172">
        <v>3.86</v>
      </c>
      <c r="N17" s="170">
        <v>111.16</v>
      </c>
      <c r="O17" s="172"/>
      <c r="P17" s="18"/>
      <c r="Q17" s="168">
        <f>S17/R17</f>
        <v>34.557512953367876</v>
      </c>
      <c r="R17" s="172">
        <v>3.86</v>
      </c>
      <c r="S17" s="170">
        <f>1.2*111.16</f>
        <v>133.392</v>
      </c>
      <c r="T17" s="172"/>
      <c r="U17" s="18"/>
      <c r="V17" s="209">
        <f>X17/W17</f>
        <v>32.19481865284974</v>
      </c>
      <c r="W17" s="172">
        <v>3.86</v>
      </c>
      <c r="X17" s="170">
        <f>1.2*103.56</f>
        <v>124.27199999999999</v>
      </c>
      <c r="Y17" s="172"/>
      <c r="Z17" s="172"/>
      <c r="AA17" s="3">
        <f>AC17/AB17</f>
        <v>34.557512953367876</v>
      </c>
      <c r="AB17" s="172">
        <v>3.86</v>
      </c>
      <c r="AC17" s="170">
        <f>1.2*111.16</f>
        <v>133.392</v>
      </c>
      <c r="AD17" s="172"/>
      <c r="AE17" s="172"/>
      <c r="AF17" s="3">
        <f>AH17/AG17</f>
        <v>34.665957446808513</v>
      </c>
      <c r="AG17" s="172">
        <v>3.76</v>
      </c>
      <c r="AH17" s="170">
        <f>1.2*108.62</f>
        <v>130.34399999999999</v>
      </c>
      <c r="AI17" s="172"/>
      <c r="AJ17" s="172"/>
      <c r="AK17" s="3">
        <f>AM17/AL17</f>
        <v>43.029677419354833</v>
      </c>
      <c r="AL17" s="172">
        <v>3.1</v>
      </c>
      <c r="AM17" s="170">
        <f>1.2*111.16</f>
        <v>133.392</v>
      </c>
      <c r="AN17" s="172"/>
      <c r="AO17" s="172"/>
      <c r="AP17" s="3">
        <f>AR17/AQ17</f>
        <v>21.174093264248704</v>
      </c>
      <c r="AQ17" s="172">
        <v>3.86</v>
      </c>
      <c r="AR17" s="170">
        <f>1.2*68.11</f>
        <v>81.731999999999999</v>
      </c>
      <c r="AS17" s="172"/>
      <c r="AT17" s="172"/>
      <c r="AU17" s="3">
        <f>AW17/AV17</f>
        <v>47.151295336787562</v>
      </c>
      <c r="AV17" s="172">
        <v>3.86</v>
      </c>
      <c r="AW17" s="170">
        <f>1.2*151.67</f>
        <v>182.00399999999999</v>
      </c>
      <c r="AX17" s="177"/>
      <c r="AY17" s="172"/>
      <c r="AZ17" s="3">
        <f>BB17/BA17</f>
        <v>10.153367875647668</v>
      </c>
      <c r="BA17" s="172">
        <v>3.86</v>
      </c>
      <c r="BB17" s="170">
        <f>1.2*32.66</f>
        <v>39.191999999999993</v>
      </c>
      <c r="BC17" s="172"/>
      <c r="BD17" s="172"/>
      <c r="BE17" s="3">
        <f>BG17/BF17</f>
        <v>35.340932642487047</v>
      </c>
      <c r="BF17" s="172">
        <v>3.86</v>
      </c>
      <c r="BG17" s="506">
        <f>1.2*113.68</f>
        <v>136.416</v>
      </c>
      <c r="BH17" s="172"/>
      <c r="BI17" s="172"/>
      <c r="BJ17" s="3">
        <f>BL17/BK17</f>
        <v>39.191999999999993</v>
      </c>
      <c r="BK17" s="172">
        <v>1</v>
      </c>
      <c r="BL17" s="170">
        <f>1.2*32.66</f>
        <v>39.191999999999993</v>
      </c>
      <c r="BM17" s="172"/>
      <c r="BN17" s="172"/>
      <c r="BO17" s="3">
        <f>BQ17/BP17</f>
        <v>2.1023225806451613</v>
      </c>
      <c r="BP17" s="177">
        <v>62</v>
      </c>
      <c r="BQ17" s="169">
        <f>1.2*108.62</f>
        <v>130.34399999999999</v>
      </c>
      <c r="BR17" s="177"/>
      <c r="BS17" s="172"/>
      <c r="BT17" s="3">
        <f>BV17/BU17</f>
        <v>133.392</v>
      </c>
      <c r="BU17" s="172">
        <v>1</v>
      </c>
      <c r="BV17" s="170">
        <f>1.2*111.16</f>
        <v>133.392</v>
      </c>
      <c r="BW17" s="172"/>
      <c r="BX17" s="172"/>
      <c r="BY17" s="3">
        <f>CA17/BZ17</f>
        <v>133.392</v>
      </c>
      <c r="BZ17" s="172">
        <v>1</v>
      </c>
      <c r="CA17" s="170">
        <f>1.2*111.16</f>
        <v>133.392</v>
      </c>
      <c r="CB17" s="172"/>
      <c r="CC17" s="172"/>
      <c r="CD17" s="3">
        <f>CF17/CE17</f>
        <v>127.29600000000001</v>
      </c>
      <c r="CE17" s="172">
        <v>1</v>
      </c>
      <c r="CF17" s="170">
        <v>127.29600000000001</v>
      </c>
      <c r="CG17" s="172"/>
      <c r="CH17" s="172"/>
      <c r="CI17" s="3">
        <f>CK17/CJ17</f>
        <v>31.581942857142856</v>
      </c>
      <c r="CJ17" s="172">
        <v>35</v>
      </c>
      <c r="CK17" s="170">
        <f>1.2*921.14</f>
        <v>1105.3679999999999</v>
      </c>
      <c r="CL17" s="172"/>
      <c r="CM17" s="172"/>
      <c r="CN17" s="3">
        <f>CP17/CO17</f>
        <v>31.138285714285715</v>
      </c>
      <c r="CO17" s="172">
        <v>63</v>
      </c>
      <c r="CP17" s="170">
        <f>1.2*1634.76</f>
        <v>1961.712</v>
      </c>
      <c r="CQ17" s="172"/>
      <c r="CR17" s="172"/>
      <c r="CS17" s="3">
        <f>CU17/CT17</f>
        <v>31.783285714285718</v>
      </c>
      <c r="CT17" s="172">
        <v>56</v>
      </c>
      <c r="CU17" s="170">
        <v>1779.8640000000003</v>
      </c>
      <c r="CV17" s="177"/>
      <c r="CW17" s="172"/>
      <c r="CX17" s="3">
        <f>CZ17/CY17</f>
        <v>48.06</v>
      </c>
      <c r="CY17" s="172">
        <v>40</v>
      </c>
      <c r="CZ17" s="170">
        <v>1922.4</v>
      </c>
      <c r="DA17" s="172"/>
      <c r="DB17" s="172"/>
      <c r="DC17" s="3">
        <f>DE17/DD17</f>
        <v>48.122526315789479</v>
      </c>
      <c r="DD17" s="172">
        <v>38</v>
      </c>
      <c r="DE17" s="170">
        <f>1.2*1523.88</f>
        <v>1828.6560000000002</v>
      </c>
      <c r="DF17" s="172"/>
      <c r="DG17" s="172"/>
      <c r="DH17" s="3">
        <f>DJ17/DI17</f>
        <v>2.1023225806451613</v>
      </c>
      <c r="DI17" s="177">
        <v>62</v>
      </c>
      <c r="DJ17" s="169">
        <f>1.2*108.62</f>
        <v>130.34399999999999</v>
      </c>
      <c r="DK17" s="177"/>
      <c r="DL17" s="172"/>
      <c r="DM17" s="3">
        <f>DO17/DN17</f>
        <v>47.691379310344828</v>
      </c>
      <c r="DN17" s="172">
        <v>58</v>
      </c>
      <c r="DO17" s="170">
        <v>2766.1</v>
      </c>
      <c r="DP17" s="172"/>
      <c r="DQ17" s="172"/>
      <c r="DR17" s="3">
        <f>DT17/DS17</f>
        <v>47.541267605633799</v>
      </c>
      <c r="DS17" s="172">
        <v>71</v>
      </c>
      <c r="DT17" s="170">
        <v>3375.43</v>
      </c>
      <c r="DU17" s="172"/>
      <c r="DV17" s="172"/>
      <c r="DW17" s="3">
        <f>DY17/DX17</f>
        <v>2.1023225806451613</v>
      </c>
      <c r="DX17" s="177">
        <v>62</v>
      </c>
      <c r="DY17" s="169">
        <f>1.2*108.62</f>
        <v>130.34399999999999</v>
      </c>
      <c r="DZ17" s="177"/>
      <c r="EA17" s="172"/>
      <c r="EB17" s="3">
        <f>ED17/EC17</f>
        <v>3703.5360000000001</v>
      </c>
      <c r="EC17" s="172">
        <v>1</v>
      </c>
      <c r="ED17" s="170">
        <f>1.2*3086.28</f>
        <v>3703.5360000000001</v>
      </c>
      <c r="EE17" s="172"/>
      <c r="EF17" s="172"/>
      <c r="EG17" s="3">
        <f>EI17/EH17</f>
        <v>133.392</v>
      </c>
      <c r="EH17" s="177">
        <v>1</v>
      </c>
      <c r="EI17" s="169">
        <f>1.2*111.16</f>
        <v>133.392</v>
      </c>
      <c r="EJ17" s="177"/>
      <c r="EK17" s="172"/>
      <c r="EL17" s="3">
        <f>EN17/EM17</f>
        <v>50.239672131147543</v>
      </c>
      <c r="EM17" s="172">
        <v>183</v>
      </c>
      <c r="EN17" s="170">
        <v>9193.86</v>
      </c>
      <c r="EO17" s="172"/>
      <c r="EP17" s="172"/>
      <c r="EQ17" s="3">
        <f>ES17/ER17</f>
        <v>50.450495049504951</v>
      </c>
      <c r="ER17" s="172">
        <v>101</v>
      </c>
      <c r="ES17" s="170">
        <f>1.2*4246.25</f>
        <v>5095.5</v>
      </c>
      <c r="ET17" s="172"/>
      <c r="EU17" s="172"/>
      <c r="EV17" s="3">
        <f>EX17/EW17</f>
        <v>50.559512195121954</v>
      </c>
      <c r="EW17" s="172">
        <v>82</v>
      </c>
      <c r="EX17" s="170">
        <f>1.2*3454.9</f>
        <v>4145.88</v>
      </c>
      <c r="EY17" s="172"/>
      <c r="EZ17" s="172"/>
      <c r="FA17" s="3">
        <f>FC17/FB17</f>
        <v>31.783285714285718</v>
      </c>
      <c r="FB17" s="177">
        <v>56</v>
      </c>
      <c r="FC17" s="169">
        <v>1779.8640000000003</v>
      </c>
      <c r="FD17" s="177"/>
      <c r="FE17" s="172"/>
      <c r="FF17" s="3">
        <f>FH17/FG17</f>
        <v>48.06</v>
      </c>
      <c r="FG17" s="177">
        <v>40</v>
      </c>
      <c r="FH17" s="169">
        <v>1922.4</v>
      </c>
      <c r="FI17" s="177"/>
      <c r="FJ17" s="172"/>
      <c r="FK17" s="3">
        <f>FM17/FL17</f>
        <v>50.52620689655172</v>
      </c>
      <c r="FL17" s="172">
        <v>87</v>
      </c>
      <c r="FM17" s="170">
        <f>1.2*3663.15</f>
        <v>4395.78</v>
      </c>
      <c r="FN17" s="172"/>
      <c r="FO17" s="172"/>
      <c r="FP17" s="3">
        <f>FR17/FQ17</f>
        <v>50.408108108108109</v>
      </c>
      <c r="FQ17" s="172">
        <v>111</v>
      </c>
      <c r="FR17" s="170">
        <f>1.2*4662.75</f>
        <v>5595.3</v>
      </c>
      <c r="FS17" s="172"/>
      <c r="FT17" s="172"/>
      <c r="FU17" s="3">
        <f>FW17/FV17</f>
        <v>14.078482758620691</v>
      </c>
      <c r="FV17" s="177">
        <v>58</v>
      </c>
      <c r="FW17" s="169">
        <f>680.46*1.2</f>
        <v>816.55200000000002</v>
      </c>
      <c r="FX17" s="177"/>
      <c r="FY17" s="172"/>
      <c r="FZ17" s="3">
        <f>GB17/GA17</f>
        <v>49.69166666666667</v>
      </c>
      <c r="GA17" s="172">
        <v>36</v>
      </c>
      <c r="GB17" s="170">
        <v>1788.9</v>
      </c>
      <c r="GC17" s="172"/>
      <c r="GD17" s="172"/>
      <c r="GE17" s="3">
        <f>GG17/GF17</f>
        <v>2.1023225806451613</v>
      </c>
      <c r="GF17" s="177">
        <v>62</v>
      </c>
      <c r="GG17" s="169">
        <f>1.2*108.62</f>
        <v>130.34399999999999</v>
      </c>
      <c r="GH17" s="177"/>
      <c r="GI17" s="172"/>
      <c r="GJ17" s="285">
        <f>GL17/GK17</f>
        <v>51.419999999999995</v>
      </c>
      <c r="GK17" s="172">
        <v>33</v>
      </c>
      <c r="GL17" s="170">
        <f>1.2*1414.05</f>
        <v>1696.86</v>
      </c>
      <c r="GM17" s="177"/>
      <c r="GN17" s="172"/>
      <c r="GO17" s="3">
        <f>GQ17/GP17</f>
        <v>65.111999999999995</v>
      </c>
      <c r="GP17" s="172">
        <v>36</v>
      </c>
      <c r="GQ17" s="170">
        <f>1.2*1953.36</f>
        <v>2344.0319999999997</v>
      </c>
      <c r="GR17" s="172"/>
      <c r="GS17" s="172"/>
      <c r="GT17" s="3">
        <f>GV17/GU17</f>
        <v>65.189647058823525</v>
      </c>
      <c r="GU17" s="172">
        <v>34</v>
      </c>
      <c r="GV17" s="170">
        <f>1.2*1847.04</f>
        <v>2216.4479999999999</v>
      </c>
      <c r="GW17" s="172"/>
      <c r="GX17" s="172"/>
      <c r="GY17" s="3">
        <f>HA17/GZ17</f>
        <v>50.450495049504951</v>
      </c>
      <c r="GZ17" s="177">
        <v>101</v>
      </c>
      <c r="HA17" s="169">
        <f>1.2*4246.25</f>
        <v>5095.5</v>
      </c>
      <c r="HB17" s="177"/>
      <c r="HC17" s="172"/>
      <c r="HD17" s="3">
        <f>HF17/HE17</f>
        <v>50.559512195121954</v>
      </c>
      <c r="HE17" s="177">
        <v>82</v>
      </c>
      <c r="HF17" s="169">
        <f>1.2*3454.9</f>
        <v>4145.88</v>
      </c>
      <c r="HG17" s="177"/>
      <c r="HH17" s="172"/>
      <c r="HI17" s="3">
        <f>HK17/HJ17</f>
        <v>31.783285714285718</v>
      </c>
      <c r="HJ17" s="177">
        <v>56</v>
      </c>
      <c r="HK17" s="169">
        <v>1779.8640000000003</v>
      </c>
      <c r="HL17" s="177"/>
      <c r="HM17" s="172"/>
      <c r="HN17" s="3">
        <f>HP17/HO17</f>
        <v>48.06</v>
      </c>
      <c r="HO17" s="177">
        <v>40</v>
      </c>
      <c r="HP17" s="169">
        <v>1922.4</v>
      </c>
      <c r="HQ17" s="177"/>
      <c r="HR17" s="172"/>
      <c r="HS17" s="3">
        <f>HU17/HT17</f>
        <v>50.52620689655172</v>
      </c>
      <c r="HT17" s="177">
        <v>87</v>
      </c>
      <c r="HU17" s="169">
        <f>1.2*3663.15</f>
        <v>4395.78</v>
      </c>
      <c r="HV17" s="177"/>
      <c r="HW17" s="172"/>
      <c r="HX17" s="3">
        <f>HZ17/HY17</f>
        <v>50.408108108108109</v>
      </c>
      <c r="HY17" s="177">
        <v>111</v>
      </c>
      <c r="HZ17" s="169">
        <f>1.2*4662.75</f>
        <v>5595.3</v>
      </c>
      <c r="IA17" s="177"/>
      <c r="IB17" s="172"/>
      <c r="IC17" s="3">
        <f>IE17/ID17</f>
        <v>14.078482758620691</v>
      </c>
      <c r="ID17" s="177">
        <v>58</v>
      </c>
      <c r="IE17" s="169">
        <f>680.46*1.2</f>
        <v>816.55200000000002</v>
      </c>
      <c r="IF17" s="177"/>
      <c r="IG17" s="172"/>
      <c r="IH17" s="3">
        <f>IJ17/II17</f>
        <v>2.1023225806451613</v>
      </c>
      <c r="II17" s="177">
        <v>62</v>
      </c>
      <c r="IJ17" s="169">
        <f>1.2*108.62</f>
        <v>130.34399999999999</v>
      </c>
      <c r="IK17" s="177"/>
      <c r="IL17" s="172"/>
      <c r="IM17" s="3">
        <f>IO17/IN17</f>
        <v>2.1023225806451613</v>
      </c>
      <c r="IN17" s="177">
        <v>62</v>
      </c>
      <c r="IO17" s="169">
        <f>1.2*108.62</f>
        <v>130.34399999999999</v>
      </c>
      <c r="IP17" s="177"/>
      <c r="IQ17" s="172"/>
    </row>
    <row r="18" spans="1:251" s="249" customFormat="1" ht="15" customHeight="1" thickBot="1">
      <c r="A18" s="649"/>
      <c r="B18" s="265" t="s">
        <v>298</v>
      </c>
      <c r="C18" s="5" t="s">
        <v>21</v>
      </c>
      <c r="D18" s="6" t="s">
        <v>19</v>
      </c>
      <c r="E18" s="7" t="s">
        <v>10</v>
      </c>
      <c r="F18" s="4"/>
      <c r="G18" s="196"/>
      <c r="H18" s="197"/>
      <c r="I18" s="197"/>
      <c r="J18" s="38"/>
      <c r="K18" s="206"/>
      <c r="L18" s="196"/>
      <c r="M18" s="197"/>
      <c r="N18" s="197"/>
      <c r="O18" s="38"/>
      <c r="P18" s="206"/>
      <c r="Q18" s="196"/>
      <c r="R18" s="197"/>
      <c r="S18" s="197"/>
      <c r="T18" s="38"/>
      <c r="U18" s="206"/>
      <c r="V18" s="207"/>
      <c r="W18" s="197"/>
      <c r="X18" s="204">
        <v>1769</v>
      </c>
      <c r="Y18" s="38"/>
      <c r="Z18" s="383">
        <f>SUM(X18:X21)*1.1</f>
        <v>69137.351800000004</v>
      </c>
      <c r="AA18" s="36"/>
      <c r="AB18" s="197"/>
      <c r="AC18" s="204">
        <v>1769</v>
      </c>
      <c r="AD18" s="38"/>
      <c r="AE18" s="383">
        <f>SUM(AC18:AC21)*1.1</f>
        <v>64896.5504</v>
      </c>
      <c r="AF18" s="36"/>
      <c r="AG18" s="197"/>
      <c r="AH18" s="204">
        <v>2211</v>
      </c>
      <c r="AI18" s="38"/>
      <c r="AJ18" s="383">
        <f>AJ19*1.1</f>
        <v>119705.905</v>
      </c>
      <c r="AK18" s="36"/>
      <c r="AL18" s="197"/>
      <c r="AM18" s="204">
        <v>1327</v>
      </c>
      <c r="AN18" s="38"/>
      <c r="AO18" s="383">
        <f>AO19*1.2</f>
        <v>155518.6992</v>
      </c>
      <c r="AP18" s="36"/>
      <c r="AQ18" s="197"/>
      <c r="AR18" s="204">
        <v>2211</v>
      </c>
      <c r="AS18" s="38"/>
      <c r="AT18" s="383">
        <f>SUM(AR18:AR21)*1.2</f>
        <v>142971.73919999998</v>
      </c>
      <c r="AU18" s="36"/>
      <c r="AV18" s="197"/>
      <c r="AW18" s="197"/>
      <c r="AX18" s="38"/>
      <c r="AY18" s="383">
        <f>SUM(AW18:AW21)*1.1</f>
        <v>145006.85100000002</v>
      </c>
      <c r="AZ18" s="36"/>
      <c r="BA18" s="197"/>
      <c r="BB18" s="197"/>
      <c r="BC18" s="38"/>
      <c r="BD18" s="383">
        <f>SUM(BB19:BB21)*1.2</f>
        <v>139319.87279999998</v>
      </c>
      <c r="BE18" s="36"/>
      <c r="BF18" s="197"/>
      <c r="BG18" s="197"/>
      <c r="BH18" s="38"/>
      <c r="BI18" s="383">
        <f>SUM(BG18:BG21)*1.1</f>
        <v>109403.83520000002</v>
      </c>
      <c r="BJ18" s="36"/>
      <c r="BK18" s="197"/>
      <c r="BL18" s="197"/>
      <c r="BM18" s="38"/>
      <c r="BN18" s="383">
        <f>SUM(BL18:BL21)*1.1</f>
        <v>104134.1378</v>
      </c>
      <c r="BO18" s="36"/>
      <c r="BP18" s="197"/>
      <c r="BQ18" s="197"/>
      <c r="BR18" s="38"/>
      <c r="BS18" s="383">
        <f>SUM(BQ18:BQ21)*1.1</f>
        <v>104482.36040000001</v>
      </c>
      <c r="BT18" s="36"/>
      <c r="BU18" s="197"/>
      <c r="BV18" s="197"/>
      <c r="BW18" s="38"/>
      <c r="BX18" s="383">
        <f>SUM(BV18:BV21)*1.1</f>
        <v>104340.06879999999</v>
      </c>
      <c r="BY18" s="36"/>
      <c r="BZ18" s="197"/>
      <c r="CA18" s="197"/>
      <c r="CB18" s="38"/>
      <c r="CC18" s="383">
        <f>SUM(CA18:CA21)*1.1</f>
        <v>83764.370800000004</v>
      </c>
      <c r="CD18" s="36"/>
      <c r="CE18" s="197"/>
      <c r="CF18" s="197"/>
      <c r="CG18" s="38"/>
      <c r="CH18" s="383">
        <f>SUM(CF18:CF21)*1.1</f>
        <v>90739.23540000002</v>
      </c>
      <c r="CI18" s="36"/>
      <c r="CJ18" s="197"/>
      <c r="CK18" s="197"/>
      <c r="CL18" s="38"/>
      <c r="CM18" s="383">
        <f>SUM(CK18:CK21)*1.1</f>
        <v>96036.881600000008</v>
      </c>
      <c r="CN18" s="36"/>
      <c r="CO18" s="197"/>
      <c r="CP18" s="197"/>
      <c r="CQ18" s="38"/>
      <c r="CR18" s="383">
        <f>SUM(CP18:CP21)*1.1</f>
        <v>126888.24940000002</v>
      </c>
      <c r="CS18" s="36"/>
      <c r="CT18" s="197"/>
      <c r="CU18" s="197"/>
      <c r="CV18" s="38"/>
      <c r="CW18" s="383">
        <f>SUM(CU18:CU21)*1.1</f>
        <v>135817.13640000002</v>
      </c>
      <c r="CX18" s="36"/>
      <c r="CY18" s="197"/>
      <c r="CZ18" s="197"/>
      <c r="DA18" s="38"/>
      <c r="DB18" s="383">
        <f>SUM(CZ18:CZ21)*1.1</f>
        <v>149448.101</v>
      </c>
      <c r="DC18" s="36"/>
      <c r="DD18" s="197"/>
      <c r="DE18" s="197"/>
      <c r="DF18" s="38"/>
      <c r="DG18" s="383">
        <f>SUM(DE18:DE21)*1.1</f>
        <v>24808.887399999996</v>
      </c>
      <c r="DH18" s="36"/>
      <c r="DI18" s="197"/>
      <c r="DJ18" s="197"/>
      <c r="DK18" s="38"/>
      <c r="DL18" s="383">
        <f>SUM(DJ18:DJ21)*1.1</f>
        <v>162784.46800000002</v>
      </c>
      <c r="DM18" s="36"/>
      <c r="DN18" s="197"/>
      <c r="DO18" s="197"/>
      <c r="DP18" s="38"/>
      <c r="DQ18" s="383">
        <f>SUM(DO18:DO21)*1.1</f>
        <v>191292.28579999998</v>
      </c>
      <c r="DR18" s="36"/>
      <c r="DS18" s="197"/>
      <c r="DT18" s="197"/>
      <c r="DU18" s="38"/>
      <c r="DV18" s="383">
        <f>SUM(DT18:DT21)*1.1</f>
        <v>118509.72100000001</v>
      </c>
      <c r="DW18" s="36"/>
      <c r="DX18" s="197"/>
      <c r="DY18" s="197"/>
      <c r="DZ18" s="38"/>
      <c r="EA18" s="383">
        <f>SUM(DY18:DY21)*1.1</f>
        <v>133850.99420000002</v>
      </c>
      <c r="EB18" s="36"/>
      <c r="EC18" s="197"/>
      <c r="ED18" s="197"/>
      <c r="EE18" s="38"/>
      <c r="EF18" s="383">
        <f>SUM(ED18:ED21)*1.1</f>
        <v>149790.99079999997</v>
      </c>
      <c r="EG18" s="36"/>
      <c r="EH18" s="197"/>
      <c r="EI18" s="197"/>
      <c r="EJ18" s="38"/>
      <c r="EK18" s="383">
        <f>SUM(EI18:EI21)*1.1</f>
        <v>144563.29359999998</v>
      </c>
      <c r="EL18" s="36"/>
      <c r="EM18" s="197"/>
      <c r="EN18" s="197"/>
      <c r="EO18" s="38"/>
      <c r="EP18" s="383">
        <f>SUM(EN18:EN21)*1.1</f>
        <v>135036.1122</v>
      </c>
      <c r="EQ18" s="36"/>
      <c r="ER18" s="197"/>
      <c r="ES18" s="197"/>
      <c r="ET18" s="38"/>
      <c r="EU18" s="383">
        <f>SUM(ES18:ES21)*1.1</f>
        <v>119963.48100000001</v>
      </c>
      <c r="EV18" s="36"/>
      <c r="EW18" s="197"/>
      <c r="EX18" s="197"/>
      <c r="EY18" s="38"/>
      <c r="EZ18" s="383">
        <f>SUM(EX18:EX21)*1.1</f>
        <v>154610.05340000003</v>
      </c>
      <c r="FA18" s="36"/>
      <c r="FB18" s="197"/>
      <c r="FC18" s="197"/>
      <c r="FD18" s="38"/>
      <c r="FE18" s="383">
        <f>SUM(FC18:FC21)*1.1</f>
        <v>169315.234</v>
      </c>
      <c r="FF18" s="36"/>
      <c r="FG18" s="197"/>
      <c r="FH18" s="197"/>
      <c r="FI18" s="38"/>
      <c r="FJ18" s="383">
        <f>SUM(FH18:FH21)*1.1</f>
        <v>206414.758</v>
      </c>
      <c r="FK18" s="36"/>
      <c r="FL18" s="197"/>
      <c r="FM18" s="197"/>
      <c r="FN18" s="38"/>
      <c r="FO18" s="383">
        <f>SUM(FM18:FM21)*1.1</f>
        <v>199860.39920000001</v>
      </c>
      <c r="FP18" s="36"/>
      <c r="FQ18" s="197"/>
      <c r="FR18" s="197"/>
      <c r="FS18" s="38"/>
      <c r="FT18" s="383">
        <f>SUM(FR18:FR21)*1.1</f>
        <v>156441.10680000001</v>
      </c>
      <c r="FU18" s="36"/>
      <c r="FV18" s="197"/>
      <c r="FW18" s="197"/>
      <c r="FX18" s="38"/>
      <c r="FY18" s="383">
        <f>SUM(FW18:FW21)*1.1</f>
        <v>156314.82460000002</v>
      </c>
      <c r="FZ18" s="36"/>
      <c r="GA18" s="197"/>
      <c r="GB18" s="197"/>
      <c r="GC18" s="1468"/>
      <c r="GD18" s="383">
        <f>SUM(GB18:GB21)*1.1</f>
        <v>127580.88200000001</v>
      </c>
      <c r="GE18" s="36"/>
      <c r="GF18" s="197"/>
      <c r="GG18" s="197"/>
      <c r="GH18" s="38"/>
      <c r="GI18" s="383">
        <f>SUM(GG18:GG21)*1.1</f>
        <v>112941.22180000001</v>
      </c>
      <c r="GJ18" s="280"/>
      <c r="GK18" s="197"/>
      <c r="GL18" s="197"/>
      <c r="GM18" s="38"/>
      <c r="GN18" s="383">
        <f>SUM(GL18:GL21)*1.1</f>
        <v>149790.99079999997</v>
      </c>
      <c r="GO18" s="36"/>
      <c r="GP18" s="197"/>
      <c r="GQ18" s="197"/>
      <c r="GR18" s="38"/>
      <c r="GS18" s="383">
        <f>SUM(GQ18:GQ21)*1.1</f>
        <v>152367.51420000001</v>
      </c>
      <c r="GT18" s="36"/>
      <c r="GU18" s="197"/>
      <c r="GV18" s="197"/>
      <c r="GW18" s="38"/>
      <c r="GX18" s="383">
        <f>SUM(GV18:GV21)*1.1</f>
        <v>168134.51820000002</v>
      </c>
      <c r="GY18" s="36"/>
      <c r="GZ18" s="197"/>
      <c r="HA18" s="197"/>
      <c r="HB18" s="38"/>
      <c r="HC18" s="383">
        <f>SUM(HA18:HA21)*1.1</f>
        <v>119963.48100000001</v>
      </c>
      <c r="HD18" s="36"/>
      <c r="HE18" s="197"/>
      <c r="HF18" s="197"/>
      <c r="HG18" s="38"/>
      <c r="HH18" s="383">
        <f>SUM(HF18:HF21)*1.1</f>
        <v>154610.05340000003</v>
      </c>
      <c r="HI18" s="36"/>
      <c r="HJ18" s="197"/>
      <c r="HK18" s="197"/>
      <c r="HL18" s="38"/>
      <c r="HM18" s="383">
        <f>SUM(HK18:HK21)*1.1</f>
        <v>169315.234</v>
      </c>
      <c r="HN18" s="36"/>
      <c r="HO18" s="197"/>
      <c r="HP18" s="197"/>
      <c r="HQ18" s="38"/>
      <c r="HR18" s="383">
        <f>SUM(HP18:HP21)*1.1</f>
        <v>206414.758</v>
      </c>
      <c r="HS18" s="36"/>
      <c r="HT18" s="197"/>
      <c r="HU18" s="197"/>
      <c r="HV18" s="38"/>
      <c r="HW18" s="383">
        <f>SUM(HU18:HU21)*1.1</f>
        <v>199860.39920000001</v>
      </c>
      <c r="HX18" s="36"/>
      <c r="HY18" s="197"/>
      <c r="HZ18" s="197"/>
      <c r="IA18" s="38"/>
      <c r="IB18" s="383">
        <f>SUM(HZ18:HZ21)*1.1</f>
        <v>156441.10680000001</v>
      </c>
      <c r="IC18" s="36"/>
      <c r="ID18" s="197"/>
      <c r="IE18" s="197"/>
      <c r="IF18" s="38"/>
      <c r="IG18" s="383">
        <f>SUM(IE18:IE21)*1.1</f>
        <v>156314.82460000002</v>
      </c>
      <c r="IH18" s="36"/>
      <c r="II18" s="197"/>
      <c r="IJ18" s="197"/>
      <c r="IK18" s="38"/>
      <c r="IL18" s="383">
        <f>SUM(IJ18:IJ21)*1.1</f>
        <v>25472.704399999999</v>
      </c>
      <c r="IM18" s="36"/>
      <c r="IN18" s="197"/>
      <c r="IO18" s="197"/>
      <c r="IP18" s="38"/>
      <c r="IQ18" s="383">
        <f>SUM(IO18:IO21)*1.1</f>
        <v>24808.887399999996</v>
      </c>
    </row>
    <row r="19" spans="1:251" ht="15" customHeight="1" thickBot="1">
      <c r="A19" s="647">
        <v>1</v>
      </c>
      <c r="B19" s="256"/>
      <c r="C19" s="215">
        <v>45179093</v>
      </c>
      <c r="D19" s="45" t="s">
        <v>453</v>
      </c>
      <c r="E19" s="216" t="s">
        <v>13</v>
      </c>
      <c r="F19" s="22"/>
      <c r="G19" s="104">
        <f>I19/H19</f>
        <v>5.3077204843592325</v>
      </c>
      <c r="H19" s="69">
        <v>3964</v>
      </c>
      <c r="I19" s="137">
        <v>21039.803999999996</v>
      </c>
      <c r="J19" s="137">
        <v>14610.974999999999</v>
      </c>
      <c r="K19" s="147"/>
      <c r="L19" s="104">
        <f>N19/M19</f>
        <v>5.3685484344422703</v>
      </c>
      <c r="M19" s="69">
        <v>8176</v>
      </c>
      <c r="N19" s="137">
        <v>43893.252</v>
      </c>
      <c r="O19" s="137">
        <v>43893.252</v>
      </c>
      <c r="P19" s="147"/>
      <c r="Q19" s="104">
        <f>S19/R19</f>
        <v>4.9663921852387833</v>
      </c>
      <c r="R19" s="69">
        <v>8292</v>
      </c>
      <c r="S19" s="137">
        <f>34317.77*1.2</f>
        <v>41181.323999999993</v>
      </c>
      <c r="T19" s="137">
        <v>41181.323999999993</v>
      </c>
      <c r="U19" s="147"/>
      <c r="V19" s="115">
        <f>X19/W19</f>
        <v>5.2077240641711224</v>
      </c>
      <c r="W19" s="69">
        <v>11220</v>
      </c>
      <c r="X19" s="137">
        <v>58430.663999999997</v>
      </c>
      <c r="Y19" s="137">
        <v>58430.663999999997</v>
      </c>
      <c r="Z19" s="403">
        <f>SUM(X18:X21)*1</f>
        <v>62852.137999999999</v>
      </c>
      <c r="AA19" s="92">
        <f>AC19/AB19</f>
        <v>4.6829516957862278</v>
      </c>
      <c r="AB19" s="69">
        <v>11676</v>
      </c>
      <c r="AC19" s="137">
        <v>54678.144</v>
      </c>
      <c r="AD19" s="137">
        <v>54678.144</v>
      </c>
      <c r="AE19" s="403">
        <f>SUM(AC18:AC21)*1</f>
        <v>58996.863999999994</v>
      </c>
      <c r="AF19" s="92">
        <f>AH19/AG19</f>
        <v>4.8199439746300214</v>
      </c>
      <c r="AG19" s="410">
        <v>15136</v>
      </c>
      <c r="AH19" s="417">
        <v>72954.672000000006</v>
      </c>
      <c r="AI19" s="137">
        <f>28777.97+74729.76</f>
        <v>103507.73</v>
      </c>
      <c r="AJ19" s="403">
        <f>SUM(AH20:AH21)+AI19+AH18*1</f>
        <v>108823.54999999999</v>
      </c>
      <c r="AK19" s="92">
        <f>AM19/AL19</f>
        <v>4.9792202797202796</v>
      </c>
      <c r="AL19" s="410">
        <v>17160</v>
      </c>
      <c r="AM19" s="417">
        <v>85443.42</v>
      </c>
      <c r="AN19" s="137">
        <f>37070.31+89591.256</f>
        <v>126661.56599999999</v>
      </c>
      <c r="AO19" s="403">
        <f>SUM(AM20:AM21)+AN19+AM18*1</f>
        <v>129598.916</v>
      </c>
      <c r="AP19" s="92">
        <f>AR19/AQ19</f>
        <v>5.9466957888120673</v>
      </c>
      <c r="AQ19" s="410">
        <v>19092</v>
      </c>
      <c r="AR19" s="417">
        <v>113534.31599999999</v>
      </c>
      <c r="AS19" s="137">
        <v>128034.996</v>
      </c>
      <c r="AT19" s="403">
        <f>SUM(AR18:AR21)*1</f>
        <v>119143.11599999999</v>
      </c>
      <c r="AU19" s="92">
        <f>AW19/AV19</f>
        <v>6.6107629568449306</v>
      </c>
      <c r="AV19" s="410">
        <v>19372</v>
      </c>
      <c r="AW19" s="417">
        <v>128063.7</v>
      </c>
      <c r="AX19" s="59">
        <v>14610.974999999999</v>
      </c>
      <c r="AY19" s="403">
        <f>SUM(AW18:AW21)*1</f>
        <v>131824.41</v>
      </c>
      <c r="AZ19" s="92">
        <f>BB19/BA19</f>
        <v>6.349451831750339</v>
      </c>
      <c r="BA19" s="410">
        <v>17688</v>
      </c>
      <c r="BB19" s="417">
        <v>112309.10399999999</v>
      </c>
      <c r="BC19" s="137">
        <v>93590.92</v>
      </c>
      <c r="BD19" s="403">
        <f>(BB21+BB20+BB19)*1</f>
        <v>116099.89399999999</v>
      </c>
      <c r="BE19" s="92">
        <f>BG19/BF19</f>
        <v>6.2594403693254685</v>
      </c>
      <c r="BF19" s="410">
        <v>15596</v>
      </c>
      <c r="BG19" s="417">
        <v>97622.232000000004</v>
      </c>
      <c r="BH19" s="137">
        <v>93590.92</v>
      </c>
      <c r="BI19" s="403">
        <f>SUM(BG18:BG21)*1</f>
        <v>99458.032000000007</v>
      </c>
      <c r="BJ19" s="92">
        <f>BL19/BK19</f>
        <v>6.7596598420590812</v>
      </c>
      <c r="BK19" s="410">
        <v>13676</v>
      </c>
      <c r="BL19" s="417">
        <v>92445.107999999993</v>
      </c>
      <c r="BM19" s="137">
        <v>77284.27</v>
      </c>
      <c r="BN19" s="403">
        <f>SUM(BL18:BL21)*1</f>
        <v>94667.397999999986</v>
      </c>
      <c r="BO19" s="405">
        <f>BQ19/BP19</f>
        <v>6.4951201692524672</v>
      </c>
      <c r="BP19" s="410">
        <v>14180</v>
      </c>
      <c r="BQ19" s="417">
        <v>92100.803999999989</v>
      </c>
      <c r="BR19" s="59">
        <v>14610.974999999999</v>
      </c>
      <c r="BS19" s="403">
        <f>SUM(BQ18:BQ21)*1</f>
        <v>94983.963999999993</v>
      </c>
      <c r="BT19" s="92">
        <f>BV19/BU19</f>
        <v>6.131988019169329</v>
      </c>
      <c r="BU19" s="410">
        <v>15024</v>
      </c>
      <c r="BV19" s="417">
        <v>92126.987999999998</v>
      </c>
      <c r="BW19" s="137">
        <v>93423.62</v>
      </c>
      <c r="BX19" s="403">
        <f>SUM(BV21+BV20+BW19)*1</f>
        <v>96151.239999999991</v>
      </c>
      <c r="BY19" s="92">
        <f>CA19/BZ19</f>
        <v>5.5075803757828803</v>
      </c>
      <c r="BZ19" s="410">
        <v>13412</v>
      </c>
      <c r="CA19" s="417">
        <v>73867.667999999991</v>
      </c>
      <c r="CB19" s="137" t="s">
        <v>442</v>
      </c>
      <c r="CC19" s="403">
        <f>SUM(CA18:CA21)*1</f>
        <v>76149.428</v>
      </c>
      <c r="CD19" s="92">
        <f>CF19/CE19</f>
        <v>5.5075800206682741</v>
      </c>
      <c r="CE19" s="410">
        <v>14515</v>
      </c>
      <c r="CF19" s="417">
        <f>66618.77*1.2</f>
        <v>79942.524000000005</v>
      </c>
      <c r="CG19" s="137">
        <v>48984.38970588235</v>
      </c>
      <c r="CH19" s="403">
        <f>SUM(CF18:CF21)*1</f>
        <v>82490.214000000007</v>
      </c>
      <c r="CI19" s="92">
        <f>CK19/CJ19</f>
        <v>5.4289920308483284</v>
      </c>
      <c r="CJ19" s="410">
        <v>15560</v>
      </c>
      <c r="CK19" s="417">
        <v>84475.115999999995</v>
      </c>
      <c r="CL19" s="59">
        <v>14610.974999999999</v>
      </c>
      <c r="CM19" s="403">
        <f>SUM(CK18:CK21)*1</f>
        <v>87306.255999999994</v>
      </c>
      <c r="CN19" s="92">
        <f>CP19/CO19</f>
        <v>6.4400162918770079</v>
      </c>
      <c r="CO19" s="410">
        <v>17432</v>
      </c>
      <c r="CP19" s="417">
        <v>112262.364</v>
      </c>
      <c r="CQ19" s="137">
        <v>79503.06</v>
      </c>
      <c r="CR19" s="403">
        <f>SUM(CP18:CP21)*1</f>
        <v>115352.954</v>
      </c>
      <c r="CS19" s="92">
        <f>CU19/CT19</f>
        <v>7.4135396864891767</v>
      </c>
      <c r="CT19" s="410">
        <v>16076</v>
      </c>
      <c r="CU19" s="417">
        <v>119180.064</v>
      </c>
      <c r="CV19" s="137">
        <v>142053.88</v>
      </c>
      <c r="CW19" s="403">
        <f>SUM(CU18:CU21)*1</f>
        <v>123470.124</v>
      </c>
      <c r="CX19" s="92">
        <f>CZ19/CY19</f>
        <v>7.8882840028188852</v>
      </c>
      <c r="CY19" s="410">
        <v>17028</v>
      </c>
      <c r="CZ19" s="417">
        <f>1.2*111934.75</f>
        <v>134321.69999999998</v>
      </c>
      <c r="DA19" s="137">
        <v>142347.38399999999</v>
      </c>
      <c r="DB19" s="403">
        <f>SUM(CZ18:CZ21)*1</f>
        <v>135861.90999999997</v>
      </c>
      <c r="DC19" s="92">
        <f>DE19/DD19</f>
        <v>5.3077204843592325</v>
      </c>
      <c r="DD19" s="58">
        <v>3964</v>
      </c>
      <c r="DE19" s="59">
        <v>21039.803999999996</v>
      </c>
      <c r="DF19" s="137">
        <v>144116.22</v>
      </c>
      <c r="DG19" s="403">
        <f>SUM(DE18:DE21)*1</f>
        <v>22553.533999999996</v>
      </c>
      <c r="DH19" s="92">
        <f>DJ19/DI19</f>
        <v>8.0664362057448233</v>
      </c>
      <c r="DI19" s="410">
        <v>17964</v>
      </c>
      <c r="DJ19" s="417">
        <f>1.2*120754.55</f>
        <v>144905.46</v>
      </c>
      <c r="DK19" s="137">
        <v>133428.44</v>
      </c>
      <c r="DL19" s="403">
        <f>SUM(DJ18:DJ21)*1</f>
        <v>147985.88</v>
      </c>
      <c r="DM19" s="92">
        <f>DO19/DN19</f>
        <v>7.906680192793206</v>
      </c>
      <c r="DN19" s="410">
        <v>21785</v>
      </c>
      <c r="DO19" s="417">
        <v>172247.02799999999</v>
      </c>
      <c r="DP19" s="137">
        <v>127547.46363636362</v>
      </c>
      <c r="DQ19" s="403">
        <f>SUM(DO18:DO21)*1</f>
        <v>173902.07799999998</v>
      </c>
      <c r="DR19" s="92">
        <f>DT19/DS19</f>
        <v>8.0964361042183626</v>
      </c>
      <c r="DS19" s="410">
        <v>12896</v>
      </c>
      <c r="DT19" s="417">
        <v>104411.64</v>
      </c>
      <c r="DU19" s="137">
        <v>143539.20000000001</v>
      </c>
      <c r="DV19" s="403">
        <f>SUM(DT18:DT21)*1</f>
        <v>107736.11</v>
      </c>
      <c r="DW19" s="92">
        <f>DY19/DX19</f>
        <v>8.7321838106370535</v>
      </c>
      <c r="DX19" s="410">
        <v>13688</v>
      </c>
      <c r="DY19" s="417">
        <v>119526.132</v>
      </c>
      <c r="DZ19" s="137">
        <v>84833.104999999996</v>
      </c>
      <c r="EA19" s="403">
        <f>SUM(DY18:DY21)*1</f>
        <v>121682.72199999999</v>
      </c>
      <c r="EB19" s="92">
        <f>ED19/EC19</f>
        <v>8.7025560784313711</v>
      </c>
      <c r="EC19" s="410">
        <v>15300</v>
      </c>
      <c r="ED19" s="417">
        <v>133149.10799999998</v>
      </c>
      <c r="EE19" s="137">
        <v>122848.87199999999</v>
      </c>
      <c r="EF19" s="403">
        <f>SUM(ED21+ED20+EE19)*1</f>
        <v>125873.39199999999</v>
      </c>
      <c r="EG19" s="92">
        <f>EI19/EH19</f>
        <v>8.943155996645233</v>
      </c>
      <c r="EH19" s="410">
        <v>14308</v>
      </c>
      <c r="EI19" s="417">
        <f>1.2*106632.23</f>
        <v>127958.67599999999</v>
      </c>
      <c r="EJ19" s="1465">
        <v>133149.10799999998</v>
      </c>
      <c r="EK19" s="403">
        <f>SUM(EI18:EI21)*1</f>
        <v>131421.17599999998</v>
      </c>
      <c r="EL19" s="92">
        <f>EN19/EM19</f>
        <v>7.9463519301956627</v>
      </c>
      <c r="EM19" s="410">
        <v>15128</v>
      </c>
      <c r="EN19" s="417">
        <v>120212.41199999998</v>
      </c>
      <c r="EO19" s="137">
        <v>127958.68</v>
      </c>
      <c r="EP19" s="403">
        <f>SUM(EN18:EN21)*1</f>
        <v>122760.10199999998</v>
      </c>
      <c r="EQ19" s="92">
        <f>ES19/ER19</f>
        <v>6.7961336760925448</v>
      </c>
      <c r="ER19" s="58">
        <v>15560</v>
      </c>
      <c r="ES19" s="59">
        <f>88123.2*1.2</f>
        <v>105747.84</v>
      </c>
      <c r="ET19" s="137">
        <v>127958.68</v>
      </c>
      <c r="EU19" s="403">
        <f>SUM(ES18:ES21)*1</f>
        <v>109057.71</v>
      </c>
      <c r="EV19" s="92">
        <f>EX19/EW19</f>
        <v>6.9424920634920637</v>
      </c>
      <c r="EW19" s="410">
        <v>19656</v>
      </c>
      <c r="EX19" s="417">
        <v>136461.62400000001</v>
      </c>
      <c r="EY19" s="59">
        <v>79503.06</v>
      </c>
      <c r="EZ19" s="403">
        <f>SUM(EX18:EX21)*1</f>
        <v>140554.59400000001</v>
      </c>
      <c r="FA19" s="92">
        <f>FC19/FB19</f>
        <v>7.0390201810637487</v>
      </c>
      <c r="FB19" s="410">
        <v>21208</v>
      </c>
      <c r="FC19" s="417">
        <v>149283.53999999998</v>
      </c>
      <c r="FD19" s="137">
        <v>136462</v>
      </c>
      <c r="FE19" s="403">
        <f>SUM(FC18:FC21)*1</f>
        <v>153922.93999999997</v>
      </c>
      <c r="FF19" s="92">
        <f>FH19/FG19</f>
        <v>7.792740160106737</v>
      </c>
      <c r="FG19" s="410">
        <v>23984</v>
      </c>
      <c r="FH19" s="417">
        <v>186901.08</v>
      </c>
      <c r="FI19" s="137">
        <v>149284</v>
      </c>
      <c r="FJ19" s="403">
        <f>SUM(FH18:FH21)*1</f>
        <v>187649.78</v>
      </c>
      <c r="FK19" s="92">
        <f>FM19/FL19</f>
        <v>7.7835237521514635</v>
      </c>
      <c r="FL19" s="410">
        <v>23240</v>
      </c>
      <c r="FM19" s="417">
        <v>180889.092</v>
      </c>
      <c r="FN19" s="137">
        <v>186901</v>
      </c>
      <c r="FO19" s="403">
        <f>SUM(FM18:FM21)*1</f>
        <v>181691.272</v>
      </c>
      <c r="FP19" s="92">
        <f>FR19/FQ19</f>
        <v>6.858312051232291</v>
      </c>
      <c r="FQ19" s="410">
        <v>20612</v>
      </c>
      <c r="FR19" s="417">
        <v>141363.52799999999</v>
      </c>
      <c r="FS19" s="137">
        <v>183339.61199999999</v>
      </c>
      <c r="FT19" s="403">
        <f>SUM(FR18:FR21)*1</f>
        <v>142219.18799999999</v>
      </c>
      <c r="FU19" s="92">
        <f>FW19/FV19</f>
        <v>9.1250878010878012</v>
      </c>
      <c r="FV19" s="410">
        <v>15444</v>
      </c>
      <c r="FW19" s="417">
        <v>140927.856</v>
      </c>
      <c r="FX19" s="59">
        <v>127547.46363636362</v>
      </c>
      <c r="FY19" s="403">
        <f>SUM(FW18:FW21)*1</f>
        <v>142104.386</v>
      </c>
      <c r="FZ19" s="92">
        <f>GB19/GA19</f>
        <v>9.7088523192360157</v>
      </c>
      <c r="GA19" s="410">
        <v>11728</v>
      </c>
      <c r="GB19" s="417">
        <v>113865.42</v>
      </c>
      <c r="GC19" s="1582">
        <v>140927.856</v>
      </c>
      <c r="GD19" s="1467">
        <f>SUM(GB18:GB21)*1</f>
        <v>115982.62</v>
      </c>
      <c r="GE19" s="92">
        <f>GG19/GF19</f>
        <v>9.9062163629313691</v>
      </c>
      <c r="GF19" s="410">
        <v>10316</v>
      </c>
      <c r="GG19" s="417">
        <f>1.2*85160.44</f>
        <v>102192.52800000001</v>
      </c>
      <c r="GH19" s="1581">
        <v>157030.96799999999</v>
      </c>
      <c r="GI19" s="403">
        <f>SUM(GG18:GG21)*1</f>
        <v>102673.838</v>
      </c>
      <c r="GJ19" s="98">
        <f>GL19/GK19</f>
        <v>8.7025560784313711</v>
      </c>
      <c r="GK19" s="58">
        <v>15300</v>
      </c>
      <c r="GL19" s="59">
        <v>133149.10799999998</v>
      </c>
      <c r="GM19" s="59">
        <v>122848.87199999999</v>
      </c>
      <c r="GN19" s="403">
        <f>SUM(GL21+GL20+GM19)*1</f>
        <v>125873.39199999999</v>
      </c>
      <c r="GO19" s="92">
        <f>GQ19/GP19</f>
        <v>14.042855733662144</v>
      </c>
      <c r="GP19" s="410">
        <v>9732</v>
      </c>
      <c r="GQ19" s="417">
        <v>136665.07199999999</v>
      </c>
      <c r="GR19" s="1565">
        <v>133149.10799999998</v>
      </c>
      <c r="GS19" s="403">
        <f>SUM(GQ18:GQ21)*1</f>
        <v>138515.92199999999</v>
      </c>
      <c r="GT19" s="92">
        <f>GV19/GU19</f>
        <v>10.461684123025769</v>
      </c>
      <c r="GU19" s="410">
        <v>14436</v>
      </c>
      <c r="GV19" s="417">
        <v>151024.872</v>
      </c>
      <c r="GW19" s="59">
        <v>127958.68</v>
      </c>
      <c r="GX19" s="403">
        <f>SUM(GV18:GV21)*1</f>
        <v>152849.56200000001</v>
      </c>
      <c r="GY19" s="92">
        <f>HA19/GZ19</f>
        <v>6.7961336760925448</v>
      </c>
      <c r="GZ19" s="58">
        <v>15560</v>
      </c>
      <c r="HA19" s="59">
        <f>88123.2*1.2</f>
        <v>105747.84</v>
      </c>
      <c r="HB19" s="59">
        <v>127958.68</v>
      </c>
      <c r="HC19" s="403">
        <f>SUM(HA18:HA21)*1</f>
        <v>109057.71</v>
      </c>
      <c r="HD19" s="92">
        <f>HF19/HE19</f>
        <v>6.9424920634920637</v>
      </c>
      <c r="HE19" s="58">
        <v>19656</v>
      </c>
      <c r="HF19" s="59">
        <v>136461.62400000001</v>
      </c>
      <c r="HG19" s="59">
        <v>79503.06</v>
      </c>
      <c r="HH19" s="403">
        <f>SUM(HF18:HF21)*1</f>
        <v>140554.59400000001</v>
      </c>
      <c r="HI19" s="92">
        <f>HK19/HJ19</f>
        <v>7.0390201810637487</v>
      </c>
      <c r="HJ19" s="58">
        <v>21208</v>
      </c>
      <c r="HK19" s="59">
        <v>149283.53999999998</v>
      </c>
      <c r="HL19" s="59">
        <v>136462</v>
      </c>
      <c r="HM19" s="403">
        <f>SUM(HK18:HK21)*1</f>
        <v>153922.93999999997</v>
      </c>
      <c r="HN19" s="92">
        <f>HP19/HO19</f>
        <v>7.792740160106737</v>
      </c>
      <c r="HO19" s="58">
        <v>23984</v>
      </c>
      <c r="HP19" s="59">
        <v>186901.08</v>
      </c>
      <c r="HQ19" s="59">
        <v>149284</v>
      </c>
      <c r="HR19" s="403">
        <f>SUM(HP18:HP21)*1</f>
        <v>187649.78</v>
      </c>
      <c r="HS19" s="92">
        <f>HU19/HT19</f>
        <v>7.7835237521514635</v>
      </c>
      <c r="HT19" s="58">
        <v>23240</v>
      </c>
      <c r="HU19" s="59">
        <v>180889.092</v>
      </c>
      <c r="HV19" s="59">
        <v>186901</v>
      </c>
      <c r="HW19" s="403">
        <f>SUM(HU18:HU21)*1</f>
        <v>181691.272</v>
      </c>
      <c r="HX19" s="92">
        <f>HZ19/HY19</f>
        <v>6.858312051232291</v>
      </c>
      <c r="HY19" s="58">
        <v>20612</v>
      </c>
      <c r="HZ19" s="59">
        <v>141363.52799999999</v>
      </c>
      <c r="IA19" s="59">
        <v>183339.61199999999</v>
      </c>
      <c r="IB19" s="403">
        <f>SUM(HZ18:HZ21)*1</f>
        <v>142219.18799999999</v>
      </c>
      <c r="IC19" s="92">
        <f>IE19/ID19</f>
        <v>9.1250878010878012</v>
      </c>
      <c r="ID19" s="58">
        <v>15444</v>
      </c>
      <c r="IE19" s="59">
        <v>140927.856</v>
      </c>
      <c r="IF19" s="59">
        <v>127547.46363636362</v>
      </c>
      <c r="IG19" s="403">
        <f>SUM(IE18:IE21)*1</f>
        <v>142104.386</v>
      </c>
      <c r="IH19" s="92">
        <f>IJ19/II19</f>
        <v>5.3077204843592325</v>
      </c>
      <c r="II19" s="58">
        <v>3964</v>
      </c>
      <c r="IJ19" s="59">
        <v>21039.803999999996</v>
      </c>
      <c r="IK19" s="59">
        <v>143539.20000000001</v>
      </c>
      <c r="IL19" s="403">
        <f>SUM(IJ18:IJ21)*1</f>
        <v>23157.003999999997</v>
      </c>
      <c r="IM19" s="92">
        <f>IO19/IN19</f>
        <v>5.3077204843592325</v>
      </c>
      <c r="IN19" s="58">
        <v>3964</v>
      </c>
      <c r="IO19" s="59">
        <v>21039.803999999996</v>
      </c>
      <c r="IP19" s="59">
        <v>14610.974999999999</v>
      </c>
      <c r="IQ19" s="403">
        <f>SUM(IO18:IO21)*1</f>
        <v>22553.533999999996</v>
      </c>
    </row>
    <row r="20" spans="1:251" ht="15" customHeight="1">
      <c r="A20" s="647"/>
      <c r="B20" s="256"/>
      <c r="C20" s="215">
        <v>41946011</v>
      </c>
      <c r="D20" s="45" t="s">
        <v>200</v>
      </c>
      <c r="E20" s="216" t="s">
        <v>15</v>
      </c>
      <c r="F20" s="22"/>
      <c r="G20" s="103"/>
      <c r="H20" s="56">
        <v>0</v>
      </c>
      <c r="I20" s="58">
        <v>0</v>
      </c>
      <c r="J20" s="44"/>
      <c r="K20" s="88"/>
      <c r="L20" s="103"/>
      <c r="M20" s="128">
        <v>0</v>
      </c>
      <c r="N20" s="69">
        <v>651.98</v>
      </c>
      <c r="O20" s="81"/>
      <c r="P20" s="88"/>
      <c r="Q20" s="103"/>
      <c r="R20" s="128">
        <v>0</v>
      </c>
      <c r="S20" s="69">
        <v>650.04999999999995</v>
      </c>
      <c r="T20" s="81"/>
      <c r="U20" s="88"/>
      <c r="V20" s="47"/>
      <c r="W20" s="128"/>
      <c r="X20" s="69">
        <v>945.50400000000002</v>
      </c>
      <c r="Y20" s="81"/>
      <c r="Z20" s="81"/>
      <c r="AA20" s="46"/>
      <c r="AB20" s="128">
        <v>0</v>
      </c>
      <c r="AC20" s="69">
        <v>1068.2</v>
      </c>
      <c r="AD20" s="81"/>
      <c r="AE20" s="81"/>
      <c r="AF20" s="46"/>
      <c r="AG20" s="128">
        <v>0</v>
      </c>
      <c r="AH20" s="410">
        <v>1462.27</v>
      </c>
      <c r="AI20" s="81"/>
      <c r="AJ20" s="81"/>
      <c r="AK20" s="46"/>
      <c r="AL20" s="56">
        <v>0</v>
      </c>
      <c r="AM20" s="410" t="s">
        <v>289</v>
      </c>
      <c r="AN20" s="44"/>
      <c r="AO20" s="81"/>
      <c r="AP20" s="46"/>
      <c r="AQ20" s="408"/>
      <c r="AR20" s="410">
        <v>1761.86</v>
      </c>
      <c r="AS20" s="511"/>
      <c r="AT20" s="81"/>
      <c r="AU20" s="46"/>
      <c r="AV20" s="408">
        <v>0</v>
      </c>
      <c r="AW20" s="410">
        <v>2053.7399999999998</v>
      </c>
      <c r="AX20" s="511"/>
      <c r="AY20" s="81"/>
      <c r="AZ20" s="46"/>
      <c r="BA20" s="408">
        <v>0</v>
      </c>
      <c r="BB20" s="410">
        <v>1954.99</v>
      </c>
      <c r="BC20" s="511"/>
      <c r="BD20" s="81"/>
      <c r="BE20" s="46"/>
      <c r="BF20" s="408">
        <v>0</v>
      </c>
      <c r="BG20" s="410" t="s">
        <v>362</v>
      </c>
      <c r="BH20" s="511"/>
      <c r="BI20" s="81"/>
      <c r="BJ20" s="46"/>
      <c r="BK20" s="408">
        <v>0</v>
      </c>
      <c r="BL20" s="410" t="s">
        <v>371</v>
      </c>
      <c r="BM20" s="511"/>
      <c r="BN20" s="81"/>
      <c r="BO20" s="46"/>
      <c r="BP20" s="408">
        <v>0</v>
      </c>
      <c r="BQ20" s="410">
        <v>950.74</v>
      </c>
      <c r="BR20" s="511"/>
      <c r="BS20" s="81"/>
      <c r="BT20" s="46"/>
      <c r="BU20" s="408">
        <v>1</v>
      </c>
      <c r="BV20" s="410">
        <v>988.44</v>
      </c>
      <c r="BW20" s="44"/>
      <c r="BX20" s="81"/>
      <c r="BY20" s="46"/>
      <c r="BZ20" s="128">
        <v>1</v>
      </c>
      <c r="CA20" s="69">
        <v>735.82</v>
      </c>
      <c r="CB20" s="81"/>
      <c r="CC20" s="81"/>
      <c r="CD20" s="46"/>
      <c r="CE20" s="128">
        <v>0</v>
      </c>
      <c r="CF20" s="69">
        <v>937.34</v>
      </c>
      <c r="CG20" s="81"/>
      <c r="CH20" s="81"/>
      <c r="CI20" s="46"/>
      <c r="CJ20" s="128">
        <v>0</v>
      </c>
      <c r="CK20" s="69">
        <v>1103.8699999999999</v>
      </c>
      <c r="CL20" s="81"/>
      <c r="CM20" s="81"/>
      <c r="CN20" s="46"/>
      <c r="CO20" s="128">
        <v>0</v>
      </c>
      <c r="CP20" s="69">
        <v>1419.04</v>
      </c>
      <c r="CQ20" s="81"/>
      <c r="CR20" s="81"/>
      <c r="CS20" s="46"/>
      <c r="CT20" s="128">
        <v>0</v>
      </c>
      <c r="CU20" s="69">
        <v>1858.4</v>
      </c>
      <c r="CV20" s="81"/>
      <c r="CW20" s="81"/>
      <c r="CX20" s="46"/>
      <c r="CY20" s="56">
        <v>0</v>
      </c>
      <c r="CZ20" s="58">
        <v>0</v>
      </c>
      <c r="DA20" s="44"/>
      <c r="DB20" s="81"/>
      <c r="DC20" s="46"/>
      <c r="DD20" s="56">
        <v>0</v>
      </c>
      <c r="DE20" s="58">
        <v>0</v>
      </c>
      <c r="DF20" s="44"/>
      <c r="DG20" s="81"/>
      <c r="DH20" s="46"/>
      <c r="DI20" s="56">
        <v>0</v>
      </c>
      <c r="DJ20" s="58">
        <v>0</v>
      </c>
      <c r="DK20" s="44"/>
      <c r="DL20" s="81"/>
      <c r="DM20" s="46"/>
      <c r="DN20" s="56">
        <v>0</v>
      </c>
      <c r="DO20" s="58">
        <v>0</v>
      </c>
      <c r="DP20" s="44"/>
      <c r="DQ20" s="81"/>
      <c r="DR20" s="46"/>
      <c r="DS20" s="128">
        <v>1</v>
      </c>
      <c r="DT20" s="69">
        <v>1368.5</v>
      </c>
      <c r="DU20" s="81"/>
      <c r="DV20" s="81"/>
      <c r="DW20" s="46"/>
      <c r="DX20" s="56">
        <v>0</v>
      </c>
      <c r="DY20" s="58">
        <v>0</v>
      </c>
      <c r="DZ20" s="44"/>
      <c r="EA20" s="81"/>
      <c r="EB20" s="46"/>
      <c r="EC20" s="56">
        <v>1</v>
      </c>
      <c r="ED20" s="69">
        <v>1285.3399999999999</v>
      </c>
      <c r="EE20" s="44"/>
      <c r="EF20" s="81"/>
      <c r="EG20" s="46"/>
      <c r="EH20" s="128">
        <v>1</v>
      </c>
      <c r="EI20" s="69">
        <v>963.5</v>
      </c>
      <c r="EJ20" s="81"/>
      <c r="EK20" s="81"/>
      <c r="EL20" s="46"/>
      <c r="EM20" s="56">
        <v>0</v>
      </c>
      <c r="EN20" s="58">
        <v>937.34</v>
      </c>
      <c r="EO20" s="44"/>
      <c r="EP20" s="81"/>
      <c r="EQ20" s="46"/>
      <c r="ER20" s="128">
        <v>1</v>
      </c>
      <c r="ES20" s="69">
        <v>1582.6</v>
      </c>
      <c r="ET20" s="81"/>
      <c r="EU20" s="81"/>
      <c r="EV20" s="46"/>
      <c r="EW20" s="56">
        <v>0</v>
      </c>
      <c r="EX20" s="58">
        <v>1419.04</v>
      </c>
      <c r="EY20" s="44"/>
      <c r="EZ20" s="81"/>
      <c r="FA20" s="46"/>
      <c r="FB20" s="56">
        <v>0</v>
      </c>
      <c r="FC20" s="58">
        <v>1858.4</v>
      </c>
      <c r="FD20" s="44"/>
      <c r="FE20" s="81"/>
      <c r="FF20" s="46"/>
      <c r="FG20" s="56">
        <v>0</v>
      </c>
      <c r="FH20" s="58">
        <v>0</v>
      </c>
      <c r="FI20" s="81">
        <v>2316.9</v>
      </c>
      <c r="FJ20" s="81"/>
      <c r="FK20" s="46"/>
      <c r="FL20" s="56">
        <v>0</v>
      </c>
      <c r="FM20" s="58">
        <v>0</v>
      </c>
      <c r="FN20" s="44"/>
      <c r="FO20" s="81"/>
      <c r="FP20" s="46"/>
      <c r="FQ20" s="56">
        <v>0</v>
      </c>
      <c r="FR20" s="58">
        <v>0</v>
      </c>
      <c r="FS20" s="44"/>
      <c r="FT20" s="81"/>
      <c r="FU20" s="46"/>
      <c r="FV20" s="56">
        <v>0</v>
      </c>
      <c r="FW20" s="58">
        <v>0</v>
      </c>
      <c r="FX20" s="44"/>
      <c r="FY20" s="81"/>
      <c r="FZ20" s="46"/>
      <c r="GA20" s="56">
        <v>1</v>
      </c>
      <c r="GB20" s="58">
        <v>1368.5</v>
      </c>
      <c r="GC20" s="38"/>
      <c r="GD20" s="81"/>
      <c r="GE20" s="46"/>
      <c r="GF20" s="56">
        <v>0</v>
      </c>
      <c r="GG20" s="58">
        <v>0</v>
      </c>
      <c r="GH20" s="44"/>
      <c r="GI20" s="81"/>
      <c r="GJ20" s="97"/>
      <c r="GK20" s="56">
        <v>1</v>
      </c>
      <c r="GL20" s="58">
        <v>1285.3399999999999</v>
      </c>
      <c r="GM20" s="44"/>
      <c r="GN20" s="81"/>
      <c r="GO20" s="46"/>
      <c r="GP20" s="56">
        <v>1</v>
      </c>
      <c r="GQ20" s="58">
        <v>963.5</v>
      </c>
      <c r="GR20" s="44"/>
      <c r="GS20" s="81"/>
      <c r="GT20" s="46"/>
      <c r="GU20" s="56">
        <v>0</v>
      </c>
      <c r="GV20" s="58">
        <v>937.34</v>
      </c>
      <c r="GW20" s="44"/>
      <c r="GX20" s="81"/>
      <c r="GY20" s="46"/>
      <c r="GZ20" s="56">
        <v>1</v>
      </c>
      <c r="HA20" s="58">
        <v>1582.6</v>
      </c>
      <c r="HB20" s="44"/>
      <c r="HC20" s="81"/>
      <c r="HD20" s="46"/>
      <c r="HE20" s="56">
        <v>0</v>
      </c>
      <c r="HF20" s="58">
        <v>1419.04</v>
      </c>
      <c r="HG20" s="44"/>
      <c r="HH20" s="81"/>
      <c r="HI20" s="46"/>
      <c r="HJ20" s="56">
        <v>0</v>
      </c>
      <c r="HK20" s="58">
        <v>1858.4</v>
      </c>
      <c r="HL20" s="44"/>
      <c r="HM20" s="81"/>
      <c r="HN20" s="46"/>
      <c r="HO20" s="56">
        <v>0</v>
      </c>
      <c r="HP20" s="58">
        <v>0</v>
      </c>
      <c r="HQ20" s="44">
        <v>2316.9</v>
      </c>
      <c r="HR20" s="81"/>
      <c r="HS20" s="46"/>
      <c r="HT20" s="56">
        <v>0</v>
      </c>
      <c r="HU20" s="58">
        <v>0</v>
      </c>
      <c r="HV20" s="44"/>
      <c r="HW20" s="81"/>
      <c r="HX20" s="46"/>
      <c r="HY20" s="56">
        <v>0</v>
      </c>
      <c r="HZ20" s="58">
        <v>0</v>
      </c>
      <c r="IA20" s="44"/>
      <c r="IB20" s="81"/>
      <c r="IC20" s="46"/>
      <c r="ID20" s="56">
        <v>0</v>
      </c>
      <c r="IE20" s="58">
        <v>0</v>
      </c>
      <c r="IF20" s="44"/>
      <c r="IG20" s="81"/>
      <c r="IH20" s="46"/>
      <c r="II20" s="56">
        <v>1</v>
      </c>
      <c r="IJ20" s="58">
        <v>1368.5</v>
      </c>
      <c r="IK20" s="44"/>
      <c r="IL20" s="81"/>
      <c r="IM20" s="46"/>
      <c r="IN20" s="56">
        <v>0</v>
      </c>
      <c r="IO20" s="58">
        <v>0</v>
      </c>
      <c r="IP20" s="44"/>
      <c r="IQ20" s="81"/>
    </row>
    <row r="21" spans="1:251" s="264" customFormat="1" ht="15" customHeight="1" thickBot="1">
      <c r="A21" s="648"/>
      <c r="B21" s="257"/>
      <c r="C21" s="258">
        <v>2978013090</v>
      </c>
      <c r="D21" s="20" t="s">
        <v>23</v>
      </c>
      <c r="E21" s="259" t="s">
        <v>17</v>
      </c>
      <c r="F21" s="23"/>
      <c r="G21" s="168">
        <f>I21/H21</f>
        <v>32.207021276595746</v>
      </c>
      <c r="H21" s="170">
        <v>47</v>
      </c>
      <c r="I21" s="170">
        <v>1513.73</v>
      </c>
      <c r="J21" s="179"/>
      <c r="K21" s="182"/>
      <c r="L21" s="168">
        <f>N21/M21</f>
        <v>32.207105263157892</v>
      </c>
      <c r="M21" s="170">
        <v>38</v>
      </c>
      <c r="N21" s="170">
        <v>1223.8699999999999</v>
      </c>
      <c r="O21" s="179"/>
      <c r="P21" s="182"/>
      <c r="Q21" s="168">
        <f>S21/R21</f>
        <v>32.207346938775515</v>
      </c>
      <c r="R21" s="170">
        <v>49</v>
      </c>
      <c r="S21" s="170">
        <v>1578.16</v>
      </c>
      <c r="T21" s="179"/>
      <c r="U21" s="182"/>
      <c r="V21" s="209">
        <f>X21/W21</f>
        <v>32.20698113207547</v>
      </c>
      <c r="W21" s="170">
        <v>53</v>
      </c>
      <c r="X21" s="170">
        <v>1706.97</v>
      </c>
      <c r="Y21" s="179"/>
      <c r="Z21" s="179"/>
      <c r="AA21" s="3">
        <f>AC21/AB21</f>
        <v>32.20695652173913</v>
      </c>
      <c r="AB21" s="170">
        <v>46</v>
      </c>
      <c r="AC21" s="170">
        <v>1481.52</v>
      </c>
      <c r="AD21" s="179"/>
      <c r="AE21" s="179"/>
      <c r="AF21" s="3">
        <f>AH21/AG21</f>
        <v>32.206862745098036</v>
      </c>
      <c r="AG21" s="170">
        <v>51</v>
      </c>
      <c r="AH21" s="170">
        <v>1642.55</v>
      </c>
      <c r="AI21" s="179"/>
      <c r="AJ21" s="179"/>
      <c r="AK21" s="3">
        <f>AM21/AL21</f>
        <v>32.207000000000001</v>
      </c>
      <c r="AL21" s="170">
        <v>50</v>
      </c>
      <c r="AM21" s="506">
        <v>1610.35</v>
      </c>
      <c r="AN21" s="179"/>
      <c r="AO21" s="179"/>
      <c r="AP21" s="3">
        <f>AR21/AQ21</f>
        <v>34.082083333333337</v>
      </c>
      <c r="AQ21" s="170">
        <v>48</v>
      </c>
      <c r="AR21" s="170">
        <v>1635.94</v>
      </c>
      <c r="AS21" s="179"/>
      <c r="AT21" s="179"/>
      <c r="AU21" s="3">
        <f>AW21/AV21</f>
        <v>32.20698113207547</v>
      </c>
      <c r="AV21" s="170">
        <v>53</v>
      </c>
      <c r="AW21" s="170">
        <v>1706.97</v>
      </c>
      <c r="AX21" s="179"/>
      <c r="AY21" s="179"/>
      <c r="AZ21" s="3">
        <f>BB21/BA21</f>
        <v>32.207017543859649</v>
      </c>
      <c r="BA21" s="170">
        <v>57</v>
      </c>
      <c r="BB21" s="170">
        <v>1835.8</v>
      </c>
      <c r="BC21" s="179"/>
      <c r="BD21" s="179"/>
      <c r="BE21" s="3">
        <f>BG21/BF21</f>
        <v>32.207017543859649</v>
      </c>
      <c r="BF21" s="170">
        <v>57</v>
      </c>
      <c r="BG21" s="170">
        <v>1835.8</v>
      </c>
      <c r="BH21" s="179"/>
      <c r="BI21" s="179"/>
      <c r="BJ21" s="3">
        <f>BL21/BK21</f>
        <v>32.207101449275363</v>
      </c>
      <c r="BK21" s="170">
        <v>69</v>
      </c>
      <c r="BL21" s="170">
        <v>2222.29</v>
      </c>
      <c r="BM21" s="179"/>
      <c r="BN21" s="179"/>
      <c r="BO21" s="3">
        <f>BQ21/BP21</f>
        <v>32.207000000000001</v>
      </c>
      <c r="BP21" s="170">
        <v>60</v>
      </c>
      <c r="BQ21" s="170">
        <v>1932.42</v>
      </c>
      <c r="BR21" s="179"/>
      <c r="BS21" s="179"/>
      <c r="BT21" s="3">
        <f>BV21/BU21</f>
        <v>32.20703703703704</v>
      </c>
      <c r="BU21" s="170">
        <v>54</v>
      </c>
      <c r="BV21" s="170">
        <v>1739.18</v>
      </c>
      <c r="BW21" s="179"/>
      <c r="BX21" s="179"/>
      <c r="BY21" s="3">
        <f>CA21/BZ21</f>
        <v>32.207083333333337</v>
      </c>
      <c r="BZ21" s="170">
        <v>48</v>
      </c>
      <c r="CA21" s="170">
        <v>1545.94</v>
      </c>
      <c r="CB21" s="179"/>
      <c r="CC21" s="179"/>
      <c r="CD21" s="3">
        <f>CF21/CE21</f>
        <v>32.207000000000001</v>
      </c>
      <c r="CE21" s="170">
        <v>50</v>
      </c>
      <c r="CF21" s="170">
        <v>1610.35</v>
      </c>
      <c r="CG21" s="179"/>
      <c r="CH21" s="179"/>
      <c r="CI21" s="3">
        <f>CK21/CJ21</f>
        <v>32.207160171545773</v>
      </c>
      <c r="CJ21" s="170">
        <v>53.63</v>
      </c>
      <c r="CK21" s="170">
        <v>1727.27</v>
      </c>
      <c r="CL21" s="179"/>
      <c r="CM21" s="179"/>
      <c r="CN21" s="3">
        <f>CP21/CO21</f>
        <v>32.207129094412331</v>
      </c>
      <c r="CO21" s="170">
        <v>51.9</v>
      </c>
      <c r="CP21" s="170">
        <v>1671.55</v>
      </c>
      <c r="CQ21" s="179"/>
      <c r="CR21" s="179"/>
      <c r="CS21" s="3">
        <f>CU21/CT21</f>
        <v>42.863740525295256</v>
      </c>
      <c r="CT21" s="170">
        <v>56.73</v>
      </c>
      <c r="CU21" s="170">
        <v>2431.66</v>
      </c>
      <c r="CV21" s="179"/>
      <c r="CW21" s="179"/>
      <c r="CX21" s="3">
        <f>CZ21/CY21</f>
        <v>49.6841935483871</v>
      </c>
      <c r="CY21" s="170">
        <v>31</v>
      </c>
      <c r="CZ21" s="170">
        <v>1540.21</v>
      </c>
      <c r="DA21" s="179"/>
      <c r="DB21" s="179"/>
      <c r="DC21" s="3">
        <f>DE21/DD21</f>
        <v>32.207021276595746</v>
      </c>
      <c r="DD21" s="169">
        <v>47</v>
      </c>
      <c r="DE21" s="169">
        <v>1513.73</v>
      </c>
      <c r="DF21" s="48"/>
      <c r="DG21" s="179"/>
      <c r="DH21" s="3">
        <f>DJ21/DI21</f>
        <v>49.6841935483871</v>
      </c>
      <c r="DI21" s="170">
        <v>62</v>
      </c>
      <c r="DJ21" s="170">
        <v>3080.42</v>
      </c>
      <c r="DK21" s="179"/>
      <c r="DL21" s="179"/>
      <c r="DM21" s="3">
        <f>DO21/DN21</f>
        <v>50.153030303030299</v>
      </c>
      <c r="DN21" s="170">
        <v>33</v>
      </c>
      <c r="DO21" s="170">
        <v>1655.05</v>
      </c>
      <c r="DP21" s="179"/>
      <c r="DQ21" s="179"/>
      <c r="DR21" s="3">
        <f>DT21/DS21</f>
        <v>50.153076923076924</v>
      </c>
      <c r="DS21" s="170">
        <v>39</v>
      </c>
      <c r="DT21" s="170">
        <v>1955.97</v>
      </c>
      <c r="DU21" s="179"/>
      <c r="DV21" s="179"/>
      <c r="DW21" s="3">
        <f>DY21/DX21</f>
        <v>50.153255813953493</v>
      </c>
      <c r="DX21" s="170">
        <v>43</v>
      </c>
      <c r="DY21" s="170">
        <v>2156.59</v>
      </c>
      <c r="DZ21" s="179"/>
      <c r="EA21" s="179"/>
      <c r="EB21" s="3">
        <f>ED21/EC21</f>
        <v>32.20703703703704</v>
      </c>
      <c r="EC21" s="169">
        <v>54</v>
      </c>
      <c r="ED21" s="169">
        <v>1739.18</v>
      </c>
      <c r="EE21" s="48"/>
      <c r="EF21" s="179"/>
      <c r="EG21" s="3">
        <f>EI21/EH21</f>
        <v>49.98</v>
      </c>
      <c r="EH21" s="170">
        <v>50</v>
      </c>
      <c r="EI21" s="170">
        <v>2499</v>
      </c>
      <c r="EJ21" s="179"/>
      <c r="EK21" s="179"/>
      <c r="EL21" s="3">
        <f>EN21/EM21</f>
        <v>32.207000000000001</v>
      </c>
      <c r="EM21" s="169">
        <v>50</v>
      </c>
      <c r="EN21" s="169">
        <v>1610.35</v>
      </c>
      <c r="EO21" s="48"/>
      <c r="EP21" s="179"/>
      <c r="EQ21" s="3">
        <f>ES21/ER21</f>
        <v>32.207160171545773</v>
      </c>
      <c r="ER21" s="169">
        <v>53.63</v>
      </c>
      <c r="ES21" s="169">
        <v>1727.27</v>
      </c>
      <c r="ET21" s="48"/>
      <c r="EU21" s="179"/>
      <c r="EV21" s="3">
        <f>EX21/EW21</f>
        <v>53.4786</v>
      </c>
      <c r="EW21" s="170">
        <v>50</v>
      </c>
      <c r="EX21" s="170">
        <v>2673.93</v>
      </c>
      <c r="EY21" s="179"/>
      <c r="EZ21" s="179"/>
      <c r="FA21" s="3">
        <f>FC21/FB21</f>
        <v>53.480769230769234</v>
      </c>
      <c r="FB21" s="170">
        <v>52</v>
      </c>
      <c r="FC21" s="170">
        <v>2781</v>
      </c>
      <c r="FD21" s="179"/>
      <c r="FE21" s="179"/>
      <c r="FF21" s="3">
        <f>FH21/FG21</f>
        <v>53.478571428571435</v>
      </c>
      <c r="FG21" s="170">
        <v>14</v>
      </c>
      <c r="FH21" s="170">
        <v>748.7</v>
      </c>
      <c r="FI21" s="179"/>
      <c r="FJ21" s="179"/>
      <c r="FK21" s="3">
        <f>FM21/FL21</f>
        <v>53.478666666666662</v>
      </c>
      <c r="FL21" s="170">
        <v>15</v>
      </c>
      <c r="FM21" s="170">
        <v>802.18</v>
      </c>
      <c r="FN21" s="179"/>
      <c r="FO21" s="179"/>
      <c r="FP21" s="3">
        <f>FR21/FQ21</f>
        <v>53.478749999999998</v>
      </c>
      <c r="FQ21" s="170">
        <v>16</v>
      </c>
      <c r="FR21" s="170">
        <v>855.66</v>
      </c>
      <c r="FS21" s="179"/>
      <c r="FT21" s="179"/>
      <c r="FU21" s="3">
        <f>FW21/FV21</f>
        <v>53.478636363636362</v>
      </c>
      <c r="FV21" s="170">
        <v>22</v>
      </c>
      <c r="FW21" s="170">
        <v>1176.53</v>
      </c>
      <c r="FX21" s="179"/>
      <c r="FY21" s="179"/>
      <c r="FZ21" s="3">
        <f>GB21/GA21</f>
        <v>53.478571428571435</v>
      </c>
      <c r="GA21" s="170">
        <v>14</v>
      </c>
      <c r="GB21" s="170">
        <v>748.7</v>
      </c>
      <c r="GC21" s="179"/>
      <c r="GD21" s="179"/>
      <c r="GE21" s="3">
        <f>GG21/GF21</f>
        <v>53.478888888888889</v>
      </c>
      <c r="GF21" s="170">
        <v>9</v>
      </c>
      <c r="GG21" s="170">
        <v>481.31</v>
      </c>
      <c r="GH21" s="179"/>
      <c r="GI21" s="179"/>
      <c r="GJ21" s="285">
        <f>GL21/GK21</f>
        <v>32.20703703703704</v>
      </c>
      <c r="GK21" s="169">
        <v>54</v>
      </c>
      <c r="GL21" s="169">
        <v>1739.18</v>
      </c>
      <c r="GM21" s="48"/>
      <c r="GN21" s="179"/>
      <c r="GO21" s="3">
        <f>GQ21/GP21</f>
        <v>68.257692307692309</v>
      </c>
      <c r="GP21" s="170">
        <v>13</v>
      </c>
      <c r="GQ21" s="170">
        <v>887.35</v>
      </c>
      <c r="GR21" s="179"/>
      <c r="GS21" s="179"/>
      <c r="GT21" s="3">
        <f>GV21/GU21</f>
        <v>68.257692307692309</v>
      </c>
      <c r="GU21" s="170">
        <v>13</v>
      </c>
      <c r="GV21" s="170">
        <v>887.35</v>
      </c>
      <c r="GW21" s="179"/>
      <c r="GX21" s="179"/>
      <c r="GY21" s="3">
        <f>HA21/GZ21</f>
        <v>32.207160171545773</v>
      </c>
      <c r="GZ21" s="169">
        <v>53.63</v>
      </c>
      <c r="HA21" s="169">
        <v>1727.27</v>
      </c>
      <c r="HB21" s="48"/>
      <c r="HC21" s="179"/>
      <c r="HD21" s="3">
        <f>HF21/HE21</f>
        <v>53.4786</v>
      </c>
      <c r="HE21" s="169">
        <v>50</v>
      </c>
      <c r="HF21" s="169">
        <v>2673.93</v>
      </c>
      <c r="HG21" s="48"/>
      <c r="HH21" s="179"/>
      <c r="HI21" s="3">
        <f>HK21/HJ21</f>
        <v>53.480769230769234</v>
      </c>
      <c r="HJ21" s="169">
        <v>52</v>
      </c>
      <c r="HK21" s="169">
        <v>2781</v>
      </c>
      <c r="HL21" s="48"/>
      <c r="HM21" s="179"/>
      <c r="HN21" s="3">
        <f>HP21/HO21</f>
        <v>53.478571428571435</v>
      </c>
      <c r="HO21" s="169">
        <v>14</v>
      </c>
      <c r="HP21" s="169">
        <v>748.7</v>
      </c>
      <c r="HQ21" s="48"/>
      <c r="HR21" s="179"/>
      <c r="HS21" s="3">
        <f>HU21/HT21</f>
        <v>53.478666666666662</v>
      </c>
      <c r="HT21" s="169">
        <v>15</v>
      </c>
      <c r="HU21" s="169">
        <v>802.18</v>
      </c>
      <c r="HV21" s="48"/>
      <c r="HW21" s="179"/>
      <c r="HX21" s="3">
        <f>HZ21/HY21</f>
        <v>53.478749999999998</v>
      </c>
      <c r="HY21" s="169">
        <v>16</v>
      </c>
      <c r="HZ21" s="169">
        <v>855.66</v>
      </c>
      <c r="IA21" s="48"/>
      <c r="IB21" s="179"/>
      <c r="IC21" s="3">
        <f>IE21/ID21</f>
        <v>53.478636363636362</v>
      </c>
      <c r="ID21" s="169">
        <v>22</v>
      </c>
      <c r="IE21" s="169">
        <v>1176.53</v>
      </c>
      <c r="IF21" s="48"/>
      <c r="IG21" s="179"/>
      <c r="IH21" s="3">
        <f>IJ21/II21</f>
        <v>53.478571428571435</v>
      </c>
      <c r="II21" s="169">
        <v>14</v>
      </c>
      <c r="IJ21" s="169">
        <v>748.7</v>
      </c>
      <c r="IK21" s="48"/>
      <c r="IL21" s="179"/>
      <c r="IM21" s="3">
        <f>IO21/IN21</f>
        <v>32.207021276595746</v>
      </c>
      <c r="IN21" s="169">
        <v>47</v>
      </c>
      <c r="IO21" s="169">
        <v>1513.73</v>
      </c>
      <c r="IP21" s="48"/>
      <c r="IQ21" s="179"/>
    </row>
    <row r="22" spans="1:251" s="249" customFormat="1" ht="15" customHeight="1">
      <c r="A22" s="649"/>
      <c r="B22" s="609" t="s">
        <v>124</v>
      </c>
      <c r="C22" s="5" t="s">
        <v>24</v>
      </c>
      <c r="D22" s="6" t="s">
        <v>25</v>
      </c>
      <c r="E22" s="7" t="s">
        <v>10</v>
      </c>
      <c r="F22" s="4"/>
      <c r="G22" s="196"/>
      <c r="H22" s="197"/>
      <c r="I22" s="197"/>
      <c r="J22" s="197"/>
      <c r="K22" s="325"/>
      <c r="L22" s="196"/>
      <c r="M22" s="197"/>
      <c r="N22" s="197"/>
      <c r="O22" s="197"/>
      <c r="P22" s="325"/>
      <c r="Q22" s="196"/>
      <c r="R22" s="197"/>
      <c r="S22" s="197"/>
      <c r="T22" s="197"/>
      <c r="U22" s="325"/>
      <c r="V22" s="207"/>
      <c r="W22" s="197"/>
      <c r="X22" s="204">
        <v>2530</v>
      </c>
      <c r="Y22" s="197"/>
      <c r="Z22" s="383">
        <f>SUM(X22:X25)*1.2</f>
        <v>83719.562399999995</v>
      </c>
      <c r="AA22" s="36"/>
      <c r="AB22" s="197"/>
      <c r="AC22" s="204">
        <v>2024</v>
      </c>
      <c r="AD22" s="197"/>
      <c r="AE22" s="383">
        <f>SUM(AC22:AC25)*1.2</f>
        <v>97664.035199999998</v>
      </c>
      <c r="AF22" s="36"/>
      <c r="AG22" s="197"/>
      <c r="AH22" s="204">
        <v>2024</v>
      </c>
      <c r="AI22" s="197"/>
      <c r="AJ22" s="383">
        <f>AJ23*1.1</f>
        <v>98364.730200000005</v>
      </c>
      <c r="AK22" s="36"/>
      <c r="AL22" s="197"/>
      <c r="AM22" s="204">
        <v>2530</v>
      </c>
      <c r="AN22" s="197"/>
      <c r="AO22" s="383">
        <f>AO23*1.2</f>
        <v>120776.09999999998</v>
      </c>
      <c r="AP22" s="36"/>
      <c r="AQ22" s="197"/>
      <c r="AR22" s="197"/>
      <c r="AS22" s="197"/>
      <c r="AT22" s="383">
        <f>SUM(AR22:AR25)*1.2</f>
        <v>143589.8616</v>
      </c>
      <c r="AU22" s="36"/>
      <c r="AV22" s="197"/>
      <c r="AW22" s="197"/>
      <c r="AX22" s="197"/>
      <c r="AY22" s="383">
        <f>SUM(AW22:AW25)*1.2</f>
        <v>168735.83039999998</v>
      </c>
      <c r="AZ22" s="36"/>
      <c r="BA22" s="197"/>
      <c r="BB22" s="197"/>
      <c r="BC22" s="197"/>
      <c r="BD22" s="383">
        <f>SUM(BB22:BB25)*1.2</f>
        <v>132970.68</v>
      </c>
      <c r="BE22" s="36"/>
      <c r="BF22" s="197"/>
      <c r="BG22" s="197"/>
      <c r="BH22" s="197"/>
      <c r="BI22" s="383">
        <f>SUM(BG22:BG25)*1.2</f>
        <v>145941.81359999999</v>
      </c>
      <c r="BJ22" s="36"/>
      <c r="BK22" s="197"/>
      <c r="BL22" s="197"/>
      <c r="BM22" s="197"/>
      <c r="BN22" s="383">
        <f>SUM(BL22:BL25)*1.1</f>
        <v>150848.55720000001</v>
      </c>
      <c r="BO22" s="36"/>
      <c r="BP22" s="197"/>
      <c r="BQ22" s="197"/>
      <c r="BR22" s="197"/>
      <c r="BS22" s="383">
        <f>SUM(BQ22:BQ25)*1.2</f>
        <v>139827.85440000001</v>
      </c>
      <c r="BT22" s="36"/>
      <c r="BU22" s="197"/>
      <c r="BV22" s="197"/>
      <c r="BW22" s="197"/>
      <c r="BX22" s="383">
        <f>SUM(BV22:BV25)*1.2</f>
        <v>132846.62639999998</v>
      </c>
      <c r="BY22" s="36"/>
      <c r="BZ22" s="197"/>
      <c r="CA22" s="197"/>
      <c r="CB22" s="197"/>
      <c r="CC22" s="383">
        <f>SUM(CA22:CA25)*1.2</f>
        <v>113805.9696</v>
      </c>
      <c r="CD22" s="36"/>
      <c r="CE22" s="197"/>
      <c r="CF22" s="197"/>
      <c r="CG22" s="197"/>
      <c r="CH22" s="383">
        <f>SUM(CF22:CF25)*1.2</f>
        <v>110010.41040000001</v>
      </c>
      <c r="CI22" s="36"/>
      <c r="CJ22" s="197"/>
      <c r="CK22" s="197"/>
      <c r="CL22" s="197"/>
      <c r="CM22" s="383">
        <f>SUM(CK22:CK25)*1.2</f>
        <v>116878.164</v>
      </c>
      <c r="CN22" s="36"/>
      <c r="CO22" s="197"/>
      <c r="CP22" s="197"/>
      <c r="CQ22" s="197"/>
      <c r="CR22" s="383">
        <f>SUM(CP22:CP25)*1.2</f>
        <v>140467.236</v>
      </c>
      <c r="CS22" s="36"/>
      <c r="CT22" s="197"/>
      <c r="CU22" s="197"/>
      <c r="CV22" s="197"/>
      <c r="CW22" s="383">
        <f>SUM(CU22:CU25)*1.2</f>
        <v>147358.95599999998</v>
      </c>
      <c r="CX22" s="36"/>
      <c r="CY22" s="197"/>
      <c r="CZ22" s="197"/>
      <c r="DA22" s="197"/>
      <c r="DB22" s="383">
        <f>SUM(CZ22:CZ25)*1.2</f>
        <v>128861.496</v>
      </c>
      <c r="DC22" s="36"/>
      <c r="DD22" s="197"/>
      <c r="DE22" s="197"/>
      <c r="DF22" s="197"/>
      <c r="DG22" s="383">
        <f>SUM(DE22:DE25)*1.2</f>
        <v>180745.97999999998</v>
      </c>
      <c r="DH22" s="36"/>
      <c r="DI22" s="197"/>
      <c r="DJ22" s="197"/>
      <c r="DK22" s="197"/>
      <c r="DL22" s="383">
        <f>SUM(DJ22:DJ25)*1.2</f>
        <v>166849.69200000001</v>
      </c>
      <c r="DM22" s="36"/>
      <c r="DN22" s="197"/>
      <c r="DO22" s="197"/>
      <c r="DP22" s="197"/>
      <c r="DQ22" s="383">
        <f>SUM(DO22:DO25)*1.2</f>
        <v>156890.484</v>
      </c>
      <c r="DR22" s="36"/>
      <c r="DS22" s="197"/>
      <c r="DT22" s="197"/>
      <c r="DU22" s="197"/>
      <c r="DV22" s="383">
        <f>SUM(DT22:DT25)*1.2</f>
        <v>156247.51199999999</v>
      </c>
      <c r="DW22" s="36"/>
      <c r="DX22" s="197"/>
      <c r="DY22" s="197"/>
      <c r="DZ22" s="197"/>
      <c r="EA22" s="383">
        <f>SUM(DY22:DY25)*1.2</f>
        <v>148471.31999999998</v>
      </c>
      <c r="EB22" s="36"/>
      <c r="EC22" s="197"/>
      <c r="ED22" s="197"/>
      <c r="EE22" s="197"/>
      <c r="EF22" s="383">
        <f>SUM(ED22:ED25)*1.2</f>
        <v>170532.04800000001</v>
      </c>
      <c r="EG22" s="36"/>
      <c r="EH22" s="197"/>
      <c r="EI22" s="197"/>
      <c r="EJ22" s="197"/>
      <c r="EK22" s="383">
        <f>SUM(EI22:EI25)*1.2</f>
        <v>195644.29680000001</v>
      </c>
      <c r="EL22" s="36"/>
      <c r="EM22" s="197"/>
      <c r="EN22" s="197"/>
      <c r="EO22" s="197"/>
      <c r="EP22" s="383">
        <f>SUM(EN22:EN25)*1.2</f>
        <v>160930.13999999998</v>
      </c>
      <c r="EQ22" s="36"/>
      <c r="ER22" s="197"/>
      <c r="ES22" s="197"/>
      <c r="ET22" s="197"/>
      <c r="EU22" s="383">
        <f>SUM(ES22:ES25)*1.2</f>
        <v>157088.46</v>
      </c>
      <c r="EV22" s="36"/>
      <c r="EW22" s="197"/>
      <c r="EX22" s="197"/>
      <c r="EY22" s="197"/>
      <c r="EZ22" s="383">
        <f>SUM(EX22:EX25)*1.2</f>
        <v>135008.94</v>
      </c>
      <c r="FA22" s="36"/>
      <c r="FB22" s="197"/>
      <c r="FC22" s="197"/>
      <c r="FD22" s="197"/>
      <c r="FE22" s="383">
        <f>SUM(FC22:FC25)*1.2</f>
        <v>143923.82399999999</v>
      </c>
      <c r="FF22" s="36"/>
      <c r="FG22" s="197"/>
      <c r="FH22" s="197"/>
      <c r="FI22" s="197"/>
      <c r="FJ22" s="383">
        <f>SUM(FH22:FH25)*1.2</f>
        <v>157970.89199999999</v>
      </c>
      <c r="FK22" s="36"/>
      <c r="FL22" s="197"/>
      <c r="FM22" s="197"/>
      <c r="FN22" s="197"/>
      <c r="FO22" s="383">
        <f>SUM(FM22:FM25)*1.2</f>
        <v>182269.092</v>
      </c>
      <c r="FP22" s="36"/>
      <c r="FQ22" s="197"/>
      <c r="FR22" s="197"/>
      <c r="FS22" s="197"/>
      <c r="FT22" s="383">
        <f>SUM(FR22:FR25)*1.2</f>
        <v>157105.08000000002</v>
      </c>
      <c r="FU22" s="36"/>
      <c r="FV22" s="197"/>
      <c r="FW22" s="197"/>
      <c r="FX22" s="197"/>
      <c r="FY22" s="383">
        <f>SUM(FW22:FW25)*1.2</f>
        <v>170410.95600000001</v>
      </c>
      <c r="FZ22" s="36"/>
      <c r="GA22" s="197"/>
      <c r="GB22" s="197"/>
      <c r="GC22" s="197"/>
      <c r="GD22" s="383">
        <f>SUM(GB22:GB25)*1.2</f>
        <v>142361.20800000001</v>
      </c>
      <c r="GE22" s="36"/>
      <c r="GF22" s="197"/>
      <c r="GG22" s="197"/>
      <c r="GH22" s="197"/>
      <c r="GI22" s="383">
        <f>SUM(GG22:GG25)*1.2</f>
        <v>147351.04799999998</v>
      </c>
      <c r="GJ22" s="280"/>
      <c r="GK22" s="197"/>
      <c r="GL22" s="197"/>
      <c r="GM22" s="197"/>
      <c r="GN22" s="383">
        <f>SUM(GL22:GL25)*1.2</f>
        <v>110355.49199999998</v>
      </c>
      <c r="GO22" s="36"/>
      <c r="GP22" s="197"/>
      <c r="GQ22" s="197"/>
      <c r="GR22" s="197"/>
      <c r="GS22" s="383">
        <f>SUM(GQ22:GQ25)*1.2</f>
        <v>80914.468800000002</v>
      </c>
      <c r="GT22" s="36"/>
      <c r="GU22" s="197"/>
      <c r="GV22" s="197"/>
      <c r="GW22" s="197"/>
      <c r="GX22" s="383">
        <f>SUM(GV22:GV25)*1.2</f>
        <v>107672.18399999999</v>
      </c>
      <c r="GY22" s="36"/>
      <c r="GZ22" s="197"/>
      <c r="HA22" s="197"/>
      <c r="HB22" s="197"/>
      <c r="HC22" s="383">
        <f>SUM(HA22:HA25)*1.2</f>
        <v>157088.46</v>
      </c>
      <c r="HD22" s="36"/>
      <c r="HE22" s="197"/>
      <c r="HF22" s="197"/>
      <c r="HG22" s="197"/>
      <c r="HH22" s="383">
        <f>SUM(HF22:HF25)*1.2</f>
        <v>135008.94</v>
      </c>
      <c r="HI22" s="36"/>
      <c r="HJ22" s="197"/>
      <c r="HK22" s="197"/>
      <c r="HL22" s="197"/>
      <c r="HM22" s="383">
        <f>SUM(HK22:HK25)*1.2</f>
        <v>143923.82399999999</v>
      </c>
      <c r="HN22" s="36"/>
      <c r="HO22" s="197"/>
      <c r="HP22" s="197"/>
      <c r="HQ22" s="197"/>
      <c r="HR22" s="383">
        <f>SUM(HP22:HP25)*1.2</f>
        <v>157970.89199999999</v>
      </c>
      <c r="HS22" s="36"/>
      <c r="HT22" s="197"/>
      <c r="HU22" s="197"/>
      <c r="HV22" s="197"/>
      <c r="HW22" s="383">
        <f>SUM(HU22:HU25)*1.2</f>
        <v>182269.092</v>
      </c>
      <c r="HX22" s="36"/>
      <c r="HY22" s="197"/>
      <c r="HZ22" s="197"/>
      <c r="IA22" s="197"/>
      <c r="IB22" s="383">
        <f>SUM(HZ22:HZ25)*1.2</f>
        <v>157105.08000000002</v>
      </c>
      <c r="IC22" s="36"/>
      <c r="ID22" s="197"/>
      <c r="IE22" s="197"/>
      <c r="IF22" s="197"/>
      <c r="IG22" s="383">
        <f>SUM(IE22:IE25)*1.2</f>
        <v>170410.95600000001</v>
      </c>
      <c r="IH22" s="36"/>
      <c r="II22" s="197"/>
      <c r="IJ22" s="197"/>
      <c r="IK22" s="197"/>
      <c r="IL22" s="383">
        <f>SUM(IJ22:IJ25)*1.2</f>
        <v>280048.89600000001</v>
      </c>
      <c r="IM22" s="36"/>
      <c r="IN22" s="197"/>
      <c r="IO22" s="197"/>
      <c r="IP22" s="197"/>
      <c r="IQ22" s="383">
        <f>SUM(IO22:IO25)*1.2</f>
        <v>38836.3416</v>
      </c>
    </row>
    <row r="23" spans="1:251" ht="15" customHeight="1">
      <c r="A23" s="647">
        <v>1</v>
      </c>
      <c r="B23" s="256" t="s">
        <v>336</v>
      </c>
      <c r="C23" s="215">
        <v>19420118</v>
      </c>
      <c r="D23" s="45" t="s">
        <v>26</v>
      </c>
      <c r="E23" s="216" t="s">
        <v>13</v>
      </c>
      <c r="F23" s="22"/>
      <c r="G23" s="104">
        <f>I23/H23</f>
        <v>5.7995290115290112</v>
      </c>
      <c r="H23" s="69">
        <v>5291</v>
      </c>
      <c r="I23" s="69">
        <f>1.2*25571.09</f>
        <v>30685.307999999997</v>
      </c>
      <c r="J23" s="128"/>
      <c r="K23" s="136"/>
      <c r="L23" s="104">
        <f>N23/M23</f>
        <v>5.7929482359000772</v>
      </c>
      <c r="M23" s="69">
        <v>7766</v>
      </c>
      <c r="N23" s="69">
        <f>1.2*37490.03</f>
        <v>44988.036</v>
      </c>
      <c r="O23" s="128"/>
      <c r="P23" s="136"/>
      <c r="Q23" s="104">
        <f>S23/R23</f>
        <v>5.7364084788029928</v>
      </c>
      <c r="R23" s="69">
        <v>8020</v>
      </c>
      <c r="S23" s="69">
        <f>1.2*38338.33</f>
        <v>46005.995999999999</v>
      </c>
      <c r="T23" s="128"/>
      <c r="U23" s="136"/>
      <c r="V23" s="115">
        <f>X23/W23</f>
        <v>5.9058732091019754</v>
      </c>
      <c r="W23" s="69">
        <v>10679</v>
      </c>
      <c r="X23" s="69">
        <f>1.2*52557.35</f>
        <v>63068.819999999992</v>
      </c>
      <c r="Y23" s="128"/>
      <c r="Z23" s="403">
        <f>SUM(X22:X25)*1</f>
        <v>69766.301999999996</v>
      </c>
      <c r="AA23" s="92">
        <f>AC23/AB23</f>
        <v>5.6497682843988226</v>
      </c>
      <c r="AB23" s="69">
        <v>13249</v>
      </c>
      <c r="AC23" s="69">
        <f>1.2*62378.15</f>
        <v>74853.78</v>
      </c>
      <c r="AD23" s="128"/>
      <c r="AE23" s="403">
        <f>SUM(AC22:AC25)*1</f>
        <v>81386.695999999996</v>
      </c>
      <c r="AF23" s="92">
        <f>AH23/AG23</f>
        <v>5.4696957210776542</v>
      </c>
      <c r="AG23" s="69">
        <v>15144</v>
      </c>
      <c r="AH23" s="69">
        <f>1.2*69027.56</f>
        <v>82833.072</v>
      </c>
      <c r="AI23" s="128"/>
      <c r="AJ23" s="403">
        <f>SUM(AH22:AH25)*1</f>
        <v>89422.482000000004</v>
      </c>
      <c r="AK23" s="92">
        <f>AM23/AL23</f>
        <v>5.8678681815328595</v>
      </c>
      <c r="AL23" s="128">
        <v>15931</v>
      </c>
      <c r="AM23" s="74">
        <f>1.2*77900.84</f>
        <v>93481.007999999987</v>
      </c>
      <c r="AN23" s="128"/>
      <c r="AO23" s="403">
        <f>SUM(AM22:AM25)*1</f>
        <v>100646.74999999999</v>
      </c>
      <c r="AP23" s="92">
        <f>AR23/AQ23</f>
        <v>6.762972027560215</v>
      </c>
      <c r="AQ23" s="69">
        <v>16981</v>
      </c>
      <c r="AR23" s="69">
        <f>1.2*95701.69</f>
        <v>114842.02800000001</v>
      </c>
      <c r="AS23" s="128"/>
      <c r="AT23" s="403">
        <f>SUM(AR22:AR25)*1</f>
        <v>119658.21800000001</v>
      </c>
      <c r="AU23" s="92">
        <f>AW23/AV23</f>
        <v>7.3032482608695641</v>
      </c>
      <c r="AV23" s="69">
        <v>18400</v>
      </c>
      <c r="AW23" s="69">
        <f>1.2*111983.14</f>
        <v>134379.76799999998</v>
      </c>
      <c r="AX23" s="128"/>
      <c r="AY23" s="403">
        <f>SUM(AW22:AW25)*1</f>
        <v>140613.19199999998</v>
      </c>
      <c r="AZ23" s="92">
        <f>BB23/BA23</f>
        <v>6.1660898073883263</v>
      </c>
      <c r="BA23" s="69">
        <v>17081</v>
      </c>
      <c r="BB23" s="69">
        <v>105322.98</v>
      </c>
      <c r="BC23" s="128"/>
      <c r="BD23" s="403">
        <f>SUM(BB22:BB25)*1</f>
        <v>110808.9</v>
      </c>
      <c r="BE23" s="92">
        <f>BG23/BF23</f>
        <v>7.546620132829795</v>
      </c>
      <c r="BF23" s="69">
        <v>15358</v>
      </c>
      <c r="BG23" s="69">
        <f>1.2*96584.16</f>
        <v>115900.992</v>
      </c>
      <c r="BH23" s="128"/>
      <c r="BI23" s="403">
        <f>SUM(BG22:BG25)*1</f>
        <v>121618.178</v>
      </c>
      <c r="BJ23" s="92">
        <f>BL23/BK23</f>
        <v>7.6667398483869063</v>
      </c>
      <c r="BK23" s="69">
        <v>17017</v>
      </c>
      <c r="BL23" s="69">
        <f>1.2*108720.76</f>
        <v>130464.91199999998</v>
      </c>
      <c r="BM23" s="128"/>
      <c r="BN23" s="403">
        <f>SUM(BL22:BL25)*1</f>
        <v>137135.052</v>
      </c>
      <c r="BO23" s="92">
        <f>BQ23/BP23</f>
        <v>7.5466199587061258</v>
      </c>
      <c r="BP23" s="69">
        <v>14530</v>
      </c>
      <c r="BQ23" s="69">
        <f>1.2*91376.99</f>
        <v>109652.38800000001</v>
      </c>
      <c r="BR23" s="128"/>
      <c r="BS23" s="403">
        <f>SUM(BQ22:BQ25)*1</f>
        <v>116523.21200000001</v>
      </c>
      <c r="BT23" s="92">
        <f>BV23/BU23</f>
        <v>7.2362637920101456</v>
      </c>
      <c r="BU23" s="69">
        <v>14193</v>
      </c>
      <c r="BV23" s="69">
        <f>1.2*85586.91</f>
        <v>102704.292</v>
      </c>
      <c r="BW23" s="128"/>
      <c r="BX23" s="403">
        <f>SUM(BV22:BV25)*1</f>
        <v>110705.522</v>
      </c>
      <c r="BY23" s="92">
        <f>CA23/BZ23</f>
        <v>6.6959041519101801</v>
      </c>
      <c r="BZ23" s="69">
        <v>13271</v>
      </c>
      <c r="CA23" s="69">
        <f>1.2*74051.12</f>
        <v>88861.343999999997</v>
      </c>
      <c r="CB23" s="128"/>
      <c r="CC23" s="403">
        <f>SUM(CA22:CA25)*1</f>
        <v>94838.308000000005</v>
      </c>
      <c r="CD23" s="92">
        <f>CF23/CE23</f>
        <v>6.0954956276445698</v>
      </c>
      <c r="CE23" s="69">
        <v>14180</v>
      </c>
      <c r="CF23" s="69">
        <f>72028.44*1.2</f>
        <v>86434.127999999997</v>
      </c>
      <c r="CG23" s="128"/>
      <c r="CH23" s="403">
        <f>SUM(CF22:CF25)*1</f>
        <v>91675.342000000004</v>
      </c>
      <c r="CI23" s="92">
        <f>CK23/CJ23</f>
        <v>6.6573482519482381</v>
      </c>
      <c r="CJ23" s="69">
        <v>13987</v>
      </c>
      <c r="CK23" s="69">
        <v>93116.33</v>
      </c>
      <c r="CL23" s="128"/>
      <c r="CM23" s="403">
        <f>SUM(CK22:CK25)*1</f>
        <v>97398.47</v>
      </c>
      <c r="CN23" s="92">
        <f>CP23/CO23</f>
        <v>7.7616725218709099</v>
      </c>
      <c r="CO23" s="69">
        <v>14517</v>
      </c>
      <c r="CP23" s="69">
        <v>112676.2</v>
      </c>
      <c r="CQ23" s="128"/>
      <c r="CR23" s="403">
        <f>SUM(CP22:CP25)*1</f>
        <v>117056.03</v>
      </c>
      <c r="CS23" s="92">
        <f>CU23/CT23</f>
        <v>8.6139118619170034</v>
      </c>
      <c r="CT23" s="69">
        <v>13615</v>
      </c>
      <c r="CU23" s="69">
        <v>117278.41</v>
      </c>
      <c r="CV23" s="128"/>
      <c r="CW23" s="403">
        <f>SUM(CU22:CU25)*1</f>
        <v>122799.12999999999</v>
      </c>
      <c r="CX23" s="92">
        <f>CZ23/CY23</f>
        <v>9.4557602611940297</v>
      </c>
      <c r="CY23" s="69">
        <v>10720</v>
      </c>
      <c r="CZ23" s="69">
        <v>101365.75</v>
      </c>
      <c r="DA23" s="128"/>
      <c r="DB23" s="403">
        <f>SUM(CZ22:CZ25)*1</f>
        <v>107384.58</v>
      </c>
      <c r="DC23" s="92">
        <f>DE23/DD23</f>
        <v>9.4797717260712862</v>
      </c>
      <c r="DD23" s="69">
        <v>14982</v>
      </c>
      <c r="DE23" s="69">
        <v>142025.94</v>
      </c>
      <c r="DF23" s="128"/>
      <c r="DG23" s="403">
        <f>SUM(DE22:DE25)*1</f>
        <v>150621.65</v>
      </c>
      <c r="DH23" s="92">
        <f>DJ23/DI23</f>
        <v>9.6358439841339809</v>
      </c>
      <c r="DI23" s="69">
        <v>13614</v>
      </c>
      <c r="DJ23" s="69">
        <v>131182.38</v>
      </c>
      <c r="DK23" s="128"/>
      <c r="DL23" s="403">
        <f>SUM(DJ22:DJ25)*1</f>
        <v>139041.41</v>
      </c>
      <c r="DM23" s="92">
        <f>DO23/DN23</f>
        <v>8.9188081310324652</v>
      </c>
      <c r="DN23" s="69">
        <v>13676</v>
      </c>
      <c r="DO23" s="69">
        <v>121973.62</v>
      </c>
      <c r="DP23" s="128"/>
      <c r="DQ23" s="403">
        <f>SUM(DO22:DO25)*1</f>
        <v>130742.06999999999</v>
      </c>
      <c r="DR23" s="92">
        <f>DT23/DS23</f>
        <v>9.7955402280519888</v>
      </c>
      <c r="DS23" s="69">
        <v>12541</v>
      </c>
      <c r="DT23" s="69">
        <v>122845.87</v>
      </c>
      <c r="DU23" s="128"/>
      <c r="DV23" s="403">
        <f>SUM(DT22:DT25)*1</f>
        <v>130206.26</v>
      </c>
      <c r="DW23" s="92">
        <f>DY23/DX23</f>
        <v>9.879612588728298</v>
      </c>
      <c r="DX23" s="69">
        <v>11693</v>
      </c>
      <c r="DY23" s="69">
        <v>115522.31</v>
      </c>
      <c r="DZ23" s="128"/>
      <c r="EA23" s="403">
        <f>SUM(DY22:DY25)*1</f>
        <v>123726.09999999999</v>
      </c>
      <c r="EB23" s="92">
        <f>ED23/EC23</f>
        <v>10.011983793517407</v>
      </c>
      <c r="EC23" s="69">
        <v>13328</v>
      </c>
      <c r="ED23" s="69">
        <v>133439.72</v>
      </c>
      <c r="EE23" s="128"/>
      <c r="EF23" s="403">
        <f>SUM(ED22:ED25)*1</f>
        <v>142110.04</v>
      </c>
      <c r="EG23" s="92">
        <f>EI23/EH23</f>
        <v>10.192079818299806</v>
      </c>
      <c r="EH23" s="69">
        <v>15410</v>
      </c>
      <c r="EI23" s="69">
        <v>157059.95000000001</v>
      </c>
      <c r="EJ23" s="128"/>
      <c r="EK23" s="403">
        <f>SUM(EI22:EI25)*1</f>
        <v>163036.91400000002</v>
      </c>
      <c r="EL23" s="92">
        <f>EN23/EM23</f>
        <v>9.4716958432389582</v>
      </c>
      <c r="EM23" s="69">
        <v>13881</v>
      </c>
      <c r="EN23" s="69">
        <v>131476.60999999999</v>
      </c>
      <c r="EO23" s="128"/>
      <c r="EP23" s="403">
        <f>SUM(EN22:EN25)*1</f>
        <v>134108.44999999998</v>
      </c>
      <c r="EQ23" s="92">
        <f>ES23/ER23</f>
        <v>8.6886715220176676</v>
      </c>
      <c r="ER23" s="69">
        <v>14829</v>
      </c>
      <c r="ES23" s="69">
        <v>128844.31</v>
      </c>
      <c r="ET23" s="128"/>
      <c r="EU23" s="403">
        <f>SUM(ES22:ES25)*1</f>
        <v>130907.05</v>
      </c>
      <c r="EV23" s="92">
        <f>EX23/EW23</f>
        <v>8.6286602047995</v>
      </c>
      <c r="EW23" s="69">
        <v>12793</v>
      </c>
      <c r="EX23" s="69">
        <v>110386.45</v>
      </c>
      <c r="EY23" s="128"/>
      <c r="EZ23" s="403">
        <f>SUM(EX22:EX25)*1</f>
        <v>112507.45</v>
      </c>
      <c r="FA23" s="92">
        <f>FC23/FB23</f>
        <v>8.6286596286858384</v>
      </c>
      <c r="FB23" s="69">
        <v>13735</v>
      </c>
      <c r="FC23" s="69">
        <v>118514.64</v>
      </c>
      <c r="FD23" s="128"/>
      <c r="FE23" s="403">
        <f>SUM(FC22:FC25)*1</f>
        <v>119936.52</v>
      </c>
      <c r="FF23" s="92">
        <f>FH23/FG23</f>
        <v>9.2297153783922923</v>
      </c>
      <c r="FG23" s="69">
        <v>13597</v>
      </c>
      <c r="FH23" s="69">
        <v>125496.44</v>
      </c>
      <c r="FI23" s="56"/>
      <c r="FJ23" s="403">
        <f>SUM(FH22:FH25)*1</f>
        <v>131642.41</v>
      </c>
      <c r="FK23" s="92">
        <f>FM23/FL23</f>
        <v>9.6498601160013653</v>
      </c>
      <c r="FL23" s="69">
        <v>14655</v>
      </c>
      <c r="FM23" s="69">
        <v>141418.70000000001</v>
      </c>
      <c r="FN23" s="1535">
        <v>0.05</v>
      </c>
      <c r="FO23" s="403">
        <f>SUM(FM22:FM25)*1</f>
        <v>151890.91</v>
      </c>
      <c r="FP23" s="92">
        <f>FR23/FQ23</f>
        <v>8.6646236408277808</v>
      </c>
      <c r="FQ23" s="69">
        <v>14255</v>
      </c>
      <c r="FR23" s="69">
        <v>123514.21</v>
      </c>
      <c r="FS23" s="128"/>
      <c r="FT23" s="403">
        <f>SUM(FR22:FR25)*1</f>
        <v>130920.90000000001</v>
      </c>
      <c r="FU23" s="92">
        <f>FW23/FV23</f>
        <v>11.188499625530499</v>
      </c>
      <c r="FV23" s="69">
        <v>12017</v>
      </c>
      <c r="FW23" s="69">
        <v>134452.20000000001</v>
      </c>
      <c r="FX23" s="56"/>
      <c r="FY23" s="403">
        <f>SUM(FW22:FW25)*1</f>
        <v>142009.13</v>
      </c>
      <c r="FZ23" s="92">
        <f>GB23/GA23</f>
        <v>11.72883565797453</v>
      </c>
      <c r="GA23" s="69">
        <v>9894</v>
      </c>
      <c r="GB23" s="69">
        <v>116045.1</v>
      </c>
      <c r="GC23" s="128"/>
      <c r="GD23" s="403">
        <f>SUM(GB22:GB25)*1</f>
        <v>118634.34000000001</v>
      </c>
      <c r="GE23" s="92">
        <f>GG23/GF23</f>
        <v>11.524704076738608</v>
      </c>
      <c r="GF23" s="69">
        <v>10425</v>
      </c>
      <c r="GG23" s="69">
        <v>120145.04</v>
      </c>
      <c r="GH23" s="128"/>
      <c r="GI23" s="403">
        <f>SUM(GG22:GG25)*1</f>
        <v>122792.54</v>
      </c>
      <c r="GJ23" s="98">
        <f>GL23/GK23</f>
        <v>13.543019993550468</v>
      </c>
      <c r="GK23" s="69">
        <v>6202</v>
      </c>
      <c r="GL23" s="69">
        <v>83993.81</v>
      </c>
      <c r="GM23" s="128"/>
      <c r="GN23" s="403">
        <f>SUM(GL22:GL25)*1</f>
        <v>91962.909999999989</v>
      </c>
      <c r="GO23" s="92">
        <f>GQ23/GP23</f>
        <v>15.163992219790908</v>
      </c>
      <c r="GP23" s="69">
        <v>4113</v>
      </c>
      <c r="GQ23" s="69">
        <v>62369.5</v>
      </c>
      <c r="GR23" s="128"/>
      <c r="GS23" s="403">
        <f>SUM(GQ22:GQ25)*1</f>
        <v>67428.724000000002</v>
      </c>
      <c r="GT23" s="92">
        <f>GV23/GU23</f>
        <v>12.40233570531603</v>
      </c>
      <c r="GU23" s="69">
        <v>7167</v>
      </c>
      <c r="GV23" s="69">
        <v>88887.54</v>
      </c>
      <c r="GW23" s="128"/>
      <c r="GX23" s="403">
        <f>SUM(GV22:GV25)*1</f>
        <v>89726.819999999992</v>
      </c>
      <c r="GY23" s="92">
        <f>HA23/GZ23</f>
        <v>8.6886715220176676</v>
      </c>
      <c r="GZ23" s="58">
        <v>14829</v>
      </c>
      <c r="HA23" s="58">
        <v>128844.31</v>
      </c>
      <c r="HB23" s="56"/>
      <c r="HC23" s="403">
        <f>SUM(HA22:HA25)*1</f>
        <v>130907.05</v>
      </c>
      <c r="HD23" s="92">
        <f>HF23/HE23</f>
        <v>8.6286602047995</v>
      </c>
      <c r="HE23" s="58">
        <v>12793</v>
      </c>
      <c r="HF23" s="58">
        <v>110386.45</v>
      </c>
      <c r="HG23" s="56"/>
      <c r="HH23" s="403">
        <f>SUM(HF22:HF25)*1</f>
        <v>112507.45</v>
      </c>
      <c r="HI23" s="92">
        <f>HK23/HJ23</f>
        <v>8.6286596286858384</v>
      </c>
      <c r="HJ23" s="58">
        <v>13735</v>
      </c>
      <c r="HK23" s="58">
        <v>118514.64</v>
      </c>
      <c r="HL23" s="56"/>
      <c r="HM23" s="403">
        <f>SUM(HK22:HK25)*1</f>
        <v>119936.52</v>
      </c>
      <c r="HN23" s="92">
        <f>HP23/HO23</f>
        <v>9.2297153783922923</v>
      </c>
      <c r="HO23" s="58">
        <v>13597</v>
      </c>
      <c r="HP23" s="58">
        <v>125496.44</v>
      </c>
      <c r="HQ23" s="56"/>
      <c r="HR23" s="403">
        <f>SUM(HP22:HP25)*1</f>
        <v>131642.41</v>
      </c>
      <c r="HS23" s="92">
        <f>HU23/HT23</f>
        <v>9.6498601160013653</v>
      </c>
      <c r="HT23" s="58">
        <v>14655</v>
      </c>
      <c r="HU23" s="58">
        <v>141418.70000000001</v>
      </c>
      <c r="HV23" s="1574">
        <v>0.05</v>
      </c>
      <c r="HW23" s="403">
        <f>SUM(HU22:HU25)*1</f>
        <v>151890.91</v>
      </c>
      <c r="HX23" s="92">
        <f>HZ23/HY23</f>
        <v>8.6646236408277808</v>
      </c>
      <c r="HY23" s="58">
        <v>14255</v>
      </c>
      <c r="HZ23" s="58">
        <v>123514.21</v>
      </c>
      <c r="IA23" s="56"/>
      <c r="IB23" s="403">
        <f>SUM(HZ22:HZ25)*1</f>
        <v>130920.90000000001</v>
      </c>
      <c r="IC23" s="92">
        <f>IE23/ID23</f>
        <v>11.188499625530499</v>
      </c>
      <c r="ID23" s="58">
        <v>12017</v>
      </c>
      <c r="IE23" s="58">
        <v>134452.20000000001</v>
      </c>
      <c r="IF23" s="56"/>
      <c r="IG23" s="403">
        <f>SUM(IE22:IE25)*1</f>
        <v>142009.13</v>
      </c>
      <c r="IH23" s="92">
        <f>IJ23/II23</f>
        <v>11.72883565797453</v>
      </c>
      <c r="II23" s="58">
        <v>9894</v>
      </c>
      <c r="IJ23" s="58">
        <v>116045.1</v>
      </c>
      <c r="IK23" s="56"/>
      <c r="IL23" s="403">
        <f>SUM(IJ22:IJ25)*1</f>
        <v>233374.08000000002</v>
      </c>
      <c r="IM23" s="92">
        <f>IO23/IN23</f>
        <v>5.7995290115290112</v>
      </c>
      <c r="IN23" s="58">
        <v>5291</v>
      </c>
      <c r="IO23" s="58">
        <f>1.2*25571.09</f>
        <v>30685.307999999997</v>
      </c>
      <c r="IP23" s="56"/>
      <c r="IQ23" s="403">
        <f>SUM(IO22:IO25)*1</f>
        <v>32363.617999999999</v>
      </c>
    </row>
    <row r="24" spans="1:251" ht="15" customHeight="1">
      <c r="A24" s="647"/>
      <c r="B24" s="256"/>
      <c r="C24" s="215" t="s">
        <v>203</v>
      </c>
      <c r="D24" s="45" t="s">
        <v>26</v>
      </c>
      <c r="E24" s="216" t="s">
        <v>15</v>
      </c>
      <c r="F24" s="22"/>
      <c r="G24" s="103"/>
      <c r="H24" s="69">
        <v>1</v>
      </c>
      <c r="I24" s="69">
        <f>1.2*1286.88</f>
        <v>1544.2560000000001</v>
      </c>
      <c r="J24" s="128"/>
      <c r="K24" s="136"/>
      <c r="L24" s="103"/>
      <c r="M24" s="69">
        <v>6670</v>
      </c>
      <c r="N24" s="69">
        <f>1.2*1776.61</f>
        <v>2131.9319999999998</v>
      </c>
      <c r="O24" s="128"/>
      <c r="P24" s="136"/>
      <c r="Q24" s="103"/>
      <c r="R24" s="69">
        <v>7112</v>
      </c>
      <c r="S24" s="69">
        <f>1.2*2008.74</f>
        <v>2410.4879999999998</v>
      </c>
      <c r="T24" s="128"/>
      <c r="U24" s="136"/>
      <c r="V24" s="47"/>
      <c r="W24" s="69">
        <v>1</v>
      </c>
      <c r="X24" s="69">
        <f>1.2*2516.66</f>
        <v>3019.9919999999997</v>
      </c>
      <c r="Y24" s="128"/>
      <c r="Z24" s="128"/>
      <c r="AA24" s="46"/>
      <c r="AB24" s="69">
        <v>1</v>
      </c>
      <c r="AC24" s="69">
        <f>1.2*2950.58</f>
        <v>3540.6959999999999</v>
      </c>
      <c r="AD24" s="128"/>
      <c r="AE24" s="128"/>
      <c r="AF24" s="46"/>
      <c r="AG24" s="69">
        <v>1</v>
      </c>
      <c r="AH24" s="69">
        <f>1.2*2967.75</f>
        <v>3561.2999999999997</v>
      </c>
      <c r="AI24" s="128"/>
      <c r="AJ24" s="128"/>
      <c r="AK24" s="46"/>
      <c r="AL24" s="128">
        <v>1</v>
      </c>
      <c r="AM24" s="74">
        <f>1.2*2936.71</f>
        <v>3524.0520000000001</v>
      </c>
      <c r="AN24" s="128"/>
      <c r="AO24" s="128"/>
      <c r="AP24" s="46"/>
      <c r="AQ24" s="69">
        <v>1</v>
      </c>
      <c r="AR24" s="69">
        <f>1.2*3326.2</f>
        <v>3991.4399999999996</v>
      </c>
      <c r="AS24" s="128"/>
      <c r="AT24" s="128"/>
      <c r="AU24" s="46"/>
      <c r="AV24" s="69">
        <v>1</v>
      </c>
      <c r="AW24" s="69">
        <f>1.2*4238.22</f>
        <v>5085.8640000000005</v>
      </c>
      <c r="AX24" s="128"/>
      <c r="AY24" s="128"/>
      <c r="AZ24" s="46"/>
      <c r="BA24" s="69">
        <v>1</v>
      </c>
      <c r="BB24" s="69">
        <v>4517.72</v>
      </c>
      <c r="BC24" s="128"/>
      <c r="BD24" s="128"/>
      <c r="BE24" s="46"/>
      <c r="BF24" s="69">
        <v>1</v>
      </c>
      <c r="BG24" s="69">
        <f>1.2*3837.93</f>
        <v>4605.5159999999996</v>
      </c>
      <c r="BH24" s="128"/>
      <c r="BI24" s="128"/>
      <c r="BJ24" s="46"/>
      <c r="BK24" s="69">
        <v>1</v>
      </c>
      <c r="BL24" s="69">
        <f>1.2*4691.8</f>
        <v>5630.16</v>
      </c>
      <c r="BM24" s="128"/>
      <c r="BN24" s="128"/>
      <c r="BO24" s="46"/>
      <c r="BP24" s="69">
        <v>1</v>
      </c>
      <c r="BQ24" s="69">
        <f>1.2*4829.17</f>
        <v>5795.0039999999999</v>
      </c>
      <c r="BR24" s="128"/>
      <c r="BS24" s="128"/>
      <c r="BT24" s="46"/>
      <c r="BU24" s="69">
        <v>1</v>
      </c>
      <c r="BV24" s="69">
        <f>1.2*4874.65</f>
        <v>5849.579999999999</v>
      </c>
      <c r="BW24" s="128"/>
      <c r="BX24" s="128"/>
      <c r="BY24" s="46"/>
      <c r="BZ24" s="69">
        <v>1</v>
      </c>
      <c r="CA24" s="69">
        <f>1.2*3905.02</f>
        <v>4686.0239999999994</v>
      </c>
      <c r="CB24" s="128"/>
      <c r="CC24" s="128"/>
      <c r="CD24" s="46"/>
      <c r="CE24" s="69">
        <v>1</v>
      </c>
      <c r="CF24" s="69">
        <f>1.2*3261.97</f>
        <v>3914.3639999999996</v>
      </c>
      <c r="CG24" s="128"/>
      <c r="CH24" s="128"/>
      <c r="CI24" s="46"/>
      <c r="CJ24" s="69">
        <v>1</v>
      </c>
      <c r="CK24" s="69">
        <v>3134.58</v>
      </c>
      <c r="CL24" s="128"/>
      <c r="CM24" s="128"/>
      <c r="CN24" s="46"/>
      <c r="CO24" s="69">
        <v>1</v>
      </c>
      <c r="CP24" s="372">
        <v>3333.92</v>
      </c>
      <c r="CQ24" s="128"/>
      <c r="CR24" s="128"/>
      <c r="CS24" s="46"/>
      <c r="CT24" s="69">
        <v>1</v>
      </c>
      <c r="CU24" s="69">
        <v>4480.79</v>
      </c>
      <c r="CV24" s="128"/>
      <c r="CW24" s="128"/>
      <c r="CX24" s="46"/>
      <c r="CY24" s="69">
        <v>1</v>
      </c>
      <c r="CZ24" s="69">
        <v>4374.53</v>
      </c>
      <c r="DA24" s="128"/>
      <c r="DB24" s="128"/>
      <c r="DC24" s="46"/>
      <c r="DD24" s="69">
        <v>1</v>
      </c>
      <c r="DE24" s="69">
        <v>6894.71</v>
      </c>
      <c r="DF24" s="128"/>
      <c r="DG24" s="128"/>
      <c r="DH24" s="46"/>
      <c r="DI24" s="69">
        <v>1</v>
      </c>
      <c r="DJ24" s="69">
        <v>6101.33</v>
      </c>
      <c r="DK24" s="128"/>
      <c r="DL24" s="128"/>
      <c r="DM24" s="46"/>
      <c r="DN24" s="69">
        <v>1</v>
      </c>
      <c r="DO24" s="69">
        <v>6193.31</v>
      </c>
      <c r="DP24" s="128"/>
      <c r="DQ24" s="128"/>
      <c r="DR24" s="46"/>
      <c r="DS24" s="69">
        <v>1</v>
      </c>
      <c r="DT24" s="69">
        <v>5352.25</v>
      </c>
      <c r="DU24" s="128"/>
      <c r="DV24" s="128"/>
      <c r="DW24" s="46"/>
      <c r="DX24" s="69">
        <v>1</v>
      </c>
      <c r="DY24" s="69">
        <v>5515.25</v>
      </c>
      <c r="DZ24" s="128"/>
      <c r="EA24" s="128"/>
      <c r="EB24" s="46"/>
      <c r="EC24" s="69">
        <v>1</v>
      </c>
      <c r="ED24" s="69">
        <v>6605.48</v>
      </c>
      <c r="EE24" s="128"/>
      <c r="EF24" s="128"/>
      <c r="EG24" s="46"/>
      <c r="EH24" s="58">
        <v>1</v>
      </c>
      <c r="EI24" s="58">
        <f>1.2*3905.02</f>
        <v>4686.0239999999994</v>
      </c>
      <c r="EJ24" s="56"/>
      <c r="EK24" s="128"/>
      <c r="EL24" s="46"/>
      <c r="EM24" s="58"/>
      <c r="EN24" s="58"/>
      <c r="EO24" s="56"/>
      <c r="EP24" s="128"/>
      <c r="EQ24" s="46"/>
      <c r="ER24" s="58"/>
      <c r="ES24" s="58"/>
      <c r="ET24" s="56"/>
      <c r="EU24" s="128"/>
      <c r="EV24" s="46"/>
      <c r="EW24" s="58"/>
      <c r="EX24" s="509"/>
      <c r="EY24" s="56"/>
      <c r="EZ24" s="128"/>
      <c r="FA24" s="46"/>
      <c r="FB24" s="58">
        <v>1</v>
      </c>
      <c r="FC24" s="58"/>
      <c r="FD24" s="56"/>
      <c r="FE24" s="128"/>
      <c r="FF24" s="46"/>
      <c r="FG24" s="58">
        <v>1</v>
      </c>
      <c r="FH24" s="58">
        <v>4374.53</v>
      </c>
      <c r="FI24" s="56"/>
      <c r="FJ24" s="128"/>
      <c r="FK24" s="46"/>
      <c r="FL24" s="58">
        <v>1</v>
      </c>
      <c r="FM24" s="58">
        <v>6894.71</v>
      </c>
      <c r="FN24" s="56"/>
      <c r="FO24" s="128"/>
      <c r="FP24" s="46"/>
      <c r="FQ24" s="58">
        <v>1</v>
      </c>
      <c r="FR24" s="58">
        <v>6101.33</v>
      </c>
      <c r="FS24" s="56"/>
      <c r="FT24" s="128"/>
      <c r="FU24" s="46"/>
      <c r="FV24" s="58">
        <v>1</v>
      </c>
      <c r="FW24" s="58">
        <v>6193.31</v>
      </c>
      <c r="FX24" s="56"/>
      <c r="FY24" s="128"/>
      <c r="FZ24" s="46"/>
      <c r="GA24" s="58">
        <v>1</v>
      </c>
      <c r="GB24" s="58">
        <v>1283.8800000000001</v>
      </c>
      <c r="GC24" s="56"/>
      <c r="GD24" s="128"/>
      <c r="GE24" s="46"/>
      <c r="GF24" s="58">
        <v>1</v>
      </c>
      <c r="GG24" s="58">
        <v>1283.8800000000001</v>
      </c>
      <c r="GH24" s="56"/>
      <c r="GI24" s="128"/>
      <c r="GJ24" s="97"/>
      <c r="GK24" s="58">
        <v>1</v>
      </c>
      <c r="GL24" s="58">
        <v>6605.48</v>
      </c>
      <c r="GM24" s="56"/>
      <c r="GN24" s="128"/>
      <c r="GO24" s="46"/>
      <c r="GP24" s="58">
        <v>1</v>
      </c>
      <c r="GQ24" s="58">
        <f>1.2*3905.02</f>
        <v>4686.0239999999994</v>
      </c>
      <c r="GR24" s="56"/>
      <c r="GS24" s="128"/>
      <c r="GT24" s="46"/>
      <c r="GU24" s="58"/>
      <c r="GV24" s="58"/>
      <c r="GW24" s="56"/>
      <c r="GX24" s="128"/>
      <c r="GY24" s="46"/>
      <c r="GZ24" s="58"/>
      <c r="HA24" s="58"/>
      <c r="HB24" s="56"/>
      <c r="HC24" s="128"/>
      <c r="HD24" s="46"/>
      <c r="HE24" s="58"/>
      <c r="HF24" s="509"/>
      <c r="HG24" s="56"/>
      <c r="HH24" s="128"/>
      <c r="HI24" s="46"/>
      <c r="HJ24" s="58">
        <v>1</v>
      </c>
      <c r="HK24" s="58"/>
      <c r="HL24" s="56"/>
      <c r="HM24" s="128"/>
      <c r="HN24" s="46"/>
      <c r="HO24" s="58">
        <v>1</v>
      </c>
      <c r="HP24" s="58">
        <v>4374.53</v>
      </c>
      <c r="HQ24" s="56"/>
      <c r="HR24" s="128"/>
      <c r="HS24" s="46"/>
      <c r="HT24" s="58">
        <v>1</v>
      </c>
      <c r="HU24" s="58">
        <v>6894.71</v>
      </c>
      <c r="HV24" s="56"/>
      <c r="HW24" s="128"/>
      <c r="HX24" s="46"/>
      <c r="HY24" s="58">
        <v>1</v>
      </c>
      <c r="HZ24" s="58">
        <v>6101.33</v>
      </c>
      <c r="IA24" s="56"/>
      <c r="IB24" s="128"/>
      <c r="IC24" s="46"/>
      <c r="ID24" s="58">
        <v>1</v>
      </c>
      <c r="IE24" s="58">
        <v>6193.31</v>
      </c>
      <c r="IF24" s="56"/>
      <c r="IG24" s="128"/>
      <c r="IH24" s="46"/>
      <c r="II24" s="58">
        <v>1</v>
      </c>
      <c r="IJ24" s="58">
        <v>1283.8800000000001</v>
      </c>
      <c r="IK24" s="56"/>
      <c r="IL24" s="128"/>
      <c r="IM24" s="46"/>
      <c r="IN24" s="58">
        <v>1</v>
      </c>
      <c r="IO24" s="58">
        <v>1283.8800000000001</v>
      </c>
      <c r="IP24" s="56"/>
      <c r="IQ24" s="128"/>
    </row>
    <row r="25" spans="1:251" s="264" customFormat="1" ht="15" customHeight="1" thickBot="1">
      <c r="A25" s="648"/>
      <c r="B25" s="257"/>
      <c r="C25" s="258"/>
      <c r="D25" s="20" t="s">
        <v>26</v>
      </c>
      <c r="E25" s="259" t="s">
        <v>17</v>
      </c>
      <c r="F25" s="23"/>
      <c r="G25" s="168">
        <f>I25/H25</f>
        <v>35.857272727272729</v>
      </c>
      <c r="H25" s="183">
        <v>11</v>
      </c>
      <c r="I25" s="183">
        <v>394.43</v>
      </c>
      <c r="J25" s="172"/>
      <c r="K25" s="18"/>
      <c r="L25" s="168">
        <f>N25/M25</f>
        <v>35.86</v>
      </c>
      <c r="M25" s="183">
        <v>24</v>
      </c>
      <c r="N25" s="183">
        <v>860.64</v>
      </c>
      <c r="O25" s="172"/>
      <c r="P25" s="18"/>
      <c r="Q25" s="168">
        <f>S25/R25</f>
        <v>35.860606060606067</v>
      </c>
      <c r="R25" s="183">
        <v>33</v>
      </c>
      <c r="S25" s="183">
        <v>1183.4000000000001</v>
      </c>
      <c r="T25" s="172"/>
      <c r="U25" s="18"/>
      <c r="V25" s="209">
        <f>X25/W25</f>
        <v>35.8590625</v>
      </c>
      <c r="W25" s="183">
        <v>32</v>
      </c>
      <c r="X25" s="183">
        <v>1147.49</v>
      </c>
      <c r="Y25" s="172"/>
      <c r="Z25" s="172"/>
      <c r="AA25" s="3">
        <f>AC25/AB25</f>
        <v>35.86</v>
      </c>
      <c r="AB25" s="183">
        <v>27</v>
      </c>
      <c r="AC25" s="183">
        <v>968.22</v>
      </c>
      <c r="AD25" s="172"/>
      <c r="AE25" s="172"/>
      <c r="AF25" s="3">
        <f>AH25/AG25</f>
        <v>35.861071428571428</v>
      </c>
      <c r="AG25" s="183">
        <v>28</v>
      </c>
      <c r="AH25" s="183">
        <v>1004.11</v>
      </c>
      <c r="AI25" s="172"/>
      <c r="AJ25" s="172"/>
      <c r="AK25" s="3">
        <f>AM25/AL25</f>
        <v>35.860967741935482</v>
      </c>
      <c r="AL25" s="183">
        <v>31</v>
      </c>
      <c r="AM25" s="183">
        <v>1111.69</v>
      </c>
      <c r="AN25" s="172"/>
      <c r="AO25" s="172"/>
      <c r="AP25" s="3">
        <f>AR25/AQ25</f>
        <v>35.858695652173914</v>
      </c>
      <c r="AQ25" s="183">
        <v>23</v>
      </c>
      <c r="AR25" s="183">
        <v>824.75</v>
      </c>
      <c r="AS25" s="172"/>
      <c r="AT25" s="172"/>
      <c r="AU25" s="3">
        <f>AW25/AV25</f>
        <v>35.861249999999998</v>
      </c>
      <c r="AV25" s="183">
        <v>32</v>
      </c>
      <c r="AW25" s="183">
        <v>1147.56</v>
      </c>
      <c r="AX25" s="172"/>
      <c r="AY25" s="172"/>
      <c r="AZ25" s="3">
        <f>BB25/BA25</f>
        <v>35.859259259259261</v>
      </c>
      <c r="BA25" s="183">
        <v>27</v>
      </c>
      <c r="BB25" s="183">
        <v>968.2</v>
      </c>
      <c r="BC25" s="172"/>
      <c r="BD25" s="172"/>
      <c r="BE25" s="3">
        <f>BG25/BF25</f>
        <v>35.86032258064516</v>
      </c>
      <c r="BF25" s="183">
        <v>31</v>
      </c>
      <c r="BG25" s="183">
        <v>1111.67</v>
      </c>
      <c r="BH25" s="172"/>
      <c r="BI25" s="172"/>
      <c r="BJ25" s="3">
        <f>BL25/BK25</f>
        <v>35.86137931034483</v>
      </c>
      <c r="BK25" s="183">
        <v>29</v>
      </c>
      <c r="BL25" s="183">
        <v>1039.98</v>
      </c>
      <c r="BM25" s="172"/>
      <c r="BN25" s="172"/>
      <c r="BO25" s="3">
        <f>BQ25/BP25</f>
        <v>35.860666666666667</v>
      </c>
      <c r="BP25" s="183">
        <v>30</v>
      </c>
      <c r="BQ25" s="183">
        <v>1075.82</v>
      </c>
      <c r="BR25" s="172"/>
      <c r="BS25" s="172"/>
      <c r="BT25" s="3">
        <f>BV25/BU25</f>
        <v>35.860833333333332</v>
      </c>
      <c r="BU25" s="183">
        <v>60</v>
      </c>
      <c r="BV25" s="183">
        <v>2151.65</v>
      </c>
      <c r="BW25" s="172"/>
      <c r="BX25" s="172"/>
      <c r="BY25" s="3">
        <f>CA25/BZ25</f>
        <v>35.859444444444449</v>
      </c>
      <c r="BZ25" s="183">
        <v>36</v>
      </c>
      <c r="CA25" s="183">
        <v>1290.94</v>
      </c>
      <c r="CB25" s="172"/>
      <c r="CC25" s="172"/>
      <c r="CD25" s="3">
        <f>CF25/CE25</f>
        <v>35.860810810810811</v>
      </c>
      <c r="CE25" s="183">
        <v>37</v>
      </c>
      <c r="CF25" s="183">
        <v>1326.85</v>
      </c>
      <c r="CG25" s="172"/>
      <c r="CH25" s="172"/>
      <c r="CI25" s="3">
        <f>CK25/CJ25</f>
        <v>32.78742857142857</v>
      </c>
      <c r="CJ25" s="183">
        <v>35</v>
      </c>
      <c r="CK25" s="183">
        <v>1147.56</v>
      </c>
      <c r="CL25" s="172"/>
      <c r="CM25" s="172"/>
      <c r="CN25" s="3">
        <f>CP25/CO25</f>
        <v>29.883142857142861</v>
      </c>
      <c r="CO25" s="183">
        <v>35</v>
      </c>
      <c r="CP25" s="183">
        <f>553.58+492.33</f>
        <v>1045.9100000000001</v>
      </c>
      <c r="CQ25" s="172"/>
      <c r="CR25" s="172"/>
      <c r="CS25" s="3">
        <f>CU25/CT25</f>
        <v>35.859655172413795</v>
      </c>
      <c r="CT25" s="183">
        <v>29</v>
      </c>
      <c r="CU25" s="183">
        <v>1039.93</v>
      </c>
      <c r="CV25" s="172"/>
      <c r="CW25" s="172"/>
      <c r="CX25" s="3">
        <f>CZ25/CY25</f>
        <v>56.699999999999996</v>
      </c>
      <c r="CY25" s="183">
        <v>29</v>
      </c>
      <c r="CZ25" s="183">
        <v>1644.3</v>
      </c>
      <c r="DA25" s="172"/>
      <c r="DB25" s="172"/>
      <c r="DC25" s="3">
        <f>DE25/DD25</f>
        <v>56.7</v>
      </c>
      <c r="DD25" s="183">
        <v>30</v>
      </c>
      <c r="DE25" s="183">
        <v>1701</v>
      </c>
      <c r="DF25" s="172"/>
      <c r="DG25" s="172"/>
      <c r="DH25" s="3">
        <f>DJ25/DI25</f>
        <v>56.7</v>
      </c>
      <c r="DI25" s="183">
        <v>31</v>
      </c>
      <c r="DJ25" s="183">
        <v>1757.7</v>
      </c>
      <c r="DK25" s="172"/>
      <c r="DL25" s="172"/>
      <c r="DM25" s="3">
        <f>DO25/DN25</f>
        <v>57.225333333333332</v>
      </c>
      <c r="DN25" s="183">
        <v>45</v>
      </c>
      <c r="DO25" s="183">
        <v>2575.14</v>
      </c>
      <c r="DP25" s="172"/>
      <c r="DQ25" s="172"/>
      <c r="DR25" s="3">
        <f>DT25/DS25</f>
        <v>57.375428571428571</v>
      </c>
      <c r="DS25" s="183">
        <v>35</v>
      </c>
      <c r="DT25" s="183">
        <v>2008.14</v>
      </c>
      <c r="DU25" s="172"/>
      <c r="DV25" s="172"/>
      <c r="DW25" s="3">
        <f>DY25/DX25</f>
        <v>57.202978723404257</v>
      </c>
      <c r="DX25" s="183">
        <v>47</v>
      </c>
      <c r="DY25" s="183">
        <v>2688.54</v>
      </c>
      <c r="DZ25" s="172"/>
      <c r="EA25" s="172"/>
      <c r="EB25" s="3">
        <f>ED25/EC25</f>
        <v>57.356666666666669</v>
      </c>
      <c r="EC25" s="183">
        <v>36</v>
      </c>
      <c r="ED25" s="183">
        <v>2064.84</v>
      </c>
      <c r="EE25" s="172"/>
      <c r="EF25" s="172"/>
      <c r="EG25" s="3">
        <f>EI25/EH25</f>
        <v>35.859444444444449</v>
      </c>
      <c r="EH25" s="185">
        <v>36</v>
      </c>
      <c r="EI25" s="185">
        <v>1290.94</v>
      </c>
      <c r="EJ25" s="177"/>
      <c r="EK25" s="172"/>
      <c r="EL25" s="3">
        <f>EN25/EM25</f>
        <v>57.213913043478264</v>
      </c>
      <c r="EM25" s="183">
        <v>46</v>
      </c>
      <c r="EN25" s="183">
        <v>2631.84</v>
      </c>
      <c r="EO25" s="172"/>
      <c r="EP25" s="172"/>
      <c r="EQ25" s="3">
        <f>ES25/ER25</f>
        <v>58.935428571428567</v>
      </c>
      <c r="ER25" s="183">
        <v>35</v>
      </c>
      <c r="ES25" s="183">
        <v>2062.7399999999998</v>
      </c>
      <c r="ET25" s="172"/>
      <c r="EU25" s="172"/>
      <c r="EV25" s="3">
        <f>EX25/EW25</f>
        <v>58.916666666666664</v>
      </c>
      <c r="EW25" s="183">
        <v>36</v>
      </c>
      <c r="EX25" s="183">
        <v>2121</v>
      </c>
      <c r="EY25" s="172"/>
      <c r="EZ25" s="172"/>
      <c r="FA25" s="3">
        <f>FC25/FB25</f>
        <v>59.245000000000005</v>
      </c>
      <c r="FB25" s="183">
        <v>24</v>
      </c>
      <c r="FC25" s="183">
        <v>1421.88</v>
      </c>
      <c r="FD25" s="172"/>
      <c r="FE25" s="172"/>
      <c r="FF25" s="3">
        <f>FH25/FG25</f>
        <v>59.048000000000002</v>
      </c>
      <c r="FG25" s="183">
        <v>30</v>
      </c>
      <c r="FH25" s="183">
        <v>1771.44</v>
      </c>
      <c r="FI25" s="172"/>
      <c r="FJ25" s="172"/>
      <c r="FK25" s="3">
        <f>FM25/FL25</f>
        <v>58.647540983606561</v>
      </c>
      <c r="FL25" s="185">
        <v>61</v>
      </c>
      <c r="FM25" s="185">
        <v>3577.5</v>
      </c>
      <c r="FN25" s="177"/>
      <c r="FO25" s="172"/>
      <c r="FP25" s="3">
        <f>FR25/FQ25</f>
        <v>59.334545454545449</v>
      </c>
      <c r="FQ25" s="183">
        <v>22</v>
      </c>
      <c r="FR25" s="183">
        <v>1305.3599999999999</v>
      </c>
      <c r="FS25" s="172"/>
      <c r="FT25" s="172"/>
      <c r="FU25" s="3">
        <f>FW25/FV25</f>
        <v>59.287826086956514</v>
      </c>
      <c r="FV25" s="183">
        <v>23</v>
      </c>
      <c r="FW25" s="183">
        <v>1363.62</v>
      </c>
      <c r="FX25" s="172"/>
      <c r="FY25" s="172"/>
      <c r="FZ25" s="3">
        <f>GB25/GA25</f>
        <v>59.334545454545449</v>
      </c>
      <c r="GA25" s="183">
        <v>22</v>
      </c>
      <c r="GB25" s="183">
        <v>1305.3599999999999</v>
      </c>
      <c r="GC25" s="172"/>
      <c r="GD25" s="172"/>
      <c r="GE25" s="3">
        <f>GG25/GF25</f>
        <v>59.287826086956514</v>
      </c>
      <c r="GF25" s="183">
        <v>23</v>
      </c>
      <c r="GG25" s="183">
        <v>1363.62</v>
      </c>
      <c r="GH25" s="172"/>
      <c r="GI25" s="172"/>
      <c r="GJ25" s="285">
        <f>GL25/GK25</f>
        <v>59.287826086956514</v>
      </c>
      <c r="GK25" s="183">
        <v>23</v>
      </c>
      <c r="GL25" s="183">
        <v>1363.62</v>
      </c>
      <c r="GM25" s="172"/>
      <c r="GN25" s="172"/>
      <c r="GO25" s="3">
        <f>GQ25/GP25</f>
        <v>62.199999999999996</v>
      </c>
      <c r="GP25" s="183">
        <v>6</v>
      </c>
      <c r="GQ25" s="183">
        <v>373.2</v>
      </c>
      <c r="GR25" s="172"/>
      <c r="GS25" s="172"/>
      <c r="GT25" s="3">
        <f>GV25/GU25</f>
        <v>59.948571428571427</v>
      </c>
      <c r="GU25" s="183">
        <v>14</v>
      </c>
      <c r="GV25" s="183">
        <v>839.28</v>
      </c>
      <c r="GW25" s="172"/>
      <c r="GX25" s="172"/>
      <c r="GY25" s="3">
        <f>HA25/GZ25</f>
        <v>58.935428571428567</v>
      </c>
      <c r="GZ25" s="185">
        <v>35</v>
      </c>
      <c r="HA25" s="185">
        <v>2062.7399999999998</v>
      </c>
      <c r="HB25" s="177"/>
      <c r="HC25" s="172"/>
      <c r="HD25" s="3">
        <f>HF25/HE25</f>
        <v>58.916666666666664</v>
      </c>
      <c r="HE25" s="185">
        <v>36</v>
      </c>
      <c r="HF25" s="185">
        <v>2121</v>
      </c>
      <c r="HG25" s="177"/>
      <c r="HH25" s="172"/>
      <c r="HI25" s="3">
        <f>HK25/HJ25</f>
        <v>59.245000000000005</v>
      </c>
      <c r="HJ25" s="185">
        <v>24</v>
      </c>
      <c r="HK25" s="185">
        <v>1421.88</v>
      </c>
      <c r="HL25" s="177"/>
      <c r="HM25" s="172"/>
      <c r="HN25" s="3">
        <f>HP25/HO25</f>
        <v>59.048000000000002</v>
      </c>
      <c r="HO25" s="185">
        <v>30</v>
      </c>
      <c r="HP25" s="185">
        <v>1771.44</v>
      </c>
      <c r="HQ25" s="177"/>
      <c r="HR25" s="172"/>
      <c r="HS25" s="3">
        <f>HU25/HT25</f>
        <v>58.647540983606561</v>
      </c>
      <c r="HT25" s="185">
        <v>61</v>
      </c>
      <c r="HU25" s="185">
        <v>3577.5</v>
      </c>
      <c r="HV25" s="177"/>
      <c r="HW25" s="172"/>
      <c r="HX25" s="3">
        <f>HZ25/HY25</f>
        <v>59.334545454545449</v>
      </c>
      <c r="HY25" s="185">
        <v>22</v>
      </c>
      <c r="HZ25" s="185">
        <v>1305.3599999999999</v>
      </c>
      <c r="IA25" s="177"/>
      <c r="IB25" s="172"/>
      <c r="IC25" s="3">
        <f>IE25/ID25</f>
        <v>59.287826086956514</v>
      </c>
      <c r="ID25" s="185">
        <v>23</v>
      </c>
      <c r="IE25" s="185">
        <v>1363.62</v>
      </c>
      <c r="IF25" s="177"/>
      <c r="IG25" s="172"/>
      <c r="IH25" s="3">
        <f>IJ25/II25</f>
        <v>10549.554545454546</v>
      </c>
      <c r="II25" s="185">
        <v>11</v>
      </c>
      <c r="IJ25" s="185">
        <v>116045.1</v>
      </c>
      <c r="IK25" s="177"/>
      <c r="IL25" s="172"/>
      <c r="IM25" s="3">
        <f>IO25/IN25</f>
        <v>35.857272727272729</v>
      </c>
      <c r="IN25" s="185">
        <v>11</v>
      </c>
      <c r="IO25" s="185">
        <v>394.43</v>
      </c>
      <c r="IP25" s="177"/>
      <c r="IQ25" s="172"/>
    </row>
    <row r="26" spans="1:251" s="249" customFormat="1" ht="15" customHeight="1" thickBot="1">
      <c r="A26" s="649"/>
      <c r="B26" s="265" t="s">
        <v>299</v>
      </c>
      <c r="C26" s="5" t="s">
        <v>27</v>
      </c>
      <c r="D26" s="6" t="s">
        <v>19</v>
      </c>
      <c r="E26" s="7" t="s">
        <v>10</v>
      </c>
      <c r="F26" s="4"/>
      <c r="G26" s="196"/>
      <c r="H26" s="197"/>
      <c r="I26" s="197"/>
      <c r="J26" s="197"/>
      <c r="K26" s="325"/>
      <c r="L26" s="196"/>
      <c r="M26" s="197"/>
      <c r="N26" s="197"/>
      <c r="O26" s="197"/>
      <c r="P26" s="325"/>
      <c r="Q26" s="196"/>
      <c r="R26" s="197"/>
      <c r="S26" s="197"/>
      <c r="T26" s="197"/>
      <c r="U26" s="325"/>
      <c r="V26" s="207"/>
      <c r="W26" s="197"/>
      <c r="X26" s="204">
        <v>1990</v>
      </c>
      <c r="Y26" s="197"/>
      <c r="Z26" s="383">
        <f>SUM(X26:X29)*1.1</f>
        <v>98311.93240000002</v>
      </c>
      <c r="AA26" s="36"/>
      <c r="AB26" s="197"/>
      <c r="AC26" s="204">
        <v>1769</v>
      </c>
      <c r="AD26" s="197"/>
      <c r="AE26" s="383">
        <f>SUM(AC26:AC29)*1.1</f>
        <v>82767.282399999996</v>
      </c>
      <c r="AF26" s="36"/>
      <c r="AG26" s="197"/>
      <c r="AH26" s="204">
        <v>1548</v>
      </c>
      <c r="AI26" s="197"/>
      <c r="AJ26" s="383">
        <f>AJ27*1.1</f>
        <v>141098.166</v>
      </c>
      <c r="AK26" s="36"/>
      <c r="AL26" s="197"/>
      <c r="AM26" s="204">
        <v>1990</v>
      </c>
      <c r="AN26" s="197"/>
      <c r="AO26" s="383">
        <f>AO27*1.2</f>
        <v>57402.213599999988</v>
      </c>
      <c r="AP26" s="36"/>
      <c r="AQ26" s="197"/>
      <c r="AR26" s="204">
        <v>1769</v>
      </c>
      <c r="AS26" s="197"/>
      <c r="AT26" s="383">
        <f>SUM(AR26:AR29)*1.2</f>
        <v>242190.38399999999</v>
      </c>
      <c r="AU26" s="36"/>
      <c r="AV26" s="197"/>
      <c r="AW26" s="197"/>
      <c r="AX26" s="197"/>
      <c r="AY26" s="383">
        <f>SUM(AW26:AW29)*1.1</f>
        <v>170273.43080000003</v>
      </c>
      <c r="AZ26" s="36"/>
      <c r="BA26" s="197"/>
      <c r="BB26" s="197"/>
      <c r="BC26" s="197"/>
      <c r="BD26" s="383">
        <f>SUM(BB26:BB29)*1.1</f>
        <v>152385.60700000002</v>
      </c>
      <c r="BE26" s="36"/>
      <c r="BF26" s="197"/>
      <c r="BG26" s="197"/>
      <c r="BH26" s="197"/>
      <c r="BI26" s="383">
        <f>SUM(BG26:BG29)*1.1</f>
        <v>144901.70199999999</v>
      </c>
      <c r="BJ26" s="36"/>
      <c r="BK26" s="197"/>
      <c r="BL26" s="197"/>
      <c r="BM26" s="197"/>
      <c r="BN26" s="383">
        <f>SUM(BL26:BL29)*1.1</f>
        <v>135790.02800000002</v>
      </c>
      <c r="BO26" s="36"/>
      <c r="BP26" s="197"/>
      <c r="BQ26" s="197"/>
      <c r="BR26" s="197"/>
      <c r="BS26" s="383">
        <f>SUM(BQ26:BQ29)*1.1</f>
        <v>122838.33320000002</v>
      </c>
      <c r="BT26" s="36"/>
      <c r="BU26" s="197"/>
      <c r="BV26" s="197"/>
      <c r="BW26" s="197"/>
      <c r="BX26" s="383">
        <f>SUM(BV26:BV29)*1.1</f>
        <v>129876.04520000001</v>
      </c>
      <c r="BY26" s="36"/>
      <c r="BZ26" s="197"/>
      <c r="CA26" s="197"/>
      <c r="CB26" s="197"/>
      <c r="CC26" s="383">
        <f>SUM(CA26:CA29)*1.1</f>
        <v>107222.73320000002</v>
      </c>
      <c r="CD26" s="36"/>
      <c r="CE26" s="197"/>
      <c r="CF26" s="197"/>
      <c r="CG26" s="197"/>
      <c r="CH26" s="383">
        <f>SUM(CF26:CF29)*1.1</f>
        <v>105025.01240000002</v>
      </c>
      <c r="CI26" s="36"/>
      <c r="CJ26" s="197"/>
      <c r="CK26" s="197"/>
      <c r="CL26" s="197"/>
      <c r="CM26" s="383">
        <f>SUM(CK26:CK29)*1.1</f>
        <v>130367.9256</v>
      </c>
      <c r="CN26" s="36"/>
      <c r="CO26" s="197"/>
      <c r="CP26" s="197"/>
      <c r="CQ26" s="197"/>
      <c r="CR26" s="383">
        <f>SUM(CP26:CP29)*1.1</f>
        <v>145745.8904</v>
      </c>
      <c r="CS26" s="36"/>
      <c r="CT26" s="197"/>
      <c r="CU26" s="197"/>
      <c r="CV26" s="197"/>
      <c r="CW26" s="383">
        <f>SUM(CU26:CU29)*1.1</f>
        <v>176572.77880000003</v>
      </c>
      <c r="CX26" s="36"/>
      <c r="CY26" s="197"/>
      <c r="CZ26" s="197"/>
      <c r="DA26" s="197"/>
      <c r="DB26" s="383">
        <f>SUM(CZ26:CZ29)*1.1</f>
        <v>173972.92</v>
      </c>
      <c r="DC26" s="36"/>
      <c r="DD26" s="197"/>
      <c r="DE26" s="197"/>
      <c r="DF26" s="197"/>
      <c r="DG26" s="383">
        <f>SUM(DE26:DE29)*1.1</f>
        <v>78943.396400000012</v>
      </c>
      <c r="DH26" s="36"/>
      <c r="DI26" s="197"/>
      <c r="DJ26" s="197"/>
      <c r="DK26" s="197"/>
      <c r="DL26" s="383">
        <f>SUM(DJ26:DJ29)*1.1</f>
        <v>214749.53719999999</v>
      </c>
      <c r="DM26" s="36"/>
      <c r="DN26" s="197"/>
      <c r="DO26" s="197"/>
      <c r="DP26" s="197"/>
      <c r="DQ26" s="383">
        <f>SUM(DO26:DO29)*1.1</f>
        <v>268141.18760000006</v>
      </c>
      <c r="DR26" s="36"/>
      <c r="DS26" s="197"/>
      <c r="DT26" s="197"/>
      <c r="DU26" s="197"/>
      <c r="DV26" s="383">
        <f>SUM(DT26:DT29)*1.1</f>
        <v>138960.37759999998</v>
      </c>
      <c r="DW26" s="36"/>
      <c r="DX26" s="197"/>
      <c r="DY26" s="197"/>
      <c r="DZ26" s="197"/>
      <c r="EA26" s="383">
        <f>SUM(DY26:DY29)*1.1</f>
        <v>137978.78599999999</v>
      </c>
      <c r="EB26" s="36"/>
      <c r="EC26" s="197"/>
      <c r="ED26" s="197"/>
      <c r="EE26" s="197"/>
      <c r="EF26" s="383">
        <f>SUM(ED26:ED29)*1.1</f>
        <v>162611.17400000003</v>
      </c>
      <c r="EG26" s="36"/>
      <c r="EH26" s="197"/>
      <c r="EI26" s="197"/>
      <c r="EJ26" s="197"/>
      <c r="EK26" s="383">
        <f>SUM(EI26:EI29)*1.1</f>
        <v>110101.32320000001</v>
      </c>
      <c r="EL26" s="36"/>
      <c r="EM26" s="197"/>
      <c r="EN26" s="197"/>
      <c r="EO26" s="197"/>
      <c r="EP26" s="383">
        <f>SUM(EN26:EN29)*1.1</f>
        <v>172725.9644</v>
      </c>
      <c r="EQ26" s="36"/>
      <c r="ER26" s="197"/>
      <c r="ES26" s="197"/>
      <c r="ET26" s="197"/>
      <c r="EU26" s="383">
        <f>SUM(ES26:ES29)*1.1</f>
        <v>158316.21960000001</v>
      </c>
      <c r="EV26" s="36"/>
      <c r="EW26" s="197"/>
      <c r="EX26" s="197"/>
      <c r="EY26" s="197"/>
      <c r="EZ26" s="383">
        <f>SUM(EX26:EX29)*1.1</f>
        <v>147778.01720000006</v>
      </c>
      <c r="FA26" s="36"/>
      <c r="FB26" s="197"/>
      <c r="FC26" s="197"/>
      <c r="FD26" s="197"/>
      <c r="FE26" s="383">
        <f>SUM(FC26:FC29)*1.1</f>
        <v>171019.48600000003</v>
      </c>
      <c r="FF26" s="36"/>
      <c r="FG26" s="197"/>
      <c r="FH26" s="197"/>
      <c r="FI26" s="197"/>
      <c r="FJ26" s="383">
        <f>SUM(FH26:FH29)*1.1</f>
        <v>189584.46320000003</v>
      </c>
      <c r="FK26" s="36"/>
      <c r="FL26" s="197"/>
      <c r="FM26" s="197"/>
      <c r="FN26" s="197"/>
      <c r="FO26" s="383">
        <f>SUM(FM26:FM29)*1.1</f>
        <v>170018.28800000003</v>
      </c>
      <c r="FP26" s="36"/>
      <c r="FQ26" s="197"/>
      <c r="FR26" s="197"/>
      <c r="FS26" s="197"/>
      <c r="FT26" s="383">
        <f>SUM(FR26:FR29)*1.1</f>
        <v>168756.59240000002</v>
      </c>
      <c r="FU26" s="36"/>
      <c r="FV26" s="197"/>
      <c r="FW26" s="197"/>
      <c r="FX26" s="197"/>
      <c r="FY26" s="383">
        <f>SUM(FW26:FW29)*1.1</f>
        <v>167194.41200000004</v>
      </c>
      <c r="FZ26" s="36"/>
      <c r="GA26" s="197"/>
      <c r="GB26" s="197"/>
      <c r="GC26" s="1583"/>
      <c r="GD26" s="383">
        <f>SUM(GB26:GB29)*1.1</f>
        <v>128919.52040000001</v>
      </c>
      <c r="GE26" s="36"/>
      <c r="GF26" s="197"/>
      <c r="GG26" s="197"/>
      <c r="GH26" s="1583"/>
      <c r="GI26" s="383">
        <f>SUM(GG26:GG29)*1.1</f>
        <v>78943.396400000012</v>
      </c>
      <c r="GJ26" s="280"/>
      <c r="GK26" s="197"/>
      <c r="GL26" s="197"/>
      <c r="GM26" s="197"/>
      <c r="GN26" s="383">
        <f>SUM(GL26:GL29)*1.1</f>
        <v>162611.17400000003</v>
      </c>
      <c r="GO26" s="36"/>
      <c r="GP26" s="197"/>
      <c r="GQ26" s="197"/>
      <c r="GR26" s="197"/>
      <c r="GS26" s="383">
        <f>SUM(GQ26:GQ29)*1.1</f>
        <v>140307.66200000001</v>
      </c>
      <c r="GT26" s="36"/>
      <c r="GU26" s="197"/>
      <c r="GV26" s="197"/>
      <c r="GW26" s="197"/>
      <c r="GX26" s="383">
        <f>SUM(GV26:GV29)*1.1</f>
        <v>177401.53639999998</v>
      </c>
      <c r="GY26" s="36"/>
      <c r="GZ26" s="197"/>
      <c r="HA26" s="197"/>
      <c r="HB26" s="197"/>
      <c r="HC26" s="383">
        <f>SUM(HA26:HA29)*1.1</f>
        <v>158316.21960000001</v>
      </c>
      <c r="HD26" s="36"/>
      <c r="HE26" s="197"/>
      <c r="HF26" s="197"/>
      <c r="HG26" s="197"/>
      <c r="HH26" s="383">
        <f>SUM(HF26:HF29)*1.1</f>
        <v>147778.01720000006</v>
      </c>
      <c r="HI26" s="36"/>
      <c r="HJ26" s="197"/>
      <c r="HK26" s="197"/>
      <c r="HL26" s="197"/>
      <c r="HM26" s="383">
        <f>SUM(HK26:HK29)*1.1</f>
        <v>171019.48600000003</v>
      </c>
      <c r="HN26" s="36"/>
      <c r="HO26" s="197"/>
      <c r="HP26" s="197"/>
      <c r="HQ26" s="197"/>
      <c r="HR26" s="383">
        <f>SUM(HP26:HP29)*1.1</f>
        <v>189584.46320000003</v>
      </c>
      <c r="HS26" s="36"/>
      <c r="HT26" s="197"/>
      <c r="HU26" s="197"/>
      <c r="HV26" s="197"/>
      <c r="HW26" s="383">
        <f>SUM(HU26:HU29)*1.1</f>
        <v>170018.28800000003</v>
      </c>
      <c r="HX26" s="36"/>
      <c r="HY26" s="197"/>
      <c r="HZ26" s="197"/>
      <c r="IA26" s="197"/>
      <c r="IB26" s="383">
        <f>SUM(HZ26:HZ29)*1.1</f>
        <v>168756.59240000002</v>
      </c>
      <c r="IC26" s="36"/>
      <c r="ID26" s="197"/>
      <c r="IE26" s="197"/>
      <c r="IF26" s="197"/>
      <c r="IG26" s="383">
        <f>SUM(IE26:IE29)*1.1</f>
        <v>167194.41200000004</v>
      </c>
      <c r="IH26" s="36"/>
      <c r="II26" s="197"/>
      <c r="IJ26" s="197"/>
      <c r="IK26" s="197"/>
      <c r="IL26" s="383">
        <f>SUM(IJ26:IJ29)*1.1</f>
        <v>78943.396400000012</v>
      </c>
      <c r="IM26" s="36"/>
      <c r="IN26" s="197"/>
      <c r="IO26" s="197"/>
      <c r="IP26" s="197"/>
      <c r="IQ26" s="383">
        <f>SUM(IO26:IO29)*1.1</f>
        <v>78943.396400000012</v>
      </c>
    </row>
    <row r="27" spans="1:251" ht="15" customHeight="1" thickBot="1">
      <c r="A27" s="647">
        <v>1</v>
      </c>
      <c r="B27" s="256"/>
      <c r="C27" s="215">
        <v>45179093</v>
      </c>
      <c r="D27" s="45" t="s">
        <v>453</v>
      </c>
      <c r="E27" s="216" t="s">
        <v>13</v>
      </c>
      <c r="F27" s="22"/>
      <c r="G27" s="104">
        <f>I27/H27</f>
        <v>5.3077195968645015</v>
      </c>
      <c r="H27" s="69">
        <v>13395</v>
      </c>
      <c r="I27" s="138">
        <v>71096.903999999995</v>
      </c>
      <c r="J27" s="128">
        <v>49372.85</v>
      </c>
      <c r="K27" s="136"/>
      <c r="L27" s="104">
        <f>N27/M27</f>
        <v>5.3685478260869557</v>
      </c>
      <c r="M27" s="69">
        <v>14950</v>
      </c>
      <c r="N27" s="138">
        <v>80259.789999999994</v>
      </c>
      <c r="O27" s="138" t="s">
        <v>194</v>
      </c>
      <c r="P27" s="136"/>
      <c r="Q27" s="104">
        <f>S27/R27</f>
        <v>4.9663925066904548</v>
      </c>
      <c r="R27" s="69">
        <v>13452</v>
      </c>
      <c r="S27" s="138">
        <v>66807.911999999997</v>
      </c>
      <c r="T27" s="128">
        <v>66807.911999999997</v>
      </c>
      <c r="U27" s="136"/>
      <c r="V27" s="115">
        <f>X27/W27</f>
        <v>5.2077239522789851</v>
      </c>
      <c r="W27" s="69">
        <v>16345</v>
      </c>
      <c r="X27" s="138">
        <v>85120.248000000007</v>
      </c>
      <c r="Y27" s="128">
        <v>85120.248000000007</v>
      </c>
      <c r="Z27" s="403">
        <f>SUM(X26:X29)*1</f>
        <v>89374.484000000011</v>
      </c>
      <c r="AA27" s="92">
        <f>AC27/AB27</f>
        <v>4.5706784956605588</v>
      </c>
      <c r="AB27" s="69">
        <v>15555</v>
      </c>
      <c r="AC27" s="138">
        <v>71096.903999999995</v>
      </c>
      <c r="AD27" s="128">
        <v>72843.312000000005</v>
      </c>
      <c r="AE27" s="403">
        <f>SUM(AC26:AC29)*1</f>
        <v>75242.983999999997</v>
      </c>
      <c r="AF27" s="92">
        <f>AH27/AG27</f>
        <v>4.8199439378588309</v>
      </c>
      <c r="AG27" s="410">
        <v>17766</v>
      </c>
      <c r="AH27" s="411">
        <v>85631.123999999996</v>
      </c>
      <c r="AI27" s="137">
        <f>38338.59+87714.65</f>
        <v>126053.23999999999</v>
      </c>
      <c r="AJ27" s="403">
        <f>SUM(AH28:AH29)+AI27+AH26*1</f>
        <v>128271.06</v>
      </c>
      <c r="AK27" s="92">
        <f>AM27/AL27</f>
        <v>4.9792194434660093</v>
      </c>
      <c r="AL27" s="410">
        <v>8517</v>
      </c>
      <c r="AM27" s="411">
        <v>42408.012000000002</v>
      </c>
      <c r="AN27" s="128">
        <v>44466.707999999991</v>
      </c>
      <c r="AO27" s="403">
        <f>SUM(AM28:AM29)+AN27+AM26*1</f>
        <v>47835.177999999993</v>
      </c>
      <c r="AP27" s="92">
        <f>AR27/AQ27</f>
        <v>5.9466961526810058</v>
      </c>
      <c r="AQ27" s="410">
        <v>33010</v>
      </c>
      <c r="AR27" s="411">
        <v>196300.44</v>
      </c>
      <c r="AS27" s="128">
        <v>221372.05200000003</v>
      </c>
      <c r="AT27" s="403">
        <f>SUM(AR26:AR29)*1</f>
        <v>201825.32</v>
      </c>
      <c r="AU27" s="92">
        <f>AW27/AV27</f>
        <v>6.6107534365756049</v>
      </c>
      <c r="AV27" s="410">
        <v>22988</v>
      </c>
      <c r="AW27" s="411">
        <v>151968</v>
      </c>
      <c r="AX27" s="56">
        <v>49372.85</v>
      </c>
      <c r="AY27" s="403">
        <f>SUM(AW26:AW29)*1</f>
        <v>154794.02800000002</v>
      </c>
      <c r="AZ27" s="92">
        <f>BB27/BA27</f>
        <v>6.3494521898324168</v>
      </c>
      <c r="BA27" s="410">
        <v>21303</v>
      </c>
      <c r="BB27" s="411">
        <v>135262.37999999998</v>
      </c>
      <c r="BC27" s="128">
        <v>112718.65</v>
      </c>
      <c r="BD27" s="403">
        <f>SUM(BB26:BB29)*1</f>
        <v>138532.37</v>
      </c>
      <c r="BE27" s="92">
        <f>BG27/BF27</f>
        <v>6.3628441365660562</v>
      </c>
      <c r="BF27" s="410">
        <v>20210</v>
      </c>
      <c r="BG27" s="411">
        <v>128593.07999999999</v>
      </c>
      <c r="BH27" s="128">
        <v>112718.65</v>
      </c>
      <c r="BI27" s="403">
        <f>SUM(BG26:BG29)*1</f>
        <v>131728.81999999998</v>
      </c>
      <c r="BJ27" s="92">
        <f>BL27/BK27</f>
        <v>6.7715878881473719</v>
      </c>
      <c r="BK27" s="410">
        <v>18131</v>
      </c>
      <c r="BL27" s="411">
        <v>122775.66</v>
      </c>
      <c r="BM27" s="537">
        <v>101802.855</v>
      </c>
      <c r="BN27" s="403">
        <f>SUM(BL26:BL29)*1</f>
        <v>123445.48000000001</v>
      </c>
      <c r="BO27" s="92">
        <f>BQ27/BP27</f>
        <v>6.374627691954287</v>
      </c>
      <c r="BP27" s="410">
        <v>17413</v>
      </c>
      <c r="BQ27" s="411">
        <v>111001.39200000001</v>
      </c>
      <c r="BR27" s="56">
        <v>49372.85</v>
      </c>
      <c r="BS27" s="403">
        <f>SUM(BQ26:BQ29)*1</f>
        <v>111671.21200000001</v>
      </c>
      <c r="BT27" s="92">
        <f>BV27/BU27</f>
        <v>6.0268797488226058</v>
      </c>
      <c r="BU27" s="410">
        <v>19110</v>
      </c>
      <c r="BV27" s="411">
        <v>115173.67199999999</v>
      </c>
      <c r="BW27" s="128" t="s">
        <v>427</v>
      </c>
      <c r="BX27" s="403">
        <f>SUM(BV26:BV29)*1</f>
        <v>118069.132</v>
      </c>
      <c r="BY27" s="92">
        <f>CA27/BZ27</f>
        <v>5.4806879918473648</v>
      </c>
      <c r="BZ27" s="410">
        <v>17663</v>
      </c>
      <c r="CA27" s="411">
        <v>96805.392000000007</v>
      </c>
      <c r="CB27" s="372" t="s">
        <v>438</v>
      </c>
      <c r="CC27" s="403">
        <f>SUM(CA26:CA29)*1</f>
        <v>97475.212000000014</v>
      </c>
      <c r="CD27" s="92">
        <f>CF27/CE27</f>
        <v>5.2738675143327471</v>
      </c>
      <c r="CE27" s="413">
        <f>8105+9512</f>
        <v>17617</v>
      </c>
      <c r="CF27" s="411">
        <f>(41804.19+35620.58)*1.2</f>
        <v>92909.724000000002</v>
      </c>
      <c r="CG27" s="128">
        <v>64196.588235294104</v>
      </c>
      <c r="CH27" s="403">
        <f>SUM(CF26:CF29)*1</f>
        <v>95477.284000000014</v>
      </c>
      <c r="CI27" s="92">
        <f>CK27/CJ27</f>
        <v>5.5512116103075</v>
      </c>
      <c r="CJ27" s="410">
        <f>9648+11230</f>
        <v>20878</v>
      </c>
      <c r="CK27" s="411">
        <v>115898.19599999998</v>
      </c>
      <c r="CL27" s="372">
        <v>95536.12</v>
      </c>
      <c r="CM27" s="403">
        <f>SUM(CK26:CK29)*1</f>
        <v>118516.29599999999</v>
      </c>
      <c r="CN27" s="92">
        <f>CP27/CO27</f>
        <v>6.5632802670172952</v>
      </c>
      <c r="CO27" s="410">
        <v>19774</v>
      </c>
      <c r="CP27" s="411">
        <v>129782.30399999999</v>
      </c>
      <c r="CQ27" s="128" t="s">
        <v>530</v>
      </c>
      <c r="CR27" s="403">
        <f>SUM(CP26:CP29)*1</f>
        <v>132496.264</v>
      </c>
      <c r="CS27" s="92">
        <f>CU27/CT27</f>
        <v>7.5064681583476762</v>
      </c>
      <c r="CT27" s="410">
        <v>20916</v>
      </c>
      <c r="CU27" s="411">
        <v>157005.288</v>
      </c>
      <c r="CV27" s="128">
        <v>204641.93</v>
      </c>
      <c r="CW27" s="403">
        <f>SUM(CU26:CU29)*1</f>
        <v>160520.70800000001</v>
      </c>
      <c r="CX27" s="92">
        <f>CZ27/CY27</f>
        <v>7.9506956785137319</v>
      </c>
      <c r="CY27" s="410">
        <v>19808</v>
      </c>
      <c r="CZ27" s="411">
        <v>157487.38</v>
      </c>
      <c r="DA27" s="128">
        <v>224251.644</v>
      </c>
      <c r="DB27" s="403">
        <f>SUM(CZ26:CZ29)*1</f>
        <v>158157.20000000001</v>
      </c>
      <c r="DC27" s="92">
        <f>DE27/DD27</f>
        <v>5.3077195968645015</v>
      </c>
      <c r="DD27" s="58">
        <v>13395</v>
      </c>
      <c r="DE27" s="60">
        <v>71096.903999999995</v>
      </c>
      <c r="DF27" s="128">
        <v>173969.85</v>
      </c>
      <c r="DG27" s="403">
        <f>SUM(DE26:DE29)*1</f>
        <v>71766.724000000002</v>
      </c>
      <c r="DH27" s="92">
        <f>DJ27/DI27</f>
        <v>8.1712319193616114</v>
      </c>
      <c r="DI27" s="410">
        <v>23810</v>
      </c>
      <c r="DJ27" s="411">
        <v>194557.03199999998</v>
      </c>
      <c r="DK27" s="56">
        <v>159302.12</v>
      </c>
      <c r="DL27" s="403">
        <f>SUM(DJ26:DJ29)*1</f>
        <v>195226.85199999998</v>
      </c>
      <c r="DM27" s="92">
        <f>DO27/DN27</f>
        <v>8.2268400284273575</v>
      </c>
      <c r="DN27" s="410">
        <v>29549</v>
      </c>
      <c r="DO27" s="411">
        <v>243094.89600000001</v>
      </c>
      <c r="DP27" s="128">
        <v>180253.09090909088</v>
      </c>
      <c r="DQ27" s="403">
        <f>SUM(DO26:DO29)*1</f>
        <v>243764.71600000001</v>
      </c>
      <c r="DR27" s="92">
        <f>DT27/DS27</f>
        <v>8.1744597970335651</v>
      </c>
      <c r="DS27" s="410">
        <v>15372</v>
      </c>
      <c r="DT27" s="411">
        <v>125657.79599999997</v>
      </c>
      <c r="DU27" s="128">
        <v>202579.08</v>
      </c>
      <c r="DV27" s="403">
        <f>SUM(DT26:DT29)*1</f>
        <v>126327.61599999998</v>
      </c>
      <c r="DW27" s="92">
        <f>DY27/DX27</f>
        <v>8.714496053642522</v>
      </c>
      <c r="DX27" s="410">
        <v>14317</v>
      </c>
      <c r="DY27" s="411">
        <v>124765.43999999999</v>
      </c>
      <c r="DZ27" s="128">
        <v>110421.27599999998</v>
      </c>
      <c r="EA27" s="403">
        <f>SUM(DY26:DY29)*1</f>
        <v>125435.26</v>
      </c>
      <c r="EB27" s="92">
        <f>ED27/EC27</f>
        <v>8.5936438651040419</v>
      </c>
      <c r="EC27" s="410">
        <v>16724</v>
      </c>
      <c r="ED27" s="411">
        <v>143720.1</v>
      </c>
      <c r="EE27" s="128">
        <v>128864.856</v>
      </c>
      <c r="EF27" s="403">
        <f>SUM(ED26:ED29)*1</f>
        <v>147828.34000000003</v>
      </c>
      <c r="EG27" s="92">
        <f>EI27/EH27</f>
        <v>5.4806879918473648</v>
      </c>
      <c r="EH27" s="58">
        <v>17663</v>
      </c>
      <c r="EI27" s="60">
        <v>96805.392000000007</v>
      </c>
      <c r="EJ27" s="1465">
        <v>147667.236</v>
      </c>
      <c r="EK27" s="403">
        <f>SUM(EI26:EI29)*1</f>
        <v>100092.11200000001</v>
      </c>
      <c r="EL27" s="92">
        <f>EN27/EM27</f>
        <v>8.1683877518641914</v>
      </c>
      <c r="EM27" s="413">
        <v>18909</v>
      </c>
      <c r="EN27" s="411">
        <v>154456.04399999999</v>
      </c>
      <c r="EO27" s="128">
        <v>132452.46</v>
      </c>
      <c r="EP27" s="403">
        <f>SUM(EN26:EN29)*1</f>
        <v>157023.60399999999</v>
      </c>
      <c r="EQ27" s="92">
        <f>ES27/ER27</f>
        <v>7.1310839975475169</v>
      </c>
      <c r="ER27" s="69">
        <f>8930+10642</f>
        <v>19572</v>
      </c>
      <c r="ES27" s="411">
        <f>(63240.83+53067.15)*1.2</f>
        <v>139569.576</v>
      </c>
      <c r="ET27" s="372">
        <v>132452.46</v>
      </c>
      <c r="EU27" s="403">
        <f>SUM(ES26:ES29)*1</f>
        <v>143923.83600000001</v>
      </c>
      <c r="EV27" s="92">
        <f>EX27/EW27</f>
        <v>7.2623278344827593</v>
      </c>
      <c r="EW27" s="410">
        <v>18125</v>
      </c>
      <c r="EX27" s="411">
        <v>131629.69200000001</v>
      </c>
      <c r="EY27" s="56" t="s">
        <v>530</v>
      </c>
      <c r="EZ27" s="403">
        <f>SUM(EX26:EX29)*1</f>
        <v>134343.65200000003</v>
      </c>
      <c r="FA27" s="92">
        <f>FC27/FB27</f>
        <v>7.2240000000000002</v>
      </c>
      <c r="FB27" s="410">
        <v>21035</v>
      </c>
      <c r="FC27" s="411">
        <v>151956.84</v>
      </c>
      <c r="FD27" s="128" t="s">
        <v>1203</v>
      </c>
      <c r="FE27" s="403">
        <f>SUM(FC26:FC29)*1</f>
        <v>155472.26</v>
      </c>
      <c r="FF27" s="92">
        <f>FH27/FG27</f>
        <v>7.9415159589231203</v>
      </c>
      <c r="FG27" s="410">
        <f>15994+5624</f>
        <v>21618</v>
      </c>
      <c r="FH27" s="411">
        <f>(105847.17+37219.24)*1.2</f>
        <v>171679.69200000001</v>
      </c>
      <c r="FI27" s="128">
        <v>171804</v>
      </c>
      <c r="FJ27" s="403">
        <f>SUM(FH26:FH29)*1</f>
        <v>172349.51200000002</v>
      </c>
      <c r="FK27" s="92">
        <f>FM27/FL27</f>
        <v>7.9877639364683901</v>
      </c>
      <c r="FL27" s="410">
        <v>19266</v>
      </c>
      <c r="FM27" s="411">
        <v>153892.26</v>
      </c>
      <c r="FN27" s="128">
        <v>192484</v>
      </c>
      <c r="FO27" s="403">
        <f>SUM(FM26:FM29)*1</f>
        <v>154562.08000000002</v>
      </c>
      <c r="FP27" s="92">
        <f>FR27/FQ27</f>
        <v>7.2019078693007685</v>
      </c>
      <c r="FQ27" s="410">
        <v>21209</v>
      </c>
      <c r="FR27" s="411">
        <v>152745.264</v>
      </c>
      <c r="FS27" s="1539">
        <v>167088.48000000001</v>
      </c>
      <c r="FT27" s="403">
        <f>SUM(FR26:FR29)*1</f>
        <v>153415.084</v>
      </c>
      <c r="FU27" s="92">
        <f>FW27/FV27</f>
        <v>9.5370958593306874</v>
      </c>
      <c r="FV27" s="410">
        <v>15867</v>
      </c>
      <c r="FW27" s="411">
        <v>151325.1</v>
      </c>
      <c r="FX27" s="56">
        <v>180253.09090909088</v>
      </c>
      <c r="FY27" s="403">
        <f>SUM(FW26:FW29)*1</f>
        <v>151994.92000000001</v>
      </c>
      <c r="FZ27" s="92">
        <f>GB27/GA27</f>
        <v>10.118064079187288</v>
      </c>
      <c r="GA27" s="410">
        <v>11517</v>
      </c>
      <c r="GB27" s="411">
        <v>116529.74399999999</v>
      </c>
      <c r="GC27" s="1582">
        <v>151325.1</v>
      </c>
      <c r="GD27" s="1467">
        <f>SUM(GB26:GB29)*1</f>
        <v>117199.564</v>
      </c>
      <c r="GE27" s="92">
        <f>GG27/GF27</f>
        <v>5.3077195968645015</v>
      </c>
      <c r="GF27" s="58">
        <v>13395</v>
      </c>
      <c r="GG27" s="60">
        <v>71096.903999999995</v>
      </c>
      <c r="GH27" s="1469">
        <v>164479.01999999999</v>
      </c>
      <c r="GI27" s="1467">
        <f>SUM(GG26:GG29)*1</f>
        <v>71766.724000000002</v>
      </c>
      <c r="GJ27" s="98">
        <f>GL27/GK27</f>
        <v>8.5936438651040419</v>
      </c>
      <c r="GK27" s="58">
        <v>16724</v>
      </c>
      <c r="GL27" s="60">
        <v>143720.1</v>
      </c>
      <c r="GM27" s="56">
        <v>128864.856</v>
      </c>
      <c r="GN27" s="403">
        <f>SUM(GL26:GL29)*1</f>
        <v>147828.34000000003</v>
      </c>
      <c r="GO27" s="92">
        <f>GQ27/GP27</f>
        <v>13.755335399601504</v>
      </c>
      <c r="GP27" s="410">
        <v>9034</v>
      </c>
      <c r="GQ27" s="561">
        <v>124265.7</v>
      </c>
      <c r="GR27" s="1565">
        <v>147667.236</v>
      </c>
      <c r="GS27" s="403">
        <f>SUM(GQ26:GQ29)*1</f>
        <v>127552.42</v>
      </c>
      <c r="GT27" s="92">
        <f>GV27/GU27</f>
        <v>10.4826</v>
      </c>
      <c r="GU27" s="413">
        <v>15140</v>
      </c>
      <c r="GV27" s="411">
        <v>158706.56399999998</v>
      </c>
      <c r="GW27" s="56">
        <v>132452.46</v>
      </c>
      <c r="GX27" s="403">
        <f>SUM(GV26:GV29)*1</f>
        <v>161274.12399999998</v>
      </c>
      <c r="GY27" s="92">
        <f>HA27/GZ27</f>
        <v>7.1310839975475169</v>
      </c>
      <c r="GZ27" s="58">
        <f>8930+10642</f>
        <v>19572</v>
      </c>
      <c r="HA27" s="60">
        <f>(63240.83+53067.15)*1.2</f>
        <v>139569.576</v>
      </c>
      <c r="HB27" s="509">
        <v>132452.46</v>
      </c>
      <c r="HC27" s="403">
        <f>SUM(HA26:HA29)*1</f>
        <v>143923.83600000001</v>
      </c>
      <c r="HD27" s="92">
        <f>HF27/HE27</f>
        <v>7.2623278344827593</v>
      </c>
      <c r="HE27" s="58">
        <v>18125</v>
      </c>
      <c r="HF27" s="60">
        <v>131629.69200000001</v>
      </c>
      <c r="HG27" s="56" t="s">
        <v>530</v>
      </c>
      <c r="HH27" s="403">
        <f>SUM(HF26:HF29)*1</f>
        <v>134343.65200000003</v>
      </c>
      <c r="HI27" s="92">
        <f>HK27/HJ27</f>
        <v>7.2240000000000002</v>
      </c>
      <c r="HJ27" s="58">
        <v>21035</v>
      </c>
      <c r="HK27" s="60">
        <v>151956.84</v>
      </c>
      <c r="HL27" s="56" t="s">
        <v>1203</v>
      </c>
      <c r="HM27" s="403">
        <f>SUM(HK26:HK29)*1</f>
        <v>155472.26</v>
      </c>
      <c r="HN27" s="92">
        <f>HP27/HO27</f>
        <v>7.9415159589231203</v>
      </c>
      <c r="HO27" s="58">
        <f>15994+5624</f>
        <v>21618</v>
      </c>
      <c r="HP27" s="60">
        <f>(105847.17+37219.24)*1.2</f>
        <v>171679.69200000001</v>
      </c>
      <c r="HQ27" s="56">
        <v>171804</v>
      </c>
      <c r="HR27" s="403">
        <f>SUM(HP26:HP29)*1</f>
        <v>172349.51200000002</v>
      </c>
      <c r="HS27" s="92">
        <f>HU27/HT27</f>
        <v>7.9877639364683901</v>
      </c>
      <c r="HT27" s="58">
        <v>19266</v>
      </c>
      <c r="HU27" s="60">
        <v>153892.26</v>
      </c>
      <c r="HV27" s="56">
        <v>192484</v>
      </c>
      <c r="HW27" s="403">
        <f>SUM(HU26:HU29)*1</f>
        <v>154562.08000000002</v>
      </c>
      <c r="HX27" s="92">
        <f>HZ27/HY27</f>
        <v>7.2019078693007685</v>
      </c>
      <c r="HY27" s="58">
        <v>21209</v>
      </c>
      <c r="HZ27" s="60">
        <v>152745.264</v>
      </c>
      <c r="IA27" s="1578">
        <v>167088.48000000001</v>
      </c>
      <c r="IB27" s="403">
        <f>SUM(HZ26:HZ29)*1</f>
        <v>153415.084</v>
      </c>
      <c r="IC27" s="92">
        <f>IE27/ID27</f>
        <v>9.5370958593306874</v>
      </c>
      <c r="ID27" s="58">
        <v>15867</v>
      </c>
      <c r="IE27" s="60">
        <v>151325.1</v>
      </c>
      <c r="IF27" s="56">
        <v>180253.09090909088</v>
      </c>
      <c r="IG27" s="403">
        <f>SUM(IE26:IE29)*1</f>
        <v>151994.92000000001</v>
      </c>
      <c r="IH27" s="92">
        <f>IJ27/II27</f>
        <v>5.3077195968645015</v>
      </c>
      <c r="II27" s="58">
        <v>13395</v>
      </c>
      <c r="IJ27" s="60">
        <v>71096.903999999995</v>
      </c>
      <c r="IK27" s="56">
        <v>202579.08</v>
      </c>
      <c r="IL27" s="403">
        <f>SUM(IJ26:IJ29)*1</f>
        <v>71766.724000000002</v>
      </c>
      <c r="IM27" s="92">
        <f>IO27/IN27</f>
        <v>5.3077195968645015</v>
      </c>
      <c r="IN27" s="58">
        <v>13395</v>
      </c>
      <c r="IO27" s="60">
        <v>71096.903999999995</v>
      </c>
      <c r="IP27" s="56">
        <v>49372.85</v>
      </c>
      <c r="IQ27" s="403">
        <f>SUM(IO26:IO29)*1</f>
        <v>71766.724000000002</v>
      </c>
    </row>
    <row r="28" spans="1:251" ht="15" customHeight="1">
      <c r="A28" s="647"/>
      <c r="B28" s="256"/>
      <c r="C28" s="215">
        <v>41946011</v>
      </c>
      <c r="D28" s="45" t="s">
        <v>200</v>
      </c>
      <c r="E28" s="216" t="s">
        <v>15</v>
      </c>
      <c r="F28" s="22"/>
      <c r="G28" s="103"/>
      <c r="H28" s="128"/>
      <c r="I28" s="129" t="s">
        <v>182</v>
      </c>
      <c r="J28" s="128"/>
      <c r="K28" s="136"/>
      <c r="L28" s="103"/>
      <c r="M28" s="128"/>
      <c r="N28" s="129">
        <v>1352.6</v>
      </c>
      <c r="O28" s="128"/>
      <c r="P28" s="136"/>
      <c r="Q28" s="103"/>
      <c r="R28" s="128"/>
      <c r="S28" s="129" t="s">
        <v>207</v>
      </c>
      <c r="T28" s="128"/>
      <c r="U28" s="136"/>
      <c r="V28" s="47"/>
      <c r="W28" s="128"/>
      <c r="X28" s="129">
        <v>1594.4159999999999</v>
      </c>
      <c r="Y28" s="128"/>
      <c r="Z28" s="128"/>
      <c r="AA28" s="46"/>
      <c r="AB28" s="56"/>
      <c r="AC28" s="129">
        <v>1707.26</v>
      </c>
      <c r="AD28" s="128"/>
      <c r="AE28" s="128"/>
      <c r="AF28" s="46"/>
      <c r="AG28" s="128"/>
      <c r="AH28" s="129" t="s">
        <v>233</v>
      </c>
      <c r="AI28" s="128"/>
      <c r="AJ28" s="128"/>
      <c r="AK28" s="46"/>
      <c r="AL28" s="56"/>
      <c r="AM28" s="507">
        <v>708.65</v>
      </c>
      <c r="AN28" s="56"/>
      <c r="AO28" s="128"/>
      <c r="AP28" s="46"/>
      <c r="AQ28" s="408"/>
      <c r="AR28" s="507">
        <v>3086.06</v>
      </c>
      <c r="AS28" s="408"/>
      <c r="AT28" s="128"/>
      <c r="AU28" s="46"/>
      <c r="AV28" s="408"/>
      <c r="AW28" s="507">
        <v>2156.2080000000001</v>
      </c>
      <c r="AX28" s="408"/>
      <c r="AY28" s="128"/>
      <c r="AZ28" s="46"/>
      <c r="BA28" s="408"/>
      <c r="BB28" s="507">
        <v>2600.17</v>
      </c>
      <c r="BC28" s="408"/>
      <c r="BD28" s="128"/>
      <c r="BE28" s="46"/>
      <c r="BF28" s="408"/>
      <c r="BG28" s="507">
        <v>2465.92</v>
      </c>
      <c r="BH28" s="408"/>
      <c r="BI28" s="128"/>
      <c r="BJ28" s="46"/>
      <c r="BK28" s="408"/>
      <c r="BL28" s="507" t="s">
        <v>372</v>
      </c>
      <c r="BM28" s="408"/>
      <c r="BN28" s="128"/>
      <c r="BO28" s="46"/>
      <c r="BP28" s="408"/>
      <c r="BQ28" s="507" t="s">
        <v>380</v>
      </c>
      <c r="BR28" s="56"/>
      <c r="BS28" s="128"/>
      <c r="BT28" s="46"/>
      <c r="BU28" s="408">
        <v>1</v>
      </c>
      <c r="BV28" s="507">
        <v>2225.64</v>
      </c>
      <c r="BW28" s="56"/>
      <c r="BX28" s="128"/>
      <c r="BY28" s="46"/>
      <c r="BZ28" s="128"/>
      <c r="CA28" s="129" t="s">
        <v>470</v>
      </c>
      <c r="CB28" s="128"/>
      <c r="CC28" s="128"/>
      <c r="CD28" s="46"/>
      <c r="CE28" s="128"/>
      <c r="CF28" s="129">
        <v>1897.74</v>
      </c>
      <c r="CG28" s="128"/>
      <c r="CH28" s="128"/>
      <c r="CI28" s="46"/>
      <c r="CJ28" s="128"/>
      <c r="CK28" s="129">
        <v>1948.28</v>
      </c>
      <c r="CL28" s="128"/>
      <c r="CM28" s="128"/>
      <c r="CN28" s="46"/>
      <c r="CO28" s="128"/>
      <c r="CP28" s="129">
        <v>2044.14</v>
      </c>
      <c r="CQ28" s="128"/>
      <c r="CR28" s="128"/>
      <c r="CS28" s="46"/>
      <c r="CT28" s="128"/>
      <c r="CU28" s="129">
        <v>2845.6</v>
      </c>
      <c r="CV28" s="128"/>
      <c r="CW28" s="128"/>
      <c r="CX28" s="46"/>
      <c r="CY28" s="56"/>
      <c r="CZ28" s="61" t="s">
        <v>182</v>
      </c>
      <c r="DA28" s="56"/>
      <c r="DB28" s="128"/>
      <c r="DC28" s="46"/>
      <c r="DD28" s="56"/>
      <c r="DE28" s="61" t="s">
        <v>182</v>
      </c>
      <c r="DF28" s="56"/>
      <c r="DG28" s="128"/>
      <c r="DH28" s="46"/>
      <c r="DI28" s="56"/>
      <c r="DJ28" s="61" t="s">
        <v>182</v>
      </c>
      <c r="DK28" s="56"/>
      <c r="DL28" s="128"/>
      <c r="DM28" s="46"/>
      <c r="DN28" s="56"/>
      <c r="DO28" s="61" t="s">
        <v>182</v>
      </c>
      <c r="DP28" s="56"/>
      <c r="DQ28" s="128"/>
      <c r="DR28" s="46"/>
      <c r="DS28" s="56"/>
      <c r="DT28" s="61" t="s">
        <v>182</v>
      </c>
      <c r="DU28" s="56"/>
      <c r="DV28" s="128"/>
      <c r="DW28" s="46"/>
      <c r="DX28" s="56"/>
      <c r="DY28" s="61" t="s">
        <v>182</v>
      </c>
      <c r="DZ28" s="56"/>
      <c r="EA28" s="128"/>
      <c r="EB28" s="46"/>
      <c r="EC28" s="56">
        <v>1</v>
      </c>
      <c r="ED28" s="129">
        <v>3438.42</v>
      </c>
      <c r="EE28" s="56"/>
      <c r="EF28" s="128"/>
      <c r="EG28" s="46"/>
      <c r="EH28" s="128"/>
      <c r="EI28" s="129">
        <v>2616.9</v>
      </c>
      <c r="EJ28" s="128"/>
      <c r="EK28" s="128"/>
      <c r="EL28" s="46"/>
      <c r="EM28" s="56"/>
      <c r="EN28" s="61">
        <v>1897.74</v>
      </c>
      <c r="EO28" s="56"/>
      <c r="EP28" s="128"/>
      <c r="EQ28" s="46"/>
      <c r="ER28" s="128"/>
      <c r="ES28" s="129">
        <v>3684.44</v>
      </c>
      <c r="ET28" s="128"/>
      <c r="EU28" s="128"/>
      <c r="EV28" s="46"/>
      <c r="EW28" s="56"/>
      <c r="EX28" s="61">
        <v>2044.14</v>
      </c>
      <c r="EY28" s="56"/>
      <c r="EZ28" s="128"/>
      <c r="FA28" s="46"/>
      <c r="FB28" s="56"/>
      <c r="FC28" s="61">
        <v>2845.6</v>
      </c>
      <c r="FD28" s="56"/>
      <c r="FE28" s="128"/>
      <c r="FF28" s="46"/>
      <c r="FG28" s="56"/>
      <c r="FH28" s="61" t="s">
        <v>182</v>
      </c>
      <c r="FI28" s="56"/>
      <c r="FJ28" s="128"/>
      <c r="FK28" s="46"/>
      <c r="FL28" s="56"/>
      <c r="FM28" s="61" t="s">
        <v>182</v>
      </c>
      <c r="FN28" s="56"/>
      <c r="FO28" s="128"/>
      <c r="FP28" s="46"/>
      <c r="FQ28" s="56"/>
      <c r="FR28" s="61" t="s">
        <v>182</v>
      </c>
      <c r="FS28" s="56"/>
      <c r="FT28" s="128"/>
      <c r="FU28" s="46"/>
      <c r="FV28" s="56"/>
      <c r="FW28" s="61" t="s">
        <v>182</v>
      </c>
      <c r="FX28" s="56"/>
      <c r="FY28" s="128"/>
      <c r="FZ28" s="46"/>
      <c r="GA28" s="56"/>
      <c r="GB28" s="61" t="s">
        <v>182</v>
      </c>
      <c r="GC28" s="197"/>
      <c r="GD28" s="128"/>
      <c r="GE28" s="46"/>
      <c r="GF28" s="56"/>
      <c r="GG28" s="61" t="s">
        <v>182</v>
      </c>
      <c r="GH28" s="197"/>
      <c r="GI28" s="128"/>
      <c r="GJ28" s="97"/>
      <c r="GK28" s="56">
        <v>1</v>
      </c>
      <c r="GL28" s="61">
        <v>3438.42</v>
      </c>
      <c r="GM28" s="56"/>
      <c r="GN28" s="128"/>
      <c r="GO28" s="46"/>
      <c r="GP28" s="56"/>
      <c r="GQ28" s="61">
        <v>2616.9</v>
      </c>
      <c r="GR28" s="56"/>
      <c r="GS28" s="128"/>
      <c r="GT28" s="46"/>
      <c r="GU28" s="56"/>
      <c r="GV28" s="61">
        <v>1897.74</v>
      </c>
      <c r="GW28" s="56"/>
      <c r="GX28" s="128"/>
      <c r="GY28" s="46"/>
      <c r="GZ28" s="56"/>
      <c r="HA28" s="61">
        <v>3684.44</v>
      </c>
      <c r="HB28" s="56"/>
      <c r="HC28" s="128"/>
      <c r="HD28" s="46"/>
      <c r="HE28" s="56"/>
      <c r="HF28" s="61">
        <v>2044.14</v>
      </c>
      <c r="HG28" s="56"/>
      <c r="HH28" s="128"/>
      <c r="HI28" s="46"/>
      <c r="HJ28" s="56"/>
      <c r="HK28" s="61">
        <v>2845.6</v>
      </c>
      <c r="HL28" s="56"/>
      <c r="HM28" s="128"/>
      <c r="HN28" s="46"/>
      <c r="HO28" s="56"/>
      <c r="HP28" s="61" t="s">
        <v>182</v>
      </c>
      <c r="HQ28" s="56"/>
      <c r="HR28" s="128"/>
      <c r="HS28" s="46"/>
      <c r="HT28" s="56"/>
      <c r="HU28" s="61" t="s">
        <v>182</v>
      </c>
      <c r="HV28" s="56"/>
      <c r="HW28" s="128"/>
      <c r="HX28" s="46"/>
      <c r="HY28" s="56"/>
      <c r="HZ28" s="61" t="s">
        <v>182</v>
      </c>
      <c r="IA28" s="56"/>
      <c r="IB28" s="128"/>
      <c r="IC28" s="46"/>
      <c r="ID28" s="56"/>
      <c r="IE28" s="61" t="s">
        <v>182</v>
      </c>
      <c r="IF28" s="56"/>
      <c r="IG28" s="128"/>
      <c r="IH28" s="46"/>
      <c r="II28" s="56"/>
      <c r="IJ28" s="61" t="s">
        <v>182</v>
      </c>
      <c r="IK28" s="56"/>
      <c r="IL28" s="128"/>
      <c r="IM28" s="46"/>
      <c r="IN28" s="56"/>
      <c r="IO28" s="61" t="s">
        <v>182</v>
      </c>
      <c r="IP28" s="56"/>
      <c r="IQ28" s="128"/>
    </row>
    <row r="29" spans="1:251" s="350" customFormat="1" ht="15" customHeight="1" thickBot="1">
      <c r="A29" s="650"/>
      <c r="B29" s="297"/>
      <c r="C29" s="298"/>
      <c r="D29" s="366" t="s">
        <v>187</v>
      </c>
      <c r="E29" s="367" t="s">
        <v>17</v>
      </c>
      <c r="F29" s="31"/>
      <c r="G29" s="178">
        <f>I29/H29</f>
        <v>31.724137931034484</v>
      </c>
      <c r="H29" s="177">
        <v>29</v>
      </c>
      <c r="I29" s="177">
        <v>920</v>
      </c>
      <c r="J29" s="177"/>
      <c r="K29" s="10"/>
      <c r="L29" s="178">
        <f>N29/M29</f>
        <v>30.446363636363639</v>
      </c>
      <c r="M29" s="177">
        <v>22</v>
      </c>
      <c r="N29" s="177">
        <v>669.82</v>
      </c>
      <c r="O29" s="177"/>
      <c r="P29" s="10"/>
      <c r="Q29" s="178">
        <f>S29/R29</f>
        <v>30.446363636363639</v>
      </c>
      <c r="R29" s="177">
        <v>22</v>
      </c>
      <c r="S29" s="177">
        <v>669.82</v>
      </c>
      <c r="T29" s="177"/>
      <c r="U29" s="10"/>
      <c r="V29" s="318">
        <f>X29/W29</f>
        <v>30.446363636363639</v>
      </c>
      <c r="W29" s="177">
        <v>22</v>
      </c>
      <c r="X29" s="177">
        <v>669.82</v>
      </c>
      <c r="Y29" s="177"/>
      <c r="Z29" s="177"/>
      <c r="AA29" s="285">
        <f>AC29/AB29</f>
        <v>30.446363636363639</v>
      </c>
      <c r="AB29" s="177">
        <v>22</v>
      </c>
      <c r="AC29" s="177">
        <v>669.82</v>
      </c>
      <c r="AD29" s="177"/>
      <c r="AE29" s="177"/>
      <c r="AF29" s="285">
        <f>AH29/AG29</f>
        <v>30.446363636363639</v>
      </c>
      <c r="AG29" s="177">
        <v>22</v>
      </c>
      <c r="AH29" s="177">
        <v>669.82</v>
      </c>
      <c r="AI29" s="177"/>
      <c r="AJ29" s="177"/>
      <c r="AK29" s="285">
        <f>AM29/AL29</f>
        <v>18.103243243243245</v>
      </c>
      <c r="AL29" s="172">
        <v>37</v>
      </c>
      <c r="AM29" s="177">
        <v>669.82</v>
      </c>
      <c r="AN29" s="177"/>
      <c r="AO29" s="177"/>
      <c r="AP29" s="285">
        <f>AR29/AQ29</f>
        <v>30.446363636363639</v>
      </c>
      <c r="AQ29" s="177">
        <v>22</v>
      </c>
      <c r="AR29" s="177">
        <v>669.82</v>
      </c>
      <c r="AS29" s="177"/>
      <c r="AT29" s="177"/>
      <c r="AU29" s="285">
        <f>AW29/AV29</f>
        <v>30.446363636363639</v>
      </c>
      <c r="AV29" s="177">
        <v>22</v>
      </c>
      <c r="AW29" s="177">
        <v>669.82</v>
      </c>
      <c r="AX29" s="172"/>
      <c r="AY29" s="177"/>
      <c r="AZ29" s="285">
        <f>BB29/BA29</f>
        <v>30.446363636363639</v>
      </c>
      <c r="BA29" s="177">
        <v>22</v>
      </c>
      <c r="BB29" s="177">
        <v>669.82</v>
      </c>
      <c r="BC29" s="177"/>
      <c r="BD29" s="177"/>
      <c r="BE29" s="285">
        <f>BG29/BF29</f>
        <v>30.446363636363639</v>
      </c>
      <c r="BF29" s="177">
        <v>22</v>
      </c>
      <c r="BG29" s="177">
        <v>669.82</v>
      </c>
      <c r="BH29" s="177"/>
      <c r="BI29" s="177"/>
      <c r="BJ29" s="285">
        <f>BL29/BK29</f>
        <v>30.446363636363639</v>
      </c>
      <c r="BK29" s="177">
        <v>22</v>
      </c>
      <c r="BL29" s="177">
        <v>669.82</v>
      </c>
      <c r="BM29" s="177"/>
      <c r="BN29" s="177"/>
      <c r="BO29" s="285">
        <f>BQ29/BP29</f>
        <v>30.446363636363639</v>
      </c>
      <c r="BP29" s="177">
        <v>22</v>
      </c>
      <c r="BQ29" s="177">
        <v>669.82</v>
      </c>
      <c r="BR29" s="177"/>
      <c r="BS29" s="177"/>
      <c r="BT29" s="285">
        <f>BV29/BU29</f>
        <v>30.446363636363639</v>
      </c>
      <c r="BU29" s="177">
        <v>22</v>
      </c>
      <c r="BV29" s="177">
        <v>669.82</v>
      </c>
      <c r="BW29" s="177"/>
      <c r="BX29" s="177"/>
      <c r="BY29" s="285">
        <f>CA29/BZ29</f>
        <v>30.446363636363639</v>
      </c>
      <c r="BZ29" s="172">
        <v>22</v>
      </c>
      <c r="CA29" s="172">
        <v>669.82</v>
      </c>
      <c r="CB29" s="172"/>
      <c r="CC29" s="177"/>
      <c r="CD29" s="285">
        <f>CF29/CE29</f>
        <v>30.446363636363639</v>
      </c>
      <c r="CE29" s="172">
        <v>22</v>
      </c>
      <c r="CF29" s="172">
        <v>669.82</v>
      </c>
      <c r="CG29" s="172"/>
      <c r="CH29" s="177"/>
      <c r="CI29" s="285">
        <f>CK29/CJ29</f>
        <v>30.446363636363639</v>
      </c>
      <c r="CJ29" s="177">
        <v>22</v>
      </c>
      <c r="CK29" s="177">
        <v>669.82</v>
      </c>
      <c r="CL29" s="177"/>
      <c r="CM29" s="177"/>
      <c r="CN29" s="285">
        <f>CP29/CO29</f>
        <v>30.446363636363639</v>
      </c>
      <c r="CO29" s="177">
        <v>22</v>
      </c>
      <c r="CP29" s="177">
        <v>669.82</v>
      </c>
      <c r="CQ29" s="177"/>
      <c r="CR29" s="177"/>
      <c r="CS29" s="285">
        <f>CU29/CT29</f>
        <v>30.446363636363639</v>
      </c>
      <c r="CT29" s="177">
        <v>22</v>
      </c>
      <c r="CU29" s="177">
        <v>669.82</v>
      </c>
      <c r="CV29" s="177"/>
      <c r="CW29" s="177"/>
      <c r="CX29" s="285">
        <f>CZ29/CY29</f>
        <v>30.446363636363639</v>
      </c>
      <c r="CY29" s="177">
        <v>22</v>
      </c>
      <c r="CZ29" s="177">
        <v>669.82</v>
      </c>
      <c r="DA29" s="177"/>
      <c r="DB29" s="177"/>
      <c r="DC29" s="285">
        <f>DE29/DD29</f>
        <v>30.446363636363639</v>
      </c>
      <c r="DD29" s="177">
        <v>22</v>
      </c>
      <c r="DE29" s="177">
        <v>669.82</v>
      </c>
      <c r="DF29" s="177"/>
      <c r="DG29" s="177"/>
      <c r="DH29" s="285">
        <f>DJ29/DI29</f>
        <v>30.446363636363639</v>
      </c>
      <c r="DI29" s="177">
        <v>22</v>
      </c>
      <c r="DJ29" s="177">
        <v>669.82</v>
      </c>
      <c r="DK29" s="177"/>
      <c r="DL29" s="177"/>
      <c r="DM29" s="285">
        <f>DO29/DN29</f>
        <v>30.446363636363639</v>
      </c>
      <c r="DN29" s="177">
        <v>22</v>
      </c>
      <c r="DO29" s="177">
        <v>669.82</v>
      </c>
      <c r="DP29" s="177"/>
      <c r="DQ29" s="177"/>
      <c r="DR29" s="285">
        <f>DT29/DS29</f>
        <v>30.446363636363639</v>
      </c>
      <c r="DS29" s="177">
        <v>22</v>
      </c>
      <c r="DT29" s="177">
        <v>669.82</v>
      </c>
      <c r="DU29" s="177"/>
      <c r="DV29" s="177"/>
      <c r="DW29" s="285">
        <f>DY29/DX29</f>
        <v>30.446363636363639</v>
      </c>
      <c r="DX29" s="177">
        <v>22</v>
      </c>
      <c r="DY29" s="177">
        <v>669.82</v>
      </c>
      <c r="DZ29" s="177"/>
      <c r="EA29" s="177"/>
      <c r="EB29" s="285">
        <f>ED29/EC29</f>
        <v>30.446363636363639</v>
      </c>
      <c r="EC29" s="177">
        <v>22</v>
      </c>
      <c r="ED29" s="177">
        <v>669.82</v>
      </c>
      <c r="EE29" s="177"/>
      <c r="EF29" s="177"/>
      <c r="EG29" s="285">
        <f>EI29/EH29</f>
        <v>30.446363636363639</v>
      </c>
      <c r="EH29" s="177">
        <v>22</v>
      </c>
      <c r="EI29" s="177">
        <v>669.82</v>
      </c>
      <c r="EJ29" s="177"/>
      <c r="EK29" s="177"/>
      <c r="EL29" s="285">
        <f>EN29/EM29</f>
        <v>30.446363636363639</v>
      </c>
      <c r="EM29" s="177">
        <v>22</v>
      </c>
      <c r="EN29" s="177">
        <v>669.82</v>
      </c>
      <c r="EO29" s="177"/>
      <c r="EP29" s="177"/>
      <c r="EQ29" s="285">
        <f>ES29/ER29</f>
        <v>30.446363636363639</v>
      </c>
      <c r="ER29" s="177">
        <v>22</v>
      </c>
      <c r="ES29" s="177">
        <v>669.82</v>
      </c>
      <c r="ET29" s="177"/>
      <c r="EU29" s="177"/>
      <c r="EV29" s="285">
        <f>EX29/EW29</f>
        <v>30.446363636363639</v>
      </c>
      <c r="EW29" s="177">
        <v>22</v>
      </c>
      <c r="EX29" s="177">
        <v>669.82</v>
      </c>
      <c r="EY29" s="177"/>
      <c r="EZ29" s="177"/>
      <c r="FA29" s="285">
        <f>FC29/FB29</f>
        <v>30.446363636363639</v>
      </c>
      <c r="FB29" s="177">
        <v>22</v>
      </c>
      <c r="FC29" s="177">
        <v>669.82</v>
      </c>
      <c r="FD29" s="177"/>
      <c r="FE29" s="177"/>
      <c r="FF29" s="285">
        <f>FH29/FG29</f>
        <v>30.446363636363639</v>
      </c>
      <c r="FG29" s="177">
        <v>22</v>
      </c>
      <c r="FH29" s="177">
        <v>669.82</v>
      </c>
      <c r="FI29" s="177"/>
      <c r="FJ29" s="177"/>
      <c r="FK29" s="285">
        <f>FM29/FL29</f>
        <v>30.446363636363639</v>
      </c>
      <c r="FL29" s="177">
        <v>22</v>
      </c>
      <c r="FM29" s="177">
        <v>669.82</v>
      </c>
      <c r="FN29" s="177"/>
      <c r="FO29" s="177"/>
      <c r="FP29" s="285">
        <f>FR29/FQ29</f>
        <v>30.446363636363639</v>
      </c>
      <c r="FQ29" s="177">
        <v>22</v>
      </c>
      <c r="FR29" s="177">
        <v>669.82</v>
      </c>
      <c r="FS29" s="177"/>
      <c r="FT29" s="177"/>
      <c r="FU29" s="285">
        <f>FW29/FV29</f>
        <v>30.446363636363639</v>
      </c>
      <c r="FV29" s="177">
        <v>22</v>
      </c>
      <c r="FW29" s="177">
        <v>669.82</v>
      </c>
      <c r="FX29" s="177"/>
      <c r="FY29" s="177"/>
      <c r="FZ29" s="285">
        <f>GB29/GA29</f>
        <v>30.446363636363639</v>
      </c>
      <c r="GA29" s="177">
        <v>22</v>
      </c>
      <c r="GB29" s="177">
        <v>669.82</v>
      </c>
      <c r="GC29" s="177"/>
      <c r="GD29" s="177"/>
      <c r="GE29" s="285">
        <f>GG29/GF29</f>
        <v>30.446363636363639</v>
      </c>
      <c r="GF29" s="177">
        <v>22</v>
      </c>
      <c r="GG29" s="177">
        <v>669.82</v>
      </c>
      <c r="GH29" s="177"/>
      <c r="GI29" s="177"/>
      <c r="GJ29" s="285">
        <f>GL29/GK29</f>
        <v>30.446363636363639</v>
      </c>
      <c r="GK29" s="177">
        <v>22</v>
      </c>
      <c r="GL29" s="177">
        <v>669.82</v>
      </c>
      <c r="GM29" s="177"/>
      <c r="GN29" s="177"/>
      <c r="GO29" s="285">
        <f>GQ29/GP29</f>
        <v>30.446363636363639</v>
      </c>
      <c r="GP29" s="177">
        <v>22</v>
      </c>
      <c r="GQ29" s="177">
        <v>669.82</v>
      </c>
      <c r="GR29" s="177"/>
      <c r="GS29" s="177"/>
      <c r="GT29" s="285">
        <f>GV29/GU29</f>
        <v>30.446363636363639</v>
      </c>
      <c r="GU29" s="177">
        <v>22</v>
      </c>
      <c r="GV29" s="177">
        <v>669.82</v>
      </c>
      <c r="GW29" s="177"/>
      <c r="GX29" s="177"/>
      <c r="GY29" s="285">
        <f>HA29/GZ29</f>
        <v>30.446363636363639</v>
      </c>
      <c r="GZ29" s="177">
        <v>22</v>
      </c>
      <c r="HA29" s="177">
        <v>669.82</v>
      </c>
      <c r="HB29" s="177"/>
      <c r="HC29" s="177"/>
      <c r="HD29" s="285">
        <f>HF29/HE29</f>
        <v>30.446363636363639</v>
      </c>
      <c r="HE29" s="177">
        <v>22</v>
      </c>
      <c r="HF29" s="177">
        <v>669.82</v>
      </c>
      <c r="HG29" s="177"/>
      <c r="HH29" s="177"/>
      <c r="HI29" s="285">
        <f>HK29/HJ29</f>
        <v>30.446363636363639</v>
      </c>
      <c r="HJ29" s="177">
        <v>22</v>
      </c>
      <c r="HK29" s="177">
        <v>669.82</v>
      </c>
      <c r="HL29" s="177"/>
      <c r="HM29" s="177"/>
      <c r="HN29" s="285">
        <f>HP29/HO29</f>
        <v>30.446363636363639</v>
      </c>
      <c r="HO29" s="177">
        <v>22</v>
      </c>
      <c r="HP29" s="177">
        <v>669.82</v>
      </c>
      <c r="HQ29" s="177"/>
      <c r="HR29" s="177"/>
      <c r="HS29" s="285">
        <f>HU29/HT29</f>
        <v>30.446363636363639</v>
      </c>
      <c r="HT29" s="177">
        <v>22</v>
      </c>
      <c r="HU29" s="177">
        <v>669.82</v>
      </c>
      <c r="HV29" s="177"/>
      <c r="HW29" s="177"/>
      <c r="HX29" s="285">
        <f>HZ29/HY29</f>
        <v>30.446363636363639</v>
      </c>
      <c r="HY29" s="177">
        <v>22</v>
      </c>
      <c r="HZ29" s="177">
        <v>669.82</v>
      </c>
      <c r="IA29" s="177"/>
      <c r="IB29" s="177"/>
      <c r="IC29" s="285">
        <f>IE29/ID29</f>
        <v>30.446363636363639</v>
      </c>
      <c r="ID29" s="177">
        <v>22</v>
      </c>
      <c r="IE29" s="177">
        <v>669.82</v>
      </c>
      <c r="IF29" s="177"/>
      <c r="IG29" s="177"/>
      <c r="IH29" s="285">
        <f>IJ29/II29</f>
        <v>30.446363636363639</v>
      </c>
      <c r="II29" s="177">
        <v>22</v>
      </c>
      <c r="IJ29" s="177">
        <v>669.82</v>
      </c>
      <c r="IK29" s="177"/>
      <c r="IL29" s="177"/>
      <c r="IM29" s="285">
        <f>IO29/IN29</f>
        <v>30.446363636363639</v>
      </c>
      <c r="IN29" s="177">
        <v>22</v>
      </c>
      <c r="IO29" s="177">
        <v>669.82</v>
      </c>
      <c r="IP29" s="177"/>
      <c r="IQ29" s="177"/>
    </row>
    <row r="30" spans="1:251" s="255" customFormat="1" ht="15" customHeight="1">
      <c r="A30" s="646"/>
      <c r="B30" s="250" t="s">
        <v>128</v>
      </c>
      <c r="C30" s="251" t="s">
        <v>28</v>
      </c>
      <c r="D30" s="26" t="s">
        <v>19</v>
      </c>
      <c r="E30" s="253" t="s">
        <v>10</v>
      </c>
      <c r="F30" s="21"/>
      <c r="G30" s="164"/>
      <c r="H30" s="165"/>
      <c r="I30" s="165"/>
      <c r="J30" s="165"/>
      <c r="K30" s="17"/>
      <c r="L30" s="164"/>
      <c r="M30" s="165"/>
      <c r="N30" s="165"/>
      <c r="O30" s="165"/>
      <c r="P30" s="17"/>
      <c r="Q30" s="164"/>
      <c r="R30" s="165"/>
      <c r="S30" s="165"/>
      <c r="T30" s="165"/>
      <c r="U30" s="17"/>
      <c r="V30" s="208"/>
      <c r="W30" s="165"/>
      <c r="X30" s="373">
        <v>5085</v>
      </c>
      <c r="Y30" s="165"/>
      <c r="Z30" s="383">
        <f>SUM(X30:X35)*1.1</f>
        <v>259503.06580000001</v>
      </c>
      <c r="AA30" s="2"/>
      <c r="AB30" s="165"/>
      <c r="AC30" s="373">
        <v>5306</v>
      </c>
      <c r="AD30" s="165"/>
      <c r="AE30" s="383">
        <f>SUM(AC30:AC35)*1.1</f>
        <v>245493.75180000003</v>
      </c>
      <c r="AF30" s="2"/>
      <c r="AG30" s="165"/>
      <c r="AH30" s="373">
        <v>5085</v>
      </c>
      <c r="AI30" s="165"/>
      <c r="AJ30" s="383">
        <f>AJ31*1.1</f>
        <v>373563.24500000005</v>
      </c>
      <c r="AK30" s="2"/>
      <c r="AL30" s="165"/>
      <c r="AM30" s="373">
        <v>4643</v>
      </c>
      <c r="AN30" s="165"/>
      <c r="AO30" s="383">
        <f>AO31*1.2</f>
        <v>288508.89359999995</v>
      </c>
      <c r="AP30" s="2"/>
      <c r="AQ30" s="165"/>
      <c r="AR30" s="373">
        <v>4422</v>
      </c>
      <c r="AS30" s="165"/>
      <c r="AT30" s="383">
        <f>SUM(AR30:AR35)*1.2</f>
        <v>402263.0615999999</v>
      </c>
      <c r="AU30" s="2"/>
      <c r="AV30" s="165"/>
      <c r="AW30" s="165"/>
      <c r="AX30" s="165"/>
      <c r="AY30" s="383">
        <f>SUM(AW30:AW35)*1.1</f>
        <v>374248.29200000002</v>
      </c>
      <c r="AZ30" s="2"/>
      <c r="BA30" s="165"/>
      <c r="BB30" s="165"/>
      <c r="BC30" s="165"/>
      <c r="BD30" s="383">
        <f>SUM(BB30:BB35)*1.1</f>
        <v>348933.9216</v>
      </c>
      <c r="BE30" s="2"/>
      <c r="BF30" s="165"/>
      <c r="BG30" s="165"/>
      <c r="BH30" s="165"/>
      <c r="BI30" s="383">
        <f>SUM(BG30:BG35)*1.1</f>
        <v>318419.31660000002</v>
      </c>
      <c r="BJ30" s="2"/>
      <c r="BK30" s="165"/>
      <c r="BL30" s="165"/>
      <c r="BM30" s="165"/>
      <c r="BN30" s="383">
        <f>SUM(BL30:BL35)*1.1</f>
        <v>348625.39140000002</v>
      </c>
      <c r="BO30" s="2"/>
      <c r="BP30" s="165"/>
      <c r="BQ30" s="165"/>
      <c r="BR30" s="165"/>
      <c r="BS30" s="383">
        <f>SUM(BQ30:BQ35)*1.1</f>
        <v>331405.76259999996</v>
      </c>
      <c r="BT30" s="2"/>
      <c r="BU30" s="165"/>
      <c r="BV30" s="165"/>
      <c r="BW30" s="165"/>
      <c r="BX30" s="383">
        <f>SUM(BV30:BV35)*1.1</f>
        <v>365511.685</v>
      </c>
      <c r="BY30" s="2"/>
      <c r="BZ30" s="165"/>
      <c r="CA30" s="165"/>
      <c r="CB30" s="165"/>
      <c r="CC30" s="383">
        <f>SUM(CA30:CA35)*1.1</f>
        <v>274810.80880000006</v>
      </c>
      <c r="CD30" s="2"/>
      <c r="CE30" s="165"/>
      <c r="CF30" s="165"/>
      <c r="CG30" s="165"/>
      <c r="CH30" s="383">
        <f>SUM(CF30:CF35)*1.1</f>
        <v>233079.49500000005</v>
      </c>
      <c r="CI30" s="2"/>
      <c r="CJ30" s="165"/>
      <c r="CK30" s="165"/>
      <c r="CL30" s="165"/>
      <c r="CM30" s="383">
        <f>SUM(CK30:CK35)*1.1</f>
        <v>275231.46419999999</v>
      </c>
      <c r="CN30" s="2"/>
      <c r="CO30" s="165"/>
      <c r="CP30" s="165"/>
      <c r="CQ30" s="165"/>
      <c r="CR30" s="383">
        <f>SUM(CP30:CP35)*1.1</f>
        <v>332501.33180000004</v>
      </c>
      <c r="CS30" s="2"/>
      <c r="CT30" s="165"/>
      <c r="CU30" s="165"/>
      <c r="CV30" s="165"/>
      <c r="CW30" s="383">
        <f>SUM(CU30:CU35)*1.1</f>
        <v>346458.255</v>
      </c>
      <c r="CX30" s="2"/>
      <c r="CY30" s="165"/>
      <c r="CZ30" s="165"/>
      <c r="DA30" s="165"/>
      <c r="DB30" s="383">
        <f>SUM(CZ30:CZ35)*1.1</f>
        <v>338065.03280000004</v>
      </c>
      <c r="DC30" s="2"/>
      <c r="DD30" s="165"/>
      <c r="DE30" s="165"/>
      <c r="DF30" s="165"/>
      <c r="DG30" s="383">
        <f>SUM(DE30:DE35)*1.1</f>
        <v>174961.56700000001</v>
      </c>
      <c r="DH30" s="2"/>
      <c r="DI30" s="165"/>
      <c r="DJ30" s="165"/>
      <c r="DK30" s="165"/>
      <c r="DL30" s="383">
        <f>SUM(DJ30:DJ35)*1.1</f>
        <v>368275.78480000002</v>
      </c>
      <c r="DM30" s="2"/>
      <c r="DN30" s="165"/>
      <c r="DO30" s="165"/>
      <c r="DP30" s="165"/>
      <c r="DQ30" s="383">
        <f>SUM(DO30:DO35)*1.1</f>
        <v>570140.83940000006</v>
      </c>
      <c r="DR30" s="2"/>
      <c r="DS30" s="165"/>
      <c r="DT30" s="165"/>
      <c r="DU30" s="165"/>
      <c r="DV30" s="383">
        <f>SUM(DT30:DT35)*1.1</f>
        <v>435939.41380000004</v>
      </c>
      <c r="DW30" s="2"/>
      <c r="DX30" s="165"/>
      <c r="DY30" s="165"/>
      <c r="DZ30" s="165"/>
      <c r="EA30" s="383">
        <f>SUM(DY30:DY35)*1.1</f>
        <v>427837.7928</v>
      </c>
      <c r="EB30" s="2"/>
      <c r="EC30" s="165"/>
      <c r="ED30" s="165"/>
      <c r="EE30" s="165"/>
      <c r="EF30" s="383">
        <f>SUM(ED30:ED35)*1.1</f>
        <v>474062.35800000001</v>
      </c>
      <c r="EG30" s="2"/>
      <c r="EH30" s="165"/>
      <c r="EI30" s="165"/>
      <c r="EJ30" s="165"/>
      <c r="EK30" s="383">
        <f>SUM(EI30:EI35)*1.1</f>
        <v>276469.58680000005</v>
      </c>
      <c r="EL30" s="2"/>
      <c r="EM30" s="165"/>
      <c r="EN30" s="165"/>
      <c r="EO30" s="165"/>
      <c r="EP30" s="383">
        <f>SUM(EN30:EN35)*1.1</f>
        <v>412175.995</v>
      </c>
      <c r="EQ30" s="2"/>
      <c r="ER30" s="165"/>
      <c r="ES30" s="165"/>
      <c r="ET30" s="165"/>
      <c r="EU30" s="383">
        <f>SUM(ES30:ES35)*1.1</f>
        <v>278120.32819999999</v>
      </c>
      <c r="EV30" s="2"/>
      <c r="EW30" s="165"/>
      <c r="EX30" s="165"/>
      <c r="EY30" s="165"/>
      <c r="EZ30" s="383">
        <f>SUM(EX30:EX35)*1.1</f>
        <v>367264.98380000005</v>
      </c>
      <c r="FA30" s="2"/>
      <c r="FB30" s="165"/>
      <c r="FC30" s="165"/>
      <c r="FD30" s="165"/>
      <c r="FE30" s="383">
        <f>SUM(FC30:FC35)*1.1</f>
        <v>372427.08588799997</v>
      </c>
      <c r="FF30" s="2"/>
      <c r="FG30" s="165"/>
      <c r="FH30" s="165"/>
      <c r="FI30" s="165"/>
      <c r="FJ30" s="383">
        <f>SUM(FH30:FH35)*1.1</f>
        <v>433882.47416799999</v>
      </c>
      <c r="FK30" s="2"/>
      <c r="FL30" s="165"/>
      <c r="FM30" s="165"/>
      <c r="FN30" s="165"/>
      <c r="FO30" s="383">
        <f>SUM(FM30:FM35)*1.1</f>
        <v>413670.10388000001</v>
      </c>
      <c r="FP30" s="2"/>
      <c r="FQ30" s="165"/>
      <c r="FR30" s="165"/>
      <c r="FS30" s="165"/>
      <c r="FT30" s="383">
        <f>SUM(FR30:FR35)*1.1</f>
        <v>345641.12422399997</v>
      </c>
      <c r="FU30" s="2"/>
      <c r="FV30" s="165"/>
      <c r="FW30" s="165"/>
      <c r="FX30" s="165"/>
      <c r="FY30" s="383">
        <f>SUM(FW30:FW35)*1.1</f>
        <v>376028.95</v>
      </c>
      <c r="FZ30" s="2"/>
      <c r="GA30" s="165"/>
      <c r="GB30" s="165"/>
      <c r="GC30" s="165"/>
      <c r="GD30" s="383">
        <f>SUM(GB30:GB35)*1.1</f>
        <v>371315.33340000006</v>
      </c>
      <c r="GE30" s="2"/>
      <c r="GF30" s="165"/>
      <c r="GG30" s="165"/>
      <c r="GH30" s="165"/>
      <c r="GI30" s="383">
        <f>SUM(GG30:GG35)*1.1</f>
        <v>172379.60300000003</v>
      </c>
      <c r="GJ30" s="1548"/>
      <c r="GK30" s="165"/>
      <c r="GL30" s="165"/>
      <c r="GM30" s="165"/>
      <c r="GN30" s="383">
        <f>SUM(GL30:GL35)*1.1</f>
        <v>474062.35800000001</v>
      </c>
      <c r="GO30" s="2"/>
      <c r="GP30" s="165"/>
      <c r="GQ30" s="165"/>
      <c r="GR30" s="165"/>
      <c r="GS30" s="383">
        <f>SUM(GQ30:GQ35)*1.1</f>
        <v>381294.12640000001</v>
      </c>
      <c r="GT30" s="2"/>
      <c r="GU30" s="165"/>
      <c r="GV30" s="165"/>
      <c r="GW30" s="165"/>
      <c r="GX30" s="383">
        <f>SUM(GV30:GV35)*1.1</f>
        <v>437584.47700000007</v>
      </c>
      <c r="GY30" s="2"/>
      <c r="GZ30" s="165"/>
      <c r="HA30" s="165"/>
      <c r="HB30" s="165"/>
      <c r="HC30" s="383">
        <f>SUM(HA30:HA35)*1.1</f>
        <v>278120.32819999999</v>
      </c>
      <c r="HD30" s="2"/>
      <c r="HE30" s="165"/>
      <c r="HF30" s="165"/>
      <c r="HG30" s="165"/>
      <c r="HH30" s="383">
        <f>SUM(HF30:HF35)*1.1</f>
        <v>367264.98380000005</v>
      </c>
      <c r="HI30" s="2"/>
      <c r="HJ30" s="165"/>
      <c r="HK30" s="165"/>
      <c r="HL30" s="165"/>
      <c r="HM30" s="383">
        <f>SUM(HK30:HK35)*1.1</f>
        <v>372427.08588799997</v>
      </c>
      <c r="HN30" s="2"/>
      <c r="HO30" s="165"/>
      <c r="HP30" s="165"/>
      <c r="HQ30" s="165"/>
      <c r="HR30" s="383">
        <f>SUM(HP30:HP35)*1.1</f>
        <v>433882.47416799999</v>
      </c>
      <c r="HS30" s="2"/>
      <c r="HT30" s="165"/>
      <c r="HU30" s="165"/>
      <c r="HV30" s="165"/>
      <c r="HW30" s="383">
        <f>SUM(HU30:HU35)*1.1</f>
        <v>413670.10388000001</v>
      </c>
      <c r="HX30" s="2"/>
      <c r="HY30" s="165"/>
      <c r="HZ30" s="165"/>
      <c r="IA30" s="165"/>
      <c r="IB30" s="383">
        <f>SUM(HZ30:HZ35)*1.1</f>
        <v>345641.12422399997</v>
      </c>
      <c r="IC30" s="2"/>
      <c r="ID30" s="165"/>
      <c r="IE30" s="165"/>
      <c r="IF30" s="165"/>
      <c r="IG30" s="383">
        <f>SUM(IE30:IE35)*1.1</f>
        <v>376028.95</v>
      </c>
      <c r="IH30" s="2"/>
      <c r="II30" s="165"/>
      <c r="IJ30" s="165"/>
      <c r="IK30" s="165"/>
      <c r="IL30" s="383">
        <f>SUM(IJ30:IJ35)*1.1</f>
        <v>210809.467</v>
      </c>
      <c r="IM30" s="2"/>
      <c r="IN30" s="165"/>
      <c r="IO30" s="165"/>
      <c r="IP30" s="165"/>
      <c r="IQ30" s="383">
        <f>SUM(IO30:IO35)*1.1</f>
        <v>172379.60300000003</v>
      </c>
    </row>
    <row r="31" spans="1:251" ht="15" customHeight="1">
      <c r="A31" s="647"/>
      <c r="B31" s="256"/>
      <c r="C31" s="215">
        <v>2839404073</v>
      </c>
      <c r="D31" s="45" t="s">
        <v>30</v>
      </c>
      <c r="E31" s="218" t="s">
        <v>11</v>
      </c>
      <c r="F31" s="24"/>
      <c r="G31" s="103"/>
      <c r="H31" s="70">
        <v>696.6</v>
      </c>
      <c r="I31" s="131">
        <v>7280.87</v>
      </c>
      <c r="J31" s="128"/>
      <c r="K31" s="136"/>
      <c r="L31" s="103"/>
      <c r="M31" s="70">
        <v>696.6</v>
      </c>
      <c r="N31" s="131">
        <v>7280.87</v>
      </c>
      <c r="O31" s="156">
        <v>2940</v>
      </c>
      <c r="P31" s="136"/>
      <c r="Q31" s="103"/>
      <c r="R31" s="70">
        <v>696.6</v>
      </c>
      <c r="S31" s="131">
        <v>7280.87</v>
      </c>
      <c r="T31" s="128"/>
      <c r="U31" s="136"/>
      <c r="V31" s="47"/>
      <c r="W31" s="70">
        <v>696.6</v>
      </c>
      <c r="X31" s="131">
        <v>7280.87</v>
      </c>
      <c r="Y31" s="128"/>
      <c r="Z31" s="403">
        <f>SUM(X30:X35)*1</f>
        <v>235911.878</v>
      </c>
      <c r="AA31" s="46"/>
      <c r="AB31" s="70">
        <v>696.6</v>
      </c>
      <c r="AC31" s="131">
        <v>7280.87</v>
      </c>
      <c r="AD31" s="128"/>
      <c r="AE31" s="403">
        <f>SUM(AC30:AC35)*1</f>
        <v>223176.13800000001</v>
      </c>
      <c r="AF31" s="46"/>
      <c r="AG31" s="70">
        <v>696.6</v>
      </c>
      <c r="AH31" s="131">
        <v>7280.87</v>
      </c>
      <c r="AI31" s="128"/>
      <c r="AJ31" s="403">
        <f>SUM(AH34:AH35)+AI33+AH32+AH31+AH30*1</f>
        <v>339602.95</v>
      </c>
      <c r="AK31" s="46"/>
      <c r="AL31" s="70">
        <v>696.6</v>
      </c>
      <c r="AM31" s="131">
        <v>7280.87</v>
      </c>
      <c r="AN31" s="128"/>
      <c r="AO31" s="403">
        <f>SUM(AM34:AM35)+AN33+AM32+AM31+AM30*1</f>
        <v>240424.07799999998</v>
      </c>
      <c r="AP31" s="46"/>
      <c r="AQ31" s="70">
        <v>696.6</v>
      </c>
      <c r="AR31" s="131">
        <v>7280.87</v>
      </c>
      <c r="AS31" s="128"/>
      <c r="AT31" s="403">
        <f>SUM(AR30:AR35)*1</f>
        <v>335219.21799999994</v>
      </c>
      <c r="AU31" s="46"/>
      <c r="AV31" s="70">
        <v>696.6</v>
      </c>
      <c r="AW31" s="131" t="s">
        <v>342</v>
      </c>
      <c r="AX31" s="128"/>
      <c r="AY31" s="403">
        <f>SUM(AW30:AW35)*1</f>
        <v>340225.72</v>
      </c>
      <c r="AZ31" s="46"/>
      <c r="BA31" s="70">
        <v>696.6</v>
      </c>
      <c r="BB31" s="131" t="s">
        <v>342</v>
      </c>
      <c r="BC31" s="128"/>
      <c r="BD31" s="403">
        <f>SUM(BB30:BB35)*1</f>
        <v>317212.65599999996</v>
      </c>
      <c r="BE31" s="46"/>
      <c r="BF31" s="538">
        <v>696.6</v>
      </c>
      <c r="BG31" s="540">
        <v>7789.39</v>
      </c>
      <c r="BH31" s="128"/>
      <c r="BI31" s="403">
        <f>SUM(BG30:BG35)*1</f>
        <v>289472.10599999997</v>
      </c>
      <c r="BJ31" s="46"/>
      <c r="BK31" s="70">
        <v>696.6</v>
      </c>
      <c r="BL31" s="540">
        <v>7789.39</v>
      </c>
      <c r="BM31" s="128"/>
      <c r="BN31" s="403">
        <f>SUM(BL30:BL35)*1</f>
        <v>316932.174</v>
      </c>
      <c r="BO31" s="46"/>
      <c r="BP31" s="62">
        <v>696.6</v>
      </c>
      <c r="BQ31" s="63">
        <v>7280.87</v>
      </c>
      <c r="BR31" s="56"/>
      <c r="BS31" s="403">
        <f>SUM(BQ30:BQ35)*1</f>
        <v>301277.96599999996</v>
      </c>
      <c r="BT31" s="46"/>
      <c r="BU31" s="70">
        <v>696.6</v>
      </c>
      <c r="BV31" s="131">
        <v>7789.39</v>
      </c>
      <c r="BW31" s="128"/>
      <c r="BX31" s="403">
        <f>SUM(BV30:BV35)*1</f>
        <v>332283.34999999998</v>
      </c>
      <c r="BY31" s="46"/>
      <c r="BZ31" s="70">
        <v>696.6</v>
      </c>
      <c r="CA31" s="131">
        <v>7789.39</v>
      </c>
      <c r="CB31" s="128"/>
      <c r="CC31" s="403">
        <f>SUM(CA30:CA35)*1</f>
        <v>249828.00800000003</v>
      </c>
      <c r="CD31" s="46"/>
      <c r="CE31" s="70">
        <v>696.6</v>
      </c>
      <c r="CF31" s="131" t="s">
        <v>342</v>
      </c>
      <c r="CG31" s="128"/>
      <c r="CH31" s="403">
        <f>SUM(CF30:CF35)*1</f>
        <v>211890.45000000004</v>
      </c>
      <c r="CI31" s="46"/>
      <c r="CJ31" s="70">
        <v>696.6</v>
      </c>
      <c r="CK31" s="131">
        <v>7789.39</v>
      </c>
      <c r="CL31" s="128"/>
      <c r="CM31" s="403">
        <f>SUM(CK30:CK35)*1</f>
        <v>250210.42199999996</v>
      </c>
      <c r="CN31" s="46"/>
      <c r="CO31" s="70">
        <v>696.6</v>
      </c>
      <c r="CP31" s="131">
        <v>7789.39</v>
      </c>
      <c r="CQ31" s="128"/>
      <c r="CR31" s="403">
        <f>SUM(CP30:CP35)*1</f>
        <v>302273.93800000002</v>
      </c>
      <c r="CS31" s="46"/>
      <c r="CT31" s="70">
        <v>696.6</v>
      </c>
      <c r="CU31" s="131">
        <v>8688</v>
      </c>
      <c r="CV31" s="128"/>
      <c r="CW31" s="403">
        <f>SUM(CU30:CU35)*1</f>
        <v>314962.05</v>
      </c>
      <c r="CX31" s="46"/>
      <c r="CY31" s="70">
        <v>696.6</v>
      </c>
      <c r="CZ31" s="131">
        <v>8688</v>
      </c>
      <c r="DA31" s="128"/>
      <c r="DB31" s="403">
        <f>SUM(CZ30:CZ35)*1</f>
        <v>307331.848</v>
      </c>
      <c r="DC31" s="46"/>
      <c r="DD31" s="70">
        <v>696.6</v>
      </c>
      <c r="DE31" s="131">
        <v>8688</v>
      </c>
      <c r="DF31" s="128"/>
      <c r="DG31" s="403">
        <f>SUM(DE30:DE35)*1</f>
        <v>159055.97</v>
      </c>
      <c r="DH31" s="46"/>
      <c r="DI31" s="70"/>
      <c r="DJ31" s="131"/>
      <c r="DK31" s="128"/>
      <c r="DL31" s="403">
        <f>SUM(DJ30:DJ35)*1</f>
        <v>334796.16800000001</v>
      </c>
      <c r="DM31" s="46"/>
      <c r="DN31" s="70"/>
      <c r="DO31" s="131"/>
      <c r="DP31" s="128"/>
      <c r="DQ31" s="403">
        <f>SUM(DO30:DO35)*1</f>
        <v>518309.85399999999</v>
      </c>
      <c r="DR31" s="46"/>
      <c r="DS31" s="70">
        <v>696.6</v>
      </c>
      <c r="DT31" s="131">
        <v>26206.080000000002</v>
      </c>
      <c r="DU31" s="128"/>
      <c r="DV31" s="403">
        <f>SUM(DT30:DT35)*1</f>
        <v>396308.55800000002</v>
      </c>
      <c r="DW31" s="46"/>
      <c r="DX31" s="62">
        <v>696.6</v>
      </c>
      <c r="DY31" s="131">
        <v>9259.48</v>
      </c>
      <c r="DZ31" s="56"/>
      <c r="EA31" s="403">
        <f>SUM(DY30:DY35)*1</f>
        <v>388943.44799999997</v>
      </c>
      <c r="EB31" s="46"/>
      <c r="EC31" s="70">
        <v>696.6</v>
      </c>
      <c r="ED31" s="131">
        <v>9259.48</v>
      </c>
      <c r="EE31" s="128"/>
      <c r="EF31" s="403">
        <f>SUM(ED30:ED35)*1</f>
        <v>430965.77999999997</v>
      </c>
      <c r="EG31" s="46"/>
      <c r="EH31" s="62">
        <v>696.6</v>
      </c>
      <c r="EI31" s="63">
        <v>7789.39</v>
      </c>
      <c r="EJ31" s="56"/>
      <c r="EK31" s="403">
        <f>SUM(EI30:EI35)*1</f>
        <v>251335.98800000004</v>
      </c>
      <c r="EL31" s="46"/>
      <c r="EM31" s="62">
        <v>696.6</v>
      </c>
      <c r="EN31" s="63" t="s">
        <v>342</v>
      </c>
      <c r="EO31" s="56"/>
      <c r="EP31" s="403">
        <f>SUM(EN30:EN35)*1</f>
        <v>374705.44999999995</v>
      </c>
      <c r="EQ31" s="46"/>
      <c r="ER31" s="62">
        <v>696.6</v>
      </c>
      <c r="ES31" s="63">
        <v>7789.39</v>
      </c>
      <c r="ET31" s="56"/>
      <c r="EU31" s="403">
        <f>SUM(ES30:ES35)*1</f>
        <v>252836.66199999998</v>
      </c>
      <c r="EV31" s="46"/>
      <c r="EW31" s="62">
        <v>696.6</v>
      </c>
      <c r="EX31" s="63">
        <v>7789.39</v>
      </c>
      <c r="EY31" s="56"/>
      <c r="EZ31" s="403">
        <f>SUM(EX30:EX35)*1</f>
        <v>333877.25800000003</v>
      </c>
      <c r="FA31" s="46"/>
      <c r="FB31" s="70">
        <v>696.6</v>
      </c>
      <c r="FC31" s="131">
        <f>8688*1.064</f>
        <v>9244.0320000000011</v>
      </c>
      <c r="FD31" s="128"/>
      <c r="FE31" s="403">
        <f>SUM(FC30:FC35)*1</f>
        <v>338570.07807999995</v>
      </c>
      <c r="FF31" s="46"/>
      <c r="FG31" s="62">
        <v>696.6</v>
      </c>
      <c r="FH31" s="131">
        <f>8688*1.064</f>
        <v>9244.0320000000011</v>
      </c>
      <c r="FI31" s="56"/>
      <c r="FJ31" s="403">
        <f>SUM(FH30:FH35)*1</f>
        <v>394438.61287999997</v>
      </c>
      <c r="FK31" s="46"/>
      <c r="FL31" s="70">
        <v>696.6</v>
      </c>
      <c r="FM31" s="131">
        <f>8735.36*1.06</f>
        <v>9259.481600000001</v>
      </c>
      <c r="FN31" s="128"/>
      <c r="FO31" s="403">
        <f>SUM(FM30:FM35)*1</f>
        <v>376063.73079999996</v>
      </c>
      <c r="FP31" s="46"/>
      <c r="FQ31" s="70">
        <v>696.6</v>
      </c>
      <c r="FR31" s="131">
        <f>8735.36*1.064</f>
        <v>9294.4230400000015</v>
      </c>
      <c r="FS31" s="128"/>
      <c r="FT31" s="403">
        <f>SUM(FR30:FR35)*1</f>
        <v>314219.20383999997</v>
      </c>
      <c r="FU31" s="46"/>
      <c r="FV31" s="62"/>
      <c r="FW31" s="63"/>
      <c r="FX31" s="56"/>
      <c r="FY31" s="403">
        <f>SUM(FW30:FW35)*1</f>
        <v>341844.5</v>
      </c>
      <c r="FZ31" s="46"/>
      <c r="GA31" s="62">
        <v>696.6</v>
      </c>
      <c r="GB31" s="63">
        <v>26206.080000000002</v>
      </c>
      <c r="GC31" s="56"/>
      <c r="GD31" s="403">
        <f>SUM(GB30:GB35)*1</f>
        <v>337559.39400000003</v>
      </c>
      <c r="GE31" s="46"/>
      <c r="GF31" s="62">
        <v>696.6</v>
      </c>
      <c r="GG31" s="63">
        <v>7280.87</v>
      </c>
      <c r="GH31" s="56"/>
      <c r="GI31" s="403">
        <f>SUM(GG30:GG35)*1</f>
        <v>156708.73000000001</v>
      </c>
      <c r="GJ31" s="97"/>
      <c r="GK31" s="62">
        <v>696.6</v>
      </c>
      <c r="GL31" s="63">
        <v>9259.48</v>
      </c>
      <c r="GM31" s="56"/>
      <c r="GN31" s="403">
        <f>SUM(GL30:GL35)*1</f>
        <v>430965.77999999997</v>
      </c>
      <c r="GO31" s="46"/>
      <c r="GP31" s="62">
        <v>696.6</v>
      </c>
      <c r="GQ31" s="63">
        <v>7789.39</v>
      </c>
      <c r="GR31" s="56"/>
      <c r="GS31" s="403">
        <f>SUM(GQ30:GQ35)*1</f>
        <v>346631.02399999998</v>
      </c>
      <c r="GT31" s="46"/>
      <c r="GU31" s="62">
        <v>696.6</v>
      </c>
      <c r="GV31" s="63" t="s">
        <v>342</v>
      </c>
      <c r="GW31" s="56"/>
      <c r="GX31" s="403">
        <f>SUM(GV30:GV35)*1</f>
        <v>397804.07</v>
      </c>
      <c r="GY31" s="46"/>
      <c r="GZ31" s="62">
        <v>696.6</v>
      </c>
      <c r="HA31" s="63">
        <v>7789.39</v>
      </c>
      <c r="HB31" s="56"/>
      <c r="HC31" s="403">
        <f>SUM(HA30:HA35)*1</f>
        <v>252836.66199999998</v>
      </c>
      <c r="HD31" s="46"/>
      <c r="HE31" s="62">
        <v>696.6</v>
      </c>
      <c r="HF31" s="63">
        <v>7789.39</v>
      </c>
      <c r="HG31" s="56"/>
      <c r="HH31" s="403">
        <f>SUM(HF30:HF35)*1</f>
        <v>333877.25800000003</v>
      </c>
      <c r="HI31" s="46"/>
      <c r="HJ31" s="62">
        <v>696.6</v>
      </c>
      <c r="HK31" s="63">
        <f>8688*1.064</f>
        <v>9244.0320000000011</v>
      </c>
      <c r="HL31" s="56"/>
      <c r="HM31" s="403">
        <f>SUM(HK30:HK35)*1</f>
        <v>338570.07807999995</v>
      </c>
      <c r="HN31" s="46"/>
      <c r="HO31" s="62">
        <v>696.6</v>
      </c>
      <c r="HP31" s="63">
        <f>8688*1.064</f>
        <v>9244.0320000000011</v>
      </c>
      <c r="HQ31" s="56"/>
      <c r="HR31" s="403">
        <f>SUM(HP30:HP35)*1</f>
        <v>394438.61287999997</v>
      </c>
      <c r="HS31" s="46"/>
      <c r="HT31" s="62">
        <v>696.6</v>
      </c>
      <c r="HU31" s="63">
        <f>8735.36*1.06</f>
        <v>9259.481600000001</v>
      </c>
      <c r="HV31" s="56"/>
      <c r="HW31" s="403">
        <f>SUM(HU30:HU35)*1</f>
        <v>376063.73079999996</v>
      </c>
      <c r="HX31" s="46"/>
      <c r="HY31" s="62">
        <v>696.6</v>
      </c>
      <c r="HZ31" s="63">
        <f>8735.36*1.064</f>
        <v>9294.4230400000015</v>
      </c>
      <c r="IA31" s="56"/>
      <c r="IB31" s="403">
        <f>SUM(HZ30:HZ35)*1</f>
        <v>314219.20383999997</v>
      </c>
      <c r="IC31" s="46"/>
      <c r="ID31" s="62"/>
      <c r="IE31" s="63"/>
      <c r="IF31" s="56"/>
      <c r="IG31" s="403">
        <f>SUM(IE30:IE35)*1</f>
        <v>341844.5</v>
      </c>
      <c r="IH31" s="46"/>
      <c r="II31" s="62">
        <v>696.6</v>
      </c>
      <c r="IJ31" s="63">
        <v>26206.080000000002</v>
      </c>
      <c r="IK31" s="56"/>
      <c r="IL31" s="403">
        <f>SUM(IJ30:IJ35)*1</f>
        <v>191644.97</v>
      </c>
      <c r="IM31" s="46"/>
      <c r="IN31" s="62">
        <v>696.6</v>
      </c>
      <c r="IO31" s="63">
        <v>7280.87</v>
      </c>
      <c r="IP31" s="56"/>
      <c r="IQ31" s="403">
        <f>SUM(IO30:IO35)*1</f>
        <v>156708.73000000001</v>
      </c>
    </row>
    <row r="32" spans="1:251" ht="15" customHeight="1" thickBot="1">
      <c r="A32" s="647"/>
      <c r="B32" s="256"/>
      <c r="C32" s="215">
        <v>2839404073</v>
      </c>
      <c r="D32" s="45" t="s">
        <v>30</v>
      </c>
      <c r="E32" s="218" t="s">
        <v>11</v>
      </c>
      <c r="F32" s="24"/>
      <c r="G32" s="103"/>
      <c r="H32" s="70">
        <v>465.4</v>
      </c>
      <c r="I32" s="131">
        <v>4864.3599999999997</v>
      </c>
      <c r="J32" s="128"/>
      <c r="K32" s="136"/>
      <c r="L32" s="103"/>
      <c r="M32" s="70">
        <v>465.4</v>
      </c>
      <c r="N32" s="131">
        <v>4864.3599999999997</v>
      </c>
      <c r="O32" s="128"/>
      <c r="P32" s="136"/>
      <c r="Q32" s="103"/>
      <c r="R32" s="70">
        <v>465.4</v>
      </c>
      <c r="S32" s="131">
        <v>4864.3599999999997</v>
      </c>
      <c r="T32" s="128"/>
      <c r="U32" s="136"/>
      <c r="V32" s="47"/>
      <c r="W32" s="70">
        <v>465.4</v>
      </c>
      <c r="X32" s="131">
        <v>4864.3599999999997</v>
      </c>
      <c r="Y32" s="128"/>
      <c r="Z32" s="128"/>
      <c r="AA32" s="46"/>
      <c r="AB32" s="70">
        <v>465.4</v>
      </c>
      <c r="AC32" s="131">
        <v>4864.3599999999997</v>
      </c>
      <c r="AD32" s="128"/>
      <c r="AE32" s="128"/>
      <c r="AF32" s="46"/>
      <c r="AG32" s="70">
        <v>465.4</v>
      </c>
      <c r="AH32" s="131">
        <v>4864.3599999999997</v>
      </c>
      <c r="AI32" s="128"/>
      <c r="AJ32" s="128"/>
      <c r="AK32" s="46"/>
      <c r="AL32" s="70">
        <v>465.4</v>
      </c>
      <c r="AM32" s="131">
        <v>4864.3599999999997</v>
      </c>
      <c r="AN32" s="128"/>
      <c r="AO32" s="128"/>
      <c r="AP32" s="46"/>
      <c r="AQ32" s="70">
        <v>465.4</v>
      </c>
      <c r="AR32" s="131">
        <v>4864.3599999999997</v>
      </c>
      <c r="AS32" s="128"/>
      <c r="AT32" s="128"/>
      <c r="AU32" s="46"/>
      <c r="AV32" s="70">
        <v>465.4</v>
      </c>
      <c r="AW32" s="131" t="s">
        <v>343</v>
      </c>
      <c r="AX32" s="128"/>
      <c r="AY32" s="128"/>
      <c r="AZ32" s="46"/>
      <c r="BA32" s="70">
        <v>465.4</v>
      </c>
      <c r="BB32" s="131" t="s">
        <v>343</v>
      </c>
      <c r="BC32" s="128"/>
      <c r="BD32" s="128"/>
      <c r="BE32" s="46"/>
      <c r="BF32" s="538">
        <v>465.4</v>
      </c>
      <c r="BG32" s="539">
        <v>5204.1000000000004</v>
      </c>
      <c r="BH32" s="128"/>
      <c r="BI32" s="128"/>
      <c r="BJ32" s="46"/>
      <c r="BK32" s="70">
        <v>465.4</v>
      </c>
      <c r="BL32" s="539">
        <v>5204.1000000000004</v>
      </c>
      <c r="BM32" s="128"/>
      <c r="BN32" s="128"/>
      <c r="BO32" s="46"/>
      <c r="BP32" s="62">
        <v>465.4</v>
      </c>
      <c r="BQ32" s="63">
        <v>4864.3599999999997</v>
      </c>
      <c r="BR32" s="56"/>
      <c r="BS32" s="128"/>
      <c r="BT32" s="46"/>
      <c r="BU32" s="70">
        <v>465.4</v>
      </c>
      <c r="BV32" s="131" t="s">
        <v>343</v>
      </c>
      <c r="BW32" s="128"/>
      <c r="BX32" s="128"/>
      <c r="BY32" s="46"/>
      <c r="BZ32" s="70">
        <v>465.4</v>
      </c>
      <c r="CA32" s="131" t="s">
        <v>343</v>
      </c>
      <c r="CB32" s="128"/>
      <c r="CC32" s="128"/>
      <c r="CD32" s="46"/>
      <c r="CE32" s="70">
        <v>465.4</v>
      </c>
      <c r="CF32" s="131" t="s">
        <v>343</v>
      </c>
      <c r="CG32" s="128"/>
      <c r="CH32" s="128"/>
      <c r="CI32" s="46"/>
      <c r="CJ32" s="70">
        <v>465.4</v>
      </c>
      <c r="CK32" s="131">
        <v>5204.1000000000004</v>
      </c>
      <c r="CL32" s="128"/>
      <c r="CM32" s="128"/>
      <c r="CN32" s="46"/>
      <c r="CO32" s="70">
        <v>465.4</v>
      </c>
      <c r="CP32" s="131">
        <v>5204.1000000000004</v>
      </c>
      <c r="CQ32" s="128"/>
      <c r="CR32" s="128"/>
      <c r="CS32" s="46"/>
      <c r="CT32" s="70">
        <v>465.4</v>
      </c>
      <c r="CU32" s="131" t="s">
        <v>537</v>
      </c>
      <c r="CV32" s="128"/>
      <c r="CW32" s="128"/>
      <c r="CX32" s="46"/>
      <c r="CY32" s="70">
        <v>465.4</v>
      </c>
      <c r="CZ32" s="131">
        <v>5804.47</v>
      </c>
      <c r="DA32" s="128"/>
      <c r="DB32" s="128"/>
      <c r="DC32" s="46"/>
      <c r="DD32" s="70">
        <v>465.4</v>
      </c>
      <c r="DE32" s="131">
        <v>5804.47</v>
      </c>
      <c r="DF32" s="128"/>
      <c r="DG32" s="128"/>
      <c r="DH32" s="46"/>
      <c r="DI32" s="70"/>
      <c r="DJ32" s="131"/>
      <c r="DK32" s="128"/>
      <c r="DL32" s="128"/>
      <c r="DM32" s="46"/>
      <c r="DN32" s="70"/>
      <c r="DO32" s="131"/>
      <c r="DP32" s="128"/>
      <c r="DQ32" s="128"/>
      <c r="DR32" s="46"/>
      <c r="DS32" s="70">
        <v>465.4</v>
      </c>
      <c r="DT32" s="131">
        <v>17508.36</v>
      </c>
      <c r="DU32" s="128"/>
      <c r="DV32" s="128"/>
      <c r="DW32" s="46"/>
      <c r="DX32" s="62">
        <v>465.4</v>
      </c>
      <c r="DY32" s="131">
        <v>6243.52</v>
      </c>
      <c r="DZ32" s="56"/>
      <c r="EA32" s="128"/>
      <c r="EB32" s="46"/>
      <c r="EC32" s="70">
        <v>465.4</v>
      </c>
      <c r="ED32" s="131">
        <v>6243.52</v>
      </c>
      <c r="EE32" s="128"/>
      <c r="EF32" s="128"/>
      <c r="EG32" s="46"/>
      <c r="EH32" s="62">
        <v>465.4</v>
      </c>
      <c r="EI32" s="63" t="s">
        <v>343</v>
      </c>
      <c r="EJ32" s="56"/>
      <c r="EK32" s="128"/>
      <c r="EL32" s="46"/>
      <c r="EM32" s="62">
        <v>465.4</v>
      </c>
      <c r="EN32" s="63" t="s">
        <v>343</v>
      </c>
      <c r="EO32" s="56"/>
      <c r="EP32" s="128"/>
      <c r="EQ32" s="46"/>
      <c r="ER32" s="62">
        <v>465.4</v>
      </c>
      <c r="ES32" s="63">
        <v>5204.1000000000004</v>
      </c>
      <c r="ET32" s="56"/>
      <c r="EU32" s="128"/>
      <c r="EV32" s="46"/>
      <c r="EW32" s="62">
        <v>465.4</v>
      </c>
      <c r="EX32" s="63">
        <v>5204.1000000000004</v>
      </c>
      <c r="EY32" s="56"/>
      <c r="EZ32" s="128"/>
      <c r="FA32" s="46"/>
      <c r="FB32" s="70">
        <v>465.4</v>
      </c>
      <c r="FC32" s="131">
        <f>5804.47*1.064</f>
        <v>6175.9560800000008</v>
      </c>
      <c r="FD32" s="128"/>
      <c r="FE32" s="128"/>
      <c r="FF32" s="46"/>
      <c r="FG32" s="62">
        <v>465.4</v>
      </c>
      <c r="FH32" s="131">
        <f>5804.47*1.064</f>
        <v>6175.9560800000008</v>
      </c>
      <c r="FI32" s="56"/>
      <c r="FJ32" s="128"/>
      <c r="FK32" s="46"/>
      <c r="FL32" s="70">
        <v>465.4</v>
      </c>
      <c r="FM32" s="131">
        <f>5836.12*1.06</f>
        <v>6186.2871999999998</v>
      </c>
      <c r="FN32" s="128"/>
      <c r="FO32" s="128"/>
      <c r="FP32" s="46"/>
      <c r="FQ32" s="70">
        <v>465.4</v>
      </c>
      <c r="FR32" s="131">
        <f>5836.12*1.064</f>
        <v>6209.6316800000004</v>
      </c>
      <c r="FS32" s="128"/>
      <c r="FT32" s="128"/>
      <c r="FU32" s="46"/>
      <c r="FV32" s="62"/>
      <c r="FW32" s="63"/>
      <c r="FX32" s="56"/>
      <c r="FY32" s="128"/>
      <c r="FZ32" s="46"/>
      <c r="GA32" s="62">
        <v>465.4</v>
      </c>
      <c r="GB32" s="63">
        <v>17508.36</v>
      </c>
      <c r="GC32" s="716"/>
      <c r="GD32" s="128"/>
      <c r="GE32" s="46"/>
      <c r="GF32" s="62">
        <v>465.4</v>
      </c>
      <c r="GG32" s="63">
        <v>4864.3599999999997</v>
      </c>
      <c r="GH32" s="716"/>
      <c r="GI32" s="128"/>
      <c r="GJ32" s="97"/>
      <c r="GK32" s="62">
        <v>465.4</v>
      </c>
      <c r="GL32" s="63">
        <v>6243.52</v>
      </c>
      <c r="GM32" s="56"/>
      <c r="GN32" s="128"/>
      <c r="GO32" s="46"/>
      <c r="GP32" s="62">
        <v>465.4</v>
      </c>
      <c r="GQ32" s="63" t="s">
        <v>343</v>
      </c>
      <c r="GR32" s="56"/>
      <c r="GS32" s="128"/>
      <c r="GT32" s="46"/>
      <c r="GU32" s="62">
        <v>465.4</v>
      </c>
      <c r="GV32" s="63" t="s">
        <v>343</v>
      </c>
      <c r="GW32" s="56"/>
      <c r="GX32" s="128"/>
      <c r="GY32" s="46"/>
      <c r="GZ32" s="62">
        <v>465.4</v>
      </c>
      <c r="HA32" s="63">
        <v>5204.1000000000004</v>
      </c>
      <c r="HB32" s="56"/>
      <c r="HC32" s="128"/>
      <c r="HD32" s="46"/>
      <c r="HE32" s="62">
        <v>465.4</v>
      </c>
      <c r="HF32" s="63">
        <v>5204.1000000000004</v>
      </c>
      <c r="HG32" s="56"/>
      <c r="HH32" s="128"/>
      <c r="HI32" s="46"/>
      <c r="HJ32" s="62">
        <v>465.4</v>
      </c>
      <c r="HK32" s="63">
        <f>5804.47*1.064</f>
        <v>6175.9560800000008</v>
      </c>
      <c r="HL32" s="56"/>
      <c r="HM32" s="128"/>
      <c r="HN32" s="46"/>
      <c r="HO32" s="62">
        <v>465.4</v>
      </c>
      <c r="HP32" s="63">
        <f>5804.47*1.064</f>
        <v>6175.9560800000008</v>
      </c>
      <c r="HQ32" s="56"/>
      <c r="HR32" s="128"/>
      <c r="HS32" s="46"/>
      <c r="HT32" s="62">
        <v>465.4</v>
      </c>
      <c r="HU32" s="63">
        <f>5836.12*1.06</f>
        <v>6186.2871999999998</v>
      </c>
      <c r="HV32" s="56"/>
      <c r="HW32" s="128"/>
      <c r="HX32" s="46"/>
      <c r="HY32" s="62">
        <v>465.4</v>
      </c>
      <c r="HZ32" s="63">
        <f>5836.12*1.064</f>
        <v>6209.6316800000004</v>
      </c>
      <c r="IA32" s="56"/>
      <c r="IB32" s="128"/>
      <c r="IC32" s="46"/>
      <c r="ID32" s="62"/>
      <c r="IE32" s="63"/>
      <c r="IF32" s="56"/>
      <c r="IG32" s="128"/>
      <c r="IH32" s="46"/>
      <c r="II32" s="62">
        <v>465.4</v>
      </c>
      <c r="IJ32" s="63">
        <v>17508.36</v>
      </c>
      <c r="IK32" s="56"/>
      <c r="IL32" s="128"/>
      <c r="IM32" s="46"/>
      <c r="IN32" s="62">
        <v>465.4</v>
      </c>
      <c r="IO32" s="63">
        <v>4864.3599999999997</v>
      </c>
      <c r="IP32" s="56"/>
      <c r="IQ32" s="128"/>
    </row>
    <row r="33" spans="1:251" ht="15" customHeight="1" thickBot="1">
      <c r="A33" s="647">
        <v>1</v>
      </c>
      <c r="B33" s="256"/>
      <c r="C33" s="215">
        <v>45179093</v>
      </c>
      <c r="D33" s="45" t="s">
        <v>453</v>
      </c>
      <c r="E33" s="216" t="s">
        <v>13</v>
      </c>
      <c r="F33" s="22"/>
      <c r="G33" s="104">
        <f>I33/H33</f>
        <v>5.3077194940476193</v>
      </c>
      <c r="H33" s="69">
        <v>26880</v>
      </c>
      <c r="I33" s="69">
        <v>142671.5</v>
      </c>
      <c r="J33" s="128">
        <v>99077.440000000002</v>
      </c>
      <c r="K33" s="136"/>
      <c r="L33" s="104">
        <f>N33/M33</f>
        <v>5.3685477378387567</v>
      </c>
      <c r="M33" s="69">
        <v>35276</v>
      </c>
      <c r="N33" s="69">
        <f>132566.62+56814.27</f>
        <v>189380.88999999998</v>
      </c>
      <c r="O33" s="128">
        <v>189380.89</v>
      </c>
      <c r="P33" s="136"/>
      <c r="Q33" s="104">
        <f>S33/R33</f>
        <v>4.9663920364795988</v>
      </c>
      <c r="R33" s="69">
        <v>33553</v>
      </c>
      <c r="S33" s="69">
        <v>166637.35199999998</v>
      </c>
      <c r="T33" s="128">
        <v>166637.35199999998</v>
      </c>
      <c r="U33" s="136"/>
      <c r="V33" s="115">
        <f>X33/W33</f>
        <v>5.2077238876388181</v>
      </c>
      <c r="W33" s="69">
        <v>41331</v>
      </c>
      <c r="X33" s="69">
        <v>215240.43599999999</v>
      </c>
      <c r="Y33" s="128">
        <v>215240.43599999999</v>
      </c>
      <c r="Z33" s="128"/>
      <c r="AA33" s="92">
        <f>AC33/AB33</f>
        <v>4.6829521008403363</v>
      </c>
      <c r="AB33" s="69">
        <v>42840</v>
      </c>
      <c r="AC33" s="69">
        <v>200617.66800000001</v>
      </c>
      <c r="AD33" s="128">
        <v>200617.66800000001</v>
      </c>
      <c r="AE33" s="128"/>
      <c r="AF33" s="92">
        <f>AH33/AG33</f>
        <v>4.8199441240666285</v>
      </c>
      <c r="AG33" s="410">
        <v>43525</v>
      </c>
      <c r="AH33" s="410">
        <v>209788.068</v>
      </c>
      <c r="AI33" s="128">
        <f>73911.77+31676.47+139680.1+75212.38</f>
        <v>320480.72000000003</v>
      </c>
      <c r="AJ33" s="128"/>
      <c r="AK33" s="92">
        <f>AM33/AL33</f>
        <v>4.9792201133144474</v>
      </c>
      <c r="AL33" s="410">
        <v>42360</v>
      </c>
      <c r="AM33" s="410">
        <v>210919.764</v>
      </c>
      <c r="AN33" s="128">
        <v>221158.848</v>
      </c>
      <c r="AO33" s="128"/>
      <c r="AP33" s="92">
        <f>AR33/AQ33</f>
        <v>5.9466959981809913</v>
      </c>
      <c r="AQ33" s="410">
        <v>52776</v>
      </c>
      <c r="AR33" s="410">
        <v>313842.82799999998</v>
      </c>
      <c r="AS33" s="128">
        <v>353927.04</v>
      </c>
      <c r="AT33" s="128"/>
      <c r="AU33" s="92">
        <f>AW33/AV33</f>
        <v>6.6107622432859401</v>
      </c>
      <c r="AV33" s="410">
        <v>50640</v>
      </c>
      <c r="AW33" s="410">
        <v>334769</v>
      </c>
      <c r="AX33" s="56">
        <v>99077.440000000002</v>
      </c>
      <c r="AY33" s="128"/>
      <c r="AZ33" s="92">
        <f>BB33/BA33</f>
        <v>6.3494520068387192</v>
      </c>
      <c r="BA33" s="410">
        <v>49132</v>
      </c>
      <c r="BB33" s="410">
        <v>311961.27599999995</v>
      </c>
      <c r="BC33" s="128">
        <v>259967.72999999998</v>
      </c>
      <c r="BD33" s="128"/>
      <c r="BE33" s="92">
        <f>BG33/BF33</f>
        <v>6.3628442368328848</v>
      </c>
      <c r="BF33" s="410">
        <v>42815</v>
      </c>
      <c r="BG33" s="410">
        <v>272425.17599999998</v>
      </c>
      <c r="BH33" s="128">
        <v>259967.72999999998</v>
      </c>
      <c r="BI33" s="128"/>
      <c r="BJ33" s="92">
        <f>BL33/BK33</f>
        <v>6.7715880282479546</v>
      </c>
      <c r="BK33" s="410">
        <v>44605</v>
      </c>
      <c r="BL33" s="410">
        <v>302046.68400000001</v>
      </c>
      <c r="BM33" s="128">
        <v>215669.93100000001</v>
      </c>
      <c r="BN33" s="128"/>
      <c r="BO33" s="92">
        <f>BQ33/BP33</f>
        <v>6.374627962716378</v>
      </c>
      <c r="BP33" s="410">
        <v>45060</v>
      </c>
      <c r="BQ33" s="410">
        <v>287240.73599999998</v>
      </c>
      <c r="BR33" s="56">
        <v>99077.440000000002</v>
      </c>
      <c r="BS33" s="128"/>
      <c r="BT33" s="92">
        <f>BV33/BU33</f>
        <v>6.0268800904977367</v>
      </c>
      <c r="BU33" s="410">
        <v>53040</v>
      </c>
      <c r="BV33" s="410">
        <v>319665.71999999997</v>
      </c>
      <c r="BW33" s="128" t="s">
        <v>428</v>
      </c>
      <c r="BX33" s="128"/>
      <c r="BY33" s="92">
        <f>CA33/BZ33</f>
        <v>5.4806880886426601</v>
      </c>
      <c r="BZ33" s="410">
        <v>43320</v>
      </c>
      <c r="CA33" s="410">
        <v>237423.40800000002</v>
      </c>
      <c r="CB33" s="128">
        <v>345590.5</v>
      </c>
      <c r="CC33" s="128"/>
      <c r="CD33" s="92">
        <f>CF33/CE33</f>
        <v>4.3948898809523813</v>
      </c>
      <c r="CE33" s="410">
        <f>44340+2700</f>
        <v>47040</v>
      </c>
      <c r="CF33" s="410">
        <f>194869.42+11866.2</f>
        <v>206735.62000000002</v>
      </c>
      <c r="CG33" s="128">
        <v>157448.88235294115</v>
      </c>
      <c r="CH33" s="128"/>
      <c r="CI33" s="92">
        <f>CK33/CJ33</f>
        <v>5.5512121037463968</v>
      </c>
      <c r="CJ33" s="410">
        <f>23940+17700</f>
        <v>41640</v>
      </c>
      <c r="CK33" s="410">
        <v>231152.47199999998</v>
      </c>
      <c r="CL33" s="56">
        <v>99077.440000000002</v>
      </c>
      <c r="CM33" s="128"/>
      <c r="CN33" s="92">
        <f>CP33/CO33</f>
        <v>6.5632800943592589</v>
      </c>
      <c r="CO33" s="410">
        <v>43239</v>
      </c>
      <c r="CP33" s="410">
        <v>283789.66800000001</v>
      </c>
      <c r="CQ33" s="128">
        <v>217552</v>
      </c>
      <c r="CR33" s="128"/>
      <c r="CS33" s="92">
        <f>CU33/CT33</f>
        <v>7.506468006583213</v>
      </c>
      <c r="CT33" s="410">
        <v>40102</v>
      </c>
      <c r="CU33" s="410">
        <v>301024.38</v>
      </c>
      <c r="CV33" s="128">
        <f>286380.27+147664.83+13424.08</f>
        <v>447469.18</v>
      </c>
      <c r="CW33" s="128"/>
      <c r="CX33" s="92">
        <f>CZ33/CY33</f>
        <v>7.9506960185032218</v>
      </c>
      <c r="CY33" s="410">
        <v>36318</v>
      </c>
      <c r="CZ33" s="410">
        <v>288753.37800000003</v>
      </c>
      <c r="DA33" s="128">
        <v>429957.02400000003</v>
      </c>
      <c r="DB33" s="128"/>
      <c r="DC33" s="92">
        <f>DE33/DD33</f>
        <v>5.3077194940476193</v>
      </c>
      <c r="DD33" s="58">
        <v>26880</v>
      </c>
      <c r="DE33" s="58">
        <v>142671.5</v>
      </c>
      <c r="DF33" s="128">
        <v>318968.33</v>
      </c>
      <c r="DG33" s="128"/>
      <c r="DH33" s="92">
        <f>DJ33/DI33</f>
        <v>8.1712321248864779</v>
      </c>
      <c r="DI33" s="410">
        <v>40741</v>
      </c>
      <c r="DJ33" s="410">
        <v>332904.16800000001</v>
      </c>
      <c r="DK33" s="128">
        <v>322481.86</v>
      </c>
      <c r="DL33" s="128"/>
      <c r="DM33" s="92">
        <f>DO33/DN33</f>
        <v>8.226839889856846</v>
      </c>
      <c r="DN33" s="410">
        <v>62101</v>
      </c>
      <c r="DO33" s="410">
        <v>510894.984</v>
      </c>
      <c r="DP33" s="128">
        <v>308425.39090909087</v>
      </c>
      <c r="DQ33" s="128"/>
      <c r="DR33" s="92">
        <f>DT33/DS33</f>
        <v>8.1744600428877767</v>
      </c>
      <c r="DS33" s="410">
        <v>41970</v>
      </c>
      <c r="DT33" s="410">
        <v>343082.08799999999</v>
      </c>
      <c r="DU33" s="128">
        <f>272477.32+140496.12+12772.37</f>
        <v>425745.81</v>
      </c>
      <c r="DV33" s="128"/>
      <c r="DW33" s="92">
        <f>DY33/DX33</f>
        <v>8.7144959022218007</v>
      </c>
      <c r="DX33" s="410">
        <v>42218</v>
      </c>
      <c r="DY33" s="410">
        <v>367908.58799999999</v>
      </c>
      <c r="DZ33" s="1427">
        <v>344555.47200000007</v>
      </c>
      <c r="EA33" s="128"/>
      <c r="EB33" s="92">
        <f>ED33/EC33</f>
        <v>8.6892839369643333</v>
      </c>
      <c r="EC33" s="410">
        <v>47021</v>
      </c>
      <c r="ED33" s="410">
        <v>408578.81999999995</v>
      </c>
      <c r="EE33" s="128">
        <v>379996.95600000001</v>
      </c>
      <c r="EF33" s="128"/>
      <c r="EG33" s="92">
        <f>EI33/EH33</f>
        <v>5.4806880886426601</v>
      </c>
      <c r="EH33" s="58">
        <v>43320</v>
      </c>
      <c r="EI33" s="58">
        <v>237423.40800000002</v>
      </c>
      <c r="EJ33" s="1465">
        <v>408578.81999999995</v>
      </c>
      <c r="EK33" s="128"/>
      <c r="EL33" s="92">
        <f>EN33/EM33</f>
        <v>8.0408759981722824</v>
      </c>
      <c r="EM33" s="410">
        <v>45959</v>
      </c>
      <c r="EN33" s="410">
        <v>369550.61999999994</v>
      </c>
      <c r="EO33" s="128">
        <v>409496.61599999998</v>
      </c>
      <c r="EP33" s="128"/>
      <c r="EQ33" s="92">
        <f>ES33/ER33</f>
        <v>5.5512121037463968</v>
      </c>
      <c r="ER33" s="58">
        <f>23940+17700</f>
        <v>41640</v>
      </c>
      <c r="ES33" s="58">
        <v>231152.47199999998</v>
      </c>
      <c r="ET33" s="128">
        <v>409496.61</v>
      </c>
      <c r="EU33" s="128"/>
      <c r="EV33" s="92">
        <f>EX33/EW33</f>
        <v>6.7581721137613098</v>
      </c>
      <c r="EW33" s="410">
        <v>46202</v>
      </c>
      <c r="EX33" s="410">
        <v>312241.06800000003</v>
      </c>
      <c r="EY33" s="56">
        <v>217552</v>
      </c>
      <c r="EZ33" s="128"/>
      <c r="FA33" s="92">
        <f>FC33/FB33</f>
        <v>6.8007959704267362</v>
      </c>
      <c r="FB33" s="410">
        <v>46258</v>
      </c>
      <c r="FC33" s="410">
        <v>314591.21999999997</v>
      </c>
      <c r="FD33" s="128">
        <v>312241</v>
      </c>
      <c r="FE33" s="128"/>
      <c r="FF33" s="92">
        <f>FH33/FG33</f>
        <v>7.6570318204242724</v>
      </c>
      <c r="FG33" s="410">
        <v>48648</v>
      </c>
      <c r="FH33" s="410">
        <v>372499.28399999999</v>
      </c>
      <c r="FI33" s="128">
        <v>314591</v>
      </c>
      <c r="FJ33" s="128"/>
      <c r="FK33" s="92">
        <f>FM33/FL33</f>
        <v>7.4661598790830457</v>
      </c>
      <c r="FL33" s="410">
        <v>47636</v>
      </c>
      <c r="FM33" s="410">
        <v>355657.99199999997</v>
      </c>
      <c r="FN33" s="128">
        <v>372499</v>
      </c>
      <c r="FO33" s="128"/>
      <c r="FP33" s="92">
        <f>FR33/FQ33</f>
        <v>6.6411840283295112</v>
      </c>
      <c r="FQ33" s="410">
        <v>44053</v>
      </c>
      <c r="FR33" s="410">
        <v>292564.07999999996</v>
      </c>
      <c r="FS33" s="128">
        <v>360680.92800000001</v>
      </c>
      <c r="FT33" s="128"/>
      <c r="FU33" s="92">
        <f>FW33/FV33</f>
        <v>8.8644719687092568</v>
      </c>
      <c r="FV33" s="410">
        <v>38350</v>
      </c>
      <c r="FW33" s="410">
        <v>339952.5</v>
      </c>
      <c r="FX33" s="56">
        <v>308425.39090909087</v>
      </c>
      <c r="FY33" s="128"/>
      <c r="FZ33" s="92">
        <f>GB33/GA33</f>
        <v>9.5111042119833886</v>
      </c>
      <c r="GA33" s="410">
        <v>30342</v>
      </c>
      <c r="GB33" s="410">
        <v>288585.924</v>
      </c>
      <c r="GC33" s="1582">
        <v>339952.5</v>
      </c>
      <c r="GD33" s="1580"/>
      <c r="GE33" s="92">
        <f>GG33/GF33</f>
        <v>5.3077194940476193</v>
      </c>
      <c r="GF33" s="58">
        <v>26880</v>
      </c>
      <c r="GG33" s="58">
        <v>142671.5</v>
      </c>
      <c r="GH33" s="1582">
        <v>397982.63999999996</v>
      </c>
      <c r="GI33" s="1580"/>
      <c r="GJ33" s="98">
        <f>GL33/GK33</f>
        <v>8.6892839369643333</v>
      </c>
      <c r="GK33" s="58">
        <v>47021</v>
      </c>
      <c r="GL33" s="58">
        <v>408578.81999999995</v>
      </c>
      <c r="GM33" s="56">
        <v>379996.95600000001</v>
      </c>
      <c r="GN33" s="128"/>
      <c r="GO33" s="92">
        <f>GQ33/GP33</f>
        <v>13.722611729769858</v>
      </c>
      <c r="GP33" s="410">
        <v>24246</v>
      </c>
      <c r="GQ33" s="410">
        <v>332718.44399999996</v>
      </c>
      <c r="GR33" s="1565">
        <v>408578.81999999995</v>
      </c>
      <c r="GS33" s="128"/>
      <c r="GT33" s="92">
        <f>GV33/GU33</f>
        <v>10.354127946838247</v>
      </c>
      <c r="GU33" s="410">
        <v>37922</v>
      </c>
      <c r="GV33" s="410">
        <v>392649.24</v>
      </c>
      <c r="GW33" s="56">
        <v>409496.61599999998</v>
      </c>
      <c r="GX33" s="128"/>
      <c r="GY33" s="92">
        <f>HA33/GZ33</f>
        <v>5.5512121037463968</v>
      </c>
      <c r="GZ33" s="58">
        <f>23940+17700</f>
        <v>41640</v>
      </c>
      <c r="HA33" s="58">
        <v>231152.47199999998</v>
      </c>
      <c r="HB33" s="56">
        <v>409496.61</v>
      </c>
      <c r="HC33" s="128"/>
      <c r="HD33" s="92">
        <f>HF33/HE33</f>
        <v>6.7581721137613098</v>
      </c>
      <c r="HE33" s="58">
        <v>46202</v>
      </c>
      <c r="HF33" s="58">
        <v>312241.06800000003</v>
      </c>
      <c r="HG33" s="56">
        <v>217552</v>
      </c>
      <c r="HH33" s="128"/>
      <c r="HI33" s="92">
        <f>HK33/HJ33</f>
        <v>6.8007959704267362</v>
      </c>
      <c r="HJ33" s="58">
        <v>46258</v>
      </c>
      <c r="HK33" s="58">
        <v>314591.21999999997</v>
      </c>
      <c r="HL33" s="56">
        <v>312241</v>
      </c>
      <c r="HM33" s="128"/>
      <c r="HN33" s="92">
        <f>HP33/HO33</f>
        <v>7.6570318204242724</v>
      </c>
      <c r="HO33" s="58">
        <v>48648</v>
      </c>
      <c r="HP33" s="58">
        <v>372499.28399999999</v>
      </c>
      <c r="HQ33" s="56">
        <v>314591</v>
      </c>
      <c r="HR33" s="128"/>
      <c r="HS33" s="92">
        <f>HU33/HT33</f>
        <v>7.4661598790830457</v>
      </c>
      <c r="HT33" s="58">
        <v>47636</v>
      </c>
      <c r="HU33" s="58">
        <v>355657.99199999997</v>
      </c>
      <c r="HV33" s="56">
        <v>372499</v>
      </c>
      <c r="HW33" s="128"/>
      <c r="HX33" s="92">
        <f>HZ33/HY33</f>
        <v>6.6411840283295112</v>
      </c>
      <c r="HY33" s="58">
        <v>44053</v>
      </c>
      <c r="HZ33" s="58">
        <v>292564.07999999996</v>
      </c>
      <c r="IA33" s="56">
        <v>360680.92800000001</v>
      </c>
      <c r="IB33" s="128"/>
      <c r="IC33" s="92">
        <f>IE33/ID33</f>
        <v>8.8644719687092568</v>
      </c>
      <c r="ID33" s="58">
        <v>38350</v>
      </c>
      <c r="IE33" s="58">
        <v>339952.5</v>
      </c>
      <c r="IF33" s="56">
        <v>308425.39090909087</v>
      </c>
      <c r="IG33" s="128"/>
      <c r="IH33" s="92">
        <f>IJ33/II33</f>
        <v>5.3077194940476193</v>
      </c>
      <c r="II33" s="58">
        <v>26880</v>
      </c>
      <c r="IJ33" s="58">
        <v>142671.5</v>
      </c>
      <c r="IK33" s="56">
        <f>272477.32+140496.12+12772.37</f>
        <v>425745.81</v>
      </c>
      <c r="IL33" s="128"/>
      <c r="IM33" s="92">
        <f>IO33/IN33</f>
        <v>5.3077194940476193</v>
      </c>
      <c r="IN33" s="58">
        <v>26880</v>
      </c>
      <c r="IO33" s="58">
        <v>142671.5</v>
      </c>
      <c r="IP33" s="56">
        <v>99077.440000000002</v>
      </c>
      <c r="IQ33" s="128"/>
    </row>
    <row r="34" spans="1:251" ht="15" customHeight="1">
      <c r="A34" s="647"/>
      <c r="B34" s="256"/>
      <c r="C34" s="215">
        <v>41946011</v>
      </c>
      <c r="D34" s="45" t="s">
        <v>200</v>
      </c>
      <c r="E34" s="216" t="s">
        <v>15</v>
      </c>
      <c r="F34" s="22"/>
      <c r="G34" s="103"/>
      <c r="H34" s="128"/>
      <c r="I34" s="69" t="s">
        <v>183</v>
      </c>
      <c r="J34" s="128"/>
      <c r="K34" s="136"/>
      <c r="L34" s="103"/>
      <c r="M34" s="128"/>
      <c r="N34" s="69">
        <v>1608.624</v>
      </c>
      <c r="O34" s="128"/>
      <c r="P34" s="136"/>
      <c r="Q34" s="103"/>
      <c r="R34" s="128"/>
      <c r="S34" s="69" t="s">
        <v>208</v>
      </c>
      <c r="T34" s="128"/>
      <c r="U34" s="136"/>
      <c r="V34" s="47"/>
      <c r="W34" s="128"/>
      <c r="X34" s="69">
        <v>1705.212</v>
      </c>
      <c r="Y34" s="128"/>
      <c r="Z34" s="128"/>
      <c r="AA34" s="46"/>
      <c r="AB34" s="56"/>
      <c r="AC34" s="58">
        <v>2015.24</v>
      </c>
      <c r="AD34" s="56"/>
      <c r="AE34" s="128"/>
      <c r="AF34" s="46"/>
      <c r="AG34" s="128"/>
      <c r="AH34" s="69" t="s">
        <v>234</v>
      </c>
      <c r="AI34" s="128"/>
      <c r="AJ34" s="128"/>
      <c r="AK34" s="46"/>
      <c r="AL34" s="56"/>
      <c r="AM34" s="410" t="s">
        <v>291</v>
      </c>
      <c r="AN34" s="56"/>
      <c r="AO34" s="128"/>
      <c r="AP34" s="46"/>
      <c r="AQ34" s="408"/>
      <c r="AR34" s="410">
        <v>2431.16</v>
      </c>
      <c r="AS34" s="408"/>
      <c r="AT34" s="128"/>
      <c r="AU34" s="46"/>
      <c r="AV34" s="408"/>
      <c r="AW34" s="410">
        <v>2940.72</v>
      </c>
      <c r="AX34" s="408"/>
      <c r="AY34" s="128"/>
      <c r="AZ34" s="46"/>
      <c r="BA34" s="408"/>
      <c r="BB34" s="410">
        <v>3359.38</v>
      </c>
      <c r="BC34" s="408"/>
      <c r="BD34" s="128"/>
      <c r="BE34" s="46"/>
      <c r="BF34" s="408"/>
      <c r="BG34" s="410">
        <v>2161.44</v>
      </c>
      <c r="BH34" s="408"/>
      <c r="BI34" s="128"/>
      <c r="BJ34" s="46"/>
      <c r="BK34" s="408"/>
      <c r="BL34" s="410" t="s">
        <v>373</v>
      </c>
      <c r="BM34" s="408"/>
      <c r="BN34" s="128"/>
      <c r="BO34" s="46"/>
      <c r="BP34" s="408"/>
      <c r="BQ34" s="410" t="s">
        <v>381</v>
      </c>
      <c r="BR34" s="408"/>
      <c r="BS34" s="128"/>
      <c r="BT34" s="46"/>
      <c r="BU34" s="408">
        <v>1</v>
      </c>
      <c r="BV34" s="410">
        <v>2431.86</v>
      </c>
      <c r="BW34" s="408"/>
      <c r="BX34" s="128"/>
      <c r="BY34" s="46"/>
      <c r="BZ34" s="128"/>
      <c r="CA34" s="69">
        <v>2327.21</v>
      </c>
      <c r="CB34" s="128"/>
      <c r="CC34" s="128"/>
      <c r="CD34" s="46"/>
      <c r="CE34" s="128"/>
      <c r="CF34" s="69">
        <v>2089.0700000000002</v>
      </c>
      <c r="CG34" s="128"/>
      <c r="CH34" s="128"/>
      <c r="CI34" s="46"/>
      <c r="CJ34" s="56"/>
      <c r="CK34" s="69">
        <v>1751.46</v>
      </c>
      <c r="CL34" s="56"/>
      <c r="CM34" s="128"/>
      <c r="CN34" s="46"/>
      <c r="CO34" s="128"/>
      <c r="CP34" s="69">
        <v>1902.78</v>
      </c>
      <c r="CQ34" s="128"/>
      <c r="CR34" s="128"/>
      <c r="CS34" s="46"/>
      <c r="CT34" s="128"/>
      <c r="CU34" s="69">
        <v>2431.67</v>
      </c>
      <c r="CV34" s="128"/>
      <c r="CW34" s="128"/>
      <c r="CX34" s="46"/>
      <c r="CY34" s="56"/>
      <c r="CZ34" s="58" t="s">
        <v>183</v>
      </c>
      <c r="DA34" s="56"/>
      <c r="DB34" s="128"/>
      <c r="DC34" s="46"/>
      <c r="DD34" s="56"/>
      <c r="DE34" s="58" t="s">
        <v>183</v>
      </c>
      <c r="DF34" s="56"/>
      <c r="DG34" s="128"/>
      <c r="DH34" s="46"/>
      <c r="DI34" s="56"/>
      <c r="DJ34" s="58" t="s">
        <v>183</v>
      </c>
      <c r="DK34" s="56"/>
      <c r="DL34" s="128"/>
      <c r="DM34" s="46"/>
      <c r="DN34" s="56"/>
      <c r="DO34" s="58" t="s">
        <v>183</v>
      </c>
      <c r="DP34" s="56"/>
      <c r="DQ34" s="128"/>
      <c r="DR34" s="46"/>
      <c r="DS34" s="128">
        <v>1</v>
      </c>
      <c r="DT34" s="69">
        <v>3367.03</v>
      </c>
      <c r="DU34" s="128"/>
      <c r="DV34" s="128"/>
      <c r="DW34" s="46"/>
      <c r="DX34" s="56"/>
      <c r="DY34" s="58" t="s">
        <v>183</v>
      </c>
      <c r="DZ34" s="56"/>
      <c r="EA34" s="128"/>
      <c r="EB34" s="46"/>
      <c r="EC34" s="128">
        <v>1</v>
      </c>
      <c r="ED34" s="69">
        <v>4487.58</v>
      </c>
      <c r="EE34" s="128"/>
      <c r="EF34" s="128"/>
      <c r="EG34" s="46"/>
      <c r="EH34" s="128"/>
      <c r="EI34" s="69">
        <v>3835.19</v>
      </c>
      <c r="EJ34" s="128"/>
      <c r="EK34" s="128"/>
      <c r="EL34" s="46"/>
      <c r="EM34" s="56"/>
      <c r="EN34" s="58">
        <v>2089.0700000000002</v>
      </c>
      <c r="EO34" s="56"/>
      <c r="EP34" s="128"/>
      <c r="EQ34" s="46"/>
      <c r="ER34" s="56"/>
      <c r="ES34" s="69">
        <v>4377.7</v>
      </c>
      <c r="ET34" s="56"/>
      <c r="EU34" s="128"/>
      <c r="EV34" s="46"/>
      <c r="EW34" s="56"/>
      <c r="EX34" s="58">
        <v>1902.78</v>
      </c>
      <c r="EY34" s="56"/>
      <c r="EZ34" s="128"/>
      <c r="FA34" s="46"/>
      <c r="FB34" s="56"/>
      <c r="FC34" s="58">
        <v>2431.67</v>
      </c>
      <c r="FD34" s="56"/>
      <c r="FE34" s="128"/>
      <c r="FF34" s="46"/>
      <c r="FG34" s="56"/>
      <c r="FH34" s="58" t="s">
        <v>183</v>
      </c>
      <c r="FI34" s="128">
        <v>4983.9399999999996</v>
      </c>
      <c r="FJ34" s="128"/>
      <c r="FK34" s="46"/>
      <c r="FL34" s="56"/>
      <c r="FM34" s="58" t="s">
        <v>183</v>
      </c>
      <c r="FN34" s="56"/>
      <c r="FO34" s="128"/>
      <c r="FP34" s="46"/>
      <c r="FQ34" s="56"/>
      <c r="FR34" s="58" t="s">
        <v>183</v>
      </c>
      <c r="FS34" s="56"/>
      <c r="FT34" s="128"/>
      <c r="FU34" s="46"/>
      <c r="FV34" s="56"/>
      <c r="FW34" s="58" t="s">
        <v>183</v>
      </c>
      <c r="FX34" s="56"/>
      <c r="FY34" s="128"/>
      <c r="FZ34" s="46"/>
      <c r="GA34" s="56">
        <v>1</v>
      </c>
      <c r="GB34" s="58">
        <v>3367.03</v>
      </c>
      <c r="GC34" s="197"/>
      <c r="GD34" s="128"/>
      <c r="GE34" s="46"/>
      <c r="GF34" s="56"/>
      <c r="GG34" s="58" t="s">
        <v>183</v>
      </c>
      <c r="GH34" s="197"/>
      <c r="GI34" s="128"/>
      <c r="GJ34" s="97"/>
      <c r="GK34" s="56">
        <v>1</v>
      </c>
      <c r="GL34" s="58">
        <v>4487.58</v>
      </c>
      <c r="GM34" s="56"/>
      <c r="GN34" s="128"/>
      <c r="GO34" s="46"/>
      <c r="GP34" s="56"/>
      <c r="GQ34" s="58">
        <v>3835.19</v>
      </c>
      <c r="GR34" s="56"/>
      <c r="GS34" s="128"/>
      <c r="GT34" s="46"/>
      <c r="GU34" s="56"/>
      <c r="GV34" s="58">
        <v>2089.0700000000002</v>
      </c>
      <c r="GW34" s="56"/>
      <c r="GX34" s="128"/>
      <c r="GY34" s="46"/>
      <c r="GZ34" s="56"/>
      <c r="HA34" s="58">
        <v>4377.7</v>
      </c>
      <c r="HB34" s="56"/>
      <c r="HC34" s="128"/>
      <c r="HD34" s="46"/>
      <c r="HE34" s="56"/>
      <c r="HF34" s="58">
        <v>1902.78</v>
      </c>
      <c r="HG34" s="56"/>
      <c r="HH34" s="128"/>
      <c r="HI34" s="46"/>
      <c r="HJ34" s="56"/>
      <c r="HK34" s="58">
        <v>2431.67</v>
      </c>
      <c r="HL34" s="56"/>
      <c r="HM34" s="128"/>
      <c r="HN34" s="46"/>
      <c r="HO34" s="56"/>
      <c r="HP34" s="58" t="s">
        <v>183</v>
      </c>
      <c r="HQ34" s="56">
        <v>4983.9399999999996</v>
      </c>
      <c r="HR34" s="128"/>
      <c r="HS34" s="46"/>
      <c r="HT34" s="56"/>
      <c r="HU34" s="58" t="s">
        <v>183</v>
      </c>
      <c r="HV34" s="56"/>
      <c r="HW34" s="128"/>
      <c r="HX34" s="46"/>
      <c r="HY34" s="56"/>
      <c r="HZ34" s="58" t="s">
        <v>183</v>
      </c>
      <c r="IA34" s="56"/>
      <c r="IB34" s="128"/>
      <c r="IC34" s="46"/>
      <c r="ID34" s="56"/>
      <c r="IE34" s="58" t="s">
        <v>183</v>
      </c>
      <c r="IF34" s="56"/>
      <c r="IG34" s="128"/>
      <c r="IH34" s="46"/>
      <c r="II34" s="56">
        <v>1</v>
      </c>
      <c r="IJ34" s="58">
        <v>3367.03</v>
      </c>
      <c r="IK34" s="56"/>
      <c r="IL34" s="128"/>
      <c r="IM34" s="46"/>
      <c r="IN34" s="56"/>
      <c r="IO34" s="58" t="s">
        <v>183</v>
      </c>
      <c r="IP34" s="56"/>
      <c r="IQ34" s="128"/>
    </row>
    <row r="35" spans="1:251" s="248" customFormat="1" ht="15" customHeight="1" thickBot="1">
      <c r="A35" s="654"/>
      <c r="B35" s="535"/>
      <c r="C35" s="245">
        <v>2839404073</v>
      </c>
      <c r="D35" s="25" t="s">
        <v>30</v>
      </c>
      <c r="E35" s="246" t="s">
        <v>17</v>
      </c>
      <c r="F35" s="1"/>
      <c r="G35" s="786">
        <f>I35/H35</f>
        <v>32.446666666666665</v>
      </c>
      <c r="H35" s="549">
        <v>57</v>
      </c>
      <c r="I35" s="549">
        <v>1849.46</v>
      </c>
      <c r="J35" s="549"/>
      <c r="K35" s="780"/>
      <c r="L35" s="786">
        <f>N35/M35</f>
        <v>33.254545454545458</v>
      </c>
      <c r="M35" s="549">
        <v>55</v>
      </c>
      <c r="N35" s="549">
        <v>1829</v>
      </c>
      <c r="O35" s="549"/>
      <c r="P35" s="780"/>
      <c r="Q35" s="786">
        <f>S35/R35</f>
        <v>32.343666666666664</v>
      </c>
      <c r="R35" s="549">
        <v>60</v>
      </c>
      <c r="S35" s="549">
        <v>1940.62</v>
      </c>
      <c r="T35" s="549"/>
      <c r="U35" s="780"/>
      <c r="V35" s="699">
        <f>X35/W35</f>
        <v>33.384615384615387</v>
      </c>
      <c r="W35" s="549">
        <v>52</v>
      </c>
      <c r="X35" s="549">
        <v>1736</v>
      </c>
      <c r="Y35" s="549"/>
      <c r="Z35" s="549"/>
      <c r="AA35" s="787">
        <f>AC35/AB35</f>
        <v>33.247311827956992</v>
      </c>
      <c r="AB35" s="549">
        <v>93</v>
      </c>
      <c r="AC35" s="549">
        <v>3092</v>
      </c>
      <c r="AD35" s="549"/>
      <c r="AE35" s="549"/>
      <c r="AF35" s="787">
        <f>AH35/AG35</f>
        <v>1892</v>
      </c>
      <c r="AG35" s="348">
        <v>1</v>
      </c>
      <c r="AH35" s="348">
        <v>1892</v>
      </c>
      <c r="AI35" s="348"/>
      <c r="AJ35" s="549"/>
      <c r="AK35" s="787">
        <f>AM35/AL35</f>
        <v>33.472972972972975</v>
      </c>
      <c r="AL35" s="549">
        <v>74</v>
      </c>
      <c r="AM35" s="549">
        <v>2477</v>
      </c>
      <c r="AN35" s="549"/>
      <c r="AO35" s="549"/>
      <c r="AP35" s="787">
        <f>AR35/AQ35</f>
        <v>32.135135135135137</v>
      </c>
      <c r="AQ35" s="549">
        <v>74</v>
      </c>
      <c r="AR35" s="549">
        <v>2378</v>
      </c>
      <c r="AS35" s="549"/>
      <c r="AT35" s="549"/>
      <c r="AU35" s="787">
        <f>AW35/AV35</f>
        <v>35.436619718309856</v>
      </c>
      <c r="AV35" s="549">
        <v>71</v>
      </c>
      <c r="AW35" s="549">
        <v>2516</v>
      </c>
      <c r="AX35" s="549"/>
      <c r="AY35" s="549"/>
      <c r="AZ35" s="787">
        <f>BB35/BA35</f>
        <v>1892</v>
      </c>
      <c r="BA35" s="348">
        <v>1</v>
      </c>
      <c r="BB35" s="348">
        <v>1892</v>
      </c>
      <c r="BC35" s="348"/>
      <c r="BD35" s="549"/>
      <c r="BE35" s="787">
        <f>BG35/BF35</f>
        <v>1892</v>
      </c>
      <c r="BF35" s="348">
        <v>1</v>
      </c>
      <c r="BG35" s="348">
        <v>1892</v>
      </c>
      <c r="BH35" s="348"/>
      <c r="BI35" s="549"/>
      <c r="BJ35" s="787">
        <f>BL35/BK35</f>
        <v>35.037037037037038</v>
      </c>
      <c r="BK35" s="549">
        <v>54</v>
      </c>
      <c r="BL35" s="348">
        <v>1892</v>
      </c>
      <c r="BM35" s="348"/>
      <c r="BN35" s="549"/>
      <c r="BO35" s="787">
        <f>BQ35/BP35</f>
        <v>1892</v>
      </c>
      <c r="BP35" s="348">
        <v>1</v>
      </c>
      <c r="BQ35" s="348">
        <v>1892</v>
      </c>
      <c r="BR35" s="348"/>
      <c r="BS35" s="549"/>
      <c r="BT35" s="787">
        <f>BV35/BU35</f>
        <v>31.951733333333333</v>
      </c>
      <c r="BU35" s="549">
        <v>75</v>
      </c>
      <c r="BV35" s="549">
        <v>2396.38</v>
      </c>
      <c r="BW35" s="549"/>
      <c r="BX35" s="549"/>
      <c r="BY35" s="787">
        <f>CA35/BZ35</f>
        <v>33.647058823529413</v>
      </c>
      <c r="BZ35" s="549">
        <v>68</v>
      </c>
      <c r="CA35" s="549">
        <v>2288</v>
      </c>
      <c r="CB35" s="549"/>
      <c r="CC35" s="549"/>
      <c r="CD35" s="787">
        <f>CF35/CE35</f>
        <v>33.689670329670335</v>
      </c>
      <c r="CE35" s="549">
        <v>91</v>
      </c>
      <c r="CF35" s="549">
        <v>3065.76</v>
      </c>
      <c r="CG35" s="549"/>
      <c r="CH35" s="549"/>
      <c r="CI35" s="787">
        <f>CK35/CJ35</f>
        <v>33.6953125</v>
      </c>
      <c r="CJ35" s="549">
        <v>128</v>
      </c>
      <c r="CK35" s="549">
        <v>4313</v>
      </c>
      <c r="CL35" s="549"/>
      <c r="CM35" s="549"/>
      <c r="CN35" s="787">
        <f>CP35/CO35</f>
        <v>30.406779661016948</v>
      </c>
      <c r="CO35" s="549">
        <v>118</v>
      </c>
      <c r="CP35" s="372">
        <v>3588</v>
      </c>
      <c r="CQ35" s="549"/>
      <c r="CR35" s="549"/>
      <c r="CS35" s="787">
        <f>CU35/CT35</f>
        <v>30.630434782608695</v>
      </c>
      <c r="CT35" s="549">
        <v>92</v>
      </c>
      <c r="CU35" s="549">
        <v>2818</v>
      </c>
      <c r="CV35" s="549"/>
      <c r="CW35" s="549"/>
      <c r="CX35" s="787">
        <f>CZ35/CY35</f>
        <v>45.4</v>
      </c>
      <c r="CY35" s="549">
        <v>90</v>
      </c>
      <c r="CZ35" s="549">
        <v>4086</v>
      </c>
      <c r="DA35" s="549"/>
      <c r="DB35" s="549"/>
      <c r="DC35" s="787">
        <f>DE35/DD35</f>
        <v>1892</v>
      </c>
      <c r="DD35" s="348">
        <v>1</v>
      </c>
      <c r="DE35" s="348">
        <v>1892</v>
      </c>
      <c r="DF35" s="348"/>
      <c r="DG35" s="549"/>
      <c r="DH35" s="787">
        <f>DJ35/DI35</f>
        <v>1892</v>
      </c>
      <c r="DI35" s="348">
        <v>1</v>
      </c>
      <c r="DJ35" s="348">
        <v>1892</v>
      </c>
      <c r="DK35" s="348"/>
      <c r="DL35" s="549"/>
      <c r="DM35" s="787">
        <f>DO35/DN35</f>
        <v>7414.87</v>
      </c>
      <c r="DN35" s="549">
        <v>1</v>
      </c>
      <c r="DO35" s="549">
        <v>7414.87</v>
      </c>
      <c r="DP35" s="549"/>
      <c r="DQ35" s="549"/>
      <c r="DR35" s="787">
        <f>DT35/DS35</f>
        <v>6145</v>
      </c>
      <c r="DS35" s="549">
        <v>1</v>
      </c>
      <c r="DT35" s="549">
        <v>6145</v>
      </c>
      <c r="DU35" s="549"/>
      <c r="DV35" s="549"/>
      <c r="DW35" s="787">
        <f>DY35/DX35</f>
        <v>5531.86</v>
      </c>
      <c r="DX35" s="549">
        <v>1</v>
      </c>
      <c r="DY35" s="549">
        <v>5531.86</v>
      </c>
      <c r="DZ35" s="549"/>
      <c r="EA35" s="549"/>
      <c r="EB35" s="787">
        <f>ED35/EC35</f>
        <v>31.951733333333333</v>
      </c>
      <c r="EC35" s="549">
        <v>75</v>
      </c>
      <c r="ED35" s="549">
        <v>2396.38</v>
      </c>
      <c r="EE35" s="549"/>
      <c r="EF35" s="549"/>
      <c r="EG35" s="787">
        <f>EI35/EH35</f>
        <v>33.647058823529413</v>
      </c>
      <c r="EH35" s="348">
        <v>68</v>
      </c>
      <c r="EI35" s="348">
        <v>2288</v>
      </c>
      <c r="EJ35" s="348"/>
      <c r="EK35" s="549"/>
      <c r="EL35" s="787">
        <f>EN35/EM35</f>
        <v>33.689670329670335</v>
      </c>
      <c r="EM35" s="348">
        <v>91</v>
      </c>
      <c r="EN35" s="348">
        <v>3065.76</v>
      </c>
      <c r="EO35" s="348"/>
      <c r="EP35" s="549"/>
      <c r="EQ35" s="787">
        <f>ES35/ER35</f>
        <v>33.6953125</v>
      </c>
      <c r="ER35" s="348">
        <v>128</v>
      </c>
      <c r="ES35" s="348">
        <v>4313</v>
      </c>
      <c r="ET35" s="348"/>
      <c r="EU35" s="549"/>
      <c r="EV35" s="787">
        <f>EX35/EW35</f>
        <v>51.06</v>
      </c>
      <c r="EW35" s="348">
        <v>132</v>
      </c>
      <c r="EX35" s="509">
        <v>6739.92</v>
      </c>
      <c r="EY35" s="348"/>
      <c r="EZ35" s="549"/>
      <c r="FA35" s="787">
        <f>FC35/FB35</f>
        <v>51.059999999999995</v>
      </c>
      <c r="FB35" s="549">
        <v>120</v>
      </c>
      <c r="FC35" s="549">
        <f>(4186.92+1940.28)</f>
        <v>6127.2</v>
      </c>
      <c r="FD35" s="549"/>
      <c r="FE35" s="549"/>
      <c r="FF35" s="787">
        <f>FH35/FG35</f>
        <v>72.437119999999993</v>
      </c>
      <c r="FG35" s="348">
        <v>90</v>
      </c>
      <c r="FH35" s="348">
        <f>(4186.92+1940.28)*1.064</f>
        <v>6519.3407999999999</v>
      </c>
      <c r="FI35" s="348"/>
      <c r="FJ35" s="549"/>
      <c r="FK35" s="787">
        <f>FM35/FL35</f>
        <v>54.505164835164841</v>
      </c>
      <c r="FL35" s="549">
        <v>91</v>
      </c>
      <c r="FM35" s="549">
        <v>4959.97</v>
      </c>
      <c r="FN35" s="549"/>
      <c r="FO35" s="549"/>
      <c r="FP35" s="787">
        <f>FR35/FQ35</f>
        <v>54.434240000000003</v>
      </c>
      <c r="FQ35" s="549">
        <f>92+21</f>
        <v>113</v>
      </c>
      <c r="FR35" s="549">
        <f>5781.08*1.064</f>
        <v>6151.0691200000001</v>
      </c>
      <c r="FS35" s="549"/>
      <c r="FT35" s="549"/>
      <c r="FU35" s="787">
        <f>FW35/FV35</f>
        <v>1892</v>
      </c>
      <c r="FV35" s="348">
        <v>1</v>
      </c>
      <c r="FW35" s="348">
        <v>1892</v>
      </c>
      <c r="FX35" s="348"/>
      <c r="FY35" s="549"/>
      <c r="FZ35" s="787">
        <f>GB35/GA35</f>
        <v>1892</v>
      </c>
      <c r="GA35" s="348">
        <v>1</v>
      </c>
      <c r="GB35" s="348">
        <v>1892</v>
      </c>
      <c r="GC35" s="348"/>
      <c r="GD35" s="549"/>
      <c r="GE35" s="787">
        <f>GG35/GF35</f>
        <v>1892</v>
      </c>
      <c r="GF35" s="348">
        <v>1</v>
      </c>
      <c r="GG35" s="348">
        <v>1892</v>
      </c>
      <c r="GH35" s="348"/>
      <c r="GI35" s="549"/>
      <c r="GJ35" s="1549">
        <f>GL35/GK35</f>
        <v>31.951733333333333</v>
      </c>
      <c r="GK35" s="348">
        <v>75</v>
      </c>
      <c r="GL35" s="348">
        <v>2396.38</v>
      </c>
      <c r="GM35" s="348"/>
      <c r="GN35" s="549"/>
      <c r="GO35" s="787">
        <f>GQ35/GP35</f>
        <v>33.647058823529413</v>
      </c>
      <c r="GP35" s="348">
        <v>68</v>
      </c>
      <c r="GQ35" s="348">
        <v>2288</v>
      </c>
      <c r="GR35" s="348"/>
      <c r="GS35" s="549"/>
      <c r="GT35" s="787">
        <f>GV35/GU35</f>
        <v>33.689670329670335</v>
      </c>
      <c r="GU35" s="348">
        <v>91</v>
      </c>
      <c r="GV35" s="348">
        <v>3065.76</v>
      </c>
      <c r="GW35" s="348"/>
      <c r="GX35" s="549"/>
      <c r="GY35" s="787">
        <f>HA35/GZ35</f>
        <v>33.6953125</v>
      </c>
      <c r="GZ35" s="348">
        <v>128</v>
      </c>
      <c r="HA35" s="348">
        <v>4313</v>
      </c>
      <c r="HB35" s="348"/>
      <c r="HC35" s="549"/>
      <c r="HD35" s="787">
        <f>HF35/HE35</f>
        <v>51.06</v>
      </c>
      <c r="HE35" s="348">
        <v>132</v>
      </c>
      <c r="HF35" s="509">
        <v>6739.92</v>
      </c>
      <c r="HG35" s="348"/>
      <c r="HH35" s="549"/>
      <c r="HI35" s="787">
        <f>HK35/HJ35</f>
        <v>51.059999999999995</v>
      </c>
      <c r="HJ35" s="348">
        <v>120</v>
      </c>
      <c r="HK35" s="348">
        <f>(4186.92+1940.28)</f>
        <v>6127.2</v>
      </c>
      <c r="HL35" s="348"/>
      <c r="HM35" s="549"/>
      <c r="HN35" s="787">
        <f>HP35/HO35</f>
        <v>72.437119999999993</v>
      </c>
      <c r="HO35" s="348">
        <v>90</v>
      </c>
      <c r="HP35" s="348">
        <f>(4186.92+1940.28)*1.064</f>
        <v>6519.3407999999999</v>
      </c>
      <c r="HQ35" s="348"/>
      <c r="HR35" s="549"/>
      <c r="HS35" s="787">
        <f>HU35/HT35</f>
        <v>54.505164835164841</v>
      </c>
      <c r="HT35" s="348">
        <v>91</v>
      </c>
      <c r="HU35" s="348">
        <v>4959.97</v>
      </c>
      <c r="HV35" s="348"/>
      <c r="HW35" s="549"/>
      <c r="HX35" s="787">
        <f>HZ35/HY35</f>
        <v>54.434240000000003</v>
      </c>
      <c r="HY35" s="348">
        <f>92+21</f>
        <v>113</v>
      </c>
      <c r="HZ35" s="348">
        <f>5781.08*1.064</f>
        <v>6151.0691200000001</v>
      </c>
      <c r="IA35" s="348"/>
      <c r="IB35" s="549"/>
      <c r="IC35" s="787">
        <f>IE35/ID35</f>
        <v>1892</v>
      </c>
      <c r="ID35" s="348">
        <v>1</v>
      </c>
      <c r="IE35" s="348">
        <v>1892</v>
      </c>
      <c r="IF35" s="348"/>
      <c r="IG35" s="549"/>
      <c r="IH35" s="787">
        <f>IJ35/II35</f>
        <v>1892</v>
      </c>
      <c r="II35" s="348">
        <v>1</v>
      </c>
      <c r="IJ35" s="348">
        <v>1892</v>
      </c>
      <c r="IK35" s="348"/>
      <c r="IL35" s="549"/>
      <c r="IM35" s="787">
        <f>IO35/IN35</f>
        <v>1892</v>
      </c>
      <c r="IN35" s="348">
        <v>1</v>
      </c>
      <c r="IO35" s="348">
        <v>1892</v>
      </c>
      <c r="IP35" s="348"/>
      <c r="IQ35" s="549"/>
    </row>
    <row r="36" spans="1:251" s="255" customFormat="1" ht="15" customHeight="1">
      <c r="A36" s="683"/>
      <c r="B36" s="251" t="s">
        <v>300</v>
      </c>
      <c r="C36" s="251" t="s">
        <v>31</v>
      </c>
      <c r="D36" s="26" t="s">
        <v>19</v>
      </c>
      <c r="E36" s="253" t="s">
        <v>10</v>
      </c>
      <c r="F36" s="253"/>
      <c r="G36" s="378"/>
      <c r="H36" s="165"/>
      <c r="I36" s="165"/>
      <c r="J36" s="166"/>
      <c r="K36" s="166"/>
      <c r="L36" s="378"/>
      <c r="M36" s="373"/>
      <c r="N36" s="373"/>
      <c r="O36" s="373"/>
      <c r="P36" s="373"/>
      <c r="Q36" s="378"/>
      <c r="R36" s="373"/>
      <c r="S36" s="373"/>
      <c r="T36" s="373"/>
      <c r="U36" s="373"/>
      <c r="V36" s="378"/>
      <c r="W36" s="373"/>
      <c r="X36" s="373">
        <v>1769</v>
      </c>
      <c r="Y36" s="373"/>
      <c r="Z36" s="383">
        <f>SUM(X36:X42)*1.1</f>
        <v>128568.9284</v>
      </c>
      <c r="AA36" s="378"/>
      <c r="AB36" s="165"/>
      <c r="AC36" s="373">
        <v>1327</v>
      </c>
      <c r="AD36" s="165"/>
      <c r="AE36" s="383">
        <f>SUM(AC36:AC42)*1.1</f>
        <v>145940.861</v>
      </c>
      <c r="AF36" s="378"/>
      <c r="AG36" s="165"/>
      <c r="AH36" s="373">
        <v>1769</v>
      </c>
      <c r="AI36" s="165"/>
      <c r="AJ36" s="383">
        <f>AJ37*1.1</f>
        <v>167258.29559999998</v>
      </c>
      <c r="AK36" s="378"/>
      <c r="AL36" s="165"/>
      <c r="AM36" s="373">
        <v>1106</v>
      </c>
      <c r="AN36" s="165"/>
      <c r="AO36" s="383">
        <f>AO37*1.2</f>
        <v>243742.01519999997</v>
      </c>
      <c r="AP36" s="378"/>
      <c r="AQ36" s="165"/>
      <c r="AR36" s="373">
        <v>1990</v>
      </c>
      <c r="AS36" s="165"/>
      <c r="AT36" s="383">
        <f>SUM(AR36:AR42)*1.2</f>
        <v>249696.67679999996</v>
      </c>
      <c r="AU36" s="378"/>
      <c r="AV36" s="165"/>
      <c r="AW36" s="165"/>
      <c r="AX36" s="165"/>
      <c r="AY36" s="383">
        <f>SUM(AW36:AW42)*1.1</f>
        <v>335982.68219999998</v>
      </c>
      <c r="AZ36" s="378"/>
      <c r="BA36" s="165"/>
      <c r="BB36" s="165"/>
      <c r="BC36" s="165"/>
      <c r="BD36" s="383">
        <f>SUM(BB36:BB42)*1.1</f>
        <v>249573.09960000002</v>
      </c>
      <c r="BE36" s="378"/>
      <c r="BF36" s="165"/>
      <c r="BG36" s="165"/>
      <c r="BH36" s="165"/>
      <c r="BI36" s="383">
        <f>SUM(BG36:BG42)*1.1</f>
        <v>240436.78779999999</v>
      </c>
      <c r="BJ36" s="378"/>
      <c r="BK36" s="165"/>
      <c r="BL36" s="165"/>
      <c r="BM36" s="165"/>
      <c r="BN36" s="383">
        <f>SUM(BL36:BL42)*1.1</f>
        <v>250447.46980000002</v>
      </c>
      <c r="BO36" s="378"/>
      <c r="BP36" s="165"/>
      <c r="BQ36" s="165"/>
      <c r="BR36" s="165"/>
      <c r="BS36" s="383">
        <f>SUM(BQ36:BQ42)*1.1</f>
        <v>228835.35399999999</v>
      </c>
      <c r="BT36" s="378"/>
      <c r="BU36" s="165"/>
      <c r="BV36" s="165"/>
      <c r="BW36" s="165"/>
      <c r="BX36" s="383">
        <f>SUM(BV36:BV42)*1.1</f>
        <v>212690.63860000001</v>
      </c>
      <c r="BY36" s="378"/>
      <c r="BZ36" s="165"/>
      <c r="CA36" s="165"/>
      <c r="CB36" s="165"/>
      <c r="CC36" s="383">
        <f>SUM(CA36:CA42)*1.1</f>
        <v>201696.88220000002</v>
      </c>
      <c r="CD36" s="378"/>
      <c r="CE36" s="165"/>
      <c r="CF36" s="165"/>
      <c r="CG36" s="165"/>
      <c r="CH36" s="383">
        <f>SUM(CF36:CF42)*1.1</f>
        <v>160629.38540000003</v>
      </c>
      <c r="CI36" s="378"/>
      <c r="CJ36" s="165"/>
      <c r="CK36" s="165"/>
      <c r="CL36" s="165"/>
      <c r="CM36" s="383">
        <f>SUM(CK36:CK42)*1.1</f>
        <v>228483.21980000002</v>
      </c>
      <c r="CN36" s="378"/>
      <c r="CO36" s="165"/>
      <c r="CP36" s="165"/>
      <c r="CQ36" s="165"/>
      <c r="CR36" s="383">
        <f>SUM(CP36:CP42)*1.1</f>
        <v>275486.70600000006</v>
      </c>
      <c r="CS36" s="378"/>
      <c r="CT36" s="165"/>
      <c r="CU36" s="165"/>
      <c r="CV36" s="165"/>
      <c r="CW36" s="383">
        <f>SUM(CU36:CU42)*1.1</f>
        <v>324137.96580000001</v>
      </c>
      <c r="CX36" s="378"/>
      <c r="CY36" s="165"/>
      <c r="CZ36" s="165"/>
      <c r="DA36" s="165"/>
      <c r="DB36" s="383">
        <f>SUM(CZ36:CZ42)*1.1</f>
        <v>360268.86719999998</v>
      </c>
      <c r="DC36" s="378"/>
      <c r="DD36" s="165"/>
      <c r="DE36" s="165"/>
      <c r="DF36" s="165"/>
      <c r="DG36" s="383">
        <f>SUM(DE36:DE42)*1.1</f>
        <v>409458.87839999999</v>
      </c>
      <c r="DH36" s="378"/>
      <c r="DI36" s="165"/>
      <c r="DJ36" s="165"/>
      <c r="DK36" s="165"/>
      <c r="DL36" s="383">
        <f>SUM(DJ36:DJ42)*1.1</f>
        <v>343148.10860000004</v>
      </c>
      <c r="DM36" s="378"/>
      <c r="DN36" s="165"/>
      <c r="DO36" s="165"/>
      <c r="DP36" s="165"/>
      <c r="DQ36" s="383">
        <f>SUM(DO36:DO42)*1.1</f>
        <v>286965.79340000002</v>
      </c>
      <c r="DR36" s="378"/>
      <c r="DS36" s="165"/>
      <c r="DT36" s="165"/>
      <c r="DU36" s="165"/>
      <c r="DV36" s="383">
        <f>SUM(DT36:DT42)*1.1</f>
        <v>238271.10780000003</v>
      </c>
      <c r="DW36" s="378"/>
      <c r="DX36" s="165"/>
      <c r="DY36" s="165"/>
      <c r="DZ36" s="165"/>
      <c r="EA36" s="383">
        <f>SUM(DY36:DY42)*1.1</f>
        <v>239409.56380000003</v>
      </c>
      <c r="EB36" s="378"/>
      <c r="EC36" s="165"/>
      <c r="ED36" s="165"/>
      <c r="EE36" s="165"/>
      <c r="EF36" s="383">
        <f>SUM(ED36:ED42)*1.1</f>
        <v>239359.34220000001</v>
      </c>
      <c r="EG36" s="378"/>
      <c r="EH36" s="165"/>
      <c r="EI36" s="165"/>
      <c r="EJ36" s="165"/>
      <c r="EK36" s="383">
        <f>SUM(EI36:EI42)*1.1</f>
        <v>305430.6508</v>
      </c>
      <c r="EL36" s="378"/>
      <c r="EM36" s="165"/>
      <c r="EN36" s="165"/>
      <c r="EO36" s="165"/>
      <c r="EP36" s="383">
        <f>SUM(EN36:EN42)*1.1</f>
        <v>274601.10700000008</v>
      </c>
      <c r="EQ36" s="378"/>
      <c r="ER36" s="165"/>
      <c r="ES36" s="165"/>
      <c r="ET36" s="165"/>
      <c r="EU36" s="383">
        <f>SUM(ES36:ES42)*1.1</f>
        <v>267682.4656</v>
      </c>
      <c r="EV36" s="378"/>
      <c r="EW36" s="165"/>
      <c r="EX36" s="165"/>
      <c r="EY36" s="165"/>
      <c r="EZ36" s="383">
        <f>SUM(EX36:EX42)*1.1</f>
        <v>300197.69780000002</v>
      </c>
      <c r="FA36" s="378"/>
      <c r="FB36" s="165"/>
      <c r="FC36" s="165"/>
      <c r="FD36" s="165"/>
      <c r="FE36" s="383">
        <f>SUM(FC36:FC42)*1.1</f>
        <v>328751.61219999997</v>
      </c>
      <c r="FF36" s="378"/>
      <c r="FG36" s="165"/>
      <c r="FH36" s="165"/>
      <c r="FI36" s="165"/>
      <c r="FJ36" s="383">
        <f>SUM(FH36:FH42)*1.1</f>
        <v>506263.67220000003</v>
      </c>
      <c r="FK36" s="378"/>
      <c r="FL36" s="165"/>
      <c r="FM36" s="165"/>
      <c r="FN36" s="165"/>
      <c r="FO36" s="383">
        <f>SUM(FM36:FM42)*1.1</f>
        <v>393313.83299999998</v>
      </c>
      <c r="FP36" s="378"/>
      <c r="FQ36" s="165"/>
      <c r="FR36" s="165"/>
      <c r="FS36" s="165"/>
      <c r="FT36" s="383">
        <f>SUM(FR36:FR42)*1.1</f>
        <v>348780.21860000002</v>
      </c>
      <c r="FU36" s="378"/>
      <c r="FV36" s="165"/>
      <c r="FW36" s="165"/>
      <c r="FX36" s="165"/>
      <c r="FY36" s="383">
        <f>SUM(FW36:FW42)*1.1</f>
        <v>286965.79340000002</v>
      </c>
      <c r="FZ36" s="378"/>
      <c r="GA36" s="165"/>
      <c r="GB36" s="165"/>
      <c r="GC36" s="165"/>
      <c r="GD36" s="383">
        <f>SUM(GB36:GB42)*1.1</f>
        <v>238271.10780000003</v>
      </c>
      <c r="GE36" s="378"/>
      <c r="GF36" s="165"/>
      <c r="GG36" s="165"/>
      <c r="GH36" s="165"/>
      <c r="GI36" s="383">
        <f>SUM(GG36:GG42)*1.1</f>
        <v>106588.73279999998</v>
      </c>
      <c r="GJ36" s="1550"/>
      <c r="GK36" s="165"/>
      <c r="GL36" s="165"/>
      <c r="GM36" s="165"/>
      <c r="GN36" s="383">
        <f>SUM(GL36:GL42)*1.1</f>
        <v>180840.20900000003</v>
      </c>
      <c r="GO36" s="378"/>
      <c r="GP36" s="165"/>
      <c r="GQ36" s="165"/>
      <c r="GR36" s="165"/>
      <c r="GS36" s="383">
        <f>SUM(GQ36:GQ42)*1.1</f>
        <v>278567.00520000007</v>
      </c>
      <c r="GT36" s="378"/>
      <c r="GU36" s="165"/>
      <c r="GV36" s="165"/>
      <c r="GW36" s="165"/>
      <c r="GX36" s="383">
        <f>SUM(GV36:GV42)*1.1</f>
        <v>384650.94139999995</v>
      </c>
      <c r="GY36" s="378"/>
      <c r="GZ36" s="165"/>
      <c r="HA36" s="165"/>
      <c r="HB36" s="165"/>
      <c r="HC36" s="383">
        <f>SUM(HA36:HA42)*1.1</f>
        <v>267682.4656</v>
      </c>
      <c r="HD36" s="378"/>
      <c r="HE36" s="165"/>
      <c r="HF36" s="165"/>
      <c r="HG36" s="165"/>
      <c r="HH36" s="383">
        <f>SUM(HF36:HF42)*1.1</f>
        <v>300197.69780000002</v>
      </c>
      <c r="HI36" s="378"/>
      <c r="HJ36" s="165"/>
      <c r="HK36" s="165"/>
      <c r="HL36" s="165"/>
      <c r="HM36" s="383">
        <f>SUM(HK36:HK42)*1.1</f>
        <v>328751.61219999997</v>
      </c>
      <c r="HN36" s="378"/>
      <c r="HO36" s="165"/>
      <c r="HP36" s="165"/>
      <c r="HQ36" s="165"/>
      <c r="HR36" s="383">
        <f>SUM(HP36:HP42)*1.1</f>
        <v>506263.67220000003</v>
      </c>
      <c r="HS36" s="378"/>
      <c r="HT36" s="165"/>
      <c r="HU36" s="165"/>
      <c r="HV36" s="165"/>
      <c r="HW36" s="383">
        <f>SUM(HU36:HU42)*1.1</f>
        <v>393313.83299999998</v>
      </c>
      <c r="HX36" s="378"/>
      <c r="HY36" s="165"/>
      <c r="HZ36" s="165"/>
      <c r="IA36" s="165"/>
      <c r="IB36" s="383">
        <f>SUM(HZ36:HZ42)*1.1</f>
        <v>348780.21860000002</v>
      </c>
      <c r="IC36" s="378"/>
      <c r="ID36" s="165"/>
      <c r="IE36" s="165"/>
      <c r="IF36" s="165"/>
      <c r="IG36" s="383">
        <f>SUM(IE36:IE42)*1.1</f>
        <v>286965.79340000002</v>
      </c>
      <c r="IH36" s="378"/>
      <c r="II36" s="165"/>
      <c r="IJ36" s="165"/>
      <c r="IK36" s="165"/>
      <c r="IL36" s="383">
        <f>SUM(IJ36:IJ42)*1.1</f>
        <v>238271.10780000003</v>
      </c>
      <c r="IM36" s="378"/>
      <c r="IN36" s="165"/>
      <c r="IO36" s="165"/>
      <c r="IP36" s="165"/>
      <c r="IQ36" s="383">
        <f>SUM(IO36:IO42)*1.1</f>
        <v>106588.73279999998</v>
      </c>
    </row>
    <row r="37" spans="1:251" s="789" customFormat="1" ht="15" customHeight="1">
      <c r="A37" s="799"/>
      <c r="B37" s="781"/>
      <c r="C37" s="781"/>
      <c r="D37" s="782" t="s">
        <v>32</v>
      </c>
      <c r="E37" s="785" t="s">
        <v>557</v>
      </c>
      <c r="F37" s="785"/>
      <c r="G37" s="792"/>
      <c r="H37" s="783"/>
      <c r="I37" s="783"/>
      <c r="J37" s="783"/>
      <c r="K37" s="783"/>
      <c r="L37" s="792"/>
      <c r="M37" s="783"/>
      <c r="N37" s="783"/>
      <c r="O37" s="783"/>
      <c r="P37" s="783"/>
      <c r="Q37" s="792"/>
      <c r="R37" s="783"/>
      <c r="S37" s="783"/>
      <c r="T37" s="783"/>
      <c r="U37" s="783"/>
      <c r="V37" s="792"/>
      <c r="W37" s="791">
        <v>1</v>
      </c>
      <c r="X37" s="791" t="s">
        <v>214</v>
      </c>
      <c r="Y37" s="791"/>
      <c r="Z37" s="793">
        <f>SUM(X36:X42)*1</f>
        <v>116880.844</v>
      </c>
      <c r="AA37" s="792"/>
      <c r="AB37" s="791">
        <v>1</v>
      </c>
      <c r="AC37" s="791">
        <v>9974.36</v>
      </c>
      <c r="AD37" s="791"/>
      <c r="AE37" s="793">
        <f>SUM(AC36:AC42)*1</f>
        <v>132673.50999999998</v>
      </c>
      <c r="AF37" s="792"/>
      <c r="AG37" s="791"/>
      <c r="AH37" s="791">
        <v>11967.32</v>
      </c>
      <c r="AI37" s="791"/>
      <c r="AJ37" s="793">
        <f>SUM(AH36:AH42)*1</f>
        <v>152052.99599999998</v>
      </c>
      <c r="AK37" s="792"/>
      <c r="AL37" s="791"/>
      <c r="AM37" s="791">
        <v>16764.099999999999</v>
      </c>
      <c r="AN37" s="791"/>
      <c r="AO37" s="793">
        <f>SUM(AM36:AM42)*1</f>
        <v>203118.34599999999</v>
      </c>
      <c r="AP37" s="792"/>
      <c r="AQ37" s="791"/>
      <c r="AR37" s="791" t="s">
        <v>329</v>
      </c>
      <c r="AS37" s="791"/>
      <c r="AT37" s="793">
        <f>SUM(AR36:AR42)*1</f>
        <v>208080.56399999998</v>
      </c>
      <c r="AU37" s="792"/>
      <c r="AV37" s="791"/>
      <c r="AW37" s="791">
        <v>26166.5</v>
      </c>
      <c r="AX37" s="791"/>
      <c r="AY37" s="793">
        <f>SUM(AW36:AW42)*1</f>
        <v>305438.80199999997</v>
      </c>
      <c r="AZ37" s="792"/>
      <c r="BA37" s="791"/>
      <c r="BB37" s="791">
        <v>18885.72</v>
      </c>
      <c r="BC37" s="791"/>
      <c r="BD37" s="793">
        <f>SUM(BB36:BB42)*1</f>
        <v>226884.636</v>
      </c>
      <c r="BE37" s="792"/>
      <c r="BF37" s="791"/>
      <c r="BG37" s="791">
        <v>17254.72</v>
      </c>
      <c r="BH37" s="791"/>
      <c r="BI37" s="793">
        <f>SUM(BG36:BG42)*1</f>
        <v>218578.89799999999</v>
      </c>
      <c r="BJ37" s="792"/>
      <c r="BK37" s="791"/>
      <c r="BL37" s="791">
        <f>17675.04+94.188+286.76</f>
        <v>18055.987999999998</v>
      </c>
      <c r="BM37" s="791"/>
      <c r="BN37" s="793">
        <f>SUM(BL36:BL42)*1</f>
        <v>227679.51800000001</v>
      </c>
      <c r="BO37" s="792"/>
      <c r="BP37" s="783"/>
      <c r="BQ37" s="783"/>
      <c r="BR37" s="783"/>
      <c r="BS37" s="793">
        <f>SUM(BQ36:BQ42)*1</f>
        <v>208032.13999999998</v>
      </c>
      <c r="BT37" s="792"/>
      <c r="BU37" s="791"/>
      <c r="BV37" s="791">
        <v>15130.36</v>
      </c>
      <c r="BW37" s="791"/>
      <c r="BX37" s="793">
        <f>SUM(BV36:BV42)*1</f>
        <v>193355.12599999999</v>
      </c>
      <c r="BY37" s="792"/>
      <c r="BZ37" s="791"/>
      <c r="CA37" s="791">
        <v>13647.97</v>
      </c>
      <c r="CB37" s="791"/>
      <c r="CC37" s="793">
        <f>SUM(CA36:CA42)*1</f>
        <v>183360.802</v>
      </c>
      <c r="CD37" s="792"/>
      <c r="CE37" s="791"/>
      <c r="CF37" s="791" t="s">
        <v>477</v>
      </c>
      <c r="CG37" s="791"/>
      <c r="CH37" s="793">
        <f>SUM(CF36:CF42)*1</f>
        <v>146026.71400000001</v>
      </c>
      <c r="CI37" s="792"/>
      <c r="CJ37" s="791"/>
      <c r="CK37" s="791" t="s">
        <v>527</v>
      </c>
      <c r="CL37" s="791"/>
      <c r="CM37" s="793">
        <f>SUM(CK36:CK42)*1</f>
        <v>207712.01800000001</v>
      </c>
      <c r="CN37" s="792"/>
      <c r="CO37" s="791"/>
      <c r="CP37" s="791">
        <v>20151.41</v>
      </c>
      <c r="CQ37" s="791"/>
      <c r="CR37" s="793">
        <f>SUM(CP36:CP42)*1</f>
        <v>250442.46000000002</v>
      </c>
      <c r="CS37" s="792"/>
      <c r="CT37" s="791"/>
      <c r="CU37" s="791" t="s">
        <v>536</v>
      </c>
      <c r="CV37" s="791"/>
      <c r="CW37" s="793">
        <f>SUM(CU36:CU42)*1</f>
        <v>294670.87799999997</v>
      </c>
      <c r="CX37" s="792"/>
      <c r="CY37" s="791"/>
      <c r="CZ37" s="791">
        <v>27015.31</v>
      </c>
      <c r="DA37" s="791"/>
      <c r="DB37" s="793">
        <f>SUM(CZ36:CZ42)*1</f>
        <v>327517.15199999994</v>
      </c>
      <c r="DC37" s="792"/>
      <c r="DD37" s="791"/>
      <c r="DE37" s="791">
        <v>31040.27</v>
      </c>
      <c r="DF37" s="791"/>
      <c r="DG37" s="793">
        <f>SUM(DE36:DE42)*1</f>
        <v>372235.34399999998</v>
      </c>
      <c r="DH37" s="792"/>
      <c r="DI37" s="783"/>
      <c r="DJ37" s="791" t="s">
        <v>553</v>
      </c>
      <c r="DK37" s="791"/>
      <c r="DL37" s="793">
        <f>SUM(DJ36:DJ42)*1</f>
        <v>311952.826</v>
      </c>
      <c r="DM37" s="792"/>
      <c r="DN37" s="783"/>
      <c r="DO37" s="783"/>
      <c r="DP37" s="783"/>
      <c r="DQ37" s="793">
        <f>SUM(DO36:DO42)*1</f>
        <v>260877.99399999998</v>
      </c>
      <c r="DR37" s="792"/>
      <c r="DS37" s="791"/>
      <c r="DT37" s="791">
        <f>76.56+32.81+140.86+60.37+11446.21+4905.52</f>
        <v>16662.330000000002</v>
      </c>
      <c r="DU37" s="791"/>
      <c r="DV37" s="793">
        <f>SUM(DT36:DT42)*1</f>
        <v>216610.098</v>
      </c>
      <c r="DW37" s="792"/>
      <c r="DX37" s="783"/>
      <c r="DY37" s="783"/>
      <c r="DZ37" s="783"/>
      <c r="EA37" s="793">
        <f>SUM(DY36:DY42)*1</f>
        <v>217645.05800000002</v>
      </c>
      <c r="EB37" s="792"/>
      <c r="EC37" s="791"/>
      <c r="ED37" s="791">
        <v>133.078</v>
      </c>
      <c r="EE37" s="791"/>
      <c r="EF37" s="793">
        <f>SUM(ED36:ED42)*1</f>
        <v>217599.402</v>
      </c>
      <c r="EG37" s="792"/>
      <c r="EH37" s="791"/>
      <c r="EI37" s="791">
        <v>21972.98</v>
      </c>
      <c r="EJ37" s="791"/>
      <c r="EK37" s="793">
        <f>SUM(EI36:EI42)*1</f>
        <v>277664.228</v>
      </c>
      <c r="EL37" s="792"/>
      <c r="EM37" s="791"/>
      <c r="EN37" s="791">
        <v>19507.57</v>
      </c>
      <c r="EO37" s="791"/>
      <c r="EP37" s="793">
        <f>SUM(EN36:EN42)*1</f>
        <v>249637.37000000002</v>
      </c>
      <c r="EQ37" s="792"/>
      <c r="ER37" s="791"/>
      <c r="ES37" s="791">
        <v>19371.48</v>
      </c>
      <c r="ET37" s="791"/>
      <c r="EU37" s="793">
        <f>SUM(ES36:ES42)*1</f>
        <v>243347.696</v>
      </c>
      <c r="EV37" s="792"/>
      <c r="EW37" s="791"/>
      <c r="EX37" s="791">
        <v>22028.71</v>
      </c>
      <c r="EY37" s="791"/>
      <c r="EZ37" s="793">
        <f>SUM(EX36:EX42)*1</f>
        <v>272906.99800000002</v>
      </c>
      <c r="FA37" s="792"/>
      <c r="FB37" s="791"/>
      <c r="FC37" s="791">
        <v>24553.48</v>
      </c>
      <c r="FD37" s="791"/>
      <c r="FE37" s="793">
        <f>SUM(FC36:FC42)*1</f>
        <v>298865.10199999996</v>
      </c>
      <c r="FF37" s="792"/>
      <c r="FG37" s="791"/>
      <c r="FH37" s="791">
        <v>39033.96</v>
      </c>
      <c r="FI37" s="791"/>
      <c r="FJ37" s="793">
        <f>SUM(FH36:FH42)*1</f>
        <v>460239.70199999999</v>
      </c>
      <c r="FK37" s="792"/>
      <c r="FL37" s="791"/>
      <c r="FM37" s="791">
        <v>29705.96</v>
      </c>
      <c r="FN37" s="791"/>
      <c r="FO37" s="793">
        <f>SUM(FM36:FM42)*1</f>
        <v>357558.02999999997</v>
      </c>
      <c r="FP37" s="792"/>
      <c r="FQ37" s="791"/>
      <c r="FR37" s="791">
        <v>26076.959999999999</v>
      </c>
      <c r="FS37" s="791"/>
      <c r="FT37" s="793">
        <f>SUM(FR36:FR42)*1</f>
        <v>317072.92599999998</v>
      </c>
      <c r="FU37" s="792"/>
      <c r="FV37" s="783"/>
      <c r="FW37" s="783"/>
      <c r="FX37" s="783"/>
      <c r="FY37" s="793">
        <f>SUM(FW36:FW42)*1</f>
        <v>260877.99399999998</v>
      </c>
      <c r="FZ37" s="792"/>
      <c r="GA37" s="783"/>
      <c r="GB37" s="783">
        <f>76.56+32.81+140.86+60.37+11446.21+4905.52</f>
        <v>16662.330000000002</v>
      </c>
      <c r="GC37" s="783"/>
      <c r="GD37" s="793">
        <f>SUM(GB36:GB42)*1</f>
        <v>216610.098</v>
      </c>
      <c r="GE37" s="792"/>
      <c r="GF37" s="783"/>
      <c r="GG37" s="783"/>
      <c r="GH37" s="783"/>
      <c r="GI37" s="793">
        <f>SUM(GG36:GG42)*1</f>
        <v>96898.847999999984</v>
      </c>
      <c r="GJ37" s="1551"/>
      <c r="GK37" s="783"/>
      <c r="GL37" s="791">
        <f>1.2*(8382.64+3592.56+48.38+20.73)</f>
        <v>14453.171999999997</v>
      </c>
      <c r="GM37" s="783"/>
      <c r="GN37" s="793">
        <f>SUM(GL36:GL42)*1</f>
        <v>164400.19</v>
      </c>
      <c r="GO37" s="792"/>
      <c r="GP37" s="791"/>
      <c r="GQ37" s="791">
        <f>1.2*(11552.34+4951+37.21+15.95)</f>
        <v>19867.8</v>
      </c>
      <c r="GR37" s="791"/>
      <c r="GS37" s="793">
        <f>SUM(GQ36:GQ42)*1</f>
        <v>253242.73200000005</v>
      </c>
      <c r="GT37" s="792"/>
      <c r="GU37" s="791"/>
      <c r="GV37" s="791">
        <f>1.2*(16969.35+7272.58+48.38+20.73)</f>
        <v>29173.248</v>
      </c>
      <c r="GW37" s="791"/>
      <c r="GX37" s="793">
        <f>SUM(GV36:GV42)*1</f>
        <v>349682.67399999994</v>
      </c>
      <c r="GY37" s="792"/>
      <c r="GZ37" s="783"/>
      <c r="HA37" s="783">
        <v>19371.48</v>
      </c>
      <c r="HB37" s="783"/>
      <c r="HC37" s="793">
        <f>SUM(HA36:HA42)*1</f>
        <v>243347.696</v>
      </c>
      <c r="HD37" s="792"/>
      <c r="HE37" s="783"/>
      <c r="HF37" s="783">
        <v>22028.71</v>
      </c>
      <c r="HG37" s="783"/>
      <c r="HH37" s="793">
        <f>SUM(HF36:HF42)*1</f>
        <v>272906.99800000002</v>
      </c>
      <c r="HI37" s="792"/>
      <c r="HJ37" s="783"/>
      <c r="HK37" s="783">
        <v>24553.48</v>
      </c>
      <c r="HL37" s="783"/>
      <c r="HM37" s="793">
        <f>SUM(HK36:HK42)*1</f>
        <v>298865.10199999996</v>
      </c>
      <c r="HN37" s="792"/>
      <c r="HO37" s="783"/>
      <c r="HP37" s="783">
        <v>39033.96</v>
      </c>
      <c r="HQ37" s="783"/>
      <c r="HR37" s="793">
        <f>SUM(HP36:HP42)*1</f>
        <v>460239.70199999999</v>
      </c>
      <c r="HS37" s="792"/>
      <c r="HT37" s="783"/>
      <c r="HU37" s="783">
        <v>29705.96</v>
      </c>
      <c r="HV37" s="783"/>
      <c r="HW37" s="793">
        <f>SUM(HU36:HU42)*1</f>
        <v>357558.02999999997</v>
      </c>
      <c r="HX37" s="792"/>
      <c r="HY37" s="783"/>
      <c r="HZ37" s="783">
        <v>26076.959999999999</v>
      </c>
      <c r="IA37" s="783"/>
      <c r="IB37" s="793">
        <f>SUM(HZ36:HZ42)*1</f>
        <v>317072.92599999998</v>
      </c>
      <c r="IC37" s="792"/>
      <c r="ID37" s="783"/>
      <c r="IE37" s="783"/>
      <c r="IF37" s="783"/>
      <c r="IG37" s="793">
        <f>SUM(IE36:IE42)*1</f>
        <v>260877.99399999998</v>
      </c>
      <c r="IH37" s="792"/>
      <c r="II37" s="783"/>
      <c r="IJ37" s="783">
        <f>76.56+32.81+140.86+60.37+11446.21+4905.52</f>
        <v>16662.330000000002</v>
      </c>
      <c r="IK37" s="783"/>
      <c r="IL37" s="793">
        <f>SUM(IJ36:IJ42)*1</f>
        <v>216610.098</v>
      </c>
      <c r="IM37" s="792"/>
      <c r="IN37" s="783"/>
      <c r="IO37" s="783"/>
      <c r="IP37" s="783"/>
      <c r="IQ37" s="793">
        <f>SUM(IO36:IO42)*1</f>
        <v>96898.847999999984</v>
      </c>
    </row>
    <row r="38" spans="1:251" s="789" customFormat="1" ht="15" customHeight="1">
      <c r="A38" s="799"/>
      <c r="B38" s="781"/>
      <c r="C38" s="781">
        <v>39397773</v>
      </c>
      <c r="D38" s="782" t="s">
        <v>32</v>
      </c>
      <c r="E38" s="785" t="s">
        <v>11</v>
      </c>
      <c r="F38" s="785"/>
      <c r="G38" s="792"/>
      <c r="H38" s="791">
        <v>1</v>
      </c>
      <c r="I38" s="794">
        <f>17607.25+1534.43</f>
        <v>19141.68</v>
      </c>
      <c r="J38" s="791"/>
      <c r="K38" s="791"/>
      <c r="L38" s="792"/>
      <c r="M38" s="791">
        <v>1</v>
      </c>
      <c r="N38" s="794">
        <f>17607.25+1534.43</f>
        <v>19141.68</v>
      </c>
      <c r="O38" s="791"/>
      <c r="P38" s="791"/>
      <c r="Q38" s="792"/>
      <c r="R38" s="791">
        <v>1</v>
      </c>
      <c r="S38" s="794">
        <f>17607.25+1534.43</f>
        <v>19141.68</v>
      </c>
      <c r="T38" s="791"/>
      <c r="U38" s="791"/>
      <c r="V38" s="792"/>
      <c r="W38" s="791">
        <v>1</v>
      </c>
      <c r="X38" s="794">
        <f>17607.25+1534.43</f>
        <v>19141.68</v>
      </c>
      <c r="Y38" s="791"/>
      <c r="Z38" s="791"/>
      <c r="AA38" s="792"/>
      <c r="AB38" s="791">
        <v>1</v>
      </c>
      <c r="AC38" s="794">
        <f>17607.25+1534.43</f>
        <v>19141.68</v>
      </c>
      <c r="AD38" s="791"/>
      <c r="AE38" s="791"/>
      <c r="AF38" s="792"/>
      <c r="AG38" s="791">
        <v>1</v>
      </c>
      <c r="AH38" s="794">
        <v>17607.25</v>
      </c>
      <c r="AI38" s="791"/>
      <c r="AJ38" s="791"/>
      <c r="AK38" s="792"/>
      <c r="AL38" s="791">
        <v>1</v>
      </c>
      <c r="AM38" s="794">
        <v>17607.25</v>
      </c>
      <c r="AN38" s="791"/>
      <c r="AO38" s="791"/>
      <c r="AP38" s="792"/>
      <c r="AQ38" s="791">
        <v>1</v>
      </c>
      <c r="AR38" s="794">
        <v>17607.25</v>
      </c>
      <c r="AS38" s="791"/>
      <c r="AT38" s="791"/>
      <c r="AU38" s="792"/>
      <c r="AV38" s="791">
        <v>1</v>
      </c>
      <c r="AW38" s="794">
        <f>17607.25</f>
        <v>17607.25</v>
      </c>
      <c r="AX38" s="791"/>
      <c r="AY38" s="791"/>
      <c r="AZ38" s="792"/>
      <c r="BA38" s="791">
        <v>1</v>
      </c>
      <c r="BB38" s="794">
        <f>17607.25+1534.43</f>
        <v>19141.68</v>
      </c>
      <c r="BC38" s="791"/>
      <c r="BD38" s="791"/>
      <c r="BE38" s="792"/>
      <c r="BF38" s="791">
        <v>1</v>
      </c>
      <c r="BG38" s="795">
        <v>28776.97</v>
      </c>
      <c r="BH38" s="791"/>
      <c r="BI38" s="791"/>
      <c r="BJ38" s="792"/>
      <c r="BK38" s="791">
        <v>1</v>
      </c>
      <c r="BL38" s="795">
        <v>28776.97</v>
      </c>
      <c r="BM38" s="791"/>
      <c r="BN38" s="791"/>
      <c r="BO38" s="792"/>
      <c r="BP38" s="791">
        <v>1</v>
      </c>
      <c r="BQ38" s="794">
        <v>28776.97</v>
      </c>
      <c r="BR38" s="791"/>
      <c r="BS38" s="791"/>
      <c r="BT38" s="792"/>
      <c r="BU38" s="791">
        <v>1</v>
      </c>
      <c r="BV38" s="794">
        <v>28776.97</v>
      </c>
      <c r="BW38" s="791"/>
      <c r="BX38" s="791"/>
      <c r="BY38" s="792"/>
      <c r="BZ38" s="791">
        <v>1</v>
      </c>
      <c r="CA38" s="794">
        <v>28776.97</v>
      </c>
      <c r="CB38" s="791"/>
      <c r="CC38" s="791"/>
      <c r="CD38" s="792"/>
      <c r="CE38" s="791">
        <v>1</v>
      </c>
      <c r="CF38" s="794">
        <v>28776.97</v>
      </c>
      <c r="CG38" s="791"/>
      <c r="CH38" s="791"/>
      <c r="CI38" s="792"/>
      <c r="CJ38" s="791">
        <v>1</v>
      </c>
      <c r="CK38" s="794">
        <v>28776.97</v>
      </c>
      <c r="CL38" s="791"/>
      <c r="CM38" s="791"/>
      <c r="CN38" s="792"/>
      <c r="CO38" s="791">
        <v>1</v>
      </c>
      <c r="CP38" s="794">
        <v>28776.97</v>
      </c>
      <c r="CQ38" s="791"/>
      <c r="CR38" s="791"/>
      <c r="CS38" s="792"/>
      <c r="CT38" s="791">
        <v>1</v>
      </c>
      <c r="CU38" s="794">
        <v>28776.97</v>
      </c>
      <c r="CV38" s="791"/>
      <c r="CW38" s="791"/>
      <c r="CX38" s="792"/>
      <c r="CY38" s="791">
        <v>1</v>
      </c>
      <c r="CZ38" s="794">
        <f>28776.97</f>
        <v>28776.97</v>
      </c>
      <c r="DA38" s="791"/>
      <c r="DB38" s="791"/>
      <c r="DC38" s="792"/>
      <c r="DD38" s="791">
        <v>1</v>
      </c>
      <c r="DE38" s="794">
        <v>28776.97</v>
      </c>
      <c r="DF38" s="791"/>
      <c r="DG38" s="791"/>
      <c r="DH38" s="792"/>
      <c r="DI38" s="791">
        <v>1</v>
      </c>
      <c r="DJ38" s="794">
        <v>28776.97</v>
      </c>
      <c r="DK38" s="791"/>
      <c r="DL38" s="791"/>
      <c r="DM38" s="792"/>
      <c r="DN38" s="791">
        <v>1</v>
      </c>
      <c r="DO38" s="794">
        <v>28776.97</v>
      </c>
      <c r="DP38" s="791"/>
      <c r="DQ38" s="791"/>
      <c r="DR38" s="792"/>
      <c r="DS38" s="791">
        <v>1</v>
      </c>
      <c r="DT38" s="794" t="s">
        <v>1164</v>
      </c>
      <c r="DU38" s="791"/>
      <c r="DV38" s="791"/>
      <c r="DW38" s="792"/>
      <c r="DX38" s="791">
        <v>1</v>
      </c>
      <c r="DY38" s="794">
        <v>28776.97</v>
      </c>
      <c r="DZ38" s="791"/>
      <c r="EA38" s="791"/>
      <c r="EB38" s="792"/>
      <c r="EC38" s="791">
        <v>1</v>
      </c>
      <c r="ED38" s="794" t="s">
        <v>1164</v>
      </c>
      <c r="EE38" s="791"/>
      <c r="EF38" s="791"/>
      <c r="EG38" s="792"/>
      <c r="EH38" s="791">
        <v>1</v>
      </c>
      <c r="EI38" s="794">
        <v>28776.97</v>
      </c>
      <c r="EJ38" s="791"/>
      <c r="EK38" s="791"/>
      <c r="EL38" s="792"/>
      <c r="EM38" s="791">
        <v>1</v>
      </c>
      <c r="EN38" s="794">
        <v>28776.97</v>
      </c>
      <c r="EO38" s="791"/>
      <c r="EP38" s="791"/>
      <c r="EQ38" s="792"/>
      <c r="ER38" s="791">
        <v>1</v>
      </c>
      <c r="ES38" s="794">
        <v>28776.97</v>
      </c>
      <c r="ET38" s="791"/>
      <c r="EU38" s="791"/>
      <c r="EV38" s="792"/>
      <c r="EW38" s="791">
        <v>1</v>
      </c>
      <c r="EX38" s="794">
        <v>28776.97</v>
      </c>
      <c r="EY38" s="791"/>
      <c r="EZ38" s="791"/>
      <c r="FA38" s="792"/>
      <c r="FB38" s="791">
        <v>1</v>
      </c>
      <c r="FC38" s="794">
        <v>28776.97</v>
      </c>
      <c r="FD38" s="791"/>
      <c r="FE38" s="791"/>
      <c r="FF38" s="792"/>
      <c r="FG38" s="791">
        <v>1</v>
      </c>
      <c r="FH38" s="794">
        <v>28776.97</v>
      </c>
      <c r="FI38" s="791"/>
      <c r="FJ38" s="791"/>
      <c r="FK38" s="792"/>
      <c r="FL38" s="791">
        <v>1</v>
      </c>
      <c r="FM38" s="794">
        <v>28776.97</v>
      </c>
      <c r="FN38" s="791"/>
      <c r="FO38" s="791"/>
      <c r="FP38" s="792"/>
      <c r="FQ38" s="791">
        <v>1</v>
      </c>
      <c r="FR38" s="794">
        <v>28776.97</v>
      </c>
      <c r="FS38" s="791"/>
      <c r="FT38" s="791"/>
      <c r="FU38" s="792"/>
      <c r="FV38" s="783">
        <v>1</v>
      </c>
      <c r="FW38" s="796">
        <v>28776.97</v>
      </c>
      <c r="FX38" s="783"/>
      <c r="FY38" s="791"/>
      <c r="FZ38" s="792"/>
      <c r="GA38" s="783">
        <v>1</v>
      </c>
      <c r="GB38" s="796" t="s">
        <v>1164</v>
      </c>
      <c r="GC38" s="783"/>
      <c r="GD38" s="791"/>
      <c r="GE38" s="792"/>
      <c r="GF38" s="783">
        <v>1</v>
      </c>
      <c r="GG38" s="796">
        <f>17607.25+1534.43</f>
        <v>19141.68</v>
      </c>
      <c r="GH38" s="783"/>
      <c r="GI38" s="791"/>
      <c r="GJ38" s="1551"/>
      <c r="GK38" s="791">
        <v>1</v>
      </c>
      <c r="GL38" s="794" t="s">
        <v>1164</v>
      </c>
      <c r="GM38" s="791"/>
      <c r="GN38" s="791"/>
      <c r="GO38" s="792"/>
      <c r="GP38" s="791">
        <v>1</v>
      </c>
      <c r="GQ38" s="794">
        <v>28776.97</v>
      </c>
      <c r="GR38" s="791"/>
      <c r="GS38" s="791"/>
      <c r="GT38" s="792"/>
      <c r="GU38" s="791">
        <v>1</v>
      </c>
      <c r="GV38" s="794">
        <v>28776.97</v>
      </c>
      <c r="GW38" s="791"/>
      <c r="GX38" s="791"/>
      <c r="GY38" s="792"/>
      <c r="GZ38" s="783">
        <v>1</v>
      </c>
      <c r="HA38" s="796">
        <v>28776.97</v>
      </c>
      <c r="HB38" s="783"/>
      <c r="HC38" s="791"/>
      <c r="HD38" s="792"/>
      <c r="HE38" s="783">
        <v>1</v>
      </c>
      <c r="HF38" s="796">
        <v>28776.97</v>
      </c>
      <c r="HG38" s="783"/>
      <c r="HH38" s="791"/>
      <c r="HI38" s="792"/>
      <c r="HJ38" s="783">
        <v>1</v>
      </c>
      <c r="HK38" s="796">
        <v>28776.97</v>
      </c>
      <c r="HL38" s="783"/>
      <c r="HM38" s="791"/>
      <c r="HN38" s="792"/>
      <c r="HO38" s="783">
        <v>1</v>
      </c>
      <c r="HP38" s="796">
        <v>28776.97</v>
      </c>
      <c r="HQ38" s="783"/>
      <c r="HR38" s="791"/>
      <c r="HS38" s="792"/>
      <c r="HT38" s="783">
        <v>1</v>
      </c>
      <c r="HU38" s="796">
        <v>28776.97</v>
      </c>
      <c r="HV38" s="783"/>
      <c r="HW38" s="791"/>
      <c r="HX38" s="792"/>
      <c r="HY38" s="783">
        <v>1</v>
      </c>
      <c r="HZ38" s="796">
        <v>28776.97</v>
      </c>
      <c r="IA38" s="783"/>
      <c r="IB38" s="791"/>
      <c r="IC38" s="792"/>
      <c r="ID38" s="783">
        <v>1</v>
      </c>
      <c r="IE38" s="796">
        <v>28776.97</v>
      </c>
      <c r="IF38" s="783"/>
      <c r="IG38" s="791"/>
      <c r="IH38" s="792"/>
      <c r="II38" s="783">
        <v>1</v>
      </c>
      <c r="IJ38" s="796" t="s">
        <v>1164</v>
      </c>
      <c r="IK38" s="783"/>
      <c r="IL38" s="791"/>
      <c r="IM38" s="792"/>
      <c r="IN38" s="783">
        <v>1</v>
      </c>
      <c r="IO38" s="796">
        <f>17607.25+1534.43</f>
        <v>19141.68</v>
      </c>
      <c r="IP38" s="783"/>
      <c r="IQ38" s="791"/>
    </row>
    <row r="39" spans="1:251" s="789" customFormat="1" ht="15" customHeight="1">
      <c r="A39" s="799"/>
      <c r="B39" s="781"/>
      <c r="C39" s="781"/>
      <c r="D39" s="782" t="s">
        <v>32</v>
      </c>
      <c r="E39" s="785" t="s">
        <v>15</v>
      </c>
      <c r="F39" s="785"/>
      <c r="G39" s="792"/>
      <c r="H39" s="794">
        <v>1</v>
      </c>
      <c r="I39" s="794">
        <f>1.2*639.79</f>
        <v>767.74799999999993</v>
      </c>
      <c r="J39" s="791"/>
      <c r="K39" s="791"/>
      <c r="L39" s="792"/>
      <c r="M39" s="794">
        <v>1</v>
      </c>
      <c r="N39" s="794">
        <f>1.2*639.79</f>
        <v>767.74799999999993</v>
      </c>
      <c r="O39" s="791"/>
      <c r="P39" s="791"/>
      <c r="Q39" s="792"/>
      <c r="R39" s="794">
        <v>5880</v>
      </c>
      <c r="S39" s="794">
        <f>1.2*712.83</f>
        <v>855.39600000000007</v>
      </c>
      <c r="T39" s="791"/>
      <c r="U39" s="791"/>
      <c r="V39" s="792"/>
      <c r="W39" s="794">
        <v>1</v>
      </c>
      <c r="X39" s="794">
        <f>1.2*943.49</f>
        <v>1132.1879999999999</v>
      </c>
      <c r="Y39" s="791"/>
      <c r="Z39" s="791"/>
      <c r="AA39" s="792"/>
      <c r="AB39" s="794">
        <v>1</v>
      </c>
      <c r="AC39" s="794">
        <f>1.2*1096.02</f>
        <v>1315.2239999999999</v>
      </c>
      <c r="AD39" s="791"/>
      <c r="AE39" s="791"/>
      <c r="AF39" s="792"/>
      <c r="AG39" s="794">
        <v>1</v>
      </c>
      <c r="AH39" s="794">
        <f>1.2*1281.77</f>
        <v>1538.124</v>
      </c>
      <c r="AI39" s="791"/>
      <c r="AJ39" s="791"/>
      <c r="AK39" s="792"/>
      <c r="AL39" s="794">
        <v>1</v>
      </c>
      <c r="AM39" s="794">
        <f>1.2*1566.38</f>
        <v>1879.6559999999999</v>
      </c>
      <c r="AN39" s="791"/>
      <c r="AO39" s="791"/>
      <c r="AP39" s="792"/>
      <c r="AQ39" s="794">
        <v>1</v>
      </c>
      <c r="AR39" s="794">
        <f>1.2*1547.34</f>
        <v>1856.8079999999998</v>
      </c>
      <c r="AS39" s="791"/>
      <c r="AT39" s="791"/>
      <c r="AU39" s="792"/>
      <c r="AV39" s="794">
        <v>1</v>
      </c>
      <c r="AW39" s="794">
        <f>1.2*2205.75</f>
        <v>2646.9</v>
      </c>
      <c r="AX39" s="791"/>
      <c r="AY39" s="791"/>
      <c r="AZ39" s="792"/>
      <c r="BA39" s="794">
        <v>1</v>
      </c>
      <c r="BB39" s="794">
        <f>1.2*1978.19</f>
        <v>2373.828</v>
      </c>
      <c r="BC39" s="791"/>
      <c r="BD39" s="791"/>
      <c r="BE39" s="792"/>
      <c r="BF39" s="794">
        <v>1</v>
      </c>
      <c r="BG39" s="794">
        <f>1.2*1724.34</f>
        <v>2069.2079999999996</v>
      </c>
      <c r="BH39" s="791"/>
      <c r="BI39" s="791"/>
      <c r="BJ39" s="792"/>
      <c r="BK39" s="794">
        <v>1</v>
      </c>
      <c r="BL39" s="794">
        <f>1.2*1652.95</f>
        <v>1983.54</v>
      </c>
      <c r="BM39" s="791"/>
      <c r="BN39" s="791"/>
      <c r="BO39" s="792"/>
      <c r="BP39" s="794">
        <v>1</v>
      </c>
      <c r="BQ39" s="794">
        <f>1.2*1098.73</f>
        <v>1318.4759999999999</v>
      </c>
      <c r="BR39" s="791"/>
      <c r="BS39" s="791"/>
      <c r="BT39" s="792"/>
      <c r="BU39" s="794">
        <v>1</v>
      </c>
      <c r="BV39" s="794" t="s">
        <v>435</v>
      </c>
      <c r="BW39" s="791"/>
      <c r="BX39" s="791"/>
      <c r="BY39" s="792"/>
      <c r="BZ39" s="794">
        <v>1</v>
      </c>
      <c r="CA39" s="791">
        <f>1.2*1328.11</f>
        <v>1593.7319999999997</v>
      </c>
      <c r="CB39" s="791"/>
      <c r="CC39" s="791"/>
      <c r="CD39" s="792"/>
      <c r="CE39" s="794">
        <v>1</v>
      </c>
      <c r="CF39" s="794">
        <f>1.2*1108.73</f>
        <v>1330.4759999999999</v>
      </c>
      <c r="CG39" s="791"/>
      <c r="CH39" s="791"/>
      <c r="CI39" s="792"/>
      <c r="CJ39" s="794">
        <v>1</v>
      </c>
      <c r="CK39" s="794">
        <f>1.2*13157.84</f>
        <v>15789.407999999999</v>
      </c>
      <c r="CL39" s="791"/>
      <c r="CM39" s="791"/>
      <c r="CN39" s="792"/>
      <c r="CO39" s="794">
        <v>1</v>
      </c>
      <c r="CP39" s="794">
        <f>1.2*1415.86</f>
        <v>1699.0319999999999</v>
      </c>
      <c r="CQ39" s="791"/>
      <c r="CR39" s="791"/>
      <c r="CS39" s="792"/>
      <c r="CT39" s="794">
        <v>1</v>
      </c>
      <c r="CU39" s="794">
        <f>1.2*2222.48</f>
        <v>2666.9760000000001</v>
      </c>
      <c r="CV39" s="791"/>
      <c r="CW39" s="791"/>
      <c r="CX39" s="792"/>
      <c r="CY39" s="794">
        <v>1</v>
      </c>
      <c r="CZ39" s="794">
        <f>1.2*2565.79</f>
        <v>3078.9479999999999</v>
      </c>
      <c r="DA39" s="791"/>
      <c r="DB39" s="791"/>
      <c r="DC39" s="792"/>
      <c r="DD39" s="794">
        <v>1</v>
      </c>
      <c r="DE39" s="794">
        <f>1.2*3653.82</f>
        <v>4384.5839999999998</v>
      </c>
      <c r="DF39" s="791"/>
      <c r="DG39" s="791"/>
      <c r="DH39" s="792"/>
      <c r="DI39" s="794">
        <v>1</v>
      </c>
      <c r="DJ39" s="794">
        <f>1.2*3107.63</f>
        <v>3729.1559999999999</v>
      </c>
      <c r="DK39" s="791"/>
      <c r="DL39" s="791"/>
      <c r="DM39" s="792"/>
      <c r="DN39" s="794">
        <v>1</v>
      </c>
      <c r="DO39" s="794">
        <f>1.2*2595.25</f>
        <v>3114.2999999999997</v>
      </c>
      <c r="DP39" s="791"/>
      <c r="DQ39" s="791"/>
      <c r="DR39" s="792"/>
      <c r="DS39" s="794">
        <v>1</v>
      </c>
      <c r="DT39" s="794">
        <f>1.2*1772.69</f>
        <v>2127.2280000000001</v>
      </c>
      <c r="DU39" s="791"/>
      <c r="DV39" s="791"/>
      <c r="DW39" s="792"/>
      <c r="DX39" s="794">
        <v>1</v>
      </c>
      <c r="DY39" s="794">
        <f>1.2*1580.04</f>
        <v>1896.0479999999998</v>
      </c>
      <c r="DZ39" s="791"/>
      <c r="EA39" s="791"/>
      <c r="EB39" s="792"/>
      <c r="EC39" s="794">
        <v>1</v>
      </c>
      <c r="ED39" s="794">
        <f>1654.88*1.2</f>
        <v>1985.856</v>
      </c>
      <c r="EE39" s="791"/>
      <c r="EF39" s="791"/>
      <c r="EG39" s="792"/>
      <c r="EH39" s="794">
        <v>1</v>
      </c>
      <c r="EI39" s="791">
        <f>1.2*2211.96</f>
        <v>2654.3519999999999</v>
      </c>
      <c r="EJ39" s="791"/>
      <c r="EK39" s="791"/>
      <c r="EL39" s="792"/>
      <c r="EM39" s="794">
        <v>1</v>
      </c>
      <c r="EN39" s="794">
        <f>1.2*2452.06</f>
        <v>2942.4719999999998</v>
      </c>
      <c r="EO39" s="791"/>
      <c r="EP39" s="791"/>
      <c r="EQ39" s="792"/>
      <c r="ER39" s="794">
        <v>1</v>
      </c>
      <c r="ES39" s="794">
        <f>1.2*2640.81</f>
        <v>3168.9719999999998</v>
      </c>
      <c r="ET39" s="791"/>
      <c r="EU39" s="791"/>
      <c r="EV39" s="792"/>
      <c r="EW39" s="794">
        <v>1</v>
      </c>
      <c r="EX39" s="794">
        <f>1.2*2704.47</f>
        <v>3245.3639999999996</v>
      </c>
      <c r="EY39" s="791"/>
      <c r="EZ39" s="791"/>
      <c r="FA39" s="792"/>
      <c r="FB39" s="794">
        <v>1</v>
      </c>
      <c r="FC39" s="794">
        <f>1.2*3200.18</f>
        <v>3840.2159999999994</v>
      </c>
      <c r="FD39" s="791"/>
      <c r="FE39" s="791"/>
      <c r="FF39" s="792"/>
      <c r="FG39" s="794">
        <v>1</v>
      </c>
      <c r="FH39" s="794">
        <f>1.2*4419.93</f>
        <v>5303.9160000000002</v>
      </c>
      <c r="FI39" s="791"/>
      <c r="FJ39" s="791"/>
      <c r="FK39" s="792"/>
      <c r="FL39" s="794">
        <v>1</v>
      </c>
      <c r="FM39" s="794">
        <f>1.2*3427.77</f>
        <v>4113.3239999999996</v>
      </c>
      <c r="FN39" s="791"/>
      <c r="FO39" s="791"/>
      <c r="FP39" s="792"/>
      <c r="FQ39" s="794">
        <v>1</v>
      </c>
      <c r="FR39" s="794">
        <f>1.2*3911.64</f>
        <v>4693.9679999999998</v>
      </c>
      <c r="FS39" s="791"/>
      <c r="FT39" s="791"/>
      <c r="FU39" s="792"/>
      <c r="FV39" s="796">
        <v>1</v>
      </c>
      <c r="FW39" s="796">
        <f>1.2*2595.25</f>
        <v>3114.2999999999997</v>
      </c>
      <c r="FX39" s="783"/>
      <c r="FY39" s="791"/>
      <c r="FZ39" s="792"/>
      <c r="GA39" s="796">
        <v>1</v>
      </c>
      <c r="GB39" s="796">
        <f>1.2*1772.69</f>
        <v>2127.2280000000001</v>
      </c>
      <c r="GC39" s="783"/>
      <c r="GD39" s="791"/>
      <c r="GE39" s="792"/>
      <c r="GF39" s="796">
        <v>1</v>
      </c>
      <c r="GG39" s="796">
        <f>1.2*639.79</f>
        <v>767.74799999999993</v>
      </c>
      <c r="GH39" s="783"/>
      <c r="GI39" s="791"/>
      <c r="GJ39" s="1551"/>
      <c r="GK39" s="794">
        <v>1</v>
      </c>
      <c r="GL39" s="794">
        <f>1115.35*1.2</f>
        <v>1338.4199999999998</v>
      </c>
      <c r="GM39" s="791"/>
      <c r="GN39" s="791"/>
      <c r="GO39" s="792"/>
      <c r="GP39" s="794">
        <v>1</v>
      </c>
      <c r="GQ39" s="791">
        <f>1.2*1087.92</f>
        <v>1305.5040000000001</v>
      </c>
      <c r="GR39" s="791"/>
      <c r="GS39" s="791"/>
      <c r="GT39" s="792"/>
      <c r="GU39" s="794">
        <v>1</v>
      </c>
      <c r="GV39" s="794">
        <f>1.2*4429.08</f>
        <v>5314.8959999999997</v>
      </c>
      <c r="GW39" s="791"/>
      <c r="GX39" s="791"/>
      <c r="GY39" s="792"/>
      <c r="GZ39" s="796">
        <v>1</v>
      </c>
      <c r="HA39" s="796">
        <f>1.2*2640.81</f>
        <v>3168.9719999999998</v>
      </c>
      <c r="HB39" s="783"/>
      <c r="HC39" s="791"/>
      <c r="HD39" s="792"/>
      <c r="HE39" s="796">
        <v>1</v>
      </c>
      <c r="HF39" s="796">
        <f>1.2*2704.47</f>
        <v>3245.3639999999996</v>
      </c>
      <c r="HG39" s="783"/>
      <c r="HH39" s="791"/>
      <c r="HI39" s="792"/>
      <c r="HJ39" s="796">
        <v>1</v>
      </c>
      <c r="HK39" s="796">
        <f>1.2*3200.18</f>
        <v>3840.2159999999994</v>
      </c>
      <c r="HL39" s="783"/>
      <c r="HM39" s="791"/>
      <c r="HN39" s="792"/>
      <c r="HO39" s="796">
        <v>1</v>
      </c>
      <c r="HP39" s="796">
        <f>1.2*4419.93</f>
        <v>5303.9160000000002</v>
      </c>
      <c r="HQ39" s="783"/>
      <c r="HR39" s="791"/>
      <c r="HS39" s="792"/>
      <c r="HT39" s="796">
        <v>1</v>
      </c>
      <c r="HU39" s="796">
        <f>1.2*3427.77</f>
        <v>4113.3239999999996</v>
      </c>
      <c r="HV39" s="783"/>
      <c r="HW39" s="791"/>
      <c r="HX39" s="792"/>
      <c r="HY39" s="796">
        <v>1</v>
      </c>
      <c r="HZ39" s="796">
        <f>1.2*3911.64</f>
        <v>4693.9679999999998</v>
      </c>
      <c r="IA39" s="783"/>
      <c r="IB39" s="791"/>
      <c r="IC39" s="792"/>
      <c r="ID39" s="796">
        <v>1</v>
      </c>
      <c r="IE39" s="796">
        <f>1.2*2595.25</f>
        <v>3114.2999999999997</v>
      </c>
      <c r="IF39" s="783"/>
      <c r="IG39" s="791"/>
      <c r="IH39" s="792"/>
      <c r="II39" s="796">
        <v>1</v>
      </c>
      <c r="IJ39" s="796">
        <f>1.2*1772.69</f>
        <v>2127.2280000000001</v>
      </c>
      <c r="IK39" s="783"/>
      <c r="IL39" s="791"/>
      <c r="IM39" s="792"/>
      <c r="IN39" s="796">
        <v>1</v>
      </c>
      <c r="IO39" s="796">
        <f>1.2*639.79</f>
        <v>767.74799999999993</v>
      </c>
      <c r="IP39" s="783"/>
      <c r="IQ39" s="791"/>
    </row>
    <row r="40" spans="1:251" s="789" customFormat="1" ht="15" customHeight="1">
      <c r="A40" s="799">
        <v>1</v>
      </c>
      <c r="B40" s="781" t="s">
        <v>443</v>
      </c>
      <c r="C40" s="781"/>
      <c r="D40" s="782" t="s">
        <v>32</v>
      </c>
      <c r="E40" s="785" t="s">
        <v>13</v>
      </c>
      <c r="F40" s="785"/>
      <c r="G40" s="790">
        <f>I40/H40</f>
        <v>5.0962316633266527</v>
      </c>
      <c r="H40" s="797">
        <v>14970</v>
      </c>
      <c r="I40" s="797">
        <f>63575.49*1.2</f>
        <v>76290.587999999989</v>
      </c>
      <c r="J40" s="791"/>
      <c r="K40" s="791"/>
      <c r="L40" s="790">
        <f>N40/M40</f>
        <v>5.8753130493576746</v>
      </c>
      <c r="M40" s="797">
        <v>14790</v>
      </c>
      <c r="N40" s="797">
        <v>86895.88</v>
      </c>
      <c r="O40" s="791"/>
      <c r="P40" s="791"/>
      <c r="Q40" s="790">
        <f>S40/R40</f>
        <v>5.5478990755845565</v>
      </c>
      <c r="R40" s="797">
        <v>18390</v>
      </c>
      <c r="S40" s="797">
        <f>9352.84+77227.52*1.2</f>
        <v>102025.864</v>
      </c>
      <c r="T40" s="791"/>
      <c r="U40" s="791"/>
      <c r="V40" s="790">
        <f>X40/W40</f>
        <v>5.0893920000000001</v>
      </c>
      <c r="W40" s="797">
        <v>18000</v>
      </c>
      <c r="X40" s="797">
        <f>1.2*76340.88</f>
        <v>91609.055999999997</v>
      </c>
      <c r="Y40" s="791"/>
      <c r="Z40" s="791"/>
      <c r="AA40" s="790">
        <f>AC40/AB40</f>
        <v>4.7757601164483257</v>
      </c>
      <c r="AB40" s="797">
        <v>20610</v>
      </c>
      <c r="AC40" s="797">
        <f>82023.68*1.2</f>
        <v>98428.415999999983</v>
      </c>
      <c r="AD40" s="791"/>
      <c r="AE40" s="791"/>
      <c r="AF40" s="790">
        <f>AH40/AG40</f>
        <v>4.7047077658303458</v>
      </c>
      <c r="AG40" s="797">
        <v>25110</v>
      </c>
      <c r="AH40" s="797">
        <f>98446.01*1.2</f>
        <v>118135.21199999998</v>
      </c>
      <c r="AI40" s="791"/>
      <c r="AJ40" s="791"/>
      <c r="AK40" s="790">
        <f>AM40/AL40</f>
        <v>4.9554959641255607</v>
      </c>
      <c r="AL40" s="797">
        <v>33450</v>
      </c>
      <c r="AM40" s="797">
        <f>1.2*138134.45</f>
        <v>165761.34</v>
      </c>
      <c r="AN40" s="791"/>
      <c r="AO40" s="791"/>
      <c r="AP40" s="790">
        <f>AR40/AQ40</f>
        <v>5.8670039810426546</v>
      </c>
      <c r="AQ40" s="797">
        <v>31650</v>
      </c>
      <c r="AR40" s="797">
        <f>154742.23*1.2</f>
        <v>185690.67600000001</v>
      </c>
      <c r="AS40" s="791"/>
      <c r="AT40" s="791"/>
      <c r="AU40" s="790">
        <f>AW40/AV40</f>
        <v>6.5161799245283012</v>
      </c>
      <c r="AV40" s="797">
        <v>39750</v>
      </c>
      <c r="AW40" s="797">
        <f>1.2*215848.46</f>
        <v>259018.15199999997</v>
      </c>
      <c r="AX40" s="791"/>
      <c r="AY40" s="791"/>
      <c r="AZ40" s="790">
        <f>BB40/BA40</f>
        <v>6.3494520939734418</v>
      </c>
      <c r="BA40" s="797">
        <v>29370</v>
      </c>
      <c r="BB40" s="797">
        <f>1.2*155402.84</f>
        <v>186483.408</v>
      </c>
      <c r="BC40" s="791"/>
      <c r="BD40" s="791"/>
      <c r="BE40" s="790">
        <f>BG40/BF40</f>
        <v>6.6</v>
      </c>
      <c r="BF40" s="797">
        <v>25830</v>
      </c>
      <c r="BG40" s="797">
        <f>1.2*142065</f>
        <v>170478</v>
      </c>
      <c r="BH40" s="791"/>
      <c r="BI40" s="791"/>
      <c r="BJ40" s="790">
        <f>BL40/BK40</f>
        <v>6.8055598130841126</v>
      </c>
      <c r="BK40" s="797">
        <v>25680</v>
      </c>
      <c r="BL40" s="797">
        <f>1.2*145638.98</f>
        <v>174766.77600000001</v>
      </c>
      <c r="BM40" s="791"/>
      <c r="BN40" s="791"/>
      <c r="BO40" s="790">
        <f>BQ40/BP40</f>
        <v>6.7185121495327103</v>
      </c>
      <c r="BP40" s="797">
        <v>25680</v>
      </c>
      <c r="BQ40" s="797">
        <f>1.2*143776.16</f>
        <v>172531.39199999999</v>
      </c>
      <c r="BR40" s="791"/>
      <c r="BS40" s="791"/>
      <c r="BT40" s="790">
        <f>BV40/BU40</f>
        <v>5.9659798802395212</v>
      </c>
      <c r="BU40" s="797">
        <v>25050</v>
      </c>
      <c r="BV40" s="797">
        <f>124539.83*1.2</f>
        <v>149447.796</v>
      </c>
      <c r="BW40" s="791"/>
      <c r="BX40" s="791"/>
      <c r="BY40" s="790">
        <f>CA40/BZ40</f>
        <v>5.8090439276485792</v>
      </c>
      <c r="BZ40" s="797">
        <v>23220</v>
      </c>
      <c r="CA40" s="797">
        <f>112405*1.2</f>
        <v>134886</v>
      </c>
      <c r="CB40" s="791"/>
      <c r="CC40" s="791"/>
      <c r="CD40" s="790">
        <f>CF40/CE40</f>
        <v>5.2421278688524593</v>
      </c>
      <c r="CE40" s="797">
        <v>21960</v>
      </c>
      <c r="CF40" s="797">
        <f>95930.94*1.2</f>
        <v>115117.128</v>
      </c>
      <c r="CG40" s="791"/>
      <c r="CH40" s="791"/>
      <c r="CI40" s="790">
        <f>CK40/CJ40</f>
        <v>5.6354279792746116</v>
      </c>
      <c r="CJ40" s="797">
        <v>28950</v>
      </c>
      <c r="CK40" s="797">
        <f>135954.7*1.2</f>
        <v>163145.64000000001</v>
      </c>
      <c r="CL40" s="791"/>
      <c r="CM40" s="791"/>
      <c r="CN40" s="790">
        <f>CP40/CO40</f>
        <v>6.5556118110236223</v>
      </c>
      <c r="CO40" s="797">
        <v>30480</v>
      </c>
      <c r="CP40" s="797">
        <f>166512.54*1.2</f>
        <v>199815.04800000001</v>
      </c>
      <c r="CQ40" s="791"/>
      <c r="CR40" s="791"/>
      <c r="CS40" s="790">
        <f>CU40/CT40</f>
        <v>7.606968090671316</v>
      </c>
      <c r="CT40" s="797">
        <v>34410</v>
      </c>
      <c r="CU40" s="797">
        <f>218129.81*1.2</f>
        <v>261755.772</v>
      </c>
      <c r="CV40" s="791"/>
      <c r="CW40" s="791"/>
      <c r="CX40" s="790">
        <f>CZ40/CY40</f>
        <v>8.5600680769230753</v>
      </c>
      <c r="CY40" s="797">
        <v>31200</v>
      </c>
      <c r="CZ40" s="797">
        <f>1.2*222561.77</f>
        <v>267074.12399999995</v>
      </c>
      <c r="DA40" s="791"/>
      <c r="DB40" s="791"/>
      <c r="DC40" s="790">
        <f>DE40/DD40</f>
        <v>8.1998398713826361</v>
      </c>
      <c r="DD40" s="797">
        <v>37320</v>
      </c>
      <c r="DE40" s="797">
        <f>255015.02*1.2</f>
        <v>306018.02399999998</v>
      </c>
      <c r="DF40" s="791"/>
      <c r="DG40" s="791"/>
      <c r="DH40" s="790">
        <f>DJ40/DI40</f>
        <v>8.5326478821362794</v>
      </c>
      <c r="DI40" s="797">
        <v>32580</v>
      </c>
      <c r="DJ40" s="797">
        <f>1.2*231661.39</f>
        <v>277993.66800000001</v>
      </c>
      <c r="DK40" s="791"/>
      <c r="DL40" s="791"/>
      <c r="DM40" s="790">
        <f>DO40/DN40</f>
        <v>8.4039480577136505</v>
      </c>
      <c r="DN40" s="797">
        <v>27030</v>
      </c>
      <c r="DO40" s="797">
        <f>1.2*189298.93</f>
        <v>227158.71599999999</v>
      </c>
      <c r="DP40" s="791"/>
      <c r="DQ40" s="791"/>
      <c r="DR40" s="790">
        <f>DT40/DS40</f>
        <v>8.7429481081081075</v>
      </c>
      <c r="DS40" s="797">
        <v>22200</v>
      </c>
      <c r="DT40" s="797">
        <f>1.2*161744.54</f>
        <v>194093.448</v>
      </c>
      <c r="DU40" s="791"/>
      <c r="DV40" s="791"/>
      <c r="DW40" s="790">
        <f>DY40/DX40</f>
        <v>9.0970558823529419</v>
      </c>
      <c r="DX40" s="797">
        <v>20400</v>
      </c>
      <c r="DY40" s="797">
        <f>1.2*154649.95</f>
        <v>185579.94</v>
      </c>
      <c r="DZ40" s="791"/>
      <c r="EA40" s="791"/>
      <c r="EB40" s="790">
        <f>ED40/EC40</f>
        <v>8.8974598465473136</v>
      </c>
      <c r="EC40" s="797">
        <v>23460</v>
      </c>
      <c r="ED40" s="797">
        <f>173945.34*1.2</f>
        <v>208734.408</v>
      </c>
      <c r="EE40" s="791"/>
      <c r="EF40" s="791"/>
      <c r="EG40" s="790">
        <f>EI40/EH40</f>
        <v>9.1942200762388815</v>
      </c>
      <c r="EH40" s="797">
        <v>23610</v>
      </c>
      <c r="EI40" s="797">
        <f>180896.28*1.2</f>
        <v>217075.53599999999</v>
      </c>
      <c r="EJ40" s="791"/>
      <c r="EK40" s="791"/>
      <c r="EL40" s="790">
        <f>EN40/EM40</f>
        <v>8.4827041059602646</v>
      </c>
      <c r="EM40" s="797">
        <v>22650</v>
      </c>
      <c r="EN40" s="797">
        <f>160111.04*1.2</f>
        <v>192133.24799999999</v>
      </c>
      <c r="EO40" s="791"/>
      <c r="EP40" s="791"/>
      <c r="EQ40" s="790">
        <f>ES40/ER40</f>
        <v>7.3006078160919543</v>
      </c>
      <c r="ER40" s="797">
        <v>26100</v>
      </c>
      <c r="ES40" s="797">
        <f>158788.22*1.2</f>
        <v>190545.864</v>
      </c>
      <c r="ET40" s="791"/>
      <c r="EU40" s="791"/>
      <c r="EV40" s="790">
        <f>EX40/EW40</f>
        <v>7.4816161323681492</v>
      </c>
      <c r="EW40" s="797">
        <v>29010</v>
      </c>
      <c r="EX40" s="797">
        <f>180868.07*1.2</f>
        <v>217041.68400000001</v>
      </c>
      <c r="EY40" s="791"/>
      <c r="EZ40" s="791"/>
      <c r="FA40" s="790">
        <f>FC40/FB40</f>
        <v>7.4874360594795535</v>
      </c>
      <c r="FB40" s="797">
        <v>32280</v>
      </c>
      <c r="FC40" s="797">
        <f>1.2*201412.03</f>
        <v>241694.43599999999</v>
      </c>
      <c r="FD40" s="791"/>
      <c r="FE40" s="791"/>
      <c r="FF40" s="790">
        <f>FH40/FG40</f>
        <v>8.2590239382239385</v>
      </c>
      <c r="FG40" s="797">
        <v>46620</v>
      </c>
      <c r="FH40" s="797">
        <f>1.2*320863.08</f>
        <v>385035.696</v>
      </c>
      <c r="FI40" s="791"/>
      <c r="FJ40" s="791"/>
      <c r="FK40" s="790">
        <f>FM40/FL40</f>
        <v>8.8369918552036193</v>
      </c>
      <c r="FL40" s="797">
        <v>33150</v>
      </c>
      <c r="FM40" s="797">
        <f>244121.9*1.2</f>
        <v>292946.27999999997</v>
      </c>
      <c r="FN40" s="1534">
        <v>7.0000000000000007E-2</v>
      </c>
      <c r="FO40" s="791"/>
      <c r="FP40" s="790">
        <f>FR40/FQ40</f>
        <v>7.2522120645709425</v>
      </c>
      <c r="FQ40" s="797">
        <v>35310</v>
      </c>
      <c r="FR40" s="797">
        <f>1.2*213396.34</f>
        <v>256075.60799999998</v>
      </c>
      <c r="FS40" s="791"/>
      <c r="FT40" s="791"/>
      <c r="FU40" s="790">
        <f>FW40/FV40</f>
        <v>8.4039480577136505</v>
      </c>
      <c r="FV40" s="798">
        <v>27030</v>
      </c>
      <c r="FW40" s="798">
        <f>1.2*189298.93</f>
        <v>227158.71599999999</v>
      </c>
      <c r="FX40" s="783"/>
      <c r="FY40" s="791"/>
      <c r="FZ40" s="790">
        <f>GB40/GA40</f>
        <v>8.7429481081081075</v>
      </c>
      <c r="GA40" s="798">
        <v>22200</v>
      </c>
      <c r="GB40" s="798">
        <f>1.2*161744.54</f>
        <v>194093.448</v>
      </c>
      <c r="GC40" s="783"/>
      <c r="GD40" s="791"/>
      <c r="GE40" s="790">
        <f>GG40/GF40</f>
        <v>5.0962316633266527</v>
      </c>
      <c r="GF40" s="798">
        <v>14970</v>
      </c>
      <c r="GG40" s="798">
        <f>63575.49*1.2</f>
        <v>76290.587999999989</v>
      </c>
      <c r="GH40" s="783"/>
      <c r="GI40" s="791"/>
      <c r="GJ40" s="1552">
        <f>GL40/GK40</f>
        <v>13.95726</v>
      </c>
      <c r="GK40" s="797">
        <v>10200</v>
      </c>
      <c r="GL40" s="797">
        <f>1.2*118636.71</f>
        <v>142364.052</v>
      </c>
      <c r="GM40" s="791"/>
      <c r="GN40" s="791"/>
      <c r="GO40" s="790">
        <f>GQ40/GP40</f>
        <v>18.790319770773639</v>
      </c>
      <c r="GP40" s="797">
        <v>10470</v>
      </c>
      <c r="GQ40" s="797">
        <f>163945.54*1.2</f>
        <v>196734.64800000002</v>
      </c>
      <c r="GR40" s="791"/>
      <c r="GS40" s="791"/>
      <c r="GT40" s="790">
        <f>GV40/GU40</f>
        <v>13.240067872044504</v>
      </c>
      <c r="GU40" s="797">
        <v>21570</v>
      </c>
      <c r="GV40" s="797">
        <f>1.2*237990.22</f>
        <v>285588.26399999997</v>
      </c>
      <c r="GW40" s="791"/>
      <c r="GX40" s="791"/>
      <c r="GY40" s="790">
        <f>HA40/GZ40</f>
        <v>7.3006078160919543</v>
      </c>
      <c r="GZ40" s="798">
        <v>26100</v>
      </c>
      <c r="HA40" s="798">
        <f>158788.22*1.2</f>
        <v>190545.864</v>
      </c>
      <c r="HB40" s="783"/>
      <c r="HC40" s="791"/>
      <c r="HD40" s="790">
        <f>HF40/HE40</f>
        <v>7.4816161323681492</v>
      </c>
      <c r="HE40" s="798">
        <v>29010</v>
      </c>
      <c r="HF40" s="798">
        <f>180868.07*1.2</f>
        <v>217041.68400000001</v>
      </c>
      <c r="HG40" s="783"/>
      <c r="HH40" s="791"/>
      <c r="HI40" s="790">
        <f>HK40/HJ40</f>
        <v>7.4874360594795535</v>
      </c>
      <c r="HJ40" s="798">
        <v>32280</v>
      </c>
      <c r="HK40" s="798">
        <f>1.2*201412.03</f>
        <v>241694.43599999999</v>
      </c>
      <c r="HL40" s="783"/>
      <c r="HM40" s="791"/>
      <c r="HN40" s="790">
        <f>HP40/HO40</f>
        <v>8.2590239382239385</v>
      </c>
      <c r="HO40" s="798">
        <v>46620</v>
      </c>
      <c r="HP40" s="798">
        <f>1.2*320863.08</f>
        <v>385035.696</v>
      </c>
      <c r="HQ40" s="783"/>
      <c r="HR40" s="791"/>
      <c r="HS40" s="790">
        <f>HU40/HT40</f>
        <v>8.8369918552036193</v>
      </c>
      <c r="HT40" s="798">
        <v>33150</v>
      </c>
      <c r="HU40" s="798">
        <f>244121.9*1.2</f>
        <v>292946.27999999997</v>
      </c>
      <c r="HV40" s="1575">
        <v>7.0000000000000007E-2</v>
      </c>
      <c r="HW40" s="791"/>
      <c r="HX40" s="790">
        <f>HZ40/HY40</f>
        <v>7.2522120645709425</v>
      </c>
      <c r="HY40" s="798">
        <v>35310</v>
      </c>
      <c r="HZ40" s="798">
        <f>1.2*213396.34</f>
        <v>256075.60799999998</v>
      </c>
      <c r="IA40" s="783"/>
      <c r="IB40" s="791"/>
      <c r="IC40" s="790">
        <f>IE40/ID40</f>
        <v>8.4039480577136505</v>
      </c>
      <c r="ID40" s="798">
        <v>27030</v>
      </c>
      <c r="IE40" s="798">
        <f>1.2*189298.93</f>
        <v>227158.71599999999</v>
      </c>
      <c r="IF40" s="783"/>
      <c r="IG40" s="791"/>
      <c r="IH40" s="790">
        <f>IJ40/II40</f>
        <v>8.7429481081081075</v>
      </c>
      <c r="II40" s="798">
        <v>22200</v>
      </c>
      <c r="IJ40" s="798">
        <f>1.2*161744.54</f>
        <v>194093.448</v>
      </c>
      <c r="IK40" s="783"/>
      <c r="IL40" s="791"/>
      <c r="IM40" s="790">
        <f>IO40/IN40</f>
        <v>5.0962316633266527</v>
      </c>
      <c r="IN40" s="798">
        <v>14970</v>
      </c>
      <c r="IO40" s="798">
        <f>63575.49*1.2</f>
        <v>76290.587999999989</v>
      </c>
      <c r="IP40" s="783"/>
      <c r="IQ40" s="791"/>
    </row>
    <row r="41" spans="1:251" s="789" customFormat="1" ht="15" customHeight="1">
      <c r="A41" s="799"/>
      <c r="B41" s="781"/>
      <c r="C41" s="781"/>
      <c r="D41" s="782" t="s">
        <v>32</v>
      </c>
      <c r="E41" s="785" t="s">
        <v>33</v>
      </c>
      <c r="F41" s="785"/>
      <c r="G41" s="792"/>
      <c r="H41" s="791">
        <v>0.41</v>
      </c>
      <c r="I41" s="791"/>
      <c r="J41" s="791"/>
      <c r="K41" s="791"/>
      <c r="L41" s="792"/>
      <c r="M41" s="791" t="s">
        <v>191</v>
      </c>
      <c r="N41" s="791" t="s">
        <v>190</v>
      </c>
      <c r="O41" s="791"/>
      <c r="P41" s="791"/>
      <c r="Q41" s="792"/>
      <c r="R41" s="791">
        <v>0.89</v>
      </c>
      <c r="S41" s="791">
        <v>2540.1799999999998</v>
      </c>
      <c r="T41" s="791"/>
      <c r="U41" s="791"/>
      <c r="V41" s="792"/>
      <c r="W41" s="791">
        <v>0.78</v>
      </c>
      <c r="X41" s="791">
        <v>2226.25</v>
      </c>
      <c r="Y41" s="791"/>
      <c r="Z41" s="791"/>
      <c r="AA41" s="792"/>
      <c r="AB41" s="791">
        <v>0</v>
      </c>
      <c r="AC41" s="791">
        <v>1484.16</v>
      </c>
      <c r="AD41" s="791"/>
      <c r="AE41" s="791"/>
      <c r="AF41" s="792"/>
      <c r="AG41" s="791">
        <v>0</v>
      </c>
      <c r="AH41" s="791"/>
      <c r="AI41" s="791"/>
      <c r="AJ41" s="791"/>
      <c r="AK41" s="792"/>
      <c r="AL41" s="791">
        <v>0</v>
      </c>
      <c r="AM41" s="791"/>
      <c r="AN41" s="791"/>
      <c r="AO41" s="791"/>
      <c r="AP41" s="792"/>
      <c r="AQ41" s="791">
        <v>0</v>
      </c>
      <c r="AR41" s="791"/>
      <c r="AS41" s="791"/>
      <c r="AT41" s="791"/>
      <c r="AU41" s="792"/>
      <c r="AV41" s="791">
        <v>0</v>
      </c>
      <c r="AW41" s="791"/>
      <c r="AX41" s="791"/>
      <c r="AY41" s="791"/>
      <c r="AZ41" s="792"/>
      <c r="BA41" s="791">
        <v>0</v>
      </c>
      <c r="BB41" s="791"/>
      <c r="BC41" s="791"/>
      <c r="BD41" s="791"/>
      <c r="BE41" s="792"/>
      <c r="BF41" s="783">
        <v>0.41</v>
      </c>
      <c r="BG41" s="783"/>
      <c r="BH41" s="783"/>
      <c r="BI41" s="791"/>
      <c r="BJ41" s="792"/>
      <c r="BK41" s="791"/>
      <c r="BL41" s="795">
        <v>3154.34</v>
      </c>
      <c r="BM41" s="791"/>
      <c r="BN41" s="791"/>
      <c r="BO41" s="792"/>
      <c r="BP41" s="791">
        <v>0.94</v>
      </c>
      <c r="BQ41" s="791">
        <v>4706.47</v>
      </c>
      <c r="BR41" s="791"/>
      <c r="BS41" s="791"/>
      <c r="BT41" s="792"/>
      <c r="BU41" s="791">
        <v>0.41</v>
      </c>
      <c r="BV41" s="791" t="s">
        <v>446</v>
      </c>
      <c r="BW41" s="791"/>
      <c r="BX41" s="791"/>
      <c r="BY41" s="792"/>
      <c r="BZ41" s="791">
        <v>0.89</v>
      </c>
      <c r="CA41" s="791">
        <v>4456.13</v>
      </c>
      <c r="CB41" s="791"/>
      <c r="CC41" s="791"/>
      <c r="CD41" s="792"/>
      <c r="CE41" s="791">
        <v>0.94</v>
      </c>
      <c r="CF41" s="791" t="s">
        <v>476</v>
      </c>
      <c r="CG41" s="791"/>
      <c r="CH41" s="791"/>
      <c r="CI41" s="792"/>
      <c r="CJ41" s="783">
        <v>0.41</v>
      </c>
      <c r="CK41" s="783"/>
      <c r="CL41" s="783"/>
      <c r="CM41" s="791"/>
      <c r="CN41" s="792"/>
      <c r="CO41" s="783">
        <v>0.41</v>
      </c>
      <c r="CP41" s="783"/>
      <c r="CQ41" s="783"/>
      <c r="CR41" s="791"/>
      <c r="CS41" s="792"/>
      <c r="CT41" s="783">
        <v>0.41</v>
      </c>
      <c r="CU41" s="783"/>
      <c r="CV41" s="783"/>
      <c r="CW41" s="791"/>
      <c r="CX41" s="792"/>
      <c r="CY41" s="783">
        <v>0.41</v>
      </c>
      <c r="CZ41" s="783"/>
      <c r="DA41" s="783"/>
      <c r="DB41" s="783"/>
      <c r="DC41" s="792"/>
      <c r="DD41" s="783">
        <v>0.41</v>
      </c>
      <c r="DE41" s="783"/>
      <c r="DF41" s="783"/>
      <c r="DG41" s="791"/>
      <c r="DH41" s="792"/>
      <c r="DI41" s="783">
        <v>0.41</v>
      </c>
      <c r="DJ41" s="783"/>
      <c r="DK41" s="791"/>
      <c r="DL41" s="791"/>
      <c r="DM41" s="792"/>
      <c r="DN41" s="783">
        <v>0.41</v>
      </c>
      <c r="DO41" s="783"/>
      <c r="DP41" s="783"/>
      <c r="DQ41" s="791"/>
      <c r="DR41" s="792"/>
      <c r="DS41" s="791">
        <v>0.63</v>
      </c>
      <c r="DT41" s="791">
        <f>2012.23*1.2</f>
        <v>2414.6759999999999</v>
      </c>
      <c r="DU41" s="791"/>
      <c r="DV41" s="791"/>
      <c r="DW41" s="792"/>
      <c r="DX41" s="791">
        <v>0.41</v>
      </c>
      <c r="DY41" s="791"/>
      <c r="DZ41" s="791"/>
      <c r="EA41" s="791"/>
      <c r="EB41" s="792"/>
      <c r="EC41" s="791">
        <v>0.41</v>
      </c>
      <c r="ED41" s="791">
        <v>5415.25</v>
      </c>
      <c r="EE41" s="791"/>
      <c r="EF41" s="791"/>
      <c r="EG41" s="792"/>
      <c r="EH41" s="791">
        <v>0.89</v>
      </c>
      <c r="EI41" s="791">
        <v>5919.89</v>
      </c>
      <c r="EJ41" s="791"/>
      <c r="EK41" s="791"/>
      <c r="EL41" s="792"/>
      <c r="EM41" s="791">
        <v>0.94</v>
      </c>
      <c r="EN41" s="791">
        <v>4957.6400000000003</v>
      </c>
      <c r="EO41" s="791"/>
      <c r="EP41" s="791"/>
      <c r="EQ41" s="792"/>
      <c r="ER41" s="783">
        <v>0.41</v>
      </c>
      <c r="ES41" s="783"/>
      <c r="ET41" s="783"/>
      <c r="EU41" s="791"/>
      <c r="EV41" s="792"/>
      <c r="EW41" s="783">
        <v>0.41</v>
      </c>
      <c r="EX41" s="783"/>
      <c r="EY41" s="783"/>
      <c r="EZ41" s="791"/>
      <c r="FA41" s="792"/>
      <c r="FB41" s="783">
        <v>0.41</v>
      </c>
      <c r="FC41" s="783"/>
      <c r="FD41" s="783"/>
      <c r="FE41" s="791"/>
      <c r="FF41" s="792"/>
      <c r="FG41" s="783">
        <v>0.41</v>
      </c>
      <c r="FH41" s="783"/>
      <c r="FI41" s="783"/>
      <c r="FJ41" s="783"/>
      <c r="FK41" s="792"/>
      <c r="FL41" s="783">
        <v>0.41</v>
      </c>
      <c r="FM41" s="783"/>
      <c r="FN41" s="783"/>
      <c r="FO41" s="791"/>
      <c r="FP41" s="792"/>
      <c r="FQ41" s="783">
        <v>0.41</v>
      </c>
      <c r="FR41" s="783"/>
      <c r="FS41" s="783"/>
      <c r="FT41" s="791"/>
      <c r="FU41" s="792"/>
      <c r="FV41" s="783">
        <v>0.41</v>
      </c>
      <c r="FW41" s="783"/>
      <c r="FX41" s="783"/>
      <c r="FY41" s="791"/>
      <c r="FZ41" s="792"/>
      <c r="GA41" s="783">
        <v>0.63</v>
      </c>
      <c r="GB41" s="783">
        <f>2012.23*1.2</f>
        <v>2414.6759999999999</v>
      </c>
      <c r="GC41" s="783"/>
      <c r="GD41" s="791"/>
      <c r="GE41" s="792"/>
      <c r="GF41" s="783">
        <v>0.41</v>
      </c>
      <c r="GG41" s="783"/>
      <c r="GH41" s="783"/>
      <c r="GI41" s="791"/>
      <c r="GJ41" s="1551"/>
      <c r="GK41" s="783">
        <v>0.41</v>
      </c>
      <c r="GL41" s="783">
        <v>5415.25</v>
      </c>
      <c r="GM41" s="783"/>
      <c r="GN41" s="791"/>
      <c r="GO41" s="792"/>
      <c r="GP41" s="783">
        <v>0.89</v>
      </c>
      <c r="GQ41" s="783">
        <v>5919.89</v>
      </c>
      <c r="GR41" s="783"/>
      <c r="GS41" s="791"/>
      <c r="GT41" s="792"/>
      <c r="GU41" s="783"/>
      <c r="GV41" s="783"/>
      <c r="GW41" s="783"/>
      <c r="GX41" s="791"/>
      <c r="GY41" s="792"/>
      <c r="GZ41" s="783">
        <v>0.41</v>
      </c>
      <c r="HA41" s="783"/>
      <c r="HB41" s="783"/>
      <c r="HC41" s="791"/>
      <c r="HD41" s="792"/>
      <c r="HE41" s="783">
        <v>0.41</v>
      </c>
      <c r="HF41" s="783"/>
      <c r="HG41" s="783"/>
      <c r="HH41" s="791"/>
      <c r="HI41" s="792"/>
      <c r="HJ41" s="783">
        <v>0.41</v>
      </c>
      <c r="HK41" s="783"/>
      <c r="HL41" s="783"/>
      <c r="HM41" s="791"/>
      <c r="HN41" s="792"/>
      <c r="HO41" s="783">
        <v>0.41</v>
      </c>
      <c r="HP41" s="783"/>
      <c r="HQ41" s="783"/>
      <c r="HR41" s="791"/>
      <c r="HS41" s="792"/>
      <c r="HT41" s="783">
        <v>0.41</v>
      </c>
      <c r="HU41" s="783"/>
      <c r="HV41" s="783"/>
      <c r="HW41" s="791"/>
      <c r="HX41" s="792"/>
      <c r="HY41" s="783">
        <v>0.41</v>
      </c>
      <c r="HZ41" s="783"/>
      <c r="IA41" s="783"/>
      <c r="IB41" s="791"/>
      <c r="IC41" s="792"/>
      <c r="ID41" s="783">
        <v>0.41</v>
      </c>
      <c r="IE41" s="783"/>
      <c r="IF41" s="783"/>
      <c r="IG41" s="791"/>
      <c r="IH41" s="792"/>
      <c r="II41" s="783">
        <v>0.63</v>
      </c>
      <c r="IJ41" s="783">
        <f>2012.23*1.2</f>
        <v>2414.6759999999999</v>
      </c>
      <c r="IK41" s="783"/>
      <c r="IL41" s="791"/>
      <c r="IM41" s="792"/>
      <c r="IN41" s="783">
        <v>0.41</v>
      </c>
      <c r="IO41" s="783"/>
      <c r="IP41" s="783"/>
      <c r="IQ41" s="791"/>
    </row>
    <row r="42" spans="1:251" s="789" customFormat="1" ht="15" customHeight="1">
      <c r="A42" s="799"/>
      <c r="B42" s="781"/>
      <c r="C42" s="781"/>
      <c r="D42" s="782" t="s">
        <v>32</v>
      </c>
      <c r="E42" s="785" t="s">
        <v>17</v>
      </c>
      <c r="F42" s="785"/>
      <c r="G42" s="790"/>
      <c r="H42" s="794">
        <v>22</v>
      </c>
      <c r="I42" s="794">
        <f>1.2*(309.81+272.55)</f>
        <v>698.83199999999999</v>
      </c>
      <c r="J42" s="791"/>
      <c r="K42" s="791"/>
      <c r="L42" s="790"/>
      <c r="M42" s="794">
        <v>23</v>
      </c>
      <c r="N42" s="794" t="s">
        <v>189</v>
      </c>
      <c r="O42" s="791"/>
      <c r="P42" s="791"/>
      <c r="Q42" s="790"/>
      <c r="R42" s="794">
        <v>25</v>
      </c>
      <c r="S42" s="794" t="s">
        <v>204</v>
      </c>
      <c r="T42" s="791"/>
      <c r="U42" s="791"/>
      <c r="V42" s="790">
        <f>X42/W42</f>
        <v>33.422333333333334</v>
      </c>
      <c r="W42" s="794">
        <v>30</v>
      </c>
      <c r="X42" s="794">
        <v>1002.67</v>
      </c>
      <c r="Y42" s="791"/>
      <c r="Z42" s="791"/>
      <c r="AA42" s="790">
        <f>AC42/AB42</f>
        <v>33.422333333333334</v>
      </c>
      <c r="AB42" s="794">
        <v>30</v>
      </c>
      <c r="AC42" s="794">
        <v>1002.67</v>
      </c>
      <c r="AD42" s="791"/>
      <c r="AE42" s="791"/>
      <c r="AF42" s="790"/>
      <c r="AG42" s="794">
        <v>31</v>
      </c>
      <c r="AH42" s="794">
        <v>1036.0899999999999</v>
      </c>
      <c r="AI42" s="791"/>
      <c r="AJ42" s="791"/>
      <c r="AK42" s="790"/>
      <c r="AL42" s="794">
        <v>33</v>
      </c>
      <c r="AM42" s="794" t="s">
        <v>286</v>
      </c>
      <c r="AN42" s="791"/>
      <c r="AO42" s="791"/>
      <c r="AP42" s="790"/>
      <c r="AQ42" s="794">
        <v>28</v>
      </c>
      <c r="AR42" s="794">
        <v>935.83</v>
      </c>
      <c r="AS42" s="791"/>
      <c r="AT42" s="791"/>
      <c r="AU42" s="790"/>
      <c r="AV42" s="794">
        <v>30</v>
      </c>
      <c r="AW42" s="794" t="s">
        <v>334</v>
      </c>
      <c r="AX42" s="791"/>
      <c r="AY42" s="791"/>
      <c r="AZ42" s="790"/>
      <c r="BA42" s="794">
        <v>30</v>
      </c>
      <c r="BB42" s="794" t="s">
        <v>334</v>
      </c>
      <c r="BC42" s="791"/>
      <c r="BD42" s="791"/>
      <c r="BE42" s="790"/>
      <c r="BF42" s="794">
        <v>26</v>
      </c>
      <c r="BG42" s="794" t="s">
        <v>363</v>
      </c>
      <c r="BH42" s="783"/>
      <c r="BI42" s="791"/>
      <c r="BJ42" s="790">
        <f>BL42/BK42</f>
        <v>30.383999999999997</v>
      </c>
      <c r="BK42" s="794">
        <v>31</v>
      </c>
      <c r="BL42" s="795">
        <f>1.2*784.92</f>
        <v>941.90399999999988</v>
      </c>
      <c r="BM42" s="791"/>
      <c r="BN42" s="791"/>
      <c r="BO42" s="790"/>
      <c r="BP42" s="794">
        <v>23</v>
      </c>
      <c r="BQ42" s="794">
        <f>1.2*(309.81+272.55)</f>
        <v>698.83199999999999</v>
      </c>
      <c r="BR42" s="791"/>
      <c r="BS42" s="791"/>
      <c r="BT42" s="790"/>
      <c r="BU42" s="794">
        <v>31</v>
      </c>
      <c r="BV42" s="794" t="s">
        <v>447</v>
      </c>
      <c r="BW42" s="791"/>
      <c r="BX42" s="791"/>
      <c r="BY42" s="790"/>
      <c r="BZ42" s="794">
        <v>29</v>
      </c>
      <c r="CA42" s="794" t="s">
        <v>458</v>
      </c>
      <c r="CB42" s="791"/>
      <c r="CC42" s="791"/>
      <c r="CD42" s="790"/>
      <c r="CE42" s="794">
        <v>24</v>
      </c>
      <c r="CF42" s="794">
        <v>802.14</v>
      </c>
      <c r="CG42" s="791"/>
      <c r="CH42" s="791"/>
      <c r="CI42" s="790"/>
      <c r="CJ42" s="794">
        <v>30</v>
      </c>
      <c r="CK42" s="794" t="s">
        <v>334</v>
      </c>
      <c r="CL42" s="791"/>
      <c r="CM42" s="791"/>
      <c r="CN42" s="790"/>
      <c r="CO42" s="794">
        <v>27</v>
      </c>
      <c r="CP42" s="794" t="s">
        <v>533</v>
      </c>
      <c r="CQ42" s="791"/>
      <c r="CR42" s="791"/>
      <c r="CS42" s="790"/>
      <c r="CT42" s="794">
        <v>34</v>
      </c>
      <c r="CU42" s="794">
        <v>1471.16</v>
      </c>
      <c r="CV42" s="791"/>
      <c r="CW42" s="791"/>
      <c r="CX42" s="790"/>
      <c r="CY42" s="794">
        <v>31</v>
      </c>
      <c r="CZ42" s="794">
        <v>1571.8</v>
      </c>
      <c r="DA42" s="791"/>
      <c r="DB42" s="791"/>
      <c r="DC42" s="790"/>
      <c r="DD42" s="794">
        <v>43</v>
      </c>
      <c r="DE42" s="794">
        <f>1.2*(921.06+758.52)</f>
        <v>2015.4959999999999</v>
      </c>
      <c r="DF42" s="791"/>
      <c r="DG42" s="791"/>
      <c r="DH42" s="790"/>
      <c r="DI42" s="794">
        <v>31</v>
      </c>
      <c r="DJ42" s="794">
        <f>1.2*(664.02+546.84)</f>
        <v>1453.0320000000002</v>
      </c>
      <c r="DK42" s="791"/>
      <c r="DL42" s="791"/>
      <c r="DM42" s="790"/>
      <c r="DN42" s="794">
        <v>39</v>
      </c>
      <c r="DO42" s="794">
        <f>1.2*(835.38+687.96)</f>
        <v>1828.008</v>
      </c>
      <c r="DP42" s="791"/>
      <c r="DQ42" s="791"/>
      <c r="DR42" s="790"/>
      <c r="DS42" s="794">
        <v>28</v>
      </c>
      <c r="DT42" s="794">
        <f>1.2*(599.76+493.92)</f>
        <v>1312.4159999999999</v>
      </c>
      <c r="DU42" s="791"/>
      <c r="DV42" s="791"/>
      <c r="DW42" s="790"/>
      <c r="DX42" s="794">
        <v>27</v>
      </c>
      <c r="DY42" s="794">
        <v>1392.1</v>
      </c>
      <c r="DZ42" s="791"/>
      <c r="EA42" s="791"/>
      <c r="EB42" s="790"/>
      <c r="EC42" s="794">
        <v>27</v>
      </c>
      <c r="ED42" s="794">
        <v>1330.81</v>
      </c>
      <c r="EE42" s="791"/>
      <c r="EF42" s="791"/>
      <c r="EG42" s="790"/>
      <c r="EH42" s="794">
        <v>23</v>
      </c>
      <c r="EI42" s="794">
        <v>1264.5</v>
      </c>
      <c r="EJ42" s="791"/>
      <c r="EK42" s="791"/>
      <c r="EL42" s="790"/>
      <c r="EM42" s="794">
        <v>24</v>
      </c>
      <c r="EN42" s="372">
        <v>1319.47</v>
      </c>
      <c r="EO42" s="791"/>
      <c r="EP42" s="791"/>
      <c r="EQ42" s="790"/>
      <c r="ER42" s="794">
        <v>27</v>
      </c>
      <c r="ES42" s="794">
        <v>1484.41</v>
      </c>
      <c r="ET42" s="791"/>
      <c r="EU42" s="791"/>
      <c r="EV42" s="790"/>
      <c r="EW42" s="794">
        <v>33</v>
      </c>
      <c r="EX42" s="794">
        <v>1814.27</v>
      </c>
      <c r="EY42" s="791"/>
      <c r="EZ42" s="791"/>
      <c r="FA42" s="790"/>
      <c r="FB42" s="794">
        <v>33</v>
      </c>
      <c r="FC42" s="794" t="s">
        <v>1202</v>
      </c>
      <c r="FD42" s="791"/>
      <c r="FE42" s="791"/>
      <c r="FF42" s="790"/>
      <c r="FG42" s="794">
        <v>38</v>
      </c>
      <c r="FH42" s="794">
        <v>2089.16</v>
      </c>
      <c r="FI42" s="791"/>
      <c r="FJ42" s="791"/>
      <c r="FK42" s="790"/>
      <c r="FL42" s="796">
        <v>43</v>
      </c>
      <c r="FM42" s="796">
        <f>1.2*(921.06+758.52)</f>
        <v>2015.4959999999999</v>
      </c>
      <c r="FN42" s="783"/>
      <c r="FO42" s="791"/>
      <c r="FP42" s="790"/>
      <c r="FQ42" s="794">
        <v>29</v>
      </c>
      <c r="FR42" s="794">
        <f>1.2*(663.23+544.62)</f>
        <v>1449.4199999999998</v>
      </c>
      <c r="FS42" s="791"/>
      <c r="FT42" s="791"/>
      <c r="FU42" s="790"/>
      <c r="FV42" s="796">
        <v>39</v>
      </c>
      <c r="FW42" s="796">
        <f>1.2*(835.38+687.96)</f>
        <v>1828.008</v>
      </c>
      <c r="FX42" s="783"/>
      <c r="FY42" s="791"/>
      <c r="FZ42" s="790"/>
      <c r="GA42" s="796">
        <v>28</v>
      </c>
      <c r="GB42" s="796">
        <f>1.2*(599.76+493.92)</f>
        <v>1312.4159999999999</v>
      </c>
      <c r="GC42" s="783"/>
      <c r="GD42" s="791"/>
      <c r="GE42" s="790"/>
      <c r="GF42" s="796">
        <v>23</v>
      </c>
      <c r="GG42" s="796">
        <f>1.2*(309.81+272.55)</f>
        <v>698.83199999999999</v>
      </c>
      <c r="GH42" s="783"/>
      <c r="GI42" s="791"/>
      <c r="GJ42" s="1552"/>
      <c r="GK42" s="794">
        <v>13</v>
      </c>
      <c r="GL42" s="794">
        <f>1.2*(399.23+291.85)</f>
        <v>829.29600000000005</v>
      </c>
      <c r="GM42" s="791"/>
      <c r="GN42" s="791"/>
      <c r="GO42" s="790"/>
      <c r="GP42" s="794">
        <v>10</v>
      </c>
      <c r="GQ42" s="794">
        <f>1.2*(307.1+224.5)</f>
        <v>637.91999999999996</v>
      </c>
      <c r="GR42" s="791"/>
      <c r="GS42" s="791"/>
      <c r="GT42" s="790"/>
      <c r="GU42" s="794">
        <v>13</v>
      </c>
      <c r="GV42" s="372">
        <f>1.2*(399.23+291.85)</f>
        <v>829.29600000000005</v>
      </c>
      <c r="GW42" s="791"/>
      <c r="GX42" s="791"/>
      <c r="GY42" s="790"/>
      <c r="GZ42" s="796">
        <v>27</v>
      </c>
      <c r="HA42" s="796">
        <v>1484.41</v>
      </c>
      <c r="HB42" s="783"/>
      <c r="HC42" s="791"/>
      <c r="HD42" s="790"/>
      <c r="HE42" s="796">
        <v>33</v>
      </c>
      <c r="HF42" s="796">
        <v>1814.27</v>
      </c>
      <c r="HG42" s="783"/>
      <c r="HH42" s="791"/>
      <c r="HI42" s="790"/>
      <c r="HJ42" s="796">
        <v>33</v>
      </c>
      <c r="HK42" s="796" t="s">
        <v>1202</v>
      </c>
      <c r="HL42" s="783"/>
      <c r="HM42" s="791"/>
      <c r="HN42" s="790"/>
      <c r="HO42" s="796">
        <v>38</v>
      </c>
      <c r="HP42" s="796">
        <v>2089.16</v>
      </c>
      <c r="HQ42" s="783"/>
      <c r="HR42" s="791"/>
      <c r="HS42" s="790"/>
      <c r="HT42" s="796">
        <v>43</v>
      </c>
      <c r="HU42" s="796">
        <f>1.2*(921.06+758.52)</f>
        <v>2015.4959999999999</v>
      </c>
      <c r="HV42" s="783"/>
      <c r="HW42" s="791"/>
      <c r="HX42" s="790"/>
      <c r="HY42" s="796">
        <v>29</v>
      </c>
      <c r="HZ42" s="796">
        <f>1.2*(663.23+544.62)</f>
        <v>1449.4199999999998</v>
      </c>
      <c r="IA42" s="783"/>
      <c r="IB42" s="791"/>
      <c r="IC42" s="790"/>
      <c r="ID42" s="796">
        <v>39</v>
      </c>
      <c r="IE42" s="796">
        <f>1.2*(835.38+687.96)</f>
        <v>1828.008</v>
      </c>
      <c r="IF42" s="783"/>
      <c r="IG42" s="791"/>
      <c r="IH42" s="790"/>
      <c r="II42" s="796">
        <v>28</v>
      </c>
      <c r="IJ42" s="796">
        <f>1.2*(599.76+493.92)</f>
        <v>1312.4159999999999</v>
      </c>
      <c r="IK42" s="783"/>
      <c r="IL42" s="791"/>
      <c r="IM42" s="790"/>
      <c r="IN42" s="796">
        <v>23</v>
      </c>
      <c r="IO42" s="796">
        <f>1.2*(309.81+272.55)</f>
        <v>698.83199999999999</v>
      </c>
      <c r="IP42" s="783"/>
      <c r="IQ42" s="791"/>
    </row>
    <row r="43" spans="1:251" s="264" customFormat="1" ht="15" customHeight="1" thickBot="1">
      <c r="A43" s="685"/>
      <c r="B43" s="258"/>
      <c r="C43" s="258"/>
      <c r="D43" s="20" t="s">
        <v>32</v>
      </c>
      <c r="E43" s="259" t="s">
        <v>558</v>
      </c>
      <c r="F43" s="259"/>
      <c r="G43" s="3"/>
      <c r="H43" s="177"/>
      <c r="I43" s="177"/>
      <c r="J43" s="48"/>
      <c r="K43" s="48"/>
      <c r="L43" s="3"/>
      <c r="M43" s="183"/>
      <c r="N43" s="183"/>
      <c r="O43" s="172"/>
      <c r="P43" s="172"/>
      <c r="Q43" s="3"/>
      <c r="R43" s="183"/>
      <c r="S43" s="183"/>
      <c r="T43" s="172"/>
      <c r="U43" s="172"/>
      <c r="V43" s="3"/>
      <c r="W43" s="183"/>
      <c r="X43" s="183"/>
      <c r="Y43" s="172"/>
      <c r="Z43" s="172"/>
      <c r="AA43" s="3"/>
      <c r="AB43" s="183"/>
      <c r="AC43" s="183"/>
      <c r="AD43" s="172"/>
      <c r="AE43" s="172"/>
      <c r="AF43" s="3"/>
      <c r="AG43" s="183"/>
      <c r="AH43" s="183"/>
      <c r="AI43" s="172"/>
      <c r="AJ43" s="172"/>
      <c r="AK43" s="3"/>
      <c r="AL43" s="183"/>
      <c r="AM43" s="183"/>
      <c r="AN43" s="172"/>
      <c r="AO43" s="172"/>
      <c r="AP43" s="3"/>
      <c r="AQ43" s="183"/>
      <c r="AR43" s="183"/>
      <c r="AS43" s="172"/>
      <c r="AT43" s="172"/>
      <c r="AU43" s="3"/>
      <c r="AV43" s="183"/>
      <c r="AW43" s="183"/>
      <c r="AX43" s="172"/>
      <c r="AY43" s="172"/>
      <c r="AZ43" s="3"/>
      <c r="BA43" s="183"/>
      <c r="BB43" s="183"/>
      <c r="BC43" s="172"/>
      <c r="BD43" s="172"/>
      <c r="BE43" s="3"/>
      <c r="BF43" s="183"/>
      <c r="BG43" s="183"/>
      <c r="BH43" s="177"/>
      <c r="BI43" s="172"/>
      <c r="BJ43" s="3"/>
      <c r="BK43" s="183"/>
      <c r="BL43" s="506"/>
      <c r="BM43" s="172"/>
      <c r="BN43" s="172"/>
      <c r="BO43" s="3"/>
      <c r="BP43" s="183"/>
      <c r="BQ43" s="183"/>
      <c r="BR43" s="172"/>
      <c r="BS43" s="172"/>
      <c r="BT43" s="3"/>
      <c r="BU43" s="183"/>
      <c r="BV43" s="183"/>
      <c r="BW43" s="172"/>
      <c r="BX43" s="172"/>
      <c r="BY43" s="3"/>
      <c r="BZ43" s="183"/>
      <c r="CA43" s="183"/>
      <c r="CB43" s="172"/>
      <c r="CC43" s="172"/>
      <c r="CD43" s="3"/>
      <c r="CE43" s="183"/>
      <c r="CF43" s="183"/>
      <c r="CG43" s="172"/>
      <c r="CH43" s="172"/>
      <c r="CI43" s="3"/>
      <c r="CJ43" s="183"/>
      <c r="CK43" s="183"/>
      <c r="CL43" s="172"/>
      <c r="CM43" s="172"/>
      <c r="CN43" s="3"/>
      <c r="CO43" s="183"/>
      <c r="CP43" s="183"/>
      <c r="CQ43" s="172"/>
      <c r="CR43" s="172"/>
      <c r="CS43" s="3"/>
      <c r="CT43" s="183"/>
      <c r="CU43" s="183"/>
      <c r="CV43" s="172"/>
      <c r="CW43" s="172"/>
      <c r="CX43" s="3"/>
      <c r="CY43" s="183"/>
      <c r="CZ43" s="183"/>
      <c r="DA43" s="172"/>
      <c r="DB43" s="172"/>
      <c r="DC43" s="3"/>
      <c r="DD43" s="183"/>
      <c r="DE43" s="183"/>
      <c r="DF43" s="172"/>
      <c r="DG43" s="172"/>
      <c r="DH43" s="3"/>
      <c r="DI43" s="183"/>
      <c r="DJ43" s="183">
        <f>1.2*(84.76+36.32)</f>
        <v>145.29600000000002</v>
      </c>
      <c r="DK43" s="172"/>
      <c r="DL43" s="172"/>
      <c r="DM43" s="3"/>
      <c r="DN43" s="183">
        <v>1</v>
      </c>
      <c r="DO43" s="183">
        <f>1.2*(106.63+45.7)</f>
        <v>182.79599999999996</v>
      </c>
      <c r="DP43" s="172"/>
      <c r="DQ43" s="172"/>
      <c r="DR43" s="3"/>
      <c r="DS43" s="185"/>
      <c r="DT43" s="185"/>
      <c r="DU43" s="177"/>
      <c r="DV43" s="172"/>
      <c r="DW43" s="3"/>
      <c r="DX43" s="183">
        <v>1</v>
      </c>
      <c r="DY43" s="183">
        <v>18747.599999999999</v>
      </c>
      <c r="DZ43" s="172"/>
      <c r="EA43" s="172"/>
      <c r="EB43" s="3"/>
      <c r="EC43" s="185"/>
      <c r="ED43" s="185"/>
      <c r="EE43" s="177"/>
      <c r="EF43" s="172"/>
      <c r="EG43" s="3"/>
      <c r="EH43" s="185"/>
      <c r="EI43" s="185"/>
      <c r="EJ43" s="177"/>
      <c r="EK43" s="172"/>
      <c r="EL43" s="3"/>
      <c r="EM43" s="185"/>
      <c r="EN43" s="185"/>
      <c r="EO43" s="177"/>
      <c r="EP43" s="172"/>
      <c r="EQ43" s="3"/>
      <c r="ER43" s="185"/>
      <c r="ES43" s="185"/>
      <c r="ET43" s="177"/>
      <c r="EU43" s="172"/>
      <c r="EV43" s="3"/>
      <c r="EW43" s="185"/>
      <c r="EX43" s="185"/>
      <c r="EY43" s="177"/>
      <c r="EZ43" s="172"/>
      <c r="FA43" s="3"/>
      <c r="FB43" s="185"/>
      <c r="FC43" s="185"/>
      <c r="FD43" s="177"/>
      <c r="FE43" s="172"/>
      <c r="FF43" s="3"/>
      <c r="FG43" s="185"/>
      <c r="FH43" s="185"/>
      <c r="FI43" s="177"/>
      <c r="FJ43" s="172"/>
      <c r="FK43" s="3"/>
      <c r="FL43" s="185"/>
      <c r="FM43" s="185"/>
      <c r="FN43" s="177"/>
      <c r="FO43" s="172"/>
      <c r="FP43" s="3"/>
      <c r="FQ43" s="183"/>
      <c r="FR43" s="183">
        <f>1.2*(84.55+36.24)</f>
        <v>144.94799999999998</v>
      </c>
      <c r="FS43" s="172"/>
      <c r="FT43" s="172"/>
      <c r="FU43" s="3"/>
      <c r="FV43" s="185">
        <v>1</v>
      </c>
      <c r="FW43" s="185">
        <f>1.2*(106.63+45.7)</f>
        <v>182.79599999999996</v>
      </c>
      <c r="FX43" s="177"/>
      <c r="FY43" s="172"/>
      <c r="FZ43" s="3"/>
      <c r="GA43" s="185"/>
      <c r="GB43" s="185"/>
      <c r="GC43" s="177"/>
      <c r="GD43" s="172"/>
      <c r="GE43" s="3"/>
      <c r="GF43" s="185"/>
      <c r="GG43" s="185"/>
      <c r="GH43" s="177"/>
      <c r="GI43" s="172"/>
      <c r="GJ43" s="285"/>
      <c r="GK43" s="185"/>
      <c r="GL43" s="185"/>
      <c r="GM43" s="177"/>
      <c r="GN43" s="172"/>
      <c r="GO43" s="3"/>
      <c r="GP43" s="185"/>
      <c r="GQ43" s="185"/>
      <c r="GR43" s="177"/>
      <c r="GS43" s="172"/>
      <c r="GT43" s="3"/>
      <c r="GU43" s="185"/>
      <c r="GV43" s="185"/>
      <c r="GW43" s="177"/>
      <c r="GX43" s="172"/>
      <c r="GY43" s="3"/>
      <c r="GZ43" s="185"/>
      <c r="HA43" s="185"/>
      <c r="HB43" s="177"/>
      <c r="HC43" s="172"/>
      <c r="HD43" s="3"/>
      <c r="HE43" s="185"/>
      <c r="HF43" s="185"/>
      <c r="HG43" s="177"/>
      <c r="HH43" s="172"/>
      <c r="HI43" s="3"/>
      <c r="HJ43" s="185"/>
      <c r="HK43" s="185"/>
      <c r="HL43" s="177"/>
      <c r="HM43" s="172"/>
      <c r="HN43" s="3"/>
      <c r="HO43" s="185"/>
      <c r="HP43" s="185"/>
      <c r="HQ43" s="177"/>
      <c r="HR43" s="172"/>
      <c r="HS43" s="3"/>
      <c r="HT43" s="185"/>
      <c r="HU43" s="185"/>
      <c r="HV43" s="177"/>
      <c r="HW43" s="172"/>
      <c r="HX43" s="3"/>
      <c r="HY43" s="185"/>
      <c r="HZ43" s="185">
        <f>1.2*(84.55+36.24)</f>
        <v>144.94799999999998</v>
      </c>
      <c r="IA43" s="177"/>
      <c r="IB43" s="172"/>
      <c r="IC43" s="3"/>
      <c r="ID43" s="185">
        <v>1</v>
      </c>
      <c r="IE43" s="185">
        <f>1.2*(106.63+45.7)</f>
        <v>182.79599999999996</v>
      </c>
      <c r="IF43" s="177"/>
      <c r="IG43" s="172"/>
      <c r="IH43" s="3"/>
      <c r="II43" s="185"/>
      <c r="IJ43" s="185"/>
      <c r="IK43" s="177"/>
      <c r="IL43" s="172"/>
      <c r="IM43" s="3"/>
      <c r="IN43" s="185"/>
      <c r="IO43" s="185"/>
      <c r="IP43" s="177"/>
      <c r="IQ43" s="172"/>
    </row>
    <row r="44" spans="1:251" s="249" customFormat="1" ht="15" customHeight="1">
      <c r="A44" s="649"/>
      <c r="B44" s="269" t="s">
        <v>130</v>
      </c>
      <c r="C44" s="266" t="s">
        <v>34</v>
      </c>
      <c r="D44" s="32" t="s">
        <v>25</v>
      </c>
      <c r="E44" s="267" t="s">
        <v>10</v>
      </c>
      <c r="F44" s="308"/>
      <c r="G44" s="198"/>
      <c r="H44" s="199"/>
      <c r="I44" s="199"/>
      <c r="J44" s="199"/>
      <c r="K44" s="326"/>
      <c r="L44" s="198"/>
      <c r="M44" s="199"/>
      <c r="N44" s="199"/>
      <c r="O44" s="199"/>
      <c r="P44" s="326"/>
      <c r="Q44" s="198"/>
      <c r="R44" s="199"/>
      <c r="S44" s="199"/>
      <c r="T44" s="199"/>
      <c r="U44" s="326"/>
      <c r="V44" s="316"/>
      <c r="W44" s="199"/>
      <c r="X44" s="379">
        <v>2277</v>
      </c>
      <c r="Y44" s="199"/>
      <c r="Z44" s="788">
        <f>SUM(X44:X50)*1.1</f>
        <v>207970.84</v>
      </c>
      <c r="AA44" s="268"/>
      <c r="AB44" s="199"/>
      <c r="AC44" s="379">
        <v>2530</v>
      </c>
      <c r="AD44" s="199"/>
      <c r="AE44" s="788">
        <f>SUM(AC44:AC50)*1.1</f>
        <v>182839.66360000003</v>
      </c>
      <c r="AF44" s="268"/>
      <c r="AG44" s="199"/>
      <c r="AH44" s="379">
        <v>4301</v>
      </c>
      <c r="AI44" s="199"/>
      <c r="AJ44" s="788">
        <f>AJ45*1.1</f>
        <v>30482.903000000002</v>
      </c>
      <c r="AK44" s="268"/>
      <c r="AL44" s="199"/>
      <c r="AM44" s="379">
        <v>4048</v>
      </c>
      <c r="AN44" s="199"/>
      <c r="AO44" s="788">
        <f>AO45*1.2</f>
        <v>213801.04800000001</v>
      </c>
      <c r="AP44" s="268"/>
      <c r="AQ44" s="199"/>
      <c r="AR44" s="199"/>
      <c r="AS44" s="199"/>
      <c r="AT44" s="788">
        <f>SUM(AR44:AR50)*1.2</f>
        <v>279236.06399999995</v>
      </c>
      <c r="AU44" s="268"/>
      <c r="AV44" s="199"/>
      <c r="AW44" s="199"/>
      <c r="AX44" s="199"/>
      <c r="AY44" s="788">
        <f>SUM(AW44:AW50)*1.1</f>
        <v>296544.54060000001</v>
      </c>
      <c r="AZ44" s="268"/>
      <c r="BA44" s="199"/>
      <c r="BB44" s="199"/>
      <c r="BC44" s="199"/>
      <c r="BD44" s="788">
        <f>SUM(BB44:BB50)*1.1</f>
        <v>120848.06140000001</v>
      </c>
      <c r="BE44" s="268"/>
      <c r="BF44" s="199"/>
      <c r="BG44" s="199"/>
      <c r="BH44" s="199"/>
      <c r="BI44" s="788">
        <f>SUM(BG44:BG50)*1.1</f>
        <v>237060.42360000001</v>
      </c>
      <c r="BJ44" s="268"/>
      <c r="BK44" s="199"/>
      <c r="BL44" s="199"/>
      <c r="BM44" s="199"/>
      <c r="BN44" s="788">
        <f>SUM(BL44:BL50)*1.1</f>
        <v>236698.59840000002</v>
      </c>
      <c r="BO44" s="268"/>
      <c r="BP44" s="199"/>
      <c r="BQ44" s="199"/>
      <c r="BR44" s="199"/>
      <c r="BS44" s="788">
        <f>SUM(BQ44:BQ50)*1.1</f>
        <v>279330.3898</v>
      </c>
      <c r="BT44" s="268"/>
      <c r="BU44" s="199"/>
      <c r="BV44" s="199"/>
      <c r="BW44" s="199"/>
      <c r="BX44" s="788">
        <f>SUM(BV44:BV50)*1.1</f>
        <v>270499.98800000001</v>
      </c>
      <c r="BY44" s="268"/>
      <c r="BZ44" s="199"/>
      <c r="CA44" s="199"/>
      <c r="CB44" s="199"/>
      <c r="CC44" s="788">
        <f>SUM(CA44:CA50)*1.1</f>
        <v>245123.56</v>
      </c>
      <c r="CD44" s="268"/>
      <c r="CE44" s="199"/>
      <c r="CF44" s="199"/>
      <c r="CG44" s="199"/>
      <c r="CH44" s="788">
        <f>SUM(CF44:CF50)*1.1</f>
        <v>222332.16720000003</v>
      </c>
      <c r="CI44" s="268"/>
      <c r="CJ44" s="199"/>
      <c r="CK44" s="199"/>
      <c r="CL44" s="199"/>
      <c r="CM44" s="788">
        <f>SUM(CK44:CK50)*1.1</f>
        <v>205813.81259999998</v>
      </c>
      <c r="CN44" s="268"/>
      <c r="CO44" s="199"/>
      <c r="CP44" s="199"/>
      <c r="CQ44" s="199"/>
      <c r="CR44" s="788">
        <f>SUM(CP44:CP50)*1.1</f>
        <v>245206.68480000002</v>
      </c>
      <c r="CS44" s="268"/>
      <c r="CT44" s="199"/>
      <c r="CU44" s="199"/>
      <c r="CV44" s="199"/>
      <c r="CW44" s="788">
        <f>SUM(CU44:CU50)*1.1</f>
        <v>245435.93580000001</v>
      </c>
      <c r="CX44" s="268"/>
      <c r="CY44" s="199"/>
      <c r="CZ44" s="199"/>
      <c r="DA44" s="199"/>
      <c r="DB44" s="788">
        <f>SUM(CZ44:CZ50)*1.1</f>
        <v>342833.81219999999</v>
      </c>
      <c r="DC44" s="268"/>
      <c r="DD44" s="199"/>
      <c r="DE44" s="199"/>
      <c r="DF44" s="199"/>
      <c r="DG44" s="788">
        <f>SUM(DE44:DE50)*1.1</f>
        <v>316508.53960000008</v>
      </c>
      <c r="DH44" s="268"/>
      <c r="DI44" s="199"/>
      <c r="DJ44" s="199"/>
      <c r="DK44" s="199"/>
      <c r="DL44" s="788">
        <f>SUM(DJ44:DJ50)*1.1</f>
        <v>302738.30839999998</v>
      </c>
      <c r="DM44" s="268"/>
      <c r="DN44" s="199"/>
      <c r="DO44" s="199"/>
      <c r="DP44" s="199"/>
      <c r="DQ44" s="788">
        <f>SUM(DO44:DO50)*1.1</f>
        <v>266347.4154</v>
      </c>
      <c r="DR44" s="268"/>
      <c r="DS44" s="199"/>
      <c r="DT44" s="199"/>
      <c r="DU44" s="199"/>
      <c r="DV44" s="788">
        <f>SUM(DT44:DT50)*1.1</f>
        <v>248362.91479999997</v>
      </c>
      <c r="DW44" s="268"/>
      <c r="DX44" s="199"/>
      <c r="DY44" s="199"/>
      <c r="DZ44" s="199"/>
      <c r="EA44" s="788">
        <f>SUM(DY44:DY50)*1.1</f>
        <v>354752.90840000001</v>
      </c>
      <c r="EB44" s="268"/>
      <c r="EC44" s="199"/>
      <c r="ED44" s="199"/>
      <c r="EE44" s="199"/>
      <c r="EF44" s="788">
        <f>SUM(ED44:ED50)*1.1</f>
        <v>337418.95880000002</v>
      </c>
      <c r="EG44" s="268"/>
      <c r="EH44" s="199"/>
      <c r="EI44" s="199"/>
      <c r="EJ44" s="199"/>
      <c r="EK44" s="788">
        <f>SUM(EI44:EI50)*1.1</f>
        <v>364927.00860000006</v>
      </c>
      <c r="EL44" s="268"/>
      <c r="EM44" s="199"/>
      <c r="EN44" s="199"/>
      <c r="EO44" s="199"/>
      <c r="EP44" s="788">
        <f>SUM(EN44:EN50)*1.1</f>
        <v>281026.9044</v>
      </c>
      <c r="EQ44" s="268"/>
      <c r="ER44" s="199"/>
      <c r="ES44" s="199"/>
      <c r="ET44" s="199"/>
      <c r="EU44" s="788">
        <f>SUM(ES44:ES50)*1.1</f>
        <v>208432.14259999996</v>
      </c>
      <c r="EV44" s="268"/>
      <c r="EW44" s="199"/>
      <c r="EX44" s="199"/>
      <c r="EY44" s="199"/>
      <c r="EZ44" s="788">
        <f>SUM(EX44:EX50)*1.1</f>
        <v>253601.91559999998</v>
      </c>
      <c r="FA44" s="268"/>
      <c r="FB44" s="199"/>
      <c r="FC44" s="199"/>
      <c r="FD44" s="199"/>
      <c r="FE44" s="788">
        <f>SUM(FC44:FC50)*1.1</f>
        <v>252567.35680000001</v>
      </c>
      <c r="FF44" s="268"/>
      <c r="FG44" s="199"/>
      <c r="FH44" s="199"/>
      <c r="FI44" s="199"/>
      <c r="FJ44" s="788">
        <f>SUM(FH44:FH50)*1.1</f>
        <v>322263.81219999999</v>
      </c>
      <c r="FK44" s="268"/>
      <c r="FL44" s="199"/>
      <c r="FM44" s="199"/>
      <c r="FN44" s="199"/>
      <c r="FO44" s="788">
        <f>SUM(FM44:FM50)*1.1</f>
        <v>286234.34840000002</v>
      </c>
      <c r="FP44" s="268"/>
      <c r="FQ44" s="199"/>
      <c r="FR44" s="199"/>
      <c r="FS44" s="199"/>
      <c r="FT44" s="788">
        <f>SUM(FR44:FR50)*1.1</f>
        <v>240424.57559999998</v>
      </c>
      <c r="FU44" s="268"/>
      <c r="FV44" s="199"/>
      <c r="FW44" s="199"/>
      <c r="FX44" s="199"/>
      <c r="FY44" s="788">
        <f>SUM(FW44:FW50)*1.1</f>
        <v>291023.37219999993</v>
      </c>
      <c r="FZ44" s="268"/>
      <c r="GA44" s="199"/>
      <c r="GB44" s="199"/>
      <c r="GC44" s="199"/>
      <c r="GD44" s="788">
        <f>SUM(GB44:GB50)*1.1</f>
        <v>311486.88559999998</v>
      </c>
      <c r="GE44" s="268"/>
      <c r="GF44" s="199"/>
      <c r="GG44" s="199"/>
      <c r="GH44" s="199"/>
      <c r="GI44" s="788">
        <f>SUM(GG44:GG50)*1.1</f>
        <v>288250.7452</v>
      </c>
      <c r="GJ44" s="268"/>
      <c r="GK44" s="199"/>
      <c r="GL44" s="199"/>
      <c r="GM44" s="199"/>
      <c r="GN44" s="788">
        <f>SUM(GL44:GL50)*1.1</f>
        <v>297531.25159999996</v>
      </c>
      <c r="GO44" s="268"/>
      <c r="GP44" s="199"/>
      <c r="GQ44" s="199"/>
      <c r="GR44" s="199"/>
      <c r="GS44" s="788">
        <f>SUM(GQ44:GQ50)*1.1</f>
        <v>292395.2328</v>
      </c>
      <c r="GT44" s="268"/>
      <c r="GU44" s="199"/>
      <c r="GV44" s="199"/>
      <c r="GW44" s="199"/>
      <c r="GX44" s="788">
        <f>SUM(GV44:GV50)*1.1</f>
        <v>344519.04519999999</v>
      </c>
      <c r="GY44" s="268"/>
      <c r="GZ44" s="199"/>
      <c r="HA44" s="199"/>
      <c r="HB44" s="199"/>
      <c r="HC44" s="788">
        <f>SUM(HA44:HA50)*1.1</f>
        <v>208432.14259999996</v>
      </c>
      <c r="HD44" s="268"/>
      <c r="HE44" s="199"/>
      <c r="HF44" s="199"/>
      <c r="HG44" s="199"/>
      <c r="HH44" s="788">
        <f>SUM(HF44:HF50)*1.1</f>
        <v>253601.91559999998</v>
      </c>
      <c r="HI44" s="268"/>
      <c r="HJ44" s="199"/>
      <c r="HK44" s="199"/>
      <c r="HL44" s="199"/>
      <c r="HM44" s="788">
        <f>SUM(HK44:HK50)*1.1</f>
        <v>252567.35680000001</v>
      </c>
      <c r="HN44" s="268"/>
      <c r="HO44" s="199"/>
      <c r="HP44" s="199"/>
      <c r="HQ44" s="199"/>
      <c r="HR44" s="788">
        <f>SUM(HP44:HP50)*1.1</f>
        <v>322263.81219999999</v>
      </c>
      <c r="HS44" s="268"/>
      <c r="HT44" s="199"/>
      <c r="HU44" s="199"/>
      <c r="HV44" s="199"/>
      <c r="HW44" s="788">
        <f>SUM(HU44:HU50)*1.1</f>
        <v>286234.34840000002</v>
      </c>
      <c r="HX44" s="268"/>
      <c r="HY44" s="199"/>
      <c r="HZ44" s="199"/>
      <c r="IA44" s="199"/>
      <c r="IB44" s="788">
        <f>SUM(HZ44:HZ50)*1.1</f>
        <v>240424.57559999998</v>
      </c>
      <c r="IC44" s="268"/>
      <c r="ID44" s="199"/>
      <c r="IE44" s="199"/>
      <c r="IF44" s="199"/>
      <c r="IG44" s="788">
        <f>SUM(IE44:IE50)*1.1</f>
        <v>291023.37219999993</v>
      </c>
      <c r="IH44" s="268"/>
      <c r="II44" s="199"/>
      <c r="IJ44" s="199"/>
      <c r="IK44" s="199"/>
      <c r="IL44" s="788">
        <f>SUM(IJ44:IJ50)*1.1</f>
        <v>120159.86840000002</v>
      </c>
      <c r="IM44" s="268"/>
      <c r="IN44" s="199"/>
      <c r="IO44" s="199"/>
      <c r="IP44" s="199"/>
      <c r="IQ44" s="788">
        <f>SUM(IO44:IO50)*1.1</f>
        <v>117959.86840000002</v>
      </c>
    </row>
    <row r="45" spans="1:251" ht="15" customHeight="1">
      <c r="A45" s="647"/>
      <c r="B45" s="270"/>
      <c r="C45" s="219">
        <v>40397750</v>
      </c>
      <c r="D45" s="222" t="s">
        <v>36</v>
      </c>
      <c r="E45" s="223" t="s">
        <v>11</v>
      </c>
      <c r="F45" s="33"/>
      <c r="G45" s="105"/>
      <c r="H45" s="130"/>
      <c r="I45" s="65">
        <v>17000</v>
      </c>
      <c r="J45" s="130"/>
      <c r="K45" s="41"/>
      <c r="L45" s="105"/>
      <c r="M45" s="130">
        <v>1</v>
      </c>
      <c r="N45" s="65">
        <v>17000</v>
      </c>
      <c r="O45" s="130"/>
      <c r="P45" s="41"/>
      <c r="Q45" s="105"/>
      <c r="R45" s="130">
        <v>1</v>
      </c>
      <c r="S45" s="65">
        <v>19000</v>
      </c>
      <c r="T45" s="130"/>
      <c r="U45" s="41"/>
      <c r="V45" s="116"/>
      <c r="W45" s="130">
        <v>1</v>
      </c>
      <c r="X45" s="65">
        <v>19000</v>
      </c>
      <c r="Y45" s="130"/>
      <c r="Z45" s="403">
        <f>SUM(X44:X50)*1</f>
        <v>189064.4</v>
      </c>
      <c r="AA45" s="93"/>
      <c r="AB45" s="130">
        <v>1</v>
      </c>
      <c r="AC45" s="65">
        <v>19000</v>
      </c>
      <c r="AD45" s="130"/>
      <c r="AE45" s="403">
        <f>SUM(AC44:AC48)*1</f>
        <v>164925.20000000001</v>
      </c>
      <c r="AF45" s="93"/>
      <c r="AG45" s="130">
        <v>1</v>
      </c>
      <c r="AH45" s="65">
        <v>19000</v>
      </c>
      <c r="AI45" s="130"/>
      <c r="AJ45" s="403">
        <f>SUM(AH48:AH50)+AI47+AH46+AH45+AH44*1</f>
        <v>27711.73</v>
      </c>
      <c r="AK45" s="93"/>
      <c r="AL45" s="130">
        <v>1</v>
      </c>
      <c r="AM45" s="65">
        <v>19000</v>
      </c>
      <c r="AN45" s="130"/>
      <c r="AO45" s="403">
        <f>SUM(AM50)+AN47+AM46+AM45+AM44+AN48*1</f>
        <v>178167.54</v>
      </c>
      <c r="AP45" s="93"/>
      <c r="AQ45" s="130">
        <v>1</v>
      </c>
      <c r="AR45" s="65">
        <v>19000</v>
      </c>
      <c r="AS45" s="130"/>
      <c r="AT45" s="403">
        <f>SUM(AR44:AR50)*1</f>
        <v>232696.71999999997</v>
      </c>
      <c r="AU45" s="93"/>
      <c r="AV45" s="130">
        <v>1</v>
      </c>
      <c r="AW45" s="65">
        <v>19000</v>
      </c>
      <c r="AX45" s="130"/>
      <c r="AY45" s="403">
        <f>SUM(AW44:AW50)*1</f>
        <v>269585.946</v>
      </c>
      <c r="AZ45" s="93"/>
      <c r="BA45" s="130">
        <v>1</v>
      </c>
      <c r="BB45" s="65">
        <v>19000</v>
      </c>
      <c r="BC45" s="130"/>
      <c r="BD45" s="403">
        <f>SUM(BB44:BB50)*1</f>
        <v>109861.874</v>
      </c>
      <c r="BE45" s="93"/>
      <c r="BF45" s="130">
        <v>1</v>
      </c>
      <c r="BG45" s="65">
        <v>19000</v>
      </c>
      <c r="BH45" s="130"/>
      <c r="BI45" s="403">
        <f>SUM(BG44:BG50)*1</f>
        <v>215509.476</v>
      </c>
      <c r="BJ45" s="93"/>
      <c r="BK45" s="130">
        <v>1</v>
      </c>
      <c r="BL45" s="65">
        <v>19000</v>
      </c>
      <c r="BM45" s="130"/>
      <c r="BN45" s="403">
        <f>SUM(BL44:BL50)*1</f>
        <v>215180.54399999999</v>
      </c>
      <c r="BO45" s="93"/>
      <c r="BP45" s="130">
        <v>1</v>
      </c>
      <c r="BQ45" s="65">
        <v>19000</v>
      </c>
      <c r="BR45" s="130"/>
      <c r="BS45" s="403">
        <f>SUM(BQ44:BQ50)*1</f>
        <v>253936.71799999999</v>
      </c>
      <c r="BT45" s="93"/>
      <c r="BU45" s="130">
        <v>1</v>
      </c>
      <c r="BV45" s="65" t="s">
        <v>386</v>
      </c>
      <c r="BW45" s="130"/>
      <c r="BX45" s="403">
        <f>SUM(BV44:BV50)*1</f>
        <v>245909.08</v>
      </c>
      <c r="BY45" s="93"/>
      <c r="BZ45" s="130">
        <v>1</v>
      </c>
      <c r="CA45" s="65">
        <v>21000</v>
      </c>
      <c r="CB45" s="130"/>
      <c r="CC45" s="403">
        <f>SUM(CA44:CA50)*1</f>
        <v>222839.59999999998</v>
      </c>
      <c r="CD45" s="93"/>
      <c r="CE45" s="130">
        <v>1</v>
      </c>
      <c r="CF45" s="65">
        <v>21000</v>
      </c>
      <c r="CG45" s="130"/>
      <c r="CH45" s="403">
        <f>SUM(CF44:CF50)*1</f>
        <v>202120.152</v>
      </c>
      <c r="CI45" s="93"/>
      <c r="CJ45" s="130">
        <v>1</v>
      </c>
      <c r="CK45" s="65">
        <v>21000</v>
      </c>
      <c r="CL45" s="130"/>
      <c r="CM45" s="403">
        <f>SUM(CK44:CK50)*1</f>
        <v>187103.46599999996</v>
      </c>
      <c r="CN45" s="93"/>
      <c r="CO45" s="130">
        <v>1</v>
      </c>
      <c r="CP45" s="65">
        <v>21000</v>
      </c>
      <c r="CQ45" s="130"/>
      <c r="CR45" s="403">
        <f>SUM(CP44:CP50)*1</f>
        <v>222915.16800000001</v>
      </c>
      <c r="CS45" s="93"/>
      <c r="CT45" s="130">
        <v>1</v>
      </c>
      <c r="CU45" s="65">
        <v>21000</v>
      </c>
      <c r="CV45" s="130"/>
      <c r="CW45" s="403">
        <f>SUM(CU44:CU50)*1</f>
        <v>223123.57799999998</v>
      </c>
      <c r="CX45" s="93"/>
      <c r="CY45" s="130">
        <v>1</v>
      </c>
      <c r="CZ45" s="65">
        <v>21000</v>
      </c>
      <c r="DA45" s="130"/>
      <c r="DB45" s="403">
        <f>SUM(CZ44:CZ50)*1</f>
        <v>311667.10199999996</v>
      </c>
      <c r="DC45" s="93"/>
      <c r="DD45" s="130">
        <v>1</v>
      </c>
      <c r="DE45" s="65">
        <v>21000</v>
      </c>
      <c r="DF45" s="130"/>
      <c r="DG45" s="403">
        <f>SUM(DE44:DE50)*1</f>
        <v>287735.03600000002</v>
      </c>
      <c r="DH45" s="93"/>
      <c r="DI45" s="130">
        <v>1</v>
      </c>
      <c r="DJ45" s="65">
        <v>21000</v>
      </c>
      <c r="DK45" s="130"/>
      <c r="DL45" s="403">
        <f>SUM(DJ44:DJ50)*1</f>
        <v>275216.64399999997</v>
      </c>
      <c r="DM45" s="93"/>
      <c r="DN45" s="130">
        <v>1</v>
      </c>
      <c r="DO45" s="65">
        <v>21000</v>
      </c>
      <c r="DP45" s="130"/>
      <c r="DQ45" s="403">
        <f>SUM(DO44:DO50)*1</f>
        <v>242134.014</v>
      </c>
      <c r="DR45" s="93"/>
      <c r="DS45" s="130">
        <v>1</v>
      </c>
      <c r="DT45" s="65">
        <v>21000</v>
      </c>
      <c r="DU45" s="130"/>
      <c r="DV45" s="403">
        <f>SUM(DT44:DT50)*1</f>
        <v>225784.46799999996</v>
      </c>
      <c r="DW45" s="93"/>
      <c r="DX45" s="130">
        <v>1</v>
      </c>
      <c r="DY45" s="65">
        <v>21000</v>
      </c>
      <c r="DZ45" s="130"/>
      <c r="EA45" s="403">
        <f>SUM(DY44:DY50)*1</f>
        <v>322502.64399999997</v>
      </c>
      <c r="EB45" s="1445"/>
      <c r="EC45" s="130">
        <v>1</v>
      </c>
      <c r="ED45" s="65" t="s">
        <v>1171</v>
      </c>
      <c r="EE45" s="130"/>
      <c r="EF45" s="403">
        <f>SUM(ED44:ED50)*1</f>
        <v>306744.50799999997</v>
      </c>
      <c r="EG45" s="93"/>
      <c r="EH45" s="130">
        <v>1</v>
      </c>
      <c r="EI45" s="65">
        <v>23000</v>
      </c>
      <c r="EJ45" s="130"/>
      <c r="EK45" s="403">
        <f>SUM(EI44:EI50)*1</f>
        <v>331751.826</v>
      </c>
      <c r="EL45" s="93"/>
      <c r="EM45" s="130">
        <v>1</v>
      </c>
      <c r="EN45" s="65">
        <v>23000</v>
      </c>
      <c r="EO45" s="130"/>
      <c r="EP45" s="403">
        <f>SUM(EN44:EN50)*1</f>
        <v>255479.00399999999</v>
      </c>
      <c r="EQ45" s="93"/>
      <c r="ER45" s="130">
        <v>1</v>
      </c>
      <c r="ES45" s="65">
        <v>23000</v>
      </c>
      <c r="ET45" s="130"/>
      <c r="EU45" s="403">
        <f>SUM(ES44:ES50)*1</f>
        <v>189483.76599999995</v>
      </c>
      <c r="EV45" s="93"/>
      <c r="EW45" s="130">
        <v>1</v>
      </c>
      <c r="EX45" s="65">
        <v>23000</v>
      </c>
      <c r="EY45" s="130"/>
      <c r="EZ45" s="403">
        <f>SUM(EX44:EX50)*1</f>
        <v>230547.19599999997</v>
      </c>
      <c r="FA45" s="93"/>
      <c r="FB45" s="130">
        <v>1</v>
      </c>
      <c r="FC45" s="65">
        <v>23000</v>
      </c>
      <c r="FD45" s="130"/>
      <c r="FE45" s="403">
        <f>SUM(FC44:FC50)*1</f>
        <v>229606.68799999999</v>
      </c>
      <c r="FF45" s="93"/>
      <c r="FG45" s="130">
        <v>1</v>
      </c>
      <c r="FH45" s="65">
        <v>2300</v>
      </c>
      <c r="FI45" s="130"/>
      <c r="FJ45" s="403">
        <f>SUM(FH44:FH50)*1</f>
        <v>292967.10199999996</v>
      </c>
      <c r="FK45" s="93"/>
      <c r="FL45" s="130">
        <v>1</v>
      </c>
      <c r="FM45" s="65">
        <v>2300</v>
      </c>
      <c r="FN45" s="130"/>
      <c r="FO45" s="403">
        <f>SUM(FM44:FM50)*1</f>
        <v>260213.04399999999</v>
      </c>
      <c r="FP45" s="93"/>
      <c r="FQ45" s="130">
        <v>1</v>
      </c>
      <c r="FR45" s="65">
        <v>2300</v>
      </c>
      <c r="FS45" s="130"/>
      <c r="FT45" s="403">
        <f>SUM(FR44:FR50)*1</f>
        <v>218567.79599999997</v>
      </c>
      <c r="FU45" s="93"/>
      <c r="FV45" s="130">
        <v>1</v>
      </c>
      <c r="FW45" s="65">
        <v>2300</v>
      </c>
      <c r="FX45" s="130"/>
      <c r="FY45" s="403">
        <f>SUM(FW44:FW50)*1</f>
        <v>264566.70199999993</v>
      </c>
      <c r="FZ45" s="93"/>
      <c r="GA45" s="130">
        <v>1</v>
      </c>
      <c r="GB45" s="65">
        <v>23000</v>
      </c>
      <c r="GC45" s="130"/>
      <c r="GD45" s="403">
        <f>SUM(GB44:GB50)*1</f>
        <v>283169.89599999995</v>
      </c>
      <c r="GE45" s="93"/>
      <c r="GF45" s="64">
        <v>1</v>
      </c>
      <c r="GG45" s="559">
        <v>21000</v>
      </c>
      <c r="GH45" s="64"/>
      <c r="GI45" s="403">
        <f>SUM(GG44:GG50)*1</f>
        <v>262046.13199999998</v>
      </c>
      <c r="GJ45" s="93"/>
      <c r="GK45" s="64">
        <v>1</v>
      </c>
      <c r="GL45" s="559" t="s">
        <v>1171</v>
      </c>
      <c r="GM45" s="64"/>
      <c r="GN45" s="403">
        <f>SUM(GL44:GL50)*1</f>
        <v>270482.95599999995</v>
      </c>
      <c r="GO45" s="93"/>
      <c r="GP45" s="130">
        <v>1</v>
      </c>
      <c r="GQ45" s="65">
        <v>25000</v>
      </c>
      <c r="GR45" s="130"/>
      <c r="GS45" s="403">
        <f>SUM(GQ44:GQ50)*1</f>
        <v>265813.848</v>
      </c>
      <c r="GT45" s="93"/>
      <c r="GU45" s="130">
        <v>1</v>
      </c>
      <c r="GV45" s="65">
        <v>25000</v>
      </c>
      <c r="GW45" s="130"/>
      <c r="GX45" s="403">
        <f>SUM(GV44:GV50)*1</f>
        <v>313199.13199999998</v>
      </c>
      <c r="GY45" s="93"/>
      <c r="GZ45" s="64">
        <v>1</v>
      </c>
      <c r="HA45" s="559">
        <v>23000</v>
      </c>
      <c r="HB45" s="64"/>
      <c r="HC45" s="403">
        <f>SUM(HA44:HA50)*1</f>
        <v>189483.76599999995</v>
      </c>
      <c r="HD45" s="93"/>
      <c r="HE45" s="64">
        <v>1</v>
      </c>
      <c r="HF45" s="559">
        <v>23000</v>
      </c>
      <c r="HG45" s="64"/>
      <c r="HH45" s="403">
        <f>SUM(HF44:HF50)*1</f>
        <v>230547.19599999997</v>
      </c>
      <c r="HI45" s="93"/>
      <c r="HJ45" s="64">
        <v>1</v>
      </c>
      <c r="HK45" s="559">
        <v>23000</v>
      </c>
      <c r="HL45" s="64"/>
      <c r="HM45" s="403">
        <f>SUM(HK44:HK50)*1</f>
        <v>229606.68799999999</v>
      </c>
      <c r="HN45" s="93"/>
      <c r="HO45" s="64">
        <v>1</v>
      </c>
      <c r="HP45" s="559">
        <v>2300</v>
      </c>
      <c r="HQ45" s="64"/>
      <c r="HR45" s="403">
        <f>SUM(HP44:HP50)*1</f>
        <v>292967.10199999996</v>
      </c>
      <c r="HS45" s="93"/>
      <c r="HT45" s="64">
        <v>1</v>
      </c>
      <c r="HU45" s="559">
        <v>2300</v>
      </c>
      <c r="HV45" s="64"/>
      <c r="HW45" s="403">
        <f>SUM(HU44:HU50)*1</f>
        <v>260213.04399999999</v>
      </c>
      <c r="HX45" s="93"/>
      <c r="HY45" s="64">
        <v>1</v>
      </c>
      <c r="HZ45" s="559">
        <v>2300</v>
      </c>
      <c r="IA45" s="64"/>
      <c r="IB45" s="403">
        <f>SUM(HZ44:HZ50)*1</f>
        <v>218567.79599999997</v>
      </c>
      <c r="IC45" s="93"/>
      <c r="ID45" s="64">
        <v>1</v>
      </c>
      <c r="IE45" s="559">
        <v>2300</v>
      </c>
      <c r="IF45" s="64"/>
      <c r="IG45" s="403">
        <f>SUM(IE44:IE50)*1</f>
        <v>264566.70199999993</v>
      </c>
      <c r="IH45" s="93"/>
      <c r="II45" s="64">
        <v>1</v>
      </c>
      <c r="IJ45" s="559">
        <v>23000</v>
      </c>
      <c r="IK45" s="64"/>
      <c r="IL45" s="403">
        <f>SUM(IJ44:IJ50)*1</f>
        <v>109236.24400000001</v>
      </c>
      <c r="IM45" s="93"/>
      <c r="IN45" s="64">
        <v>1</v>
      </c>
      <c r="IO45" s="559">
        <v>21000</v>
      </c>
      <c r="IP45" s="64"/>
      <c r="IQ45" s="403">
        <f>SUM(IO44:IO50)*1</f>
        <v>107236.24400000001</v>
      </c>
    </row>
    <row r="46" spans="1:251" ht="15" customHeight="1">
      <c r="A46" s="647"/>
      <c r="B46" s="270"/>
      <c r="C46" s="219">
        <v>40397750</v>
      </c>
      <c r="D46" s="224" t="s">
        <v>36</v>
      </c>
      <c r="E46" s="221" t="s">
        <v>188</v>
      </c>
      <c r="F46" s="34"/>
      <c r="G46" s="106"/>
      <c r="H46" s="130">
        <v>2</v>
      </c>
      <c r="I46" s="130">
        <v>67.430000000000007</v>
      </c>
      <c r="J46" s="130"/>
      <c r="K46" s="41"/>
      <c r="L46" s="106"/>
      <c r="M46" s="65">
        <v>4</v>
      </c>
      <c r="N46" s="65">
        <v>134.86000000000001</v>
      </c>
      <c r="O46" s="130"/>
      <c r="P46" s="41"/>
      <c r="Q46" s="105"/>
      <c r="R46" s="130"/>
      <c r="S46" s="130"/>
      <c r="T46" s="130"/>
      <c r="U46" s="41"/>
      <c r="V46" s="116"/>
      <c r="W46" s="130">
        <v>1</v>
      </c>
      <c r="X46" s="130">
        <v>33.72</v>
      </c>
      <c r="Y46" s="130"/>
      <c r="Z46" s="130"/>
      <c r="AA46" s="93"/>
      <c r="AB46" s="130">
        <v>1</v>
      </c>
      <c r="AC46" s="130">
        <v>303.44</v>
      </c>
      <c r="AD46" s="130"/>
      <c r="AE46" s="130"/>
      <c r="AF46" s="93"/>
      <c r="AG46" s="130">
        <v>7</v>
      </c>
      <c r="AH46" s="130">
        <v>236.01</v>
      </c>
      <c r="AI46" s="130"/>
      <c r="AJ46" s="421">
        <f>AH44+AH45+AH46+AH47+AH48+AH50</f>
        <v>170318.36000000002</v>
      </c>
      <c r="AK46" s="93"/>
      <c r="AL46" s="130">
        <v>5</v>
      </c>
      <c r="AM46" s="130">
        <v>185.38</v>
      </c>
      <c r="AN46" s="130"/>
      <c r="AO46" s="421">
        <f>AM44+AM45+AM46+AN48+AN47</f>
        <v>178167.54</v>
      </c>
      <c r="AP46" s="93"/>
      <c r="AQ46" s="130">
        <v>6</v>
      </c>
      <c r="AR46" s="130">
        <v>219.09</v>
      </c>
      <c r="AS46" s="130"/>
      <c r="AT46" s="130"/>
      <c r="AU46" s="93"/>
      <c r="AV46" s="130">
        <v>6</v>
      </c>
      <c r="AW46" s="130">
        <v>219.64</v>
      </c>
      <c r="AX46" s="130"/>
      <c r="AY46" s="130"/>
      <c r="AZ46" s="93"/>
      <c r="BA46" s="130">
        <v>7</v>
      </c>
      <c r="BB46" s="130">
        <v>253.44</v>
      </c>
      <c r="BC46" s="130"/>
      <c r="BD46" s="130"/>
      <c r="BE46" s="93"/>
      <c r="BF46" s="130">
        <v>7</v>
      </c>
      <c r="BG46" s="372">
        <v>253.44</v>
      </c>
      <c r="BH46" s="130"/>
      <c r="BI46" s="130"/>
      <c r="BJ46" s="93"/>
      <c r="BK46" s="130">
        <v>7</v>
      </c>
      <c r="BL46" s="130">
        <v>253.44</v>
      </c>
      <c r="BM46" s="130"/>
      <c r="BN46" s="130"/>
      <c r="BO46" s="93"/>
      <c r="BP46" s="130">
        <v>7</v>
      </c>
      <c r="BQ46" s="130">
        <v>253.44</v>
      </c>
      <c r="BR46" s="130"/>
      <c r="BS46" s="130"/>
      <c r="BT46" s="93"/>
      <c r="BU46" s="130">
        <v>8</v>
      </c>
      <c r="BV46" s="130">
        <v>287.24</v>
      </c>
      <c r="BW46" s="130"/>
      <c r="BX46" s="130"/>
      <c r="BY46" s="93"/>
      <c r="BZ46" s="130">
        <v>1</v>
      </c>
      <c r="CA46" s="130">
        <v>253.44</v>
      </c>
      <c r="CB46" s="130"/>
      <c r="CC46" s="130"/>
      <c r="CD46" s="93"/>
      <c r="CE46" s="130">
        <v>1</v>
      </c>
      <c r="CF46" s="372">
        <v>219.64</v>
      </c>
      <c r="CG46" s="130"/>
      <c r="CH46" s="130"/>
      <c r="CI46" s="93"/>
      <c r="CJ46" s="64"/>
      <c r="CK46" s="64"/>
      <c r="CL46" s="64"/>
      <c r="CM46" s="130"/>
      <c r="CN46" s="93"/>
      <c r="CO46" s="64"/>
      <c r="CP46" s="64"/>
      <c r="CQ46" s="64"/>
      <c r="CR46" s="130"/>
      <c r="CS46" s="93"/>
      <c r="CT46" s="64"/>
      <c r="CU46" s="64"/>
      <c r="CV46" s="64"/>
      <c r="CW46" s="130"/>
      <c r="CX46" s="93"/>
      <c r="CY46" s="64"/>
      <c r="CZ46" s="64"/>
      <c r="DA46" s="64"/>
      <c r="DB46" s="130"/>
      <c r="DC46" s="93"/>
      <c r="DD46" s="130"/>
      <c r="DE46" s="130">
        <v>557.64</v>
      </c>
      <c r="DF46" s="130"/>
      <c r="DG46" s="130"/>
      <c r="DH46" s="93"/>
      <c r="DI46" s="130"/>
      <c r="DJ46" s="372">
        <v>287.24</v>
      </c>
      <c r="DK46" s="130"/>
      <c r="DL46" s="130"/>
      <c r="DM46" s="93"/>
      <c r="DN46" s="130">
        <v>13</v>
      </c>
      <c r="DO46" s="130">
        <v>456.24</v>
      </c>
      <c r="DP46" s="130"/>
      <c r="DQ46" s="130"/>
      <c r="DR46" s="93"/>
      <c r="DS46" s="130"/>
      <c r="DT46" s="130">
        <v>287.24</v>
      </c>
      <c r="DU46" s="130"/>
      <c r="DV46" s="130"/>
      <c r="DW46" s="93"/>
      <c r="DX46" s="130">
        <v>6</v>
      </c>
      <c r="DY46" s="130">
        <v>380.3</v>
      </c>
      <c r="DZ46" s="130"/>
      <c r="EA46" s="130"/>
      <c r="EB46" s="93"/>
      <c r="EC46" s="130">
        <v>8</v>
      </c>
      <c r="ED46" s="130">
        <v>500.04</v>
      </c>
      <c r="EE46" s="130"/>
      <c r="EF46" s="130"/>
      <c r="EG46" s="93"/>
      <c r="EH46" s="130">
        <v>1</v>
      </c>
      <c r="EI46" s="130">
        <v>559.91999999999996</v>
      </c>
      <c r="EJ46" s="130"/>
      <c r="EK46" s="130"/>
      <c r="EL46" s="93"/>
      <c r="EM46" s="130">
        <v>1</v>
      </c>
      <c r="EN46" s="372">
        <v>380.3</v>
      </c>
      <c r="EO46" s="130"/>
      <c r="EP46" s="130"/>
      <c r="EQ46" s="93"/>
      <c r="ER46" s="130">
        <v>1</v>
      </c>
      <c r="ES46" s="372">
        <v>380.3</v>
      </c>
      <c r="ET46" s="130"/>
      <c r="EU46" s="130"/>
      <c r="EV46" s="93"/>
      <c r="EW46" s="130"/>
      <c r="EX46" s="130">
        <v>440.17</v>
      </c>
      <c r="EY46" s="130"/>
      <c r="EZ46" s="130"/>
      <c r="FA46" s="93"/>
      <c r="FB46" s="130"/>
      <c r="FC46" s="130">
        <v>559.91999999999996</v>
      </c>
      <c r="FD46" s="130"/>
      <c r="FE46" s="130"/>
      <c r="FF46" s="93"/>
      <c r="FG46" s="64"/>
      <c r="FH46" s="64"/>
      <c r="FI46" s="64"/>
      <c r="FJ46" s="130"/>
      <c r="FK46" s="93"/>
      <c r="FL46" s="64"/>
      <c r="FM46" s="64">
        <v>557.64</v>
      </c>
      <c r="FN46" s="64"/>
      <c r="FO46" s="130"/>
      <c r="FP46" s="93"/>
      <c r="FQ46" s="64"/>
      <c r="FR46" s="509">
        <v>287.24</v>
      </c>
      <c r="FS46" s="64"/>
      <c r="FT46" s="130"/>
      <c r="FU46" s="93"/>
      <c r="FV46" s="64">
        <v>13</v>
      </c>
      <c r="FW46" s="64">
        <v>456.24</v>
      </c>
      <c r="FX46" s="64"/>
      <c r="FY46" s="130"/>
      <c r="FZ46" s="93"/>
      <c r="GA46" s="64"/>
      <c r="GB46" s="64"/>
      <c r="GC46" s="64"/>
      <c r="GD46" s="130"/>
      <c r="GE46" s="93"/>
      <c r="GF46" s="64"/>
      <c r="GG46" s="64"/>
      <c r="GH46" s="64"/>
      <c r="GI46" s="130"/>
      <c r="GJ46" s="93"/>
      <c r="GK46" s="64">
        <v>8</v>
      </c>
      <c r="GL46" s="64">
        <v>500.04</v>
      </c>
      <c r="GM46" s="64"/>
      <c r="GN46" s="130"/>
      <c r="GO46" s="93"/>
      <c r="GP46" s="130">
        <v>1</v>
      </c>
      <c r="GQ46" s="130">
        <v>559.91999999999996</v>
      </c>
      <c r="GR46" s="130"/>
      <c r="GS46" s="130"/>
      <c r="GT46" s="93"/>
      <c r="GU46" s="64">
        <v>1</v>
      </c>
      <c r="GV46" s="509">
        <v>380.3</v>
      </c>
      <c r="GW46" s="64"/>
      <c r="GX46" s="130"/>
      <c r="GY46" s="93"/>
      <c r="GZ46" s="64">
        <v>1</v>
      </c>
      <c r="HA46" s="509">
        <v>380.3</v>
      </c>
      <c r="HB46" s="64"/>
      <c r="HC46" s="130"/>
      <c r="HD46" s="93"/>
      <c r="HE46" s="64"/>
      <c r="HF46" s="64">
        <v>440.17</v>
      </c>
      <c r="HG46" s="64"/>
      <c r="HH46" s="130"/>
      <c r="HI46" s="93"/>
      <c r="HJ46" s="64"/>
      <c r="HK46" s="64">
        <v>559.91999999999996</v>
      </c>
      <c r="HL46" s="64"/>
      <c r="HM46" s="130"/>
      <c r="HN46" s="93"/>
      <c r="HO46" s="64"/>
      <c r="HP46" s="64"/>
      <c r="HQ46" s="64"/>
      <c r="HR46" s="130"/>
      <c r="HS46" s="93"/>
      <c r="HT46" s="64"/>
      <c r="HU46" s="64">
        <v>557.64</v>
      </c>
      <c r="HV46" s="64"/>
      <c r="HW46" s="130"/>
      <c r="HX46" s="93"/>
      <c r="HY46" s="64"/>
      <c r="HZ46" s="509">
        <v>287.24</v>
      </c>
      <c r="IA46" s="64"/>
      <c r="IB46" s="130"/>
      <c r="IC46" s="93"/>
      <c r="ID46" s="64">
        <v>13</v>
      </c>
      <c r="IE46" s="64">
        <v>456.24</v>
      </c>
      <c r="IF46" s="64"/>
      <c r="IG46" s="130"/>
      <c r="IH46" s="93"/>
      <c r="II46" s="64"/>
      <c r="IJ46" s="64"/>
      <c r="IK46" s="64"/>
      <c r="IL46" s="130"/>
      <c r="IM46" s="93"/>
      <c r="IN46" s="64"/>
      <c r="IO46" s="64"/>
      <c r="IP46" s="64"/>
      <c r="IQ46" s="130"/>
    </row>
    <row r="47" spans="1:251" ht="15" customHeight="1">
      <c r="A47" s="647">
        <v>1</v>
      </c>
      <c r="B47" s="256"/>
      <c r="C47" s="215">
        <v>44878589</v>
      </c>
      <c r="D47" s="222" t="s">
        <v>378</v>
      </c>
      <c r="E47" s="221" t="s">
        <v>13</v>
      </c>
      <c r="F47" s="34"/>
      <c r="G47" s="106">
        <f>I47/H47</f>
        <v>5.8344719622976573</v>
      </c>
      <c r="H47" s="130">
        <v>14641</v>
      </c>
      <c r="I47" s="130">
        <v>85422.504000000001</v>
      </c>
      <c r="J47" s="130">
        <v>59321.18</v>
      </c>
      <c r="K47" s="41"/>
      <c r="L47" s="106">
        <f>N47/M47</f>
        <v>0</v>
      </c>
      <c r="M47" s="130">
        <v>21940</v>
      </c>
      <c r="N47" s="345">
        <v>0</v>
      </c>
      <c r="O47" s="345"/>
      <c r="P47" s="346"/>
      <c r="Q47" s="106">
        <f>S47/R47</f>
        <v>5.4634919899990741</v>
      </c>
      <c r="R47" s="130">
        <v>21598</v>
      </c>
      <c r="S47" s="130">
        <v>118000.5</v>
      </c>
      <c r="T47" s="130">
        <v>118000.5</v>
      </c>
      <c r="U47" s="41"/>
      <c r="V47" s="117">
        <f>X47/W47</f>
        <v>5.6633997981696069</v>
      </c>
      <c r="W47" s="130">
        <v>28737</v>
      </c>
      <c r="X47" s="130">
        <v>162749.12</v>
      </c>
      <c r="Y47" s="130">
        <v>118000.5</v>
      </c>
      <c r="Z47" s="130"/>
      <c r="AA47" s="94">
        <f>AC47/AB47</f>
        <v>5.2304759425894254</v>
      </c>
      <c r="AB47" s="130">
        <v>26894</v>
      </c>
      <c r="AC47" s="130">
        <v>140668.42000000001</v>
      </c>
      <c r="AD47" s="398">
        <v>0</v>
      </c>
      <c r="AE47" s="130"/>
      <c r="AF47" s="94">
        <f>AH47/AG47</f>
        <v>5.3864638338054771</v>
      </c>
      <c r="AG47" s="420">
        <v>26475</v>
      </c>
      <c r="AH47" s="420">
        <v>142606.63</v>
      </c>
      <c r="AI47" s="398">
        <v>0</v>
      </c>
      <c r="AJ47" s="130"/>
      <c r="AK47" s="94">
        <f>AM47/AL47</f>
        <v>5.6518919723234884</v>
      </c>
      <c r="AL47" s="420">
        <v>26882</v>
      </c>
      <c r="AM47" s="420">
        <v>151934.16</v>
      </c>
      <c r="AN47" s="130">
        <v>151934.16</v>
      </c>
      <c r="AO47" s="130"/>
      <c r="AP47" s="94">
        <f>AR47/AQ47</f>
        <v>6.8216520439331898</v>
      </c>
      <c r="AQ47" s="420">
        <v>30774</v>
      </c>
      <c r="AR47" s="420">
        <v>209929.52</v>
      </c>
      <c r="AS47" s="130">
        <v>230791.33634399998</v>
      </c>
      <c r="AT47" s="130"/>
      <c r="AU47" s="94">
        <f>AW47/AV47</f>
        <v>7.5147961771733138</v>
      </c>
      <c r="AV47" s="420">
        <v>32646</v>
      </c>
      <c r="AW47" s="518">
        <f>1.2*204440.03</f>
        <v>245328.03599999999</v>
      </c>
      <c r="AX47" s="64">
        <v>59321.18</v>
      </c>
      <c r="AY47" s="130"/>
      <c r="AZ47" s="94">
        <f>BB47/BA47</f>
        <v>2.9535476108152965</v>
      </c>
      <c r="BA47" s="420">
        <v>28922</v>
      </c>
      <c r="BB47" s="64">
        <v>85422.504000000001</v>
      </c>
      <c r="BC47" s="64">
        <v>59321.18</v>
      </c>
      <c r="BD47" s="130"/>
      <c r="BE47" s="94">
        <f>BG47/BF47</f>
        <v>7.2173641322749331</v>
      </c>
      <c r="BF47" s="420">
        <v>26581</v>
      </c>
      <c r="BG47" s="420">
        <v>191844.75599999999</v>
      </c>
      <c r="BH47" s="130">
        <v>0</v>
      </c>
      <c r="BI47" s="130"/>
      <c r="BJ47" s="94">
        <f>BL47/BK47</f>
        <v>7.5240960820895522</v>
      </c>
      <c r="BK47" s="420">
        <v>25728</v>
      </c>
      <c r="BL47" s="420">
        <f>1.2*161316.62</f>
        <v>193579.94399999999</v>
      </c>
      <c r="BM47" s="130">
        <v>151877.09849999999</v>
      </c>
      <c r="BN47" s="130"/>
      <c r="BO47" s="94">
        <f>BQ47/BP47</f>
        <v>7.0861201448423135</v>
      </c>
      <c r="BP47" s="420">
        <v>32311</v>
      </c>
      <c r="BQ47" s="420">
        <f>1.2*190799.69</f>
        <v>228959.628</v>
      </c>
      <c r="BR47" s="64">
        <v>0</v>
      </c>
      <c r="BS47" s="130"/>
      <c r="BT47" s="94">
        <f>BV47/BU47</f>
        <v>7.0129998850178223</v>
      </c>
      <c r="BU47" s="420">
        <v>34788</v>
      </c>
      <c r="BV47" s="420">
        <v>243968.24</v>
      </c>
      <c r="BW47" s="130">
        <f>157195.68+86772.56</f>
        <v>243968.24</v>
      </c>
      <c r="BX47" s="130"/>
      <c r="BY47" s="94">
        <f>CA47/BZ47</f>
        <v>6.6231839314981436</v>
      </c>
      <c r="BZ47" s="670">
        <v>29897</v>
      </c>
      <c r="CA47" s="420">
        <v>198013.33</v>
      </c>
      <c r="CB47" s="130">
        <v>105341.6</v>
      </c>
      <c r="CC47" s="130"/>
      <c r="CD47" s="94">
        <f>CF47/CE47</f>
        <v>6.4699321959755025</v>
      </c>
      <c r="CE47" s="670">
        <v>27432</v>
      </c>
      <c r="CF47" s="420">
        <f>1.2*147902.65</f>
        <v>177483.18</v>
      </c>
      <c r="CG47" s="130" t="s">
        <v>468</v>
      </c>
      <c r="CH47" s="130"/>
      <c r="CI47" s="94">
        <f>CK47/CJ47</f>
        <v>6.7323120426640202</v>
      </c>
      <c r="CJ47" s="420">
        <v>24189</v>
      </c>
      <c r="CK47" s="420">
        <f>1.2*135706.58</f>
        <v>162847.89599999998</v>
      </c>
      <c r="CL47" s="130" t="s">
        <v>526</v>
      </c>
      <c r="CM47" s="130"/>
      <c r="CN47" s="94">
        <f>CP47/CO47</f>
        <v>7.6846319926028661</v>
      </c>
      <c r="CO47" s="420">
        <v>25956</v>
      </c>
      <c r="CP47" s="420">
        <f>166218.59*1.2</f>
        <v>199462.30799999999</v>
      </c>
      <c r="CQ47" s="130">
        <v>194213.88</v>
      </c>
      <c r="CR47" s="130"/>
      <c r="CS47" s="94">
        <f>CU47/CT47</f>
        <v>8.6037361724227459</v>
      </c>
      <c r="CT47" s="420">
        <v>23106</v>
      </c>
      <c r="CU47" s="420">
        <f>1.2*165664.94</f>
        <v>198797.92799999999</v>
      </c>
      <c r="CV47" s="130">
        <v>215960.5</v>
      </c>
      <c r="CW47" s="130"/>
      <c r="CX47" s="94">
        <f>CZ47/CY47</f>
        <v>9.2331721565001104</v>
      </c>
      <c r="CY47" s="420">
        <v>31361</v>
      </c>
      <c r="CZ47" s="420">
        <f>1.2*241301.26</f>
        <v>289561.51199999999</v>
      </c>
      <c r="DA47" s="130">
        <v>291352.74</v>
      </c>
      <c r="DB47" s="130"/>
      <c r="DC47" s="94">
        <f>DE47/DD47</f>
        <v>9.2535361439481125</v>
      </c>
      <c r="DD47" s="420">
        <v>28677</v>
      </c>
      <c r="DE47" s="420">
        <f>1.2*221136.38</f>
        <v>265363.65600000002</v>
      </c>
      <c r="DF47" s="372">
        <v>339199.98</v>
      </c>
      <c r="DG47" s="130"/>
      <c r="DH47" s="94">
        <f>DJ47/DI47</f>
        <v>9.2958119651841784</v>
      </c>
      <c r="DI47" s="420">
        <v>27229</v>
      </c>
      <c r="DJ47" s="420">
        <f>210929.72*1.2</f>
        <v>253115.66399999999</v>
      </c>
      <c r="DK47" s="64">
        <v>0</v>
      </c>
      <c r="DL47" s="130"/>
      <c r="DM47" s="94">
        <f>DO47/DN47</f>
        <v>9.2315402144208534</v>
      </c>
      <c r="DN47" s="420">
        <v>23785</v>
      </c>
      <c r="DO47" s="420">
        <f>1.2*182976.82</f>
        <v>219572.18400000001</v>
      </c>
      <c r="DP47" s="130">
        <v>290676.33</v>
      </c>
      <c r="DQ47" s="130"/>
      <c r="DR47" s="94">
        <f>DT47/DS47</f>
        <v>9.4262998889300249</v>
      </c>
      <c r="DS47" s="420">
        <v>21608</v>
      </c>
      <c r="DT47" s="420">
        <f>1.2*169736.24</f>
        <v>203683.48799999998</v>
      </c>
      <c r="DU47" s="130">
        <v>188401.32500000001</v>
      </c>
      <c r="DV47" s="130"/>
      <c r="DW47" s="94">
        <f>DY47/DX47</f>
        <v>10.221408120029174</v>
      </c>
      <c r="DX47" s="420">
        <v>28793</v>
      </c>
      <c r="DY47" s="420">
        <f>1.2*245254.17</f>
        <v>294305.00400000002</v>
      </c>
      <c r="DZ47" s="130">
        <v>186689.27</v>
      </c>
      <c r="EA47" s="130"/>
      <c r="EB47" s="94">
        <f>ED47/EC47</f>
        <v>10.164311858395006</v>
      </c>
      <c r="EC47" s="420">
        <v>29321</v>
      </c>
      <c r="ED47" s="420">
        <f>1.2*248356.49</f>
        <v>298027.788</v>
      </c>
      <c r="EE47" s="130" t="s">
        <v>1173</v>
      </c>
      <c r="EF47" s="130"/>
      <c r="EG47" s="94">
        <f>EI47/EH47</f>
        <v>10.381320110418157</v>
      </c>
      <c r="EH47" s="670">
        <v>29343</v>
      </c>
      <c r="EI47" s="420">
        <f>1.2*253849.23</f>
        <v>304619.076</v>
      </c>
      <c r="EJ47" s="64">
        <v>105341.6</v>
      </c>
      <c r="EK47" s="130"/>
      <c r="EL47" s="94">
        <f>EN47/EM47</f>
        <v>9.293723969763473</v>
      </c>
      <c r="EM47" s="670">
        <v>24606</v>
      </c>
      <c r="EN47" s="420">
        <f>1.2*190567.81</f>
        <v>228681.372</v>
      </c>
      <c r="EO47" s="64" t="s">
        <v>468</v>
      </c>
      <c r="EP47" s="130"/>
      <c r="EQ47" s="94">
        <f>ES47/ER47</f>
        <v>6.7323120426640202</v>
      </c>
      <c r="ER47" s="64">
        <v>24189</v>
      </c>
      <c r="ES47" s="64">
        <f>1.2*135706.58</f>
        <v>162847.89599999998</v>
      </c>
      <c r="ET47" s="64" t="s">
        <v>526</v>
      </c>
      <c r="EU47" s="130"/>
      <c r="EV47" s="94">
        <f>EX47/EW47</f>
        <v>8.3215079384615382</v>
      </c>
      <c r="EW47" s="420">
        <v>24375</v>
      </c>
      <c r="EX47" s="420">
        <f>169030.63*1.2</f>
        <v>202836.75599999999</v>
      </c>
      <c r="EY47" s="64">
        <v>194213.88</v>
      </c>
      <c r="EZ47" s="130"/>
      <c r="FA47" s="94">
        <f>FC47/FB47</f>
        <v>8.6037361724227459</v>
      </c>
      <c r="FB47" s="64">
        <v>23106</v>
      </c>
      <c r="FC47" s="64">
        <f>1.2*165664.94</f>
        <v>198797.92799999999</v>
      </c>
      <c r="FD47" s="64">
        <v>215960.5</v>
      </c>
      <c r="FE47" s="130"/>
      <c r="FF47" s="94">
        <f>FH47/FG47</f>
        <v>9.2331721565001104</v>
      </c>
      <c r="FG47" s="64">
        <v>31361</v>
      </c>
      <c r="FH47" s="64">
        <f>1.2*241301.26</f>
        <v>289561.51199999999</v>
      </c>
      <c r="FI47" s="64">
        <v>291352.74</v>
      </c>
      <c r="FJ47" s="130"/>
      <c r="FK47" s="94">
        <f>FM47/FL47</f>
        <v>9.3597600788062305</v>
      </c>
      <c r="FL47" s="420">
        <v>27409</v>
      </c>
      <c r="FM47" s="420">
        <f>1.2*213784.72</f>
        <v>256541.66399999999</v>
      </c>
      <c r="FN47" s="372">
        <v>273493.43999999994</v>
      </c>
      <c r="FO47" s="130"/>
      <c r="FP47" s="94">
        <f>FR47/FQ47</f>
        <v>8.7094440801457189</v>
      </c>
      <c r="FQ47" s="420">
        <v>24705</v>
      </c>
      <c r="FR47" s="420">
        <f>1.2*179305.68</f>
        <v>215166.81599999999</v>
      </c>
      <c r="FS47" s="130">
        <v>250480.38399999999</v>
      </c>
      <c r="FT47" s="130"/>
      <c r="FU47" s="94">
        <f>FW47/FV47</f>
        <v>11.005440204211869</v>
      </c>
      <c r="FV47" s="420">
        <v>23505</v>
      </c>
      <c r="FW47" s="420">
        <f>1.2*215569.06</f>
        <v>258682.87199999997</v>
      </c>
      <c r="FX47" s="64">
        <v>290676.33</v>
      </c>
      <c r="FY47" s="130"/>
      <c r="FZ47" s="94">
        <f>GB47/GA47</f>
        <v>11.580467762100374</v>
      </c>
      <c r="GA47" s="420">
        <v>22396</v>
      </c>
      <c r="GB47" s="420">
        <f>1.2*216130.13</f>
        <v>259356.15599999999</v>
      </c>
      <c r="GC47" s="64">
        <v>188401.32500000001</v>
      </c>
      <c r="GD47" s="130"/>
      <c r="GE47" s="94">
        <f>GG47/GF47</f>
        <v>11.69159976293955</v>
      </c>
      <c r="GF47" s="420">
        <v>20248</v>
      </c>
      <c r="GG47" s="420">
        <f>1.2*197276.26</f>
        <v>236731.51199999999</v>
      </c>
      <c r="GH47" s="64">
        <v>0</v>
      </c>
      <c r="GI47" s="130"/>
      <c r="GJ47" s="94">
        <f>GL47/GK47</f>
        <v>13.412904078704651</v>
      </c>
      <c r="GK47" s="420">
        <v>19516</v>
      </c>
      <c r="GL47" s="420">
        <f>1.2*218138.53</f>
        <v>261766.23599999998</v>
      </c>
      <c r="GM47" s="64" t="s">
        <v>1173</v>
      </c>
      <c r="GN47" s="130"/>
      <c r="GO47" s="94">
        <f>GQ47/GP47</f>
        <v>15.138828151821476</v>
      </c>
      <c r="GP47" s="670">
        <v>15729</v>
      </c>
      <c r="GQ47" s="420">
        <f>1.2*198432.19</f>
        <v>238118.628</v>
      </c>
      <c r="GR47" s="64">
        <v>105341.6</v>
      </c>
      <c r="GS47" s="130"/>
      <c r="GT47" s="94">
        <f>GV47/GU47</f>
        <v>12.270023906453009</v>
      </c>
      <c r="GU47" s="670">
        <v>23090</v>
      </c>
      <c r="GV47" s="420">
        <f>1.2*236095.71</f>
        <v>283314.85199999996</v>
      </c>
      <c r="GW47" s="64" t="s">
        <v>468</v>
      </c>
      <c r="GX47" s="130"/>
      <c r="GY47" s="94">
        <f>HA47/GZ47</f>
        <v>6.7323120426640202</v>
      </c>
      <c r="GZ47" s="64">
        <v>24189</v>
      </c>
      <c r="HA47" s="64">
        <f>1.2*135706.58</f>
        <v>162847.89599999998</v>
      </c>
      <c r="HB47" s="64" t="s">
        <v>526</v>
      </c>
      <c r="HC47" s="130"/>
      <c r="HD47" s="94">
        <f>HF47/HE47</f>
        <v>8.3215079384615382</v>
      </c>
      <c r="HE47" s="64">
        <v>24375</v>
      </c>
      <c r="HF47" s="64">
        <f>169030.63*1.2</f>
        <v>202836.75599999999</v>
      </c>
      <c r="HG47" s="64">
        <v>194213.88</v>
      </c>
      <c r="HH47" s="130"/>
      <c r="HI47" s="94">
        <f>HK47/HJ47</f>
        <v>8.6037361724227459</v>
      </c>
      <c r="HJ47" s="64">
        <v>23106</v>
      </c>
      <c r="HK47" s="64">
        <f>1.2*165664.94</f>
        <v>198797.92799999999</v>
      </c>
      <c r="HL47" s="64">
        <v>215960.5</v>
      </c>
      <c r="HM47" s="130"/>
      <c r="HN47" s="94">
        <f>HP47/HO47</f>
        <v>9.2331721565001104</v>
      </c>
      <c r="HO47" s="64">
        <v>31361</v>
      </c>
      <c r="HP47" s="64">
        <f>1.2*241301.26</f>
        <v>289561.51199999999</v>
      </c>
      <c r="HQ47" s="64">
        <v>291352.74</v>
      </c>
      <c r="HR47" s="130"/>
      <c r="HS47" s="94">
        <f>HU47/HT47</f>
        <v>9.3597600788062305</v>
      </c>
      <c r="HT47" s="64">
        <v>27409</v>
      </c>
      <c r="HU47" s="64">
        <f>1.2*213784.72</f>
        <v>256541.66399999999</v>
      </c>
      <c r="HV47" s="509">
        <v>273493.43999999994</v>
      </c>
      <c r="HW47" s="130"/>
      <c r="HX47" s="94">
        <f>HZ47/HY47</f>
        <v>8.7094440801457189</v>
      </c>
      <c r="HY47" s="64">
        <v>24705</v>
      </c>
      <c r="HZ47" s="64">
        <f>1.2*179305.68</f>
        <v>215166.81599999999</v>
      </c>
      <c r="IA47" s="64">
        <v>250480.38399999999</v>
      </c>
      <c r="IB47" s="130"/>
      <c r="IC47" s="94">
        <f>IE47/ID47</f>
        <v>11.005440204211869</v>
      </c>
      <c r="ID47" s="64">
        <v>23505</v>
      </c>
      <c r="IE47" s="64">
        <f>1.2*215569.06</f>
        <v>258682.87199999997</v>
      </c>
      <c r="IF47" s="64">
        <v>290676.33</v>
      </c>
      <c r="IG47" s="130"/>
      <c r="IH47" s="94">
        <f>IJ47/II47</f>
        <v>5.8344719622976573</v>
      </c>
      <c r="II47" s="64">
        <v>14641</v>
      </c>
      <c r="IJ47" s="64">
        <v>85422.504000000001</v>
      </c>
      <c r="IK47" s="64">
        <v>188401.32500000001</v>
      </c>
      <c r="IL47" s="130"/>
      <c r="IM47" s="94">
        <f>IO47/IN47</f>
        <v>5.8344719622976573</v>
      </c>
      <c r="IN47" s="64">
        <v>14641</v>
      </c>
      <c r="IO47" s="64">
        <v>85422.504000000001</v>
      </c>
      <c r="IP47" s="64">
        <v>0</v>
      </c>
      <c r="IQ47" s="130"/>
    </row>
    <row r="48" spans="1:251" ht="15" customHeight="1">
      <c r="A48" s="649"/>
      <c r="B48" s="269"/>
      <c r="C48" s="219">
        <v>23243188</v>
      </c>
      <c r="D48" s="222" t="s">
        <v>38</v>
      </c>
      <c r="E48" s="221" t="s">
        <v>15</v>
      </c>
      <c r="F48" s="34"/>
      <c r="G48" s="105"/>
      <c r="H48" s="130">
        <v>1</v>
      </c>
      <c r="I48" s="130">
        <v>813.74</v>
      </c>
      <c r="J48" s="130"/>
      <c r="K48" s="41"/>
      <c r="L48" s="105"/>
      <c r="M48" s="130">
        <v>4855</v>
      </c>
      <c r="N48" s="130">
        <v>1239.67</v>
      </c>
      <c r="O48" s="130">
        <v>1239.67</v>
      </c>
      <c r="P48" s="41"/>
      <c r="Q48" s="105"/>
      <c r="R48" s="130">
        <v>5746</v>
      </c>
      <c r="S48" s="130">
        <v>1540</v>
      </c>
      <c r="T48" s="130">
        <v>1540.42</v>
      </c>
      <c r="U48" s="41"/>
      <c r="V48" s="116"/>
      <c r="W48" s="130">
        <v>1</v>
      </c>
      <c r="X48" s="130">
        <v>2020.87</v>
      </c>
      <c r="Y48" s="130">
        <v>2020.87</v>
      </c>
      <c r="Z48" s="130"/>
      <c r="AA48" s="93"/>
      <c r="AB48" s="130">
        <v>1</v>
      </c>
      <c r="AC48" s="130">
        <v>2423.34</v>
      </c>
      <c r="AD48" s="130">
        <v>2423.34</v>
      </c>
      <c r="AE48" s="130"/>
      <c r="AF48" s="93"/>
      <c r="AG48" s="130">
        <v>1</v>
      </c>
      <c r="AH48" s="130">
        <f>2386.75+319.53</f>
        <v>2706.2799999999997</v>
      </c>
      <c r="AI48" s="130"/>
      <c r="AJ48" s="130"/>
      <c r="AK48" s="93"/>
      <c r="AL48" s="420">
        <v>1</v>
      </c>
      <c r="AM48" s="420">
        <v>2516.4499999999998</v>
      </c>
      <c r="AN48" s="130">
        <v>3000</v>
      </c>
      <c r="AO48" s="130"/>
      <c r="AP48" s="93"/>
      <c r="AQ48" s="130">
        <v>1</v>
      </c>
      <c r="AR48" s="130">
        <v>3548.11</v>
      </c>
      <c r="AS48" s="130"/>
      <c r="AT48" s="130"/>
      <c r="AU48" s="93"/>
      <c r="AV48" s="130">
        <v>1</v>
      </c>
      <c r="AW48" s="130">
        <f>3777.36+1260.91</f>
        <v>5038.2700000000004</v>
      </c>
      <c r="AX48" s="130"/>
      <c r="AY48" s="130"/>
      <c r="AZ48" s="93"/>
      <c r="BA48" s="420">
        <v>1</v>
      </c>
      <c r="BB48" s="420">
        <v>3748.4</v>
      </c>
      <c r="BC48" s="130">
        <f>3748.4+585.75</f>
        <v>4334.1499999999996</v>
      </c>
      <c r="BD48" s="130"/>
      <c r="BE48" s="93"/>
      <c r="BF48" s="420">
        <v>1</v>
      </c>
      <c r="BG48" s="524">
        <v>2877.42</v>
      </c>
      <c r="BH48" s="130">
        <v>2877.42</v>
      </c>
      <c r="BI48" s="130"/>
      <c r="BJ48" s="93"/>
      <c r="BK48" s="420">
        <v>1</v>
      </c>
      <c r="BL48" s="420">
        <v>2347.16</v>
      </c>
      <c r="BM48" s="130" t="s">
        <v>376</v>
      </c>
      <c r="BN48" s="130"/>
      <c r="BO48" s="93"/>
      <c r="BP48" s="420">
        <v>1</v>
      </c>
      <c r="BQ48" s="420">
        <v>2616.3000000000002</v>
      </c>
      <c r="BR48" s="64"/>
      <c r="BS48" s="130"/>
      <c r="BT48" s="93"/>
      <c r="BU48" s="420">
        <v>1</v>
      </c>
      <c r="BV48" s="420" t="s">
        <v>450</v>
      </c>
      <c r="BW48" s="130" t="s">
        <v>450</v>
      </c>
      <c r="BX48" s="130"/>
      <c r="BY48" s="93"/>
      <c r="BZ48" s="420">
        <v>1</v>
      </c>
      <c r="CA48" s="420">
        <v>2135.3000000000002</v>
      </c>
      <c r="CB48" s="64">
        <v>2135.3000000000002</v>
      </c>
      <c r="CC48" s="130"/>
      <c r="CD48" s="93"/>
      <c r="CE48" s="420">
        <v>1</v>
      </c>
      <c r="CF48" s="420">
        <v>1915.58</v>
      </c>
      <c r="CG48" s="130">
        <v>1915.58</v>
      </c>
      <c r="CH48" s="130"/>
      <c r="CI48" s="93"/>
      <c r="CJ48" s="420">
        <v>1</v>
      </c>
      <c r="CK48" s="420">
        <v>1915.58</v>
      </c>
      <c r="CL48" s="130">
        <v>2135.3000000000002</v>
      </c>
      <c r="CM48" s="130"/>
      <c r="CN48" s="93"/>
      <c r="CO48" s="420">
        <v>1</v>
      </c>
      <c r="CP48" s="420">
        <v>2199.42</v>
      </c>
      <c r="CQ48" s="130">
        <v>2054.6799999999998</v>
      </c>
      <c r="CR48" s="130"/>
      <c r="CS48" s="93"/>
      <c r="CT48" s="64">
        <v>1</v>
      </c>
      <c r="CU48" s="64">
        <v>813.74</v>
      </c>
      <c r="CV48" s="130">
        <v>1915.58</v>
      </c>
      <c r="CW48" s="130"/>
      <c r="CX48" s="93"/>
      <c r="CY48" s="64">
        <v>1</v>
      </c>
      <c r="CZ48" s="64">
        <v>813.74</v>
      </c>
      <c r="DA48" s="552">
        <v>2199.42</v>
      </c>
      <c r="DB48" s="130"/>
      <c r="DC48" s="93"/>
      <c r="DD48" s="64">
        <v>1</v>
      </c>
      <c r="DE48" s="64">
        <v>813.74</v>
      </c>
      <c r="DF48" s="130">
        <v>2786.11</v>
      </c>
      <c r="DG48" s="130"/>
      <c r="DH48" s="93"/>
      <c r="DI48" s="64">
        <v>1</v>
      </c>
      <c r="DJ48" s="64">
        <v>813.74</v>
      </c>
      <c r="DK48" s="64"/>
      <c r="DL48" s="130"/>
      <c r="DM48" s="93"/>
      <c r="DN48" s="64">
        <v>1</v>
      </c>
      <c r="DO48" s="64">
        <v>813.74</v>
      </c>
      <c r="DP48" s="64"/>
      <c r="DQ48" s="130"/>
      <c r="DR48" s="93"/>
      <c r="DS48" s="64">
        <v>1</v>
      </c>
      <c r="DT48" s="64">
        <v>813.74</v>
      </c>
      <c r="DU48" s="64"/>
      <c r="DV48" s="130"/>
      <c r="DW48" s="93"/>
      <c r="DX48" s="64">
        <v>1</v>
      </c>
      <c r="DY48" s="64">
        <v>813.74</v>
      </c>
      <c r="DZ48" s="64"/>
      <c r="EA48" s="130"/>
      <c r="EB48" s="93"/>
      <c r="EC48" s="420">
        <v>1</v>
      </c>
      <c r="ED48" s="420">
        <v>3921.88</v>
      </c>
      <c r="EE48" s="130">
        <v>2519.92</v>
      </c>
      <c r="EF48" s="130"/>
      <c r="EG48" s="93"/>
      <c r="EH48" s="64">
        <v>1</v>
      </c>
      <c r="EI48" s="64">
        <v>2135.3000000000002</v>
      </c>
      <c r="EJ48" s="64">
        <v>2135.3000000000002</v>
      </c>
      <c r="EK48" s="130"/>
      <c r="EL48" s="93"/>
      <c r="EM48" s="64">
        <v>1</v>
      </c>
      <c r="EN48" s="64">
        <v>1915.58</v>
      </c>
      <c r="EO48" s="130">
        <v>2392.63</v>
      </c>
      <c r="EP48" s="130"/>
      <c r="EQ48" s="93"/>
      <c r="ER48" s="64">
        <v>1</v>
      </c>
      <c r="ES48" s="64">
        <v>1915.58</v>
      </c>
      <c r="ET48" s="64">
        <v>2135.3000000000002</v>
      </c>
      <c r="EU48" s="130"/>
      <c r="EV48" s="93"/>
      <c r="EW48" s="130">
        <v>1</v>
      </c>
      <c r="EX48" s="130">
        <v>4016.83</v>
      </c>
      <c r="EY48" s="130" t="s">
        <v>1197</v>
      </c>
      <c r="EZ48" s="130"/>
      <c r="FA48" s="93"/>
      <c r="FB48" s="130">
        <v>1</v>
      </c>
      <c r="FC48" s="130">
        <v>4736.93</v>
      </c>
      <c r="FD48" s="130">
        <v>4736.93</v>
      </c>
      <c r="FE48" s="130"/>
      <c r="FF48" s="93"/>
      <c r="FG48" s="64">
        <v>1</v>
      </c>
      <c r="FH48" s="64">
        <v>813.74</v>
      </c>
      <c r="FI48" s="552">
        <v>4016.83</v>
      </c>
      <c r="FJ48" s="130"/>
      <c r="FK48" s="93"/>
      <c r="FL48" s="64">
        <v>1</v>
      </c>
      <c r="FM48" s="64">
        <v>813.74</v>
      </c>
      <c r="FN48" s="64">
        <v>2786.11</v>
      </c>
      <c r="FO48" s="130"/>
      <c r="FP48" s="93"/>
      <c r="FQ48" s="64">
        <v>1</v>
      </c>
      <c r="FR48" s="64">
        <v>813.74</v>
      </c>
      <c r="FS48" s="64"/>
      <c r="FT48" s="130"/>
      <c r="FU48" s="93"/>
      <c r="FV48" s="64">
        <v>1</v>
      </c>
      <c r="FW48" s="64">
        <v>813.74</v>
      </c>
      <c r="FX48" s="64"/>
      <c r="FY48" s="130"/>
      <c r="FZ48" s="93"/>
      <c r="GA48" s="64">
        <v>1</v>
      </c>
      <c r="GB48" s="64">
        <v>813.74</v>
      </c>
      <c r="GC48" s="64"/>
      <c r="GD48" s="130"/>
      <c r="GE48" s="93"/>
      <c r="GF48" s="64">
        <v>1</v>
      </c>
      <c r="GG48" s="64">
        <v>813.74</v>
      </c>
      <c r="GH48" s="64"/>
      <c r="GI48" s="130"/>
      <c r="GJ48" s="93"/>
      <c r="GK48" s="64">
        <v>1</v>
      </c>
      <c r="GL48" s="64">
        <v>3921.88</v>
      </c>
      <c r="GM48" s="64">
        <v>2519.92</v>
      </c>
      <c r="GN48" s="130"/>
      <c r="GO48" s="93"/>
      <c r="GP48" s="64">
        <v>1</v>
      </c>
      <c r="GQ48" s="64">
        <v>2135.3000000000002</v>
      </c>
      <c r="GR48" s="64">
        <v>2135.3000000000002</v>
      </c>
      <c r="GS48" s="130"/>
      <c r="GT48" s="93"/>
      <c r="GU48" s="64">
        <v>1</v>
      </c>
      <c r="GV48" s="64">
        <v>1915.58</v>
      </c>
      <c r="GW48" s="64">
        <v>2392.63</v>
      </c>
      <c r="GX48" s="130"/>
      <c r="GY48" s="93"/>
      <c r="GZ48" s="64">
        <v>1</v>
      </c>
      <c r="HA48" s="64">
        <v>1915.58</v>
      </c>
      <c r="HB48" s="64">
        <v>2135.3000000000002</v>
      </c>
      <c r="HC48" s="130"/>
      <c r="HD48" s="93"/>
      <c r="HE48" s="64">
        <v>1</v>
      </c>
      <c r="HF48" s="64">
        <v>4016.83</v>
      </c>
      <c r="HG48" s="64" t="s">
        <v>1197</v>
      </c>
      <c r="HH48" s="130"/>
      <c r="HI48" s="93"/>
      <c r="HJ48" s="64">
        <v>1</v>
      </c>
      <c r="HK48" s="64">
        <v>4736.93</v>
      </c>
      <c r="HL48" s="64">
        <v>4736.93</v>
      </c>
      <c r="HM48" s="130"/>
      <c r="HN48" s="93"/>
      <c r="HO48" s="64">
        <v>1</v>
      </c>
      <c r="HP48" s="64">
        <v>813.74</v>
      </c>
      <c r="HQ48" s="1449">
        <v>4016.83</v>
      </c>
      <c r="HR48" s="130"/>
      <c r="HS48" s="93"/>
      <c r="HT48" s="64">
        <v>1</v>
      </c>
      <c r="HU48" s="64">
        <v>813.74</v>
      </c>
      <c r="HV48" s="64">
        <v>2786.11</v>
      </c>
      <c r="HW48" s="130"/>
      <c r="HX48" s="93"/>
      <c r="HY48" s="64">
        <v>1</v>
      </c>
      <c r="HZ48" s="64">
        <v>813.74</v>
      </c>
      <c r="IA48" s="64"/>
      <c r="IB48" s="130"/>
      <c r="IC48" s="93"/>
      <c r="ID48" s="64">
        <v>1</v>
      </c>
      <c r="IE48" s="64">
        <v>813.74</v>
      </c>
      <c r="IF48" s="64"/>
      <c r="IG48" s="130"/>
      <c r="IH48" s="93"/>
      <c r="II48" s="64">
        <v>1</v>
      </c>
      <c r="IJ48" s="64">
        <v>813.74</v>
      </c>
      <c r="IK48" s="64"/>
      <c r="IL48" s="130"/>
      <c r="IM48" s="93"/>
      <c r="IN48" s="64">
        <v>1</v>
      </c>
      <c r="IO48" s="64">
        <v>813.74</v>
      </c>
      <c r="IP48" s="64"/>
      <c r="IQ48" s="130"/>
    </row>
    <row r="49" spans="1:251" s="705" customFormat="1" ht="15" customHeight="1">
      <c r="A49" s="659"/>
      <c r="B49" s="733"/>
      <c r="C49" s="772">
        <v>23243188</v>
      </c>
      <c r="D49" s="734" t="s">
        <v>38</v>
      </c>
      <c r="E49" s="735" t="s">
        <v>542</v>
      </c>
      <c r="F49" s="568"/>
      <c r="G49" s="105"/>
      <c r="H49" s="570"/>
      <c r="I49" s="570"/>
      <c r="J49" s="571"/>
      <c r="K49" s="86"/>
      <c r="L49" s="725"/>
      <c r="M49" s="726"/>
      <c r="N49" s="726"/>
      <c r="O49" s="726"/>
      <c r="P49" s="727"/>
      <c r="Q49" s="725"/>
      <c r="R49" s="726"/>
      <c r="S49" s="726"/>
      <c r="T49" s="726"/>
      <c r="U49" s="727"/>
      <c r="V49" s="728"/>
      <c r="W49" s="726"/>
      <c r="X49" s="726"/>
      <c r="Y49" s="726"/>
      <c r="Z49" s="726"/>
      <c r="AA49" s="729"/>
      <c r="AB49" s="726"/>
      <c r="AC49" s="726"/>
      <c r="AD49" s="726"/>
      <c r="AE49" s="726"/>
      <c r="AF49" s="729"/>
      <c r="AG49" s="726"/>
      <c r="AH49" s="726"/>
      <c r="AI49" s="726"/>
      <c r="AJ49" s="726"/>
      <c r="AK49" s="729"/>
      <c r="AL49" s="730"/>
      <c r="AM49" s="730"/>
      <c r="AN49" s="726"/>
      <c r="AO49" s="726"/>
      <c r="AP49" s="729"/>
      <c r="AQ49" s="726"/>
      <c r="AR49" s="726"/>
      <c r="AS49" s="726"/>
      <c r="AT49" s="726"/>
      <c r="AU49" s="729"/>
      <c r="AV49" s="726"/>
      <c r="AW49" s="726"/>
      <c r="AX49" s="726"/>
      <c r="AY49" s="726"/>
      <c r="AZ49" s="729"/>
      <c r="BA49" s="730"/>
      <c r="BB49" s="730"/>
      <c r="BC49" s="726"/>
      <c r="BD49" s="726"/>
      <c r="BE49" s="729"/>
      <c r="BF49" s="730"/>
      <c r="BG49" s="731"/>
      <c r="BH49" s="726"/>
      <c r="BI49" s="726"/>
      <c r="BJ49" s="729"/>
      <c r="BK49" s="730"/>
      <c r="BL49" s="730"/>
      <c r="BM49" s="726"/>
      <c r="BN49" s="726"/>
      <c r="BO49" s="729"/>
      <c r="BP49" s="730"/>
      <c r="BQ49" s="730"/>
      <c r="BR49" s="732"/>
      <c r="BS49" s="726"/>
      <c r="BT49" s="729"/>
      <c r="BU49" s="730"/>
      <c r="BV49" s="730"/>
      <c r="BW49" s="726"/>
      <c r="BX49" s="726"/>
      <c r="BY49" s="729"/>
      <c r="BZ49" s="730"/>
      <c r="CA49" s="730"/>
      <c r="CB49" s="732"/>
      <c r="CC49" s="726"/>
      <c r="CD49" s="729"/>
      <c r="CE49" s="730"/>
      <c r="CF49" s="730"/>
      <c r="CG49" s="726"/>
      <c r="CH49" s="726"/>
      <c r="CI49" s="729"/>
      <c r="CJ49" s="730"/>
      <c r="CK49" s="730"/>
      <c r="CL49" s="726"/>
      <c r="CM49" s="726"/>
      <c r="CN49" s="729"/>
      <c r="CO49" s="730"/>
      <c r="CP49" s="730"/>
      <c r="CQ49" s="726"/>
      <c r="CR49" s="726"/>
      <c r="CS49" s="729"/>
      <c r="CT49" s="732"/>
      <c r="CU49" s="732"/>
      <c r="CV49" s="726"/>
      <c r="CW49" s="726"/>
      <c r="CX49" s="729"/>
      <c r="CY49" s="726"/>
      <c r="CZ49" s="736">
        <v>291.85000000000002</v>
      </c>
      <c r="DA49" s="372"/>
      <c r="DB49" s="726"/>
      <c r="DC49" s="729"/>
      <c r="DD49" s="732"/>
      <c r="DE49" s="732"/>
      <c r="DF49" s="726"/>
      <c r="DG49" s="726"/>
      <c r="DH49" s="729"/>
      <c r="DI49" s="732"/>
      <c r="DJ49" s="732"/>
      <c r="DK49" s="732"/>
      <c r="DL49" s="726"/>
      <c r="DM49" s="729"/>
      <c r="DN49" s="773"/>
      <c r="DO49" s="726">
        <v>291.85000000000002</v>
      </c>
      <c r="DP49" s="726"/>
      <c r="DQ49" s="726"/>
      <c r="DR49" s="729"/>
      <c r="DS49" s="732"/>
      <c r="DT49" s="732"/>
      <c r="DU49" s="732"/>
      <c r="DV49" s="726"/>
      <c r="DW49" s="729"/>
      <c r="DX49" s="732"/>
      <c r="DY49" s="732"/>
      <c r="DZ49" s="732"/>
      <c r="EA49" s="726"/>
      <c r="EB49" s="729"/>
      <c r="EC49" s="732"/>
      <c r="ED49" s="732"/>
      <c r="EE49" s="732"/>
      <c r="EF49" s="726"/>
      <c r="EG49" s="729"/>
      <c r="EH49" s="732"/>
      <c r="EI49" s="732"/>
      <c r="EJ49" s="732"/>
      <c r="EK49" s="726"/>
      <c r="EL49" s="729"/>
      <c r="EM49" s="732"/>
      <c r="EN49" s="732"/>
      <c r="EO49" s="732"/>
      <c r="EP49" s="726"/>
      <c r="EQ49" s="729"/>
      <c r="ER49" s="732"/>
      <c r="ES49" s="732"/>
      <c r="ET49" s="732"/>
      <c r="EU49" s="726"/>
      <c r="EV49" s="729"/>
      <c r="EW49" s="732"/>
      <c r="EX49" s="732"/>
      <c r="EY49" s="732"/>
      <c r="EZ49" s="726"/>
      <c r="FA49" s="729"/>
      <c r="FB49" s="732"/>
      <c r="FC49" s="732"/>
      <c r="FD49" s="732"/>
      <c r="FE49" s="726"/>
      <c r="FF49" s="729"/>
      <c r="FG49" s="732"/>
      <c r="FH49" s="1457">
        <v>291.85000000000002</v>
      </c>
      <c r="FI49" s="509"/>
      <c r="FJ49" s="726"/>
      <c r="FK49" s="729"/>
      <c r="FL49" s="732"/>
      <c r="FM49" s="732"/>
      <c r="FN49" s="732"/>
      <c r="FO49" s="726"/>
      <c r="FP49" s="729"/>
      <c r="FQ49" s="732"/>
      <c r="FR49" s="732"/>
      <c r="FS49" s="732"/>
      <c r="FT49" s="726"/>
      <c r="FU49" s="729"/>
      <c r="FV49" s="1458"/>
      <c r="FW49" s="732">
        <v>291.85000000000002</v>
      </c>
      <c r="FX49" s="732"/>
      <c r="FY49" s="726"/>
      <c r="FZ49" s="729"/>
      <c r="GA49" s="732"/>
      <c r="GB49" s="732"/>
      <c r="GC49" s="732"/>
      <c r="GD49" s="726"/>
      <c r="GE49" s="729"/>
      <c r="GF49" s="732"/>
      <c r="GG49" s="732"/>
      <c r="GH49" s="732"/>
      <c r="GI49" s="726"/>
      <c r="GJ49" s="729"/>
      <c r="GK49" s="732"/>
      <c r="GL49" s="732"/>
      <c r="GM49" s="732"/>
      <c r="GN49" s="726"/>
      <c r="GO49" s="729"/>
      <c r="GP49" s="732"/>
      <c r="GQ49" s="732"/>
      <c r="GR49" s="732"/>
      <c r="GS49" s="726"/>
      <c r="GT49" s="729"/>
      <c r="GU49" s="732"/>
      <c r="GV49" s="732"/>
      <c r="GW49" s="732"/>
      <c r="GX49" s="726"/>
      <c r="GY49" s="729"/>
      <c r="GZ49" s="732"/>
      <c r="HA49" s="732"/>
      <c r="HB49" s="732"/>
      <c r="HC49" s="726"/>
      <c r="HD49" s="729"/>
      <c r="HE49" s="732"/>
      <c r="HF49" s="732"/>
      <c r="HG49" s="732"/>
      <c r="HH49" s="726"/>
      <c r="HI49" s="729"/>
      <c r="HJ49" s="732"/>
      <c r="HK49" s="732"/>
      <c r="HL49" s="732"/>
      <c r="HM49" s="726"/>
      <c r="HN49" s="729"/>
      <c r="HO49" s="732"/>
      <c r="HP49" s="1457">
        <v>291.85000000000002</v>
      </c>
      <c r="HQ49" s="509"/>
      <c r="HR49" s="726"/>
      <c r="HS49" s="729"/>
      <c r="HT49" s="732"/>
      <c r="HU49" s="732"/>
      <c r="HV49" s="732"/>
      <c r="HW49" s="726"/>
      <c r="HX49" s="729"/>
      <c r="HY49" s="732"/>
      <c r="HZ49" s="732"/>
      <c r="IA49" s="732"/>
      <c r="IB49" s="726"/>
      <c r="IC49" s="729"/>
      <c r="ID49" s="1458"/>
      <c r="IE49" s="732">
        <v>291.85000000000002</v>
      </c>
      <c r="IF49" s="732"/>
      <c r="IG49" s="726"/>
      <c r="IH49" s="729"/>
      <c r="II49" s="732"/>
      <c r="IJ49" s="732"/>
      <c r="IK49" s="732"/>
      <c r="IL49" s="726"/>
      <c r="IM49" s="729"/>
      <c r="IN49" s="732"/>
      <c r="IO49" s="732"/>
      <c r="IP49" s="732"/>
      <c r="IQ49" s="726"/>
    </row>
    <row r="50" spans="1:251" s="264" customFormat="1" ht="15" customHeight="1" thickBot="1">
      <c r="A50" s="648"/>
      <c r="B50" s="271"/>
      <c r="C50" s="400" t="s">
        <v>228</v>
      </c>
      <c r="D50" s="351" t="s">
        <v>39</v>
      </c>
      <c r="E50" s="352" t="s">
        <v>17</v>
      </c>
      <c r="F50" s="309"/>
      <c r="G50" s="187"/>
      <c r="H50" s="174">
        <v>2</v>
      </c>
      <c r="I50" s="174">
        <v>67.430000000000007</v>
      </c>
      <c r="J50" s="174"/>
      <c r="K50" s="176"/>
      <c r="L50" s="187"/>
      <c r="M50" s="343">
        <v>182</v>
      </c>
      <c r="N50" s="343">
        <v>4883.6499999999996</v>
      </c>
      <c r="O50" s="340"/>
      <c r="P50" s="342"/>
      <c r="Q50" s="187"/>
      <c r="R50" s="174"/>
      <c r="S50" s="174"/>
      <c r="T50" s="340"/>
      <c r="U50" s="342"/>
      <c r="V50" s="317">
        <f>X50/W50</f>
        <v>26.880090090090089</v>
      </c>
      <c r="W50" s="340">
        <v>111</v>
      </c>
      <c r="X50" s="340">
        <v>2983.69</v>
      </c>
      <c r="Y50" s="340"/>
      <c r="Z50" s="340"/>
      <c r="AA50" s="272">
        <f>AC50/AB50</f>
        <v>32.316899999999997</v>
      </c>
      <c r="AB50" s="340">
        <v>40</v>
      </c>
      <c r="AC50" s="340">
        <f>1.2*(413.6+656.8+6.83)</f>
        <v>1292.6759999999999</v>
      </c>
      <c r="AD50" s="340"/>
      <c r="AE50" s="340"/>
      <c r="AF50" s="272">
        <f>AH50/AG50</f>
        <v>32.631999999999998</v>
      </c>
      <c r="AG50" s="340">
        <v>45</v>
      </c>
      <c r="AH50" s="340">
        <v>1468.44</v>
      </c>
      <c r="AI50" s="340"/>
      <c r="AJ50" s="340"/>
      <c r="AK50" s="272" t="e">
        <f>AM50/AL50</f>
        <v>#DIV/0!</v>
      </c>
      <c r="AL50" s="174"/>
      <c r="AM50" s="174"/>
      <c r="AN50" s="174"/>
      <c r="AO50" s="340"/>
      <c r="AP50" s="272" t="e">
        <f>AR50/AQ50</f>
        <v>#DIV/0!</v>
      </c>
      <c r="AQ50" s="174"/>
      <c r="AR50" s="174"/>
      <c r="AS50" s="174"/>
      <c r="AT50" s="340"/>
      <c r="AU50" s="272" t="e">
        <f>AW50/AV50</f>
        <v>#DIV/0!</v>
      </c>
      <c r="AV50" s="174"/>
      <c r="AW50" s="174"/>
      <c r="AX50" s="174"/>
      <c r="AY50" s="340"/>
      <c r="AZ50" s="272">
        <f>BB50/BA50</f>
        <v>32.671136363636364</v>
      </c>
      <c r="BA50" s="340">
        <v>44</v>
      </c>
      <c r="BB50" s="340">
        <v>1437.53</v>
      </c>
      <c r="BC50" s="340"/>
      <c r="BD50" s="340"/>
      <c r="BE50" s="272">
        <f>BG50/BF50</f>
        <v>32.635319148936169</v>
      </c>
      <c r="BF50" s="340">
        <v>47</v>
      </c>
      <c r="BG50" s="340">
        <v>1533.86</v>
      </c>
      <c r="BH50" s="174"/>
      <c r="BI50" s="340"/>
      <c r="BJ50" s="272"/>
      <c r="BK50" s="340"/>
      <c r="BL50" s="340"/>
      <c r="BM50" s="340"/>
      <c r="BN50" s="340"/>
      <c r="BO50" s="272">
        <f>BQ50/BP50</f>
        <v>32.368229166666666</v>
      </c>
      <c r="BP50" s="340">
        <v>96</v>
      </c>
      <c r="BQ50" s="340">
        <v>3107.35</v>
      </c>
      <c r="BR50" s="340"/>
      <c r="BS50" s="340"/>
      <c r="BT50" s="272">
        <f>BV50/BU50</f>
        <v>33.071999999999996</v>
      </c>
      <c r="BU50" s="340">
        <v>50</v>
      </c>
      <c r="BV50" s="340">
        <v>1653.6</v>
      </c>
      <c r="BW50" s="340"/>
      <c r="BX50" s="340"/>
      <c r="BY50" s="272">
        <f>CA50/BZ50</f>
        <v>32.671136363636364</v>
      </c>
      <c r="BZ50" s="340">
        <v>44</v>
      </c>
      <c r="CA50" s="340">
        <v>1437.53</v>
      </c>
      <c r="CB50" s="340"/>
      <c r="CC50" s="340"/>
      <c r="CD50" s="272">
        <f>CF50/CE50</f>
        <v>32.646782608695652</v>
      </c>
      <c r="CE50" s="340">
        <v>46</v>
      </c>
      <c r="CF50" s="340">
        <v>1501.752</v>
      </c>
      <c r="CG50" s="340"/>
      <c r="CH50" s="340"/>
      <c r="CI50" s="272">
        <f>CK50/CJ50</f>
        <v>32.682682926829266</v>
      </c>
      <c r="CJ50" s="340">
        <v>41</v>
      </c>
      <c r="CK50" s="340">
        <v>1339.99</v>
      </c>
      <c r="CL50" s="340"/>
      <c r="CM50" s="340"/>
      <c r="CN50" s="272" t="e">
        <f>CP50/CO50</f>
        <v>#DIV/0!</v>
      </c>
      <c r="CO50" s="340"/>
      <c r="CP50" s="340">
        <v>253.44</v>
      </c>
      <c r="CQ50" s="340"/>
      <c r="CR50" s="340"/>
      <c r="CS50" s="272">
        <f>CU50/CT50</f>
        <v>33.051447368421051</v>
      </c>
      <c r="CT50" s="340">
        <v>76</v>
      </c>
      <c r="CU50" s="340">
        <v>2511.91</v>
      </c>
      <c r="CV50" s="340"/>
      <c r="CW50" s="340"/>
      <c r="CX50" s="272"/>
      <c r="CY50" s="174"/>
      <c r="CZ50" s="737"/>
      <c r="DA50" s="174"/>
      <c r="DB50" s="340"/>
      <c r="DC50" s="272" t="e">
        <f>DE50/DD50</f>
        <v>#DIV/0!</v>
      </c>
      <c r="DD50" s="174"/>
      <c r="DE50" s="174"/>
      <c r="DF50" s="174"/>
      <c r="DG50" s="340"/>
      <c r="DH50" s="272" t="e">
        <f>DJ50/DI50</f>
        <v>#DIV/0!</v>
      </c>
      <c r="DI50" s="174"/>
      <c r="DJ50" s="174"/>
      <c r="DK50" s="174"/>
      <c r="DL50" s="340"/>
      <c r="DM50" s="272" t="e">
        <f>DO50/DN50</f>
        <v>#DIV/0!</v>
      </c>
      <c r="DN50" s="174"/>
      <c r="DO50" s="174"/>
      <c r="DP50" s="174"/>
      <c r="DQ50" s="340"/>
      <c r="DR50" s="272" t="e">
        <f>DT50/DS50</f>
        <v>#DIV/0!</v>
      </c>
      <c r="DS50" s="174"/>
      <c r="DT50" s="174"/>
      <c r="DU50" s="174"/>
      <c r="DV50" s="340"/>
      <c r="DW50" s="272">
        <f>DY50/DX50</f>
        <v>57.177142857142861</v>
      </c>
      <c r="DX50" s="340">
        <v>105</v>
      </c>
      <c r="DY50" s="340">
        <v>6003.6</v>
      </c>
      <c r="DZ50" s="340"/>
      <c r="EA50" s="340"/>
      <c r="EB50" s="272">
        <f>ED50/EC50</f>
        <v>57.264000000000003</v>
      </c>
      <c r="EC50" s="340">
        <v>75</v>
      </c>
      <c r="ED50" s="340">
        <v>4294.8</v>
      </c>
      <c r="EE50" s="340"/>
      <c r="EF50" s="340"/>
      <c r="EG50" s="272">
        <f>EI50/EH50</f>
        <v>32.671136363636364</v>
      </c>
      <c r="EH50" s="174">
        <v>44</v>
      </c>
      <c r="EI50" s="174">
        <v>1437.53</v>
      </c>
      <c r="EJ50" s="174"/>
      <c r="EK50" s="340"/>
      <c r="EL50" s="272">
        <f>EN50/EM50</f>
        <v>32.646782608695652</v>
      </c>
      <c r="EM50" s="174">
        <v>46</v>
      </c>
      <c r="EN50" s="174">
        <v>1501.752</v>
      </c>
      <c r="EO50" s="174"/>
      <c r="EP50" s="340"/>
      <c r="EQ50" s="272">
        <f>ES50/ER50</f>
        <v>32.682682926829266</v>
      </c>
      <c r="ER50" s="174">
        <v>41</v>
      </c>
      <c r="ES50" s="174">
        <v>1339.99</v>
      </c>
      <c r="ET50" s="174"/>
      <c r="EU50" s="340"/>
      <c r="EV50" s="272" t="e">
        <f>EX50/EW50</f>
        <v>#DIV/0!</v>
      </c>
      <c r="EW50" s="174"/>
      <c r="EX50" s="174">
        <v>253.44</v>
      </c>
      <c r="EY50" s="174"/>
      <c r="EZ50" s="340"/>
      <c r="FA50" s="272">
        <f>FC50/FB50</f>
        <v>33.051447368421051</v>
      </c>
      <c r="FB50" s="174">
        <v>76</v>
      </c>
      <c r="FC50" s="174">
        <v>2511.91</v>
      </c>
      <c r="FD50" s="174"/>
      <c r="FE50" s="340"/>
      <c r="FF50" s="272"/>
      <c r="FG50" s="174"/>
      <c r="FH50" s="737"/>
      <c r="FI50" s="174"/>
      <c r="FJ50" s="340"/>
      <c r="FK50" s="272" t="e">
        <f>FM50/FL50</f>
        <v>#DIV/0!</v>
      </c>
      <c r="FL50" s="174"/>
      <c r="FM50" s="174"/>
      <c r="FN50" s="174"/>
      <c r="FO50" s="340"/>
      <c r="FP50" s="272" t="e">
        <f>FR50/FQ50</f>
        <v>#DIV/0!</v>
      </c>
      <c r="FQ50" s="174"/>
      <c r="FR50" s="174"/>
      <c r="FS50" s="174"/>
      <c r="FT50" s="340"/>
      <c r="FU50" s="272">
        <f>FW50/FV50</f>
        <v>57.771428571428572</v>
      </c>
      <c r="FV50" s="340">
        <v>35</v>
      </c>
      <c r="FW50" s="340">
        <v>2022</v>
      </c>
      <c r="FX50" s="340"/>
      <c r="FY50" s="340"/>
      <c r="FZ50" s="272" t="e">
        <f>GB50/GA50</f>
        <v>#DIV/0!</v>
      </c>
      <c r="GA50" s="174"/>
      <c r="GB50" s="174"/>
      <c r="GC50" s="174"/>
      <c r="GD50" s="340"/>
      <c r="GE50" s="272">
        <f>GG50/GF50</f>
        <v>57.391475409836069</v>
      </c>
      <c r="GF50" s="340">
        <v>61</v>
      </c>
      <c r="GG50" s="340">
        <v>3500.88</v>
      </c>
      <c r="GH50" s="340"/>
      <c r="GI50" s="340"/>
      <c r="GJ50" s="272">
        <f>GL50/GK50</f>
        <v>57.264000000000003</v>
      </c>
      <c r="GK50" s="174">
        <v>75</v>
      </c>
      <c r="GL50" s="174">
        <v>4294.8</v>
      </c>
      <c r="GM50" s="174"/>
      <c r="GN50" s="340"/>
      <c r="GO50" s="272" t="e">
        <f>GQ50/GP50</f>
        <v>#DIV/0!</v>
      </c>
      <c r="GP50" s="174">
        <v>0</v>
      </c>
      <c r="GQ50" s="174">
        <v>0</v>
      </c>
      <c r="GR50" s="174"/>
      <c r="GS50" s="340"/>
      <c r="GT50" s="272">
        <f>GV50/GU50</f>
        <v>57.52</v>
      </c>
      <c r="GU50" s="340">
        <v>45</v>
      </c>
      <c r="GV50" s="340">
        <v>2588.4</v>
      </c>
      <c r="GW50" s="174"/>
      <c r="GX50" s="340"/>
      <c r="GY50" s="272">
        <f>HA50/GZ50</f>
        <v>32.682682926829266</v>
      </c>
      <c r="GZ50" s="174">
        <v>41</v>
      </c>
      <c r="HA50" s="174">
        <v>1339.99</v>
      </c>
      <c r="HB50" s="174"/>
      <c r="HC50" s="340"/>
      <c r="HD50" s="272" t="e">
        <f>HF50/HE50</f>
        <v>#DIV/0!</v>
      </c>
      <c r="HE50" s="174"/>
      <c r="HF50" s="174">
        <v>253.44</v>
      </c>
      <c r="HG50" s="174"/>
      <c r="HH50" s="340"/>
      <c r="HI50" s="272">
        <f>HK50/HJ50</f>
        <v>33.051447368421051</v>
      </c>
      <c r="HJ50" s="174">
        <v>76</v>
      </c>
      <c r="HK50" s="174">
        <v>2511.91</v>
      </c>
      <c r="HL50" s="174"/>
      <c r="HM50" s="340"/>
      <c r="HN50" s="272"/>
      <c r="HO50" s="174"/>
      <c r="HP50" s="737"/>
      <c r="HQ50" s="174"/>
      <c r="HR50" s="340"/>
      <c r="HS50" s="272" t="e">
        <f>HU50/HT50</f>
        <v>#DIV/0!</v>
      </c>
      <c r="HT50" s="174"/>
      <c r="HU50" s="174"/>
      <c r="HV50" s="174"/>
      <c r="HW50" s="340"/>
      <c r="HX50" s="272" t="e">
        <f>HZ50/HY50</f>
        <v>#DIV/0!</v>
      </c>
      <c r="HY50" s="174"/>
      <c r="HZ50" s="174"/>
      <c r="IA50" s="174"/>
      <c r="IB50" s="340"/>
      <c r="IC50" s="272">
        <f>IE50/ID50</f>
        <v>57.771428571428572</v>
      </c>
      <c r="ID50" s="174">
        <v>35</v>
      </c>
      <c r="IE50" s="174">
        <v>2022</v>
      </c>
      <c r="IF50" s="174"/>
      <c r="IG50" s="340"/>
      <c r="IH50" s="272" t="e">
        <f>IJ50/II50</f>
        <v>#DIV/0!</v>
      </c>
      <c r="II50" s="174"/>
      <c r="IJ50" s="174"/>
      <c r="IK50" s="174"/>
      <c r="IL50" s="340"/>
      <c r="IM50" s="272" t="e">
        <f>IO50/IN50</f>
        <v>#DIV/0!</v>
      </c>
      <c r="IN50" s="174"/>
      <c r="IO50" s="174"/>
      <c r="IP50" s="174"/>
      <c r="IQ50" s="340"/>
    </row>
    <row r="51" spans="1:251" s="249" customFormat="1" ht="15" customHeight="1">
      <c r="A51" s="649"/>
      <c r="B51" s="288" t="s">
        <v>301</v>
      </c>
      <c r="C51" s="278" t="s">
        <v>40</v>
      </c>
      <c r="D51" s="301" t="s">
        <v>25</v>
      </c>
      <c r="E51" s="7" t="s">
        <v>10</v>
      </c>
      <c r="F51" s="4"/>
      <c r="G51" s="196"/>
      <c r="H51" s="200"/>
      <c r="I51" s="197"/>
      <c r="J51" s="197"/>
      <c r="K51" s="325"/>
      <c r="L51" s="196"/>
      <c r="M51" s="200"/>
      <c r="N51" s="197"/>
      <c r="O51" s="197"/>
      <c r="P51" s="325"/>
      <c r="Q51" s="196"/>
      <c r="R51" s="200"/>
      <c r="S51" s="197"/>
      <c r="T51" s="197"/>
      <c r="U51" s="325"/>
      <c r="V51" s="207"/>
      <c r="W51" s="200"/>
      <c r="X51" s="204">
        <v>2024</v>
      </c>
      <c r="Y51" s="197"/>
      <c r="Z51" s="383">
        <f>SUM(X51:X54)*1.1</f>
        <v>121511.302</v>
      </c>
      <c r="AA51" s="36"/>
      <c r="AB51" s="200"/>
      <c r="AC51" s="204">
        <v>1012</v>
      </c>
      <c r="AD51" s="197"/>
      <c r="AE51" s="383">
        <f>SUM(AC51:AC54)*1.1</f>
        <v>85408.917000000001</v>
      </c>
      <c r="AF51" s="36"/>
      <c r="AG51" s="200"/>
      <c r="AH51" s="204">
        <v>1012</v>
      </c>
      <c r="AI51" s="197"/>
      <c r="AJ51" s="383">
        <f>AJ52*1.1</f>
        <v>111330.637</v>
      </c>
      <c r="AK51" s="36"/>
      <c r="AL51" s="200"/>
      <c r="AM51" s="204">
        <v>1518</v>
      </c>
      <c r="AN51" s="197"/>
      <c r="AO51" s="383">
        <f>AO52*1.2</f>
        <v>132606.432</v>
      </c>
      <c r="AP51" s="36"/>
      <c r="AQ51" s="200"/>
      <c r="AR51" s="197"/>
      <c r="AS51" s="197"/>
      <c r="AT51" s="383">
        <f>SUM(AR51:AR54)*1.2</f>
        <v>176431.82399999999</v>
      </c>
      <c r="AU51" s="36"/>
      <c r="AV51" s="200"/>
      <c r="AW51" s="197"/>
      <c r="AX51" s="197"/>
      <c r="AY51" s="383">
        <f>SUM(AW51:AW54)*1.1</f>
        <v>212285.557</v>
      </c>
      <c r="AZ51" s="36"/>
      <c r="BA51" s="200"/>
      <c r="BB51" s="197"/>
      <c r="BC51" s="197"/>
      <c r="BD51" s="383">
        <f>SUM(BB51:BB54)*1.1</f>
        <v>139916.51300000001</v>
      </c>
      <c r="BE51" s="36"/>
      <c r="BF51" s="200"/>
      <c r="BG51" s="197"/>
      <c r="BH51" s="197"/>
      <c r="BI51" s="383">
        <f>SUM(BG51:BG54)*1.1</f>
        <v>121380.58899999999</v>
      </c>
      <c r="BJ51" s="36"/>
      <c r="BK51" s="200"/>
      <c r="BL51" s="197"/>
      <c r="BM51" s="197"/>
      <c r="BN51" s="383">
        <f>SUM(BL51:BL54)*1.1</f>
        <v>150350.12299999999</v>
      </c>
      <c r="BO51" s="36"/>
      <c r="BP51" s="200"/>
      <c r="BQ51" s="197"/>
      <c r="BR51" s="197"/>
      <c r="BS51" s="383">
        <f>SUM(BQ51:BQ54)*1.1</f>
        <v>124480.939</v>
      </c>
      <c r="BT51" s="36"/>
      <c r="BU51" s="200"/>
      <c r="BV51" s="197"/>
      <c r="BW51" s="197"/>
      <c r="BX51" s="383">
        <f>SUM(BV51:BV54)*1.1</f>
        <v>184602.01100000003</v>
      </c>
      <c r="BY51" s="36"/>
      <c r="BZ51" s="200"/>
      <c r="CA51" s="197"/>
      <c r="CB51" s="197"/>
      <c r="CC51" s="383">
        <f>SUM(CA51:CA54)*1.1</f>
        <v>154482.13</v>
      </c>
      <c r="CD51" s="36"/>
      <c r="CE51" s="200"/>
      <c r="CF51" s="197"/>
      <c r="CG51" s="197"/>
      <c r="CH51" s="383">
        <f>SUM(CF51:CF54)*1.1</f>
        <v>128543.019</v>
      </c>
      <c r="CI51" s="36"/>
      <c r="CJ51" s="200"/>
      <c r="CK51" s="197"/>
      <c r="CL51" s="197"/>
      <c r="CM51" s="383">
        <f>SUM(CK51:CK54)*1.1</f>
        <v>145256.29800000004</v>
      </c>
      <c r="CN51" s="36"/>
      <c r="CO51" s="200"/>
      <c r="CP51" s="197"/>
      <c r="CQ51" s="197"/>
      <c r="CR51" s="383">
        <f>SUM(CP51:CP54)*1.1</f>
        <v>173218.06700000001</v>
      </c>
      <c r="CS51" s="36"/>
      <c r="CT51" s="200"/>
      <c r="CU51" s="197"/>
      <c r="CV51" s="197"/>
      <c r="CW51" s="383">
        <f>SUM(CU51:CU54)*1.1</f>
        <v>151379.70100000003</v>
      </c>
      <c r="CX51" s="36"/>
      <c r="CY51" s="200"/>
      <c r="CZ51" s="197"/>
      <c r="DA51" s="197"/>
      <c r="DB51" s="383">
        <f>SUM(CZ51:CZ54)*1.1</f>
        <v>171951.93400000001</v>
      </c>
      <c r="DC51" s="36"/>
      <c r="DD51" s="200"/>
      <c r="DE51" s="197"/>
      <c r="DF51" s="197"/>
      <c r="DG51" s="383">
        <f>SUM(DE51:DE54)*1.1</f>
        <v>80707.49500000001</v>
      </c>
      <c r="DH51" s="36"/>
      <c r="DI51" s="200"/>
      <c r="DJ51" s="197"/>
      <c r="DK51" s="197"/>
      <c r="DL51" s="383">
        <f>SUM(DJ51:DJ54)*1.1</f>
        <v>192979.53400000001</v>
      </c>
      <c r="DM51" s="36"/>
      <c r="DN51" s="200"/>
      <c r="DO51" s="197"/>
      <c r="DP51" s="197"/>
      <c r="DQ51" s="383">
        <f>SUM(DO51:DO54)*1.1</f>
        <v>210527.68000000002</v>
      </c>
      <c r="DR51" s="36"/>
      <c r="DS51" s="200"/>
      <c r="DT51" s="197"/>
      <c r="DU51" s="197"/>
      <c r="DV51" s="383">
        <f>SUM(DT51:DT54)*1.1</f>
        <v>151410.34700000004</v>
      </c>
      <c r="DW51" s="36"/>
      <c r="DX51" s="200"/>
      <c r="DY51" s="197"/>
      <c r="DZ51" s="197"/>
      <c r="EA51" s="383">
        <f>SUM(DY51:DY54)*1.1</f>
        <v>208645.25000000003</v>
      </c>
      <c r="EB51" s="36"/>
      <c r="EC51" s="200"/>
      <c r="ED51" s="197"/>
      <c r="EE51" s="197"/>
      <c r="EF51" s="383">
        <f>SUM(ED51:ED54)*1.1</f>
        <v>177466.56400000004</v>
      </c>
      <c r="EG51" s="36"/>
      <c r="EH51" s="200"/>
      <c r="EI51" s="197"/>
      <c r="EJ51" s="197"/>
      <c r="EK51" s="383">
        <f>SUM(EI51:EI54)*1.1</f>
        <v>154482.13</v>
      </c>
      <c r="EL51" s="36"/>
      <c r="EM51" s="200"/>
      <c r="EN51" s="197"/>
      <c r="EO51" s="197"/>
      <c r="EP51" s="383">
        <f>SUM(EN51:EN54)*1.1</f>
        <v>185652.40099999998</v>
      </c>
      <c r="EQ51" s="36"/>
      <c r="ER51" s="200"/>
      <c r="ES51" s="197"/>
      <c r="ET51" s="197"/>
      <c r="EU51" s="383">
        <f>SUM(ES51:ES54)*1.1</f>
        <v>145256.29800000004</v>
      </c>
      <c r="EV51" s="36"/>
      <c r="EW51" s="200"/>
      <c r="EX51" s="197"/>
      <c r="EY51" s="197"/>
      <c r="EZ51" s="383">
        <f>SUM(EX51:EX54)*1.1</f>
        <v>173218.06700000001</v>
      </c>
      <c r="FA51" s="36"/>
      <c r="FB51" s="200"/>
      <c r="FC51" s="197"/>
      <c r="FD51" s="197"/>
      <c r="FE51" s="383">
        <f>SUM(FC51:FC54)*1.1</f>
        <v>151379.70100000003</v>
      </c>
      <c r="FF51" s="36"/>
      <c r="FG51" s="200"/>
      <c r="FH51" s="197"/>
      <c r="FI51" s="197"/>
      <c r="FJ51" s="383">
        <f>SUM(FH51:FH54)*1.1</f>
        <v>171951.93400000001</v>
      </c>
      <c r="FK51" s="36"/>
      <c r="FL51" s="200"/>
      <c r="FM51" s="197"/>
      <c r="FN51" s="197"/>
      <c r="FO51" s="383">
        <f>SUM(FM51:FM54)*1.1</f>
        <v>81735.599000000002</v>
      </c>
      <c r="FP51" s="36"/>
      <c r="FQ51" s="200"/>
      <c r="FR51" s="197"/>
      <c r="FS51" s="197"/>
      <c r="FT51" s="383">
        <f>SUM(FR51:FR54)*1.1</f>
        <v>192979.53400000001</v>
      </c>
      <c r="FU51" s="36"/>
      <c r="FV51" s="200"/>
      <c r="FW51" s="197"/>
      <c r="FX51" s="197"/>
      <c r="FY51" s="383">
        <f>SUM(FW51:FW54)*1.1</f>
        <v>210527.68000000002</v>
      </c>
      <c r="FZ51" s="36"/>
      <c r="GA51" s="200"/>
      <c r="GB51" s="197"/>
      <c r="GC51" s="197"/>
      <c r="GD51" s="383">
        <f>SUM(GB51:GB54)*1.1</f>
        <v>80707.49500000001</v>
      </c>
      <c r="GE51" s="36"/>
      <c r="GF51" s="200"/>
      <c r="GG51" s="197"/>
      <c r="GH51" s="197"/>
      <c r="GI51" s="383">
        <f>SUM(GG51:GG54)*1.1</f>
        <v>80707.49500000001</v>
      </c>
      <c r="GJ51" s="280"/>
      <c r="GK51" s="200"/>
      <c r="GL51" s="197"/>
      <c r="GM51" s="197"/>
      <c r="GN51" s="383">
        <f>SUM(GL51:GL54)*1.1</f>
        <v>177466.56400000004</v>
      </c>
      <c r="GO51" s="36"/>
      <c r="GP51" s="200"/>
      <c r="GQ51" s="197"/>
      <c r="GR51" s="197"/>
      <c r="GS51" s="383">
        <f>SUM(GQ51:GQ54)*1.1</f>
        <v>154482.13</v>
      </c>
      <c r="GT51" s="36"/>
      <c r="GU51" s="200"/>
      <c r="GV51" s="197"/>
      <c r="GW51" s="197"/>
      <c r="GX51" s="383">
        <f>SUM(GV51:GV54)*1.1</f>
        <v>185652.40099999998</v>
      </c>
      <c r="GY51" s="36"/>
      <c r="GZ51" s="200"/>
      <c r="HA51" s="197"/>
      <c r="HB51" s="197"/>
      <c r="HC51" s="383">
        <f>SUM(HA51:HA54)*1.1</f>
        <v>145256.29800000004</v>
      </c>
      <c r="HD51" s="36"/>
      <c r="HE51" s="200"/>
      <c r="HF51" s="197"/>
      <c r="HG51" s="197"/>
      <c r="HH51" s="383">
        <f>SUM(HF51:HF54)*1.1</f>
        <v>173218.06700000001</v>
      </c>
      <c r="HI51" s="36"/>
      <c r="HJ51" s="200"/>
      <c r="HK51" s="197"/>
      <c r="HL51" s="197"/>
      <c r="HM51" s="383">
        <f>SUM(HK51:HK54)*1.1</f>
        <v>151379.70100000003</v>
      </c>
      <c r="HN51" s="36"/>
      <c r="HO51" s="200"/>
      <c r="HP51" s="197"/>
      <c r="HQ51" s="197"/>
      <c r="HR51" s="383">
        <f>SUM(HP51:HP54)*1.1</f>
        <v>171951.93400000001</v>
      </c>
      <c r="HS51" s="36"/>
      <c r="HT51" s="200"/>
      <c r="HU51" s="197"/>
      <c r="HV51" s="197"/>
      <c r="HW51" s="383">
        <f>SUM(HU51:HU54)*1.1</f>
        <v>81735.599000000002</v>
      </c>
      <c r="HX51" s="36"/>
      <c r="HY51" s="200"/>
      <c r="HZ51" s="197"/>
      <c r="IA51" s="197"/>
      <c r="IB51" s="383">
        <f>SUM(HZ51:HZ54)*1.1</f>
        <v>192979.53400000001</v>
      </c>
      <c r="IC51" s="36"/>
      <c r="ID51" s="200"/>
      <c r="IE51" s="197"/>
      <c r="IF51" s="197"/>
      <c r="IG51" s="383">
        <f>SUM(IE51:IE54)*1.1</f>
        <v>210527.68000000002</v>
      </c>
      <c r="IH51" s="36"/>
      <c r="II51" s="200"/>
      <c r="IJ51" s="197"/>
      <c r="IK51" s="197"/>
      <c r="IL51" s="383">
        <f>SUM(IJ51:IJ54)*1.1</f>
        <v>80707.49500000001</v>
      </c>
      <c r="IM51" s="36"/>
      <c r="IN51" s="200"/>
      <c r="IO51" s="197"/>
      <c r="IP51" s="197"/>
      <c r="IQ51" s="383">
        <f>SUM(IO51:IO54)*1.1</f>
        <v>80707.49500000001</v>
      </c>
    </row>
    <row r="52" spans="1:251" ht="0.75" customHeight="1">
      <c r="A52" s="647"/>
      <c r="B52" s="276" t="s">
        <v>338</v>
      </c>
      <c r="C52" s="228">
        <v>35116016</v>
      </c>
      <c r="D52" s="229" t="s">
        <v>41</v>
      </c>
      <c r="E52" s="218" t="s">
        <v>13</v>
      </c>
      <c r="F52" s="24"/>
      <c r="G52" s="104">
        <f>I52/H52</f>
        <v>5.5227719568567029</v>
      </c>
      <c r="H52" s="69">
        <v>12980</v>
      </c>
      <c r="I52" s="70">
        <v>71685.58</v>
      </c>
      <c r="J52" s="128"/>
      <c r="K52" s="136"/>
      <c r="L52" s="104">
        <f>N52/M52</f>
        <v>5.6584567162947996</v>
      </c>
      <c r="M52" s="69">
        <v>9698.7999999999993</v>
      </c>
      <c r="N52" s="70">
        <v>54880.24</v>
      </c>
      <c r="O52" s="128"/>
      <c r="P52" s="136"/>
      <c r="Q52" s="104">
        <f>S52/R52</f>
        <v>5.3252043481415194</v>
      </c>
      <c r="R52" s="69">
        <v>16540.400000000001</v>
      </c>
      <c r="S52" s="70">
        <v>88081.01</v>
      </c>
      <c r="T52" s="128"/>
      <c r="U52" s="136"/>
      <c r="V52" s="115">
        <f>X52/W52</f>
        <v>5.524211615222252</v>
      </c>
      <c r="W52" s="69">
        <v>19140.400000000001</v>
      </c>
      <c r="X52" s="70">
        <v>105735.62</v>
      </c>
      <c r="Y52" s="128"/>
      <c r="Z52" s="403">
        <f>SUM(X51:X54)*1</f>
        <v>110464.81999999999</v>
      </c>
      <c r="AA52" s="92">
        <f>AC52/AB52</f>
        <v>5.1137162906998626</v>
      </c>
      <c r="AB52" s="69">
        <v>14877.2</v>
      </c>
      <c r="AC52" s="70">
        <v>76077.78</v>
      </c>
      <c r="AD52" s="128"/>
      <c r="AE52" s="403">
        <f>SUM(AC51:AC54)*1</f>
        <v>77644.47</v>
      </c>
      <c r="AF52" s="92">
        <f>AH52/AG52</f>
        <v>5.1882184847366482</v>
      </c>
      <c r="AG52" s="69">
        <v>18967</v>
      </c>
      <c r="AH52" s="70">
        <v>98404.94</v>
      </c>
      <c r="AI52" s="128"/>
      <c r="AJ52" s="403">
        <f>SUM(AH51:AH54)*1</f>
        <v>101209.67</v>
      </c>
      <c r="AK52" s="92">
        <f>AM52/AL52</f>
        <v>5.4686756501763885</v>
      </c>
      <c r="AL52" s="69">
        <v>19502.400000000001</v>
      </c>
      <c r="AM52" s="70">
        <v>106652.3</v>
      </c>
      <c r="AN52" s="128"/>
      <c r="AO52" s="403">
        <f>SUM(AM51:AM54)*1</f>
        <v>110505.36</v>
      </c>
      <c r="AP52" s="92">
        <f>AR52/AQ52</f>
        <v>6.5835123273171892</v>
      </c>
      <c r="AQ52" s="69">
        <v>21918.799999999999</v>
      </c>
      <c r="AR52" s="70">
        <v>144302.69</v>
      </c>
      <c r="AS52" s="128"/>
      <c r="AT52" s="403">
        <f>SUM(AR51:AR54)*1</f>
        <v>147026.51999999999</v>
      </c>
      <c r="AU52" s="92">
        <f>AW52/AV52</f>
        <v>7.2405599376318444</v>
      </c>
      <c r="AV52" s="69">
        <v>26167.200000000001</v>
      </c>
      <c r="AW52" s="70">
        <v>189465.18</v>
      </c>
      <c r="AX52" s="128"/>
      <c r="AY52" s="403">
        <f>SUM(AW51:AW54)*1</f>
        <v>192986.87</v>
      </c>
      <c r="AZ52" s="92">
        <f>BB52/BA52</f>
        <v>6.9380998596306531</v>
      </c>
      <c r="BA52" s="69">
        <v>18237.599999999999</v>
      </c>
      <c r="BB52" s="70">
        <v>126534.29</v>
      </c>
      <c r="BC52" s="128"/>
      <c r="BD52" s="403">
        <f>SUM(BB51:BB54)*1</f>
        <v>127196.82999999999</v>
      </c>
      <c r="BE52" s="92">
        <f>BG52/BF52</f>
        <v>7.0001637413275333</v>
      </c>
      <c r="BF52" s="69">
        <v>15451.2</v>
      </c>
      <c r="BG52" s="70">
        <v>108160.93</v>
      </c>
      <c r="BH52" s="128"/>
      <c r="BI52" s="403">
        <f>SUM(BG51:BG54)*1</f>
        <v>110345.98999999999</v>
      </c>
      <c r="BJ52" s="92">
        <f>BL52/BK52</f>
        <v>7.3157642481415461</v>
      </c>
      <c r="BK52" s="69">
        <v>18402.400000000001</v>
      </c>
      <c r="BL52" s="70">
        <v>134627.62</v>
      </c>
      <c r="BM52" s="128"/>
      <c r="BN52" s="403">
        <f>SUM(BL51:BL54)*1</f>
        <v>136681.93</v>
      </c>
      <c r="BO52" s="92">
        <f>BQ52/BP52</f>
        <v>6.842243981447397</v>
      </c>
      <c r="BP52" s="69">
        <v>16299.6</v>
      </c>
      <c r="BQ52" s="70">
        <v>111525.84</v>
      </c>
      <c r="BR52" s="128"/>
      <c r="BS52" s="403">
        <f>SUM(BQ51:BQ54)*1</f>
        <v>113164.48999999999</v>
      </c>
      <c r="BT52" s="92">
        <f>BV52/BU52</f>
        <v>6.6790681032403318</v>
      </c>
      <c r="BU52" s="69">
        <v>24874</v>
      </c>
      <c r="BV52" s="70">
        <v>166135.14000000001</v>
      </c>
      <c r="BW52" s="128"/>
      <c r="BX52" s="403">
        <f>SUM(BV51:BV54)*1</f>
        <v>167820.01</v>
      </c>
      <c r="BY52" s="92">
        <f>CA52/BZ52</f>
        <v>6.2966036113499566</v>
      </c>
      <c r="BZ52" s="69">
        <v>21864.400000000001</v>
      </c>
      <c r="CA52" s="70">
        <v>137671.46</v>
      </c>
      <c r="CB52" s="128"/>
      <c r="CC52" s="403">
        <f>SUM(CA51:CA54)*1</f>
        <v>140438.29999999999</v>
      </c>
      <c r="CD52" s="92">
        <f>CF52/CE52</f>
        <v>6.1779481715847702</v>
      </c>
      <c r="CE52" s="69">
        <v>18584.400000000001</v>
      </c>
      <c r="CF52" s="70">
        <v>114813.46</v>
      </c>
      <c r="CG52" s="128"/>
      <c r="CH52" s="403">
        <f>SUM(CF51:CF54)*1</f>
        <v>116857.29</v>
      </c>
      <c r="CI52" s="92">
        <f>CK52/CJ52</f>
        <v>6.4174561299502022</v>
      </c>
      <c r="CJ52" s="69">
        <v>20241.599999999999</v>
      </c>
      <c r="CK52" s="70">
        <v>129899.58</v>
      </c>
      <c r="CL52" s="128"/>
      <c r="CM52" s="403">
        <f>SUM(CK51:CK54)*1</f>
        <v>132051.18000000002</v>
      </c>
      <c r="CN52" s="92">
        <f>CP52/CO52</f>
        <v>7.3488239361903682</v>
      </c>
      <c r="CO52" s="69">
        <v>21112.799999999999</v>
      </c>
      <c r="CP52" s="70">
        <v>155154.25</v>
      </c>
      <c r="CQ52" s="128"/>
      <c r="CR52" s="403">
        <f>SUM(CP51:CP54)*1</f>
        <v>157470.97</v>
      </c>
      <c r="CS52" s="92">
        <f>CU52/CT52</f>
        <v>8.2829164004521552</v>
      </c>
      <c r="CT52" s="69">
        <v>16277.6</v>
      </c>
      <c r="CU52" s="70">
        <v>134826</v>
      </c>
      <c r="CV52" s="128"/>
      <c r="CW52" s="403">
        <f>SUM(CU51:CU54)*1</f>
        <v>137617.91</v>
      </c>
      <c r="CX52" s="92">
        <f>CZ52/CY52</f>
        <v>8.9946238333176201</v>
      </c>
      <c r="CY52" s="69">
        <v>16971.2</v>
      </c>
      <c r="CZ52" s="70">
        <v>152649.56</v>
      </c>
      <c r="DA52" s="128"/>
      <c r="DB52" s="403">
        <f>SUM(CZ51:CZ54)*1</f>
        <v>156319.94</v>
      </c>
      <c r="DC52" s="92">
        <f>DE52/DD52</f>
        <v>5.5227719568567029</v>
      </c>
      <c r="DD52" s="58">
        <v>12980</v>
      </c>
      <c r="DE52" s="62">
        <v>71685.58</v>
      </c>
      <c r="DF52" s="56"/>
      <c r="DG52" s="403">
        <f>SUM(DE51:DE54)*1</f>
        <v>73370.45</v>
      </c>
      <c r="DH52" s="92">
        <f>DJ52/DI52</f>
        <v>9.1180677915484551</v>
      </c>
      <c r="DI52" s="69">
        <v>18751.599999999999</v>
      </c>
      <c r="DJ52" s="70">
        <v>170978.36</v>
      </c>
      <c r="DK52" s="128"/>
      <c r="DL52" s="403">
        <f>SUM(DJ51:DJ54)*1</f>
        <v>175435.94</v>
      </c>
      <c r="DM52" s="92">
        <f>DO52/DN52</f>
        <v>9.0980040931683064</v>
      </c>
      <c r="DN52" s="69">
        <v>20522</v>
      </c>
      <c r="DO52" s="70">
        <v>186709.24</v>
      </c>
      <c r="DP52" s="128"/>
      <c r="DQ52" s="403">
        <f>SUM(DO51:DO54)*1</f>
        <v>191388.80000000002</v>
      </c>
      <c r="DR52" s="92">
        <f>DT52/DS52</f>
        <v>8.9823722044728438</v>
      </c>
      <c r="DS52" s="69">
        <v>15024</v>
      </c>
      <c r="DT52" s="70">
        <v>134951.16</v>
      </c>
      <c r="DU52" s="128"/>
      <c r="DV52" s="403">
        <f>SUM(DT51:DT54)*1</f>
        <v>137645.77000000002</v>
      </c>
      <c r="DW52" s="92">
        <f>DY52/DX52</f>
        <v>9.5260919622572011</v>
      </c>
      <c r="DX52" s="69">
        <v>19542.8</v>
      </c>
      <c r="DY52" s="70">
        <v>186166.51</v>
      </c>
      <c r="DZ52" s="128"/>
      <c r="EA52" s="403">
        <f>SUM(DY51:DY54)*1</f>
        <v>189677.5</v>
      </c>
      <c r="EB52" s="92">
        <f>ED52/EC52</f>
        <v>9.5495280966767382</v>
      </c>
      <c r="EC52" s="69">
        <v>16550</v>
      </c>
      <c r="ED52" s="70">
        <v>158044.69</v>
      </c>
      <c r="EE52" s="128"/>
      <c r="EF52" s="403">
        <f>SUM(ED51:ED54)*1</f>
        <v>161333.24000000002</v>
      </c>
      <c r="EG52" s="92">
        <f>EI52/EH52</f>
        <v>6.2966036113499566</v>
      </c>
      <c r="EH52" s="58">
        <v>21864.400000000001</v>
      </c>
      <c r="EI52" s="62">
        <v>137671.46</v>
      </c>
      <c r="EJ52" s="56"/>
      <c r="EK52" s="403">
        <f>SUM(EI51:EI54)*1</f>
        <v>140438.29999999999</v>
      </c>
      <c r="EL52" s="92">
        <f>EN52/EM52</f>
        <v>9.0729114971050446</v>
      </c>
      <c r="EM52" s="69">
        <v>18376.8</v>
      </c>
      <c r="EN52" s="70">
        <v>166731.07999999999</v>
      </c>
      <c r="EO52" s="56"/>
      <c r="EP52" s="403">
        <f>SUM(EN51:EN54)*1</f>
        <v>168774.90999999997</v>
      </c>
      <c r="EQ52" s="92">
        <f>ES52/ER52</f>
        <v>6.4174561299502022</v>
      </c>
      <c r="ER52" s="58">
        <v>20241.599999999999</v>
      </c>
      <c r="ES52" s="62">
        <v>129899.58</v>
      </c>
      <c r="ET52" s="56"/>
      <c r="EU52" s="403">
        <f>SUM(ES51:ES54)*1</f>
        <v>132051.18000000002</v>
      </c>
      <c r="EV52" s="92">
        <f>EX52/EW52</f>
        <v>7.3488239361903682</v>
      </c>
      <c r="EW52" s="58">
        <v>21112.799999999999</v>
      </c>
      <c r="EX52" s="62">
        <v>155154.25</v>
      </c>
      <c r="EY52" s="56"/>
      <c r="EZ52" s="403">
        <f>SUM(EX51:EX54)*1</f>
        <v>157470.97</v>
      </c>
      <c r="FA52" s="92">
        <f>FC52/FB52</f>
        <v>8.2829164004521552</v>
      </c>
      <c r="FB52" s="58">
        <v>16277.6</v>
      </c>
      <c r="FC52" s="62">
        <v>134826</v>
      </c>
      <c r="FD52" s="56"/>
      <c r="FE52" s="403">
        <f>SUM(FC51:FC54)*1</f>
        <v>137617.91</v>
      </c>
      <c r="FF52" s="92">
        <f>FH52/FG52</f>
        <v>8.9946238333176201</v>
      </c>
      <c r="FG52" s="58">
        <v>16971.2</v>
      </c>
      <c r="FH52" s="62">
        <v>152649.56</v>
      </c>
      <c r="FI52" s="56"/>
      <c r="FJ52" s="403">
        <f>SUM(FH51:FH54)*1</f>
        <v>156319.94</v>
      </c>
      <c r="FK52" s="92">
        <f>FM52/FL52</f>
        <v>5.5227719568567029</v>
      </c>
      <c r="FL52" s="58">
        <v>12980</v>
      </c>
      <c r="FM52" s="62">
        <v>71685.58</v>
      </c>
      <c r="FN52" s="56"/>
      <c r="FO52" s="403">
        <f>SUM(FM51:FM54)*1</f>
        <v>74305.09</v>
      </c>
      <c r="FP52" s="92">
        <f>FR52/FQ52</f>
        <v>9.1180677915484551</v>
      </c>
      <c r="FQ52" s="58">
        <v>18751.599999999999</v>
      </c>
      <c r="FR52" s="62">
        <v>170978.36</v>
      </c>
      <c r="FS52" s="56"/>
      <c r="FT52" s="403">
        <f>SUM(FR51:FR54)*1</f>
        <v>175435.94</v>
      </c>
      <c r="FU52" s="92">
        <f>FW52/FV52</f>
        <v>9.0980040931683064</v>
      </c>
      <c r="FV52" s="58">
        <v>20522</v>
      </c>
      <c r="FW52" s="62">
        <v>186709.24</v>
      </c>
      <c r="FX52" s="56"/>
      <c r="FY52" s="403">
        <f>SUM(FW51:FW54)*1</f>
        <v>191388.80000000002</v>
      </c>
      <c r="FZ52" s="92">
        <f>GB52/GA52</f>
        <v>5.5227719568567029</v>
      </c>
      <c r="GA52" s="58">
        <v>12980</v>
      </c>
      <c r="GB52" s="62">
        <v>71685.58</v>
      </c>
      <c r="GC52" s="56"/>
      <c r="GD52" s="403">
        <f>SUM(GB51:GB54)*1</f>
        <v>73370.45</v>
      </c>
      <c r="GE52" s="92">
        <f>GG52/GF52</f>
        <v>5.5227719568567029</v>
      </c>
      <c r="GF52" s="58">
        <v>12980</v>
      </c>
      <c r="GG52" s="62">
        <v>71685.58</v>
      </c>
      <c r="GH52" s="56"/>
      <c r="GI52" s="403">
        <f>SUM(GG51:GG54)*1</f>
        <v>73370.45</v>
      </c>
      <c r="GJ52" s="98">
        <f>GL52/GK52</f>
        <v>9.5495280966767382</v>
      </c>
      <c r="GK52" s="58">
        <v>16550</v>
      </c>
      <c r="GL52" s="62">
        <v>158044.69</v>
      </c>
      <c r="GM52" s="56"/>
      <c r="GN52" s="403">
        <f>SUM(GL51:GL54)*1</f>
        <v>161333.24000000002</v>
      </c>
      <c r="GO52" s="92">
        <f>GQ52/GP52</f>
        <v>6.2966036113499566</v>
      </c>
      <c r="GP52" s="58">
        <v>21864.400000000001</v>
      </c>
      <c r="GQ52" s="62">
        <v>137671.46</v>
      </c>
      <c r="GR52" s="56"/>
      <c r="GS52" s="403">
        <f>SUM(GQ51:GQ54)*1</f>
        <v>140438.29999999999</v>
      </c>
      <c r="GT52" s="92">
        <f>GV52/GU52</f>
        <v>9.0729114971050446</v>
      </c>
      <c r="GU52" s="58">
        <v>18376.8</v>
      </c>
      <c r="GV52" s="62">
        <v>166731.07999999999</v>
      </c>
      <c r="GW52" s="56"/>
      <c r="GX52" s="403">
        <f>SUM(GV51:GV54)*1</f>
        <v>168774.90999999997</v>
      </c>
      <c r="GY52" s="92">
        <f>HA52/GZ52</f>
        <v>6.4174561299502022</v>
      </c>
      <c r="GZ52" s="58">
        <v>20241.599999999999</v>
      </c>
      <c r="HA52" s="62">
        <v>129899.58</v>
      </c>
      <c r="HB52" s="56"/>
      <c r="HC52" s="403">
        <f>SUM(HA51:HA54)*1</f>
        <v>132051.18000000002</v>
      </c>
      <c r="HD52" s="92">
        <f>HF52/HE52</f>
        <v>7.3488239361903682</v>
      </c>
      <c r="HE52" s="58">
        <v>21112.799999999999</v>
      </c>
      <c r="HF52" s="62">
        <v>155154.25</v>
      </c>
      <c r="HG52" s="56"/>
      <c r="HH52" s="403">
        <f>SUM(HF51:HF54)*1</f>
        <v>157470.97</v>
      </c>
      <c r="HI52" s="92">
        <f>HK52/HJ52</f>
        <v>8.2829164004521552</v>
      </c>
      <c r="HJ52" s="58">
        <v>16277.6</v>
      </c>
      <c r="HK52" s="62">
        <v>134826</v>
      </c>
      <c r="HL52" s="56"/>
      <c r="HM52" s="403">
        <f>SUM(HK51:HK54)*1</f>
        <v>137617.91</v>
      </c>
      <c r="HN52" s="92">
        <f>HP52/HO52</f>
        <v>8.9946238333176201</v>
      </c>
      <c r="HO52" s="58">
        <v>16971.2</v>
      </c>
      <c r="HP52" s="62">
        <v>152649.56</v>
      </c>
      <c r="HQ52" s="56"/>
      <c r="HR52" s="403">
        <f>SUM(HP51:HP54)*1</f>
        <v>156319.94</v>
      </c>
      <c r="HS52" s="92">
        <f>HU52/HT52</f>
        <v>5.5227719568567029</v>
      </c>
      <c r="HT52" s="58">
        <v>12980</v>
      </c>
      <c r="HU52" s="62">
        <v>71685.58</v>
      </c>
      <c r="HV52" s="56"/>
      <c r="HW52" s="403">
        <f>SUM(HU51:HU54)*1</f>
        <v>74305.09</v>
      </c>
      <c r="HX52" s="92">
        <f>HZ52/HY52</f>
        <v>9.1180677915484551</v>
      </c>
      <c r="HY52" s="58">
        <v>18751.599999999999</v>
      </c>
      <c r="HZ52" s="62">
        <v>170978.36</v>
      </c>
      <c r="IA52" s="56"/>
      <c r="IB52" s="403">
        <f>SUM(HZ51:HZ54)*1</f>
        <v>175435.94</v>
      </c>
      <c r="IC52" s="92">
        <f>IE52/ID52</f>
        <v>9.0980040931683064</v>
      </c>
      <c r="ID52" s="58">
        <v>20522</v>
      </c>
      <c r="IE52" s="62">
        <v>186709.24</v>
      </c>
      <c r="IF52" s="56"/>
      <c r="IG52" s="403">
        <f>SUM(IE51:IE54)*1</f>
        <v>191388.80000000002</v>
      </c>
      <c r="IH52" s="92">
        <f>IJ52/II52</f>
        <v>5.5227719568567029</v>
      </c>
      <c r="II52" s="58">
        <v>12980</v>
      </c>
      <c r="IJ52" s="62">
        <v>71685.58</v>
      </c>
      <c r="IK52" s="56"/>
      <c r="IL52" s="403">
        <f>SUM(IJ51:IJ54)*1</f>
        <v>73370.45</v>
      </c>
      <c r="IM52" s="92">
        <f>IO52/IN52</f>
        <v>5.5227719568567029</v>
      </c>
      <c r="IN52" s="58">
        <v>12980</v>
      </c>
      <c r="IO52" s="62">
        <v>71685.58</v>
      </c>
      <c r="IP52" s="56"/>
      <c r="IQ52" s="403">
        <f>SUM(IO51:IO54)*1</f>
        <v>73370.45</v>
      </c>
    </row>
    <row r="53" spans="1:251" ht="15" customHeight="1">
      <c r="A53" s="647"/>
      <c r="B53" s="276"/>
      <c r="C53" s="228"/>
      <c r="D53" s="229"/>
      <c r="E53" s="216" t="s">
        <v>15</v>
      </c>
      <c r="F53" s="22"/>
      <c r="G53" s="103"/>
      <c r="H53" s="139">
        <v>1</v>
      </c>
      <c r="I53" s="139">
        <v>1099.3699999999999</v>
      </c>
      <c r="J53" s="128"/>
      <c r="K53" s="136"/>
      <c r="L53" s="103"/>
      <c r="M53" s="139">
        <v>1</v>
      </c>
      <c r="N53" s="139">
        <v>893.9</v>
      </c>
      <c r="O53" s="128"/>
      <c r="P53" s="136"/>
      <c r="Q53" s="103"/>
      <c r="R53" s="139">
        <v>1</v>
      </c>
      <c r="S53" s="139">
        <v>1673.39</v>
      </c>
      <c r="T53" s="128"/>
      <c r="U53" s="136"/>
      <c r="V53" s="47"/>
      <c r="W53" s="139">
        <v>1</v>
      </c>
      <c r="X53" s="139">
        <v>1857.76</v>
      </c>
      <c r="Y53" s="128"/>
      <c r="Z53" s="128"/>
      <c r="AA53" s="46"/>
      <c r="AB53" s="139">
        <v>1</v>
      </c>
      <c r="AC53" s="139" t="s">
        <v>223</v>
      </c>
      <c r="AD53" s="128"/>
      <c r="AE53" s="128"/>
      <c r="AF53" s="46"/>
      <c r="AG53" s="139">
        <v>1</v>
      </c>
      <c r="AH53" s="139">
        <v>1099.3699999999999</v>
      </c>
      <c r="AI53" s="128"/>
      <c r="AJ53" s="128"/>
      <c r="AK53" s="46"/>
      <c r="AL53" s="139">
        <v>1</v>
      </c>
      <c r="AM53" s="139">
        <v>1641.7</v>
      </c>
      <c r="AN53" s="128"/>
      <c r="AO53" s="128"/>
      <c r="AP53" s="46"/>
      <c r="AQ53" s="139">
        <v>1</v>
      </c>
      <c r="AR53" s="139">
        <v>1968.84</v>
      </c>
      <c r="AS53" s="128"/>
      <c r="AT53" s="128"/>
      <c r="AU53" s="46"/>
      <c r="AV53" s="139">
        <v>1</v>
      </c>
      <c r="AW53" s="139">
        <v>2720.47</v>
      </c>
      <c r="AX53" s="128"/>
      <c r="AY53" s="128"/>
      <c r="AZ53" s="46"/>
      <c r="BA53" s="139">
        <v>1</v>
      </c>
      <c r="BB53" s="139" t="s">
        <v>346</v>
      </c>
      <c r="BC53" s="128"/>
      <c r="BD53" s="128"/>
      <c r="BE53" s="46"/>
      <c r="BF53" s="139">
        <v>1</v>
      </c>
      <c r="BG53" s="139">
        <v>1460.88</v>
      </c>
      <c r="BH53" s="128"/>
      <c r="BI53" s="128"/>
      <c r="BJ53" s="46"/>
      <c r="BK53" s="139">
        <v>1</v>
      </c>
      <c r="BL53" s="139">
        <v>1607.48</v>
      </c>
      <c r="BM53" s="128"/>
      <c r="BN53" s="128"/>
      <c r="BO53" s="46"/>
      <c r="BP53" s="66">
        <v>1</v>
      </c>
      <c r="BQ53" s="66">
        <v>1099.3699999999999</v>
      </c>
      <c r="BR53" s="56"/>
      <c r="BS53" s="128"/>
      <c r="BT53" s="46"/>
      <c r="BU53" s="66">
        <v>1</v>
      </c>
      <c r="BV53" s="66">
        <v>1099.3699999999999</v>
      </c>
      <c r="BW53" s="56"/>
      <c r="BX53" s="128"/>
      <c r="BY53" s="46"/>
      <c r="BZ53" s="139">
        <v>1</v>
      </c>
      <c r="CA53" s="139">
        <v>1657.46</v>
      </c>
      <c r="CB53" s="128"/>
      <c r="CC53" s="128"/>
      <c r="CD53" s="46"/>
      <c r="CE53" s="139">
        <v>1</v>
      </c>
      <c r="CF53" s="139">
        <v>1273.43</v>
      </c>
      <c r="CG53" s="128"/>
      <c r="CH53" s="128"/>
      <c r="CI53" s="46"/>
      <c r="CJ53" s="139">
        <v>1</v>
      </c>
      <c r="CK53" s="139">
        <v>1504.46</v>
      </c>
      <c r="CL53" s="128"/>
      <c r="CM53" s="128"/>
      <c r="CN53" s="46"/>
      <c r="CO53" s="139">
        <v>1</v>
      </c>
      <c r="CP53" s="139">
        <v>1654.18</v>
      </c>
      <c r="CQ53" s="128"/>
      <c r="CR53" s="128"/>
      <c r="CS53" s="46"/>
      <c r="CT53" s="139">
        <v>1</v>
      </c>
      <c r="CU53" s="139">
        <v>1849.02</v>
      </c>
      <c r="CV53" s="128"/>
      <c r="CW53" s="128"/>
      <c r="CX53" s="46"/>
      <c r="CY53" s="139">
        <v>1</v>
      </c>
      <c r="CZ53" s="139">
        <v>2699.76</v>
      </c>
      <c r="DA53" s="128"/>
      <c r="DB53" s="128"/>
      <c r="DC53" s="46"/>
      <c r="DD53" s="66">
        <v>1</v>
      </c>
      <c r="DE53" s="66">
        <v>1099.3699999999999</v>
      </c>
      <c r="DF53" s="56"/>
      <c r="DG53" s="128"/>
      <c r="DH53" s="46"/>
      <c r="DI53" s="139">
        <v>1</v>
      </c>
      <c r="DJ53" s="139">
        <v>3181.91</v>
      </c>
      <c r="DK53" s="128"/>
      <c r="DL53" s="128"/>
      <c r="DM53" s="46"/>
      <c r="DN53" s="139">
        <v>1</v>
      </c>
      <c r="DO53" s="139">
        <v>3348.42</v>
      </c>
      <c r="DP53" s="128"/>
      <c r="DQ53" s="128"/>
      <c r="DR53" s="46"/>
      <c r="DS53" s="139">
        <v>1</v>
      </c>
      <c r="DT53" s="139">
        <v>1557.6</v>
      </c>
      <c r="DU53" s="128"/>
      <c r="DV53" s="128"/>
      <c r="DW53" s="46"/>
      <c r="DX53" s="139">
        <v>1</v>
      </c>
      <c r="DY53" s="139">
        <v>2290.7800000000002</v>
      </c>
      <c r="DZ53" s="128"/>
      <c r="EA53" s="128"/>
      <c r="EB53" s="46"/>
      <c r="EC53" s="139">
        <v>1</v>
      </c>
      <c r="ED53" s="139">
        <v>1855.79</v>
      </c>
      <c r="EE53" s="128"/>
      <c r="EF53" s="128"/>
      <c r="EG53" s="46"/>
      <c r="EH53" s="66">
        <v>1</v>
      </c>
      <c r="EI53" s="66">
        <v>1657.46</v>
      </c>
      <c r="EJ53" s="56"/>
      <c r="EK53" s="128"/>
      <c r="EL53" s="46"/>
      <c r="EM53" s="66">
        <v>1</v>
      </c>
      <c r="EN53" s="66">
        <v>1273.43</v>
      </c>
      <c r="EO53" s="56"/>
      <c r="EP53" s="128"/>
      <c r="EQ53" s="46"/>
      <c r="ER53" s="66">
        <v>1</v>
      </c>
      <c r="ES53" s="66">
        <v>1504.46</v>
      </c>
      <c r="ET53" s="56"/>
      <c r="EU53" s="128"/>
      <c r="EV53" s="46"/>
      <c r="EW53" s="66">
        <v>1</v>
      </c>
      <c r="EX53" s="66">
        <v>1654.18</v>
      </c>
      <c r="EY53" s="56"/>
      <c r="EZ53" s="128"/>
      <c r="FA53" s="46"/>
      <c r="FB53" s="66">
        <v>1</v>
      </c>
      <c r="FC53" s="66">
        <v>1849.02</v>
      </c>
      <c r="FD53" s="56"/>
      <c r="FE53" s="128"/>
      <c r="FF53" s="46"/>
      <c r="FG53" s="66">
        <v>1</v>
      </c>
      <c r="FH53" s="66">
        <v>2699.76</v>
      </c>
      <c r="FI53" s="56"/>
      <c r="FJ53" s="128"/>
      <c r="FK53" s="46"/>
      <c r="FL53" s="66">
        <v>1</v>
      </c>
      <c r="FM53" s="66">
        <v>1099.3699999999999</v>
      </c>
      <c r="FN53" s="56"/>
      <c r="FO53" s="128"/>
      <c r="FP53" s="46"/>
      <c r="FQ53" s="66">
        <v>1</v>
      </c>
      <c r="FR53" s="66">
        <v>3181.91</v>
      </c>
      <c r="FS53" s="56"/>
      <c r="FT53" s="128"/>
      <c r="FU53" s="46"/>
      <c r="FV53" s="66">
        <v>1</v>
      </c>
      <c r="FW53" s="66">
        <v>3348.42</v>
      </c>
      <c r="FX53" s="56"/>
      <c r="FY53" s="128"/>
      <c r="FZ53" s="46"/>
      <c r="GA53" s="66">
        <v>1</v>
      </c>
      <c r="GB53" s="66">
        <v>1099.3699999999999</v>
      </c>
      <c r="GC53" s="56"/>
      <c r="GD53" s="128"/>
      <c r="GE53" s="46"/>
      <c r="GF53" s="66">
        <v>1</v>
      </c>
      <c r="GG53" s="66">
        <v>1099.3699999999999</v>
      </c>
      <c r="GH53" s="56"/>
      <c r="GI53" s="128"/>
      <c r="GJ53" s="97"/>
      <c r="GK53" s="66">
        <v>1</v>
      </c>
      <c r="GL53" s="66">
        <v>1855.79</v>
      </c>
      <c r="GM53" s="56"/>
      <c r="GN53" s="128"/>
      <c r="GO53" s="46"/>
      <c r="GP53" s="66">
        <v>1</v>
      </c>
      <c r="GQ53" s="66">
        <v>1657.46</v>
      </c>
      <c r="GR53" s="56"/>
      <c r="GS53" s="128"/>
      <c r="GT53" s="46"/>
      <c r="GU53" s="66">
        <v>1</v>
      </c>
      <c r="GV53" s="66">
        <v>1273.43</v>
      </c>
      <c r="GW53" s="56"/>
      <c r="GX53" s="128"/>
      <c r="GY53" s="46"/>
      <c r="GZ53" s="66">
        <v>1</v>
      </c>
      <c r="HA53" s="66">
        <v>1504.46</v>
      </c>
      <c r="HB53" s="56"/>
      <c r="HC53" s="128"/>
      <c r="HD53" s="46"/>
      <c r="HE53" s="66">
        <v>1</v>
      </c>
      <c r="HF53" s="66">
        <v>1654.18</v>
      </c>
      <c r="HG53" s="56"/>
      <c r="HH53" s="128"/>
      <c r="HI53" s="46"/>
      <c r="HJ53" s="66">
        <v>1</v>
      </c>
      <c r="HK53" s="66">
        <v>1849.02</v>
      </c>
      <c r="HL53" s="56"/>
      <c r="HM53" s="128"/>
      <c r="HN53" s="46"/>
      <c r="HO53" s="66">
        <v>1</v>
      </c>
      <c r="HP53" s="66">
        <v>2699.76</v>
      </c>
      <c r="HQ53" s="56"/>
      <c r="HR53" s="128"/>
      <c r="HS53" s="46"/>
      <c r="HT53" s="66">
        <v>1</v>
      </c>
      <c r="HU53" s="66">
        <v>1099.3699999999999</v>
      </c>
      <c r="HV53" s="56"/>
      <c r="HW53" s="128"/>
      <c r="HX53" s="46"/>
      <c r="HY53" s="66">
        <v>1</v>
      </c>
      <c r="HZ53" s="66">
        <v>3181.91</v>
      </c>
      <c r="IA53" s="56"/>
      <c r="IB53" s="128"/>
      <c r="IC53" s="46"/>
      <c r="ID53" s="66">
        <v>1</v>
      </c>
      <c r="IE53" s="66">
        <v>3348.42</v>
      </c>
      <c r="IF53" s="56"/>
      <c r="IG53" s="128"/>
      <c r="IH53" s="46"/>
      <c r="II53" s="66">
        <v>1</v>
      </c>
      <c r="IJ53" s="66">
        <v>1099.3699999999999</v>
      </c>
      <c r="IK53" s="56"/>
      <c r="IL53" s="128"/>
      <c r="IM53" s="46"/>
      <c r="IN53" s="66">
        <v>1</v>
      </c>
      <c r="IO53" s="66">
        <v>1099.3699999999999</v>
      </c>
      <c r="IP53" s="56"/>
      <c r="IQ53" s="128"/>
    </row>
    <row r="54" spans="1:251" s="264" customFormat="1" ht="15" customHeight="1" thickBot="1">
      <c r="A54" s="648"/>
      <c r="B54" s="289"/>
      <c r="C54" s="283"/>
      <c r="D54" s="1532"/>
      <c r="E54" s="259" t="s">
        <v>17</v>
      </c>
      <c r="F54" s="23"/>
      <c r="G54" s="168">
        <f>I54/H54</f>
        <v>15.407894736842104</v>
      </c>
      <c r="H54" s="183">
        <v>38</v>
      </c>
      <c r="I54" s="201">
        <v>585.5</v>
      </c>
      <c r="J54" s="172"/>
      <c r="K54" s="18"/>
      <c r="L54" s="168">
        <f>N54/M54</f>
        <v>15.407878787878786</v>
      </c>
      <c r="M54" s="183">
        <v>33</v>
      </c>
      <c r="N54" s="201">
        <v>508.46</v>
      </c>
      <c r="O54" s="172"/>
      <c r="P54" s="18"/>
      <c r="Q54" s="168">
        <f>S54/R54</f>
        <v>15.407906976744185</v>
      </c>
      <c r="R54" s="183">
        <v>43</v>
      </c>
      <c r="S54" s="201">
        <v>662.54</v>
      </c>
      <c r="T54" s="172"/>
      <c r="U54" s="18"/>
      <c r="V54" s="209">
        <f>X54/W54</f>
        <v>15.408000000000001</v>
      </c>
      <c r="W54" s="183">
        <v>55</v>
      </c>
      <c r="X54" s="201">
        <v>847.44</v>
      </c>
      <c r="Y54" s="172"/>
      <c r="Z54" s="172"/>
      <c r="AA54" s="3">
        <f>AC54/AB54</f>
        <v>15.408055555555556</v>
      </c>
      <c r="AB54" s="183">
        <v>36</v>
      </c>
      <c r="AC54" s="201">
        <v>554.69000000000005</v>
      </c>
      <c r="AD54" s="172"/>
      <c r="AE54" s="172"/>
      <c r="AF54" s="3">
        <f>AH54/AG54</f>
        <v>15.407999999999999</v>
      </c>
      <c r="AG54" s="183">
        <v>45</v>
      </c>
      <c r="AH54" s="201">
        <v>693.36</v>
      </c>
      <c r="AI54" s="172"/>
      <c r="AJ54" s="172"/>
      <c r="AK54" s="3">
        <f>AM54/AL54</f>
        <v>15.407999999999999</v>
      </c>
      <c r="AL54" s="183">
        <v>45</v>
      </c>
      <c r="AM54" s="201">
        <v>693.36</v>
      </c>
      <c r="AN54" s="172"/>
      <c r="AO54" s="172"/>
      <c r="AP54" s="3">
        <f>AR54/AQ54</f>
        <v>15.407959183673469</v>
      </c>
      <c r="AQ54" s="183">
        <v>49</v>
      </c>
      <c r="AR54" s="201">
        <v>754.99</v>
      </c>
      <c r="AS54" s="172"/>
      <c r="AT54" s="172"/>
      <c r="AU54" s="3">
        <f>AW54/AV54</f>
        <v>15.408076923076923</v>
      </c>
      <c r="AV54" s="183">
        <v>52</v>
      </c>
      <c r="AW54" s="201">
        <v>801.22</v>
      </c>
      <c r="AX54" s="172"/>
      <c r="AY54" s="172"/>
      <c r="AZ54" s="3">
        <f>BB54/BA54</f>
        <v>15.407906976744185</v>
      </c>
      <c r="BA54" s="183">
        <v>43</v>
      </c>
      <c r="BB54" s="201">
        <v>662.54</v>
      </c>
      <c r="BC54" s="172"/>
      <c r="BD54" s="172"/>
      <c r="BE54" s="3">
        <f>BG54/BF54</f>
        <v>15.408085106382977</v>
      </c>
      <c r="BF54" s="183">
        <v>47</v>
      </c>
      <c r="BG54" s="201">
        <v>724.18</v>
      </c>
      <c r="BH54" s="172"/>
      <c r="BI54" s="172"/>
      <c r="BJ54" s="3">
        <f>BL54/BK54</f>
        <v>15.407931034482758</v>
      </c>
      <c r="BK54" s="183">
        <v>29</v>
      </c>
      <c r="BL54" s="201">
        <v>446.83</v>
      </c>
      <c r="BM54" s="172"/>
      <c r="BN54" s="172"/>
      <c r="BO54" s="3">
        <f>BQ54/BP54</f>
        <v>15.407999999999999</v>
      </c>
      <c r="BP54" s="183">
        <v>35</v>
      </c>
      <c r="BQ54" s="201">
        <v>539.28</v>
      </c>
      <c r="BR54" s="172"/>
      <c r="BS54" s="172"/>
      <c r="BT54" s="3">
        <f>BV54/BU54</f>
        <v>15.407894736842104</v>
      </c>
      <c r="BU54" s="185">
        <v>38</v>
      </c>
      <c r="BV54" s="186">
        <v>585.5</v>
      </c>
      <c r="BW54" s="177"/>
      <c r="BX54" s="172"/>
      <c r="BY54" s="3">
        <f>CA54/BZ54</f>
        <v>15.408055555555556</v>
      </c>
      <c r="BZ54" s="183">
        <v>72</v>
      </c>
      <c r="CA54" s="201">
        <v>1109.3800000000001</v>
      </c>
      <c r="CB54" s="172"/>
      <c r="CC54" s="172"/>
      <c r="CD54" s="3">
        <f>CF54/CE54</f>
        <v>15.407999999999999</v>
      </c>
      <c r="CE54" s="183">
        <v>50</v>
      </c>
      <c r="CF54" s="201">
        <v>770.4</v>
      </c>
      <c r="CG54" s="172"/>
      <c r="CH54" s="172"/>
      <c r="CI54" s="3">
        <f>CK54/CJ54</f>
        <v>17.03</v>
      </c>
      <c r="CJ54" s="183">
        <v>38</v>
      </c>
      <c r="CK54" s="201">
        <v>647.14</v>
      </c>
      <c r="CL54" s="172"/>
      <c r="CM54" s="172"/>
      <c r="CN54" s="3">
        <f>CP54/CO54</f>
        <v>15.407906976744185</v>
      </c>
      <c r="CO54" s="183">
        <v>43</v>
      </c>
      <c r="CP54" s="201">
        <v>662.54</v>
      </c>
      <c r="CQ54" s="172"/>
      <c r="CR54" s="172"/>
      <c r="CS54" s="3">
        <f>CU54/CT54</f>
        <v>27.73205882352941</v>
      </c>
      <c r="CT54" s="183">
        <v>34</v>
      </c>
      <c r="CU54" s="201">
        <v>942.89</v>
      </c>
      <c r="CV54" s="172"/>
      <c r="CW54" s="172"/>
      <c r="CX54" s="3">
        <f>CZ54/CY54</f>
        <v>27.731999999999999</v>
      </c>
      <c r="CY54" s="183">
        <v>35</v>
      </c>
      <c r="CZ54" s="201">
        <v>970.62</v>
      </c>
      <c r="DA54" s="172"/>
      <c r="DB54" s="172"/>
      <c r="DC54" s="3">
        <f>DE54/DD54</f>
        <v>15.407894736842104</v>
      </c>
      <c r="DD54" s="185">
        <v>38</v>
      </c>
      <c r="DE54" s="186">
        <v>585.5</v>
      </c>
      <c r="DF54" s="177"/>
      <c r="DG54" s="172"/>
      <c r="DH54" s="3">
        <f>DJ54/DI54</f>
        <v>27.731956521739132</v>
      </c>
      <c r="DI54" s="183">
        <v>46</v>
      </c>
      <c r="DJ54" s="201">
        <v>1275.67</v>
      </c>
      <c r="DK54" s="172"/>
      <c r="DL54" s="172"/>
      <c r="DM54" s="3">
        <f>DO54/DN54</f>
        <v>27.732083333333335</v>
      </c>
      <c r="DN54" s="183">
        <v>48</v>
      </c>
      <c r="DO54" s="201">
        <v>1331.14</v>
      </c>
      <c r="DP54" s="172"/>
      <c r="DQ54" s="172"/>
      <c r="DR54" s="3">
        <f>DT54/DS54</f>
        <v>27.731951219512194</v>
      </c>
      <c r="DS54" s="183">
        <v>41</v>
      </c>
      <c r="DT54" s="201">
        <v>1137.01</v>
      </c>
      <c r="DU54" s="172"/>
      <c r="DV54" s="172"/>
      <c r="DW54" s="3">
        <f>DY54/DX54</f>
        <v>27.732045454545457</v>
      </c>
      <c r="DX54" s="183">
        <v>44</v>
      </c>
      <c r="DY54" s="201">
        <v>1220.21</v>
      </c>
      <c r="DZ54" s="172"/>
      <c r="EA54" s="172"/>
      <c r="EB54" s="3">
        <f>ED54/EC54</f>
        <v>26.680819366852884</v>
      </c>
      <c r="EC54" s="183">
        <v>53.7</v>
      </c>
      <c r="ED54" s="201">
        <v>1432.76</v>
      </c>
      <c r="EE54" s="172"/>
      <c r="EF54" s="172"/>
      <c r="EG54" s="3">
        <f>EI54/EH54</f>
        <v>15.408055555555556</v>
      </c>
      <c r="EH54" s="185">
        <v>72</v>
      </c>
      <c r="EI54" s="186">
        <v>1109.3800000000001</v>
      </c>
      <c r="EJ54" s="177"/>
      <c r="EK54" s="172"/>
      <c r="EL54" s="3">
        <f>EN54/EM54</f>
        <v>15.407999999999999</v>
      </c>
      <c r="EM54" s="185">
        <v>50</v>
      </c>
      <c r="EN54" s="186">
        <v>770.4</v>
      </c>
      <c r="EO54" s="177"/>
      <c r="EP54" s="172"/>
      <c r="EQ54" s="3">
        <f>ES54/ER54</f>
        <v>17.03</v>
      </c>
      <c r="ER54" s="185">
        <v>38</v>
      </c>
      <c r="ES54" s="186">
        <v>647.14</v>
      </c>
      <c r="ET54" s="177"/>
      <c r="EU54" s="172"/>
      <c r="EV54" s="3">
        <f>EX54/EW54</f>
        <v>15.407906976744185</v>
      </c>
      <c r="EW54" s="185">
        <v>43</v>
      </c>
      <c r="EX54" s="186">
        <v>662.54</v>
      </c>
      <c r="EY54" s="177"/>
      <c r="EZ54" s="172"/>
      <c r="FA54" s="3">
        <f>FC54/FB54</f>
        <v>27.73205882352941</v>
      </c>
      <c r="FB54" s="185">
        <v>34</v>
      </c>
      <c r="FC54" s="186">
        <v>942.89</v>
      </c>
      <c r="FD54" s="177"/>
      <c r="FE54" s="172"/>
      <c r="FF54" s="3">
        <f>FH54/FG54</f>
        <v>27.731999999999999</v>
      </c>
      <c r="FG54" s="185">
        <v>35</v>
      </c>
      <c r="FH54" s="186">
        <v>970.62</v>
      </c>
      <c r="FI54" s="177"/>
      <c r="FJ54" s="172"/>
      <c r="FK54" s="3">
        <f>FM54/FL54</f>
        <v>40.003684210526316</v>
      </c>
      <c r="FL54" s="185">
        <v>38</v>
      </c>
      <c r="FM54" s="186">
        <v>1520.14</v>
      </c>
      <c r="FN54" s="177"/>
      <c r="FO54" s="172"/>
      <c r="FP54" s="3">
        <f>FR54/FQ54</f>
        <v>27.731956521739132</v>
      </c>
      <c r="FQ54" s="185">
        <v>46</v>
      </c>
      <c r="FR54" s="186">
        <v>1275.67</v>
      </c>
      <c r="FS54" s="177"/>
      <c r="FT54" s="172"/>
      <c r="FU54" s="3">
        <f>FW54/FV54</f>
        <v>27.732083333333335</v>
      </c>
      <c r="FV54" s="185">
        <v>48</v>
      </c>
      <c r="FW54" s="186">
        <v>1331.14</v>
      </c>
      <c r="FX54" s="177"/>
      <c r="FY54" s="172"/>
      <c r="FZ54" s="3">
        <f>GB54/GA54</f>
        <v>15.407894736842104</v>
      </c>
      <c r="GA54" s="185">
        <v>38</v>
      </c>
      <c r="GB54" s="186">
        <v>585.5</v>
      </c>
      <c r="GC54" s="177"/>
      <c r="GD54" s="172"/>
      <c r="GE54" s="3">
        <f>GG54/GF54</f>
        <v>15.407894736842104</v>
      </c>
      <c r="GF54" s="185">
        <v>38</v>
      </c>
      <c r="GG54" s="186">
        <v>585.5</v>
      </c>
      <c r="GH54" s="177"/>
      <c r="GI54" s="172"/>
      <c r="GJ54" s="285">
        <f>GL54/GK54</f>
        <v>26.680819366852884</v>
      </c>
      <c r="GK54" s="185">
        <v>53.7</v>
      </c>
      <c r="GL54" s="186">
        <v>1432.76</v>
      </c>
      <c r="GM54" s="177"/>
      <c r="GN54" s="172"/>
      <c r="GO54" s="3">
        <f>GQ54/GP54</f>
        <v>15.408055555555556</v>
      </c>
      <c r="GP54" s="185">
        <v>72</v>
      </c>
      <c r="GQ54" s="186">
        <v>1109.3800000000001</v>
      </c>
      <c r="GR54" s="177"/>
      <c r="GS54" s="172"/>
      <c r="GT54" s="3">
        <f>GV54/GU54</f>
        <v>15.407999999999999</v>
      </c>
      <c r="GU54" s="185">
        <v>50</v>
      </c>
      <c r="GV54" s="186">
        <v>770.4</v>
      </c>
      <c r="GW54" s="177"/>
      <c r="GX54" s="172"/>
      <c r="GY54" s="3">
        <f>HA54/GZ54</f>
        <v>17.03</v>
      </c>
      <c r="GZ54" s="185">
        <v>38</v>
      </c>
      <c r="HA54" s="186">
        <v>647.14</v>
      </c>
      <c r="HB54" s="177"/>
      <c r="HC54" s="172"/>
      <c r="HD54" s="3">
        <f>HF54/HE54</f>
        <v>15.407906976744185</v>
      </c>
      <c r="HE54" s="185">
        <v>43</v>
      </c>
      <c r="HF54" s="186">
        <v>662.54</v>
      </c>
      <c r="HG54" s="177"/>
      <c r="HH54" s="172"/>
      <c r="HI54" s="3">
        <f>HK54/HJ54</f>
        <v>27.73205882352941</v>
      </c>
      <c r="HJ54" s="185">
        <v>34</v>
      </c>
      <c r="HK54" s="186">
        <v>942.89</v>
      </c>
      <c r="HL54" s="177"/>
      <c r="HM54" s="172"/>
      <c r="HN54" s="3">
        <f>HP54/HO54</f>
        <v>27.731999999999999</v>
      </c>
      <c r="HO54" s="185">
        <v>35</v>
      </c>
      <c r="HP54" s="186">
        <v>970.62</v>
      </c>
      <c r="HQ54" s="177"/>
      <c r="HR54" s="172"/>
      <c r="HS54" s="3">
        <f>HU54/HT54</f>
        <v>40.003684210526316</v>
      </c>
      <c r="HT54" s="185">
        <v>38</v>
      </c>
      <c r="HU54" s="186">
        <v>1520.14</v>
      </c>
      <c r="HV54" s="177"/>
      <c r="HW54" s="172"/>
      <c r="HX54" s="3">
        <f>HZ54/HY54</f>
        <v>27.731956521739132</v>
      </c>
      <c r="HY54" s="185">
        <v>46</v>
      </c>
      <c r="HZ54" s="186">
        <v>1275.67</v>
      </c>
      <c r="IA54" s="177"/>
      <c r="IB54" s="172"/>
      <c r="IC54" s="3">
        <f>IE54/ID54</f>
        <v>27.732083333333335</v>
      </c>
      <c r="ID54" s="185">
        <v>48</v>
      </c>
      <c r="IE54" s="186">
        <v>1331.14</v>
      </c>
      <c r="IF54" s="177"/>
      <c r="IG54" s="172"/>
      <c r="IH54" s="3">
        <f>IJ54/II54</f>
        <v>15.407894736842104</v>
      </c>
      <c r="II54" s="185">
        <v>38</v>
      </c>
      <c r="IJ54" s="186">
        <v>585.5</v>
      </c>
      <c r="IK54" s="177"/>
      <c r="IL54" s="172"/>
      <c r="IM54" s="3">
        <f>IO54/IN54</f>
        <v>15.407894736842104</v>
      </c>
      <c r="IN54" s="185">
        <v>38</v>
      </c>
      <c r="IO54" s="186">
        <v>585.5</v>
      </c>
      <c r="IP54" s="177"/>
      <c r="IQ54" s="172"/>
    </row>
    <row r="55" spans="1:251" s="249" customFormat="1" ht="15" customHeight="1">
      <c r="A55" s="649"/>
      <c r="B55" s="265" t="s">
        <v>1191</v>
      </c>
      <c r="C55" s="5" t="s">
        <v>1215</v>
      </c>
      <c r="D55" s="6"/>
      <c r="E55" s="7" t="s">
        <v>10</v>
      </c>
      <c r="F55" s="4"/>
      <c r="G55" s="196"/>
      <c r="H55" s="197"/>
      <c r="I55" s="197"/>
      <c r="J55" s="197"/>
      <c r="K55" s="325"/>
      <c r="L55" s="196"/>
      <c r="M55" s="197"/>
      <c r="N55" s="197"/>
      <c r="O55" s="197"/>
      <c r="P55" s="325"/>
      <c r="Q55" s="196"/>
      <c r="R55" s="197"/>
      <c r="S55" s="197"/>
      <c r="T55" s="197"/>
      <c r="U55" s="325"/>
      <c r="V55" s="207"/>
      <c r="W55" s="197"/>
      <c r="X55" s="204">
        <v>1990</v>
      </c>
      <c r="Y55" s="197"/>
      <c r="Z55" s="402">
        <f>SUM(X55:X59)*1.1</f>
        <v>64870.718000000001</v>
      </c>
      <c r="AA55" s="36"/>
      <c r="AB55" s="197"/>
      <c r="AC55" s="204">
        <v>1548</v>
      </c>
      <c r="AD55" s="197"/>
      <c r="AE55" s="402">
        <f>SUM(AC55:AC59)*1.1</f>
        <v>49751.473200000008</v>
      </c>
      <c r="AF55" s="36"/>
      <c r="AG55" s="197"/>
      <c r="AH55" s="204">
        <v>1920</v>
      </c>
      <c r="AI55" s="197"/>
      <c r="AJ55" s="402">
        <f>AJ56*1.1</f>
        <v>64838.782799999994</v>
      </c>
      <c r="AK55" s="36"/>
      <c r="AL55" s="197"/>
      <c r="AM55" s="204">
        <v>1990</v>
      </c>
      <c r="AN55" s="197"/>
      <c r="AO55" s="402">
        <f>AO56*1.2</f>
        <v>82628.32799999998</v>
      </c>
      <c r="AP55" s="36"/>
      <c r="AQ55" s="204"/>
      <c r="AR55" s="204">
        <v>1769</v>
      </c>
      <c r="AS55" s="204"/>
      <c r="AT55" s="402">
        <f>SUM(AR55:AR59)*1.2</f>
        <v>101644.944</v>
      </c>
      <c r="AU55" s="36"/>
      <c r="AV55" s="197"/>
      <c r="AW55" s="197"/>
      <c r="AX55" s="197"/>
      <c r="AY55" s="402">
        <f>SUM(AW55:AW59)*1.1</f>
        <v>106741.39080000001</v>
      </c>
      <c r="AZ55" s="36"/>
      <c r="BA55" s="197"/>
      <c r="BB55" s="197"/>
      <c r="BC55" s="197"/>
      <c r="BD55" s="402">
        <f>SUM(BB55:BB59)*1.22</f>
        <v>106425.64103999996</v>
      </c>
      <c r="BE55" s="36"/>
      <c r="BF55" s="197"/>
      <c r="BG55" s="197"/>
      <c r="BH55" s="197"/>
      <c r="BI55" s="402">
        <f>SUM(BG55:BG59)*1.1</f>
        <v>68123.642399999997</v>
      </c>
      <c r="BJ55" s="36"/>
      <c r="BK55" s="197"/>
      <c r="BL55" s="197"/>
      <c r="BM55" s="197"/>
      <c r="BN55" s="402">
        <f>SUM(BL55:BL59)*1.1</f>
        <v>104238.50139999999</v>
      </c>
      <c r="BO55" s="36"/>
      <c r="BP55" s="197"/>
      <c r="BQ55" s="197"/>
      <c r="BR55" s="197"/>
      <c r="BS55" s="402">
        <f>SUM(BQ55:BQ59)*1.1</f>
        <v>74185.702799999999</v>
      </c>
      <c r="BT55" s="36"/>
      <c r="BU55" s="197"/>
      <c r="BV55" s="197"/>
      <c r="BW55" s="197"/>
      <c r="BX55" s="402">
        <f>SUM(BV55:BV59)*1.1</f>
        <v>19813.353999999999</v>
      </c>
      <c r="BY55" s="36"/>
      <c r="BZ55" s="197"/>
      <c r="CA55" s="197"/>
      <c r="CB55" s="197"/>
      <c r="CC55" s="402">
        <f>SUM(CA55:CA59)*1.1</f>
        <v>100292.54399999999</v>
      </c>
      <c r="CD55" s="36"/>
      <c r="CE55" s="197"/>
      <c r="CF55" s="197"/>
      <c r="CG55" s="197"/>
      <c r="CH55" s="402">
        <f>SUM(CF55:CF59)*1.1</f>
        <v>54633.044400000006</v>
      </c>
      <c r="CI55" s="36"/>
      <c r="CJ55" s="197"/>
      <c r="CK55" s="197"/>
      <c r="CL55" s="197"/>
      <c r="CM55" s="402">
        <f>SUM(CK55:CK59)*1.1</f>
        <v>56634.758400000013</v>
      </c>
      <c r="CN55" s="36"/>
      <c r="CO55" s="197"/>
      <c r="CP55" s="197"/>
      <c r="CQ55" s="197"/>
      <c r="CR55" s="402">
        <f>SUM(CP55:CP59)*1.1</f>
        <v>81742.914000000019</v>
      </c>
      <c r="CS55" s="36"/>
      <c r="CT55" s="197"/>
      <c r="CU55" s="197"/>
      <c r="CV55" s="197"/>
      <c r="CW55" s="402">
        <f>SUM(CU55:CU59)*1.1</f>
        <v>107988.99980000001</v>
      </c>
      <c r="CX55" s="36"/>
      <c r="CY55" s="197"/>
      <c r="CZ55" s="197"/>
      <c r="DA55" s="197"/>
      <c r="DB55" s="402">
        <f>SUM(CZ55:CZ59)*1.1</f>
        <v>128841.64920000001</v>
      </c>
      <c r="DC55" s="36"/>
      <c r="DD55" s="197"/>
      <c r="DE55" s="197"/>
      <c r="DF55" s="197"/>
      <c r="DG55" s="402">
        <f>SUM(DE55:DE59)*1.1</f>
        <v>125271.88080000001</v>
      </c>
      <c r="DH55" s="36"/>
      <c r="DI55" s="197"/>
      <c r="DJ55" s="197"/>
      <c r="DK55" s="197"/>
      <c r="DL55" s="402">
        <f>SUM(DJ55:DJ59)*1.1</f>
        <v>111571.3236</v>
      </c>
      <c r="DM55" s="36"/>
      <c r="DN55" s="197"/>
      <c r="DO55" s="197"/>
      <c r="DP55" s="197"/>
      <c r="DQ55" s="402">
        <f>SUM(DO55:DO59)*1.1</f>
        <v>114805.5656</v>
      </c>
      <c r="DR55" s="36"/>
      <c r="DS55" s="197"/>
      <c r="DT55" s="197"/>
      <c r="DU55" s="197"/>
      <c r="DV55" s="402">
        <f>SUM(DT55:DT59)*1.1</f>
        <v>111955.26980000001</v>
      </c>
      <c r="DW55" s="36"/>
      <c r="DX55" s="197"/>
      <c r="DY55" s="197"/>
      <c r="DZ55" s="197"/>
      <c r="EA55" s="402">
        <f>SUM(DY55:DY59)*1.1</f>
        <v>98577.441599999991</v>
      </c>
      <c r="EB55" s="36"/>
      <c r="EC55" s="197"/>
      <c r="ED55" s="197"/>
      <c r="EE55" s="197"/>
      <c r="EF55" s="402">
        <f>SUM(ED55:ED59)*1.1</f>
        <v>7901.3088000000007</v>
      </c>
      <c r="EG55" s="36"/>
      <c r="EH55" s="197"/>
      <c r="EI55" s="197"/>
      <c r="EJ55" s="197"/>
      <c r="EK55" s="402">
        <f>SUM(EI55:EI59)*1.1</f>
        <v>218455.6176</v>
      </c>
      <c r="EL55" s="36"/>
      <c r="EM55" s="197"/>
      <c r="EN55" s="197"/>
      <c r="EO55" s="197"/>
      <c r="EP55" s="402">
        <f>SUM(EN55:EN59)*1.1</f>
        <v>101002.0242</v>
      </c>
      <c r="EQ55" s="36"/>
      <c r="ER55" s="197"/>
      <c r="ES55" s="197"/>
      <c r="ET55" s="197"/>
      <c r="EU55" s="402">
        <f>SUM(ES55:ES59)*1.1</f>
        <v>56634.758400000013</v>
      </c>
      <c r="EV55" s="36"/>
      <c r="EW55" s="197"/>
      <c r="EX55" s="197"/>
      <c r="EY55" s="197"/>
      <c r="EZ55" s="402">
        <f>SUM(EX55:EX59)*1.1</f>
        <v>81742.914000000019</v>
      </c>
      <c r="FA55" s="36"/>
      <c r="FB55" s="197"/>
      <c r="FC55" s="197"/>
      <c r="FD55" s="197"/>
      <c r="FE55" s="402">
        <f>SUM(FC55:FC59)*1.1</f>
        <v>200546.62100000004</v>
      </c>
      <c r="FF55" s="36"/>
      <c r="FG55" s="197"/>
      <c r="FH55" s="197"/>
      <c r="FI55" s="197"/>
      <c r="FJ55" s="402">
        <f>SUM(FH55:FH59)*1.1</f>
        <v>262628.34179999999</v>
      </c>
      <c r="FK55" s="36"/>
      <c r="FL55" s="197"/>
      <c r="FM55" s="197"/>
      <c r="FN55" s="197"/>
      <c r="FO55" s="402">
        <f>SUM(FM55:FM59)*1.1</f>
        <v>249227.80520000003</v>
      </c>
      <c r="FP55" s="36"/>
      <c r="FQ55" s="197"/>
      <c r="FR55" s="197"/>
      <c r="FS55" s="197"/>
      <c r="FT55" s="402">
        <f>SUM(FR55:FR59)*1.1</f>
        <v>204694.0104</v>
      </c>
      <c r="FU55" s="36"/>
      <c r="FV55" s="197"/>
      <c r="FW55" s="197"/>
      <c r="FX55" s="197"/>
      <c r="FY55" s="402">
        <f>SUM(FW55:FW59)*1.1</f>
        <v>288209.9154</v>
      </c>
      <c r="FZ55" s="36"/>
      <c r="GA55" s="197"/>
      <c r="GB55" s="197"/>
      <c r="GC55" s="197"/>
      <c r="GD55" s="402">
        <f>SUM(GB55:GB59)*1.1</f>
        <v>259711.98000000004</v>
      </c>
      <c r="GE55" s="36"/>
      <c r="GF55" s="197"/>
      <c r="GG55" s="197"/>
      <c r="GH55" s="197"/>
      <c r="GI55" s="402">
        <f>SUM(GG55:GG59)*1.1</f>
        <v>41354.412000000004</v>
      </c>
      <c r="GJ55" s="280"/>
      <c r="GK55" s="197"/>
      <c r="GL55" s="197"/>
      <c r="GM55" s="197"/>
      <c r="GN55" s="402">
        <f>SUM(GL55:GL59)*1.1</f>
        <v>7901.3088000000007</v>
      </c>
      <c r="GO55" s="36"/>
      <c r="GP55" s="197"/>
      <c r="GQ55" s="197"/>
      <c r="GR55" s="197"/>
      <c r="GS55" s="402">
        <f>SUM(GQ55:GQ59)*1.1</f>
        <v>218455.6176</v>
      </c>
      <c r="GT55" s="36"/>
      <c r="GU55" s="197"/>
      <c r="GV55" s="197"/>
      <c r="GW55" s="197"/>
      <c r="GX55" s="402">
        <f>SUM(GV55:GV59)*1.1</f>
        <v>288541.89760000003</v>
      </c>
      <c r="GY55" s="36"/>
      <c r="GZ55" s="197"/>
      <c r="HA55" s="197"/>
      <c r="HB55" s="197"/>
      <c r="HC55" s="402">
        <f>SUM(HA55:HA59)*1.1</f>
        <v>56634.758400000013</v>
      </c>
      <c r="HD55" s="36"/>
      <c r="HE55" s="197"/>
      <c r="HF55" s="197"/>
      <c r="HG55" s="197"/>
      <c r="HH55" s="402">
        <f>SUM(HF55:HF59)*1.1</f>
        <v>81742.914000000019</v>
      </c>
      <c r="HI55" s="36"/>
      <c r="HJ55" s="197"/>
      <c r="HK55" s="197"/>
      <c r="HL55" s="197"/>
      <c r="HM55" s="402">
        <f>SUM(HK55:HK59)*1.1</f>
        <v>200546.62100000004</v>
      </c>
      <c r="HN55" s="36"/>
      <c r="HO55" s="197"/>
      <c r="HP55" s="197"/>
      <c r="HQ55" s="197"/>
      <c r="HR55" s="402">
        <f>SUM(HP55:HP59)*1.1</f>
        <v>262628.34179999999</v>
      </c>
      <c r="HS55" s="36"/>
      <c r="HT55" s="197"/>
      <c r="HU55" s="197"/>
      <c r="HV55" s="197"/>
      <c r="HW55" s="402">
        <f>SUM(HU55:HU59)*1.1</f>
        <v>249227.80520000003</v>
      </c>
      <c r="HX55" s="36"/>
      <c r="HY55" s="197"/>
      <c r="HZ55" s="197"/>
      <c r="IA55" s="197"/>
      <c r="IB55" s="402">
        <f>SUM(HZ55:HZ59)*1.1</f>
        <v>204694.0104</v>
      </c>
      <c r="IC55" s="36"/>
      <c r="ID55" s="197"/>
      <c r="IE55" s="197"/>
      <c r="IF55" s="197"/>
      <c r="IG55" s="402">
        <f>SUM(IE55:IE59)*1.1</f>
        <v>288209.9154</v>
      </c>
      <c r="IH55" s="36"/>
      <c r="II55" s="197"/>
      <c r="IJ55" s="197"/>
      <c r="IK55" s="197"/>
      <c r="IL55" s="402">
        <f>SUM(IJ55:IJ59)*1.1</f>
        <v>41354.412000000004</v>
      </c>
      <c r="IM55" s="36"/>
      <c r="IN55" s="197"/>
      <c r="IO55" s="197"/>
      <c r="IP55" s="197"/>
      <c r="IQ55" s="402">
        <f>SUM(IO55:IO59)*1.1</f>
        <v>41354.412000000004</v>
      </c>
    </row>
    <row r="56" spans="1:251" ht="15" customHeight="1">
      <c r="A56" s="647"/>
      <c r="B56" s="256"/>
      <c r="C56" s="215">
        <v>2571705566</v>
      </c>
      <c r="D56" s="45" t="s">
        <v>1192</v>
      </c>
      <c r="E56" s="216" t="s">
        <v>11</v>
      </c>
      <c r="F56" s="1475"/>
      <c r="G56" s="103"/>
      <c r="H56" s="128">
        <v>1</v>
      </c>
      <c r="I56" s="74">
        <f>1.2*2899.56</f>
        <v>3479.4719999999998</v>
      </c>
      <c r="J56" s="128"/>
      <c r="K56" s="136"/>
      <c r="L56" s="103"/>
      <c r="M56" s="128">
        <v>1</v>
      </c>
      <c r="N56" s="74">
        <f>1.2*2899.56</f>
        <v>3479.4719999999998</v>
      </c>
      <c r="O56" s="128"/>
      <c r="P56" s="136"/>
      <c r="Q56" s="103"/>
      <c r="R56" s="128">
        <v>1</v>
      </c>
      <c r="S56" s="74">
        <f>1.2*2899.56</f>
        <v>3479.4719999999998</v>
      </c>
      <c r="T56" s="128"/>
      <c r="U56" s="136"/>
      <c r="V56" s="47"/>
      <c r="W56" s="128">
        <v>1</v>
      </c>
      <c r="X56" s="74">
        <f>1.2*2899.56</f>
        <v>3479.4719999999998</v>
      </c>
      <c r="Y56" s="128"/>
      <c r="Z56" s="403">
        <f>SUM(X55:X59)*1</f>
        <v>58973.38</v>
      </c>
      <c r="AA56" s="46"/>
      <c r="AB56" s="128">
        <v>1</v>
      </c>
      <c r="AC56" s="74">
        <f>1.2*2899.56</f>
        <v>3479.4719999999998</v>
      </c>
      <c r="AD56" s="128"/>
      <c r="AE56" s="403">
        <f>SUM(AC55:AC59)*1</f>
        <v>45228.612000000001</v>
      </c>
      <c r="AF56" s="46"/>
      <c r="AG56" s="128">
        <v>1</v>
      </c>
      <c r="AH56" s="74">
        <f>1.2*2899.56</f>
        <v>3479.4719999999998</v>
      </c>
      <c r="AI56" s="128"/>
      <c r="AJ56" s="403">
        <f>SUM(AH55:AH59)*1</f>
        <v>58944.347999999991</v>
      </c>
      <c r="AK56" s="46"/>
      <c r="AL56" s="128">
        <v>1</v>
      </c>
      <c r="AM56" s="74">
        <f>1.2*2899.56</f>
        <v>3479.4719999999998</v>
      </c>
      <c r="AN56" s="128"/>
      <c r="AO56" s="403">
        <f>SUM(AM55:AM59)*1</f>
        <v>68856.939999999988</v>
      </c>
      <c r="AP56" s="46"/>
      <c r="AQ56" s="128">
        <v>1</v>
      </c>
      <c r="AR56" s="74">
        <f>1.2*2899.56</f>
        <v>3479.4719999999998</v>
      </c>
      <c r="AS56" s="128"/>
      <c r="AT56" s="403">
        <f>SUM(AR55:AR59)*1</f>
        <v>84704.12000000001</v>
      </c>
      <c r="AU56" s="46"/>
      <c r="AV56" s="128">
        <v>1</v>
      </c>
      <c r="AW56" s="74">
        <f>1.2*2899.56</f>
        <v>3479.4719999999998</v>
      </c>
      <c r="AX56" s="56"/>
      <c r="AY56" s="403">
        <f>SUM(AW55:AW59)*1</f>
        <v>97037.627999999997</v>
      </c>
      <c r="AZ56" s="46"/>
      <c r="BA56" s="128">
        <v>1</v>
      </c>
      <c r="BB56" s="74">
        <f>1.2*2899.56</f>
        <v>3479.4719999999998</v>
      </c>
      <c r="BC56" s="128"/>
      <c r="BD56" s="403">
        <f>SUM(BB55:BB59)*1</f>
        <v>87234.131999999969</v>
      </c>
      <c r="BE56" s="46"/>
      <c r="BF56" s="128">
        <v>1</v>
      </c>
      <c r="BG56" s="74">
        <f>1.2*2899.56</f>
        <v>3479.4719999999998</v>
      </c>
      <c r="BH56" s="128"/>
      <c r="BI56" s="403">
        <f>SUM(BG55:BG59)*1</f>
        <v>61930.583999999995</v>
      </c>
      <c r="BJ56" s="46"/>
      <c r="BK56" s="128">
        <v>1</v>
      </c>
      <c r="BL56" s="74">
        <f>1.2*2899.56</f>
        <v>3479.4719999999998</v>
      </c>
      <c r="BM56" s="128"/>
      <c r="BN56" s="403">
        <f>SUM(BL55:BL59)*1</f>
        <v>94762.27399999999</v>
      </c>
      <c r="BO56" s="46"/>
      <c r="BP56" s="128">
        <v>1</v>
      </c>
      <c r="BQ56" s="74">
        <f>1.2*2899.56</f>
        <v>3479.4719999999998</v>
      </c>
      <c r="BR56" s="128"/>
      <c r="BS56" s="403">
        <f>SUM(BQ55:BQ59)*1</f>
        <v>67441.547999999995</v>
      </c>
      <c r="BT56" s="46"/>
      <c r="BU56" s="56">
        <v>1</v>
      </c>
      <c r="BV56" s="74">
        <v>0</v>
      </c>
      <c r="BW56" s="56"/>
      <c r="BX56" s="403">
        <f>SUM(BV55:BV59)*1</f>
        <v>18012.14</v>
      </c>
      <c r="BY56" s="46"/>
      <c r="BZ56" s="56">
        <v>1</v>
      </c>
      <c r="CA56" s="74">
        <v>0</v>
      </c>
      <c r="CB56" s="56"/>
      <c r="CC56" s="403">
        <f>SUM(CA55:CA59)*1</f>
        <v>91175.039999999994</v>
      </c>
      <c r="CD56" s="46"/>
      <c r="CE56" s="56">
        <v>1</v>
      </c>
      <c r="CF56" s="74" t="s">
        <v>484</v>
      </c>
      <c r="CG56" s="56"/>
      <c r="CH56" s="403">
        <f>SUM(CF55:CF59)*1</f>
        <v>49666.404000000002</v>
      </c>
      <c r="CI56" s="46"/>
      <c r="CJ56" s="128">
        <v>1</v>
      </c>
      <c r="CK56" s="74">
        <f>1.2*2899.56</f>
        <v>3479.4719999999998</v>
      </c>
      <c r="CL56" s="128"/>
      <c r="CM56" s="403">
        <f>SUM(CK55:CK59)*1</f>
        <v>51486.144000000008</v>
      </c>
      <c r="CN56" s="46"/>
      <c r="CO56" s="56">
        <v>1</v>
      </c>
      <c r="CP56" s="57">
        <f>1.2*2899.56</f>
        <v>3479.4719999999998</v>
      </c>
      <c r="CQ56" s="56"/>
      <c r="CR56" s="403">
        <f>SUM(CP55:CP59)*1</f>
        <v>74311.740000000005</v>
      </c>
      <c r="CS56" s="46"/>
      <c r="CT56" s="56">
        <v>1</v>
      </c>
      <c r="CU56" s="74">
        <f>(1.2*2899.56)*2</f>
        <v>6958.9439999999995</v>
      </c>
      <c r="CV56" s="56"/>
      <c r="CW56" s="403">
        <f>SUM(CU55:CU59)*1</f>
        <v>98171.817999999999</v>
      </c>
      <c r="CX56" s="46"/>
      <c r="CY56" s="56">
        <v>1</v>
      </c>
      <c r="CZ56" s="57">
        <f>1.2*2899.56</f>
        <v>3479.4719999999998</v>
      </c>
      <c r="DA56" s="56"/>
      <c r="DB56" s="403">
        <f>SUM(CZ55:CZ59)*1</f>
        <v>117128.772</v>
      </c>
      <c r="DC56" s="46"/>
      <c r="DD56" s="128">
        <v>1</v>
      </c>
      <c r="DE56" s="74">
        <f>1.2*(2899.56*2)</f>
        <v>6958.9439999999995</v>
      </c>
      <c r="DF56" s="128"/>
      <c r="DG56" s="403">
        <f>SUM(DE55:DE59)*1</f>
        <v>113883.52800000001</v>
      </c>
      <c r="DH56" s="46"/>
      <c r="DI56" s="56">
        <v>1</v>
      </c>
      <c r="DJ56" s="57">
        <f>1.2*2899.56</f>
        <v>3479.4719999999998</v>
      </c>
      <c r="DK56" s="56"/>
      <c r="DL56" s="403">
        <f>SUM(DJ55:DJ59)*1</f>
        <v>101428.476</v>
      </c>
      <c r="DM56" s="46"/>
      <c r="DN56" s="56">
        <v>1</v>
      </c>
      <c r="DO56" s="57">
        <f>1.2*2899.56</f>
        <v>3479.4719999999998</v>
      </c>
      <c r="DP56" s="56"/>
      <c r="DQ56" s="403">
        <f>SUM(DO55:DO59)*1</f>
        <v>104368.696</v>
      </c>
      <c r="DR56" s="46"/>
      <c r="DS56" s="56">
        <v>1</v>
      </c>
      <c r="DT56" s="57">
        <f>1.2*2899.56</f>
        <v>3479.4719999999998</v>
      </c>
      <c r="DU56" s="56"/>
      <c r="DV56" s="403">
        <f>SUM(DT55:DT59)*1</f>
        <v>101777.518</v>
      </c>
      <c r="DW56" s="46"/>
      <c r="DX56" s="56">
        <v>1</v>
      </c>
      <c r="DY56" s="57">
        <f>1.2*2899.56</f>
        <v>3479.4719999999998</v>
      </c>
      <c r="DZ56" s="56"/>
      <c r="EA56" s="403">
        <f>SUM(DY55:DY59)*1</f>
        <v>89615.855999999985</v>
      </c>
      <c r="EB56" s="46"/>
      <c r="EC56" s="128">
        <v>1</v>
      </c>
      <c r="ED56" s="74">
        <f>1.2*2899.56</f>
        <v>3479.4719999999998</v>
      </c>
      <c r="EE56" s="128"/>
      <c r="EF56" s="403">
        <f>SUM(ED55:ED59)*1</f>
        <v>7183.0079999999998</v>
      </c>
      <c r="EG56" s="46"/>
      <c r="EH56" s="56">
        <v>1</v>
      </c>
      <c r="EI56" s="57">
        <v>0</v>
      </c>
      <c r="EJ56" s="56"/>
      <c r="EK56" s="403">
        <f>SUM(EI55:EI59)*1</f>
        <v>198596.01599999997</v>
      </c>
      <c r="EL56" s="46"/>
      <c r="EM56" s="56">
        <v>1</v>
      </c>
      <c r="EN56" s="57" t="s">
        <v>484</v>
      </c>
      <c r="EO56" s="56"/>
      <c r="EP56" s="403">
        <f>SUM(EN55:EN59)*1</f>
        <v>91820.021999999997</v>
      </c>
      <c r="EQ56" s="46"/>
      <c r="ER56" s="56">
        <v>1</v>
      </c>
      <c r="ES56" s="57">
        <f>1.2*2899.56</f>
        <v>3479.4719999999998</v>
      </c>
      <c r="ET56" s="56"/>
      <c r="EU56" s="403">
        <f>SUM(ES55:ES59)*1</f>
        <v>51486.144000000008</v>
      </c>
      <c r="EV56" s="46"/>
      <c r="EW56" s="56">
        <v>1</v>
      </c>
      <c r="EX56" s="57">
        <f>1.2*2899.56</f>
        <v>3479.4719999999998</v>
      </c>
      <c r="EY56" s="56"/>
      <c r="EZ56" s="403">
        <f>SUM(EX55:EX59)*1</f>
        <v>74311.740000000005</v>
      </c>
      <c r="FA56" s="46"/>
      <c r="FB56" s="56">
        <v>1</v>
      </c>
      <c r="FC56" s="57">
        <f>(1.2*2899.56)*2</f>
        <v>6958.9439999999995</v>
      </c>
      <c r="FD56" s="56"/>
      <c r="FE56" s="403">
        <f>SUM(FC55:FC59)*1</f>
        <v>182315.11000000002</v>
      </c>
      <c r="FF56" s="46"/>
      <c r="FG56" s="128">
        <v>1</v>
      </c>
      <c r="FH56" s="74">
        <v>2255.88</v>
      </c>
      <c r="FI56" s="128"/>
      <c r="FJ56" s="403">
        <f>SUM(FH55:FH59)*1</f>
        <v>238753.038</v>
      </c>
      <c r="FK56" s="46"/>
      <c r="FL56" s="128">
        <v>1</v>
      </c>
      <c r="FM56" s="74">
        <v>2255.88</v>
      </c>
      <c r="FN56" s="128"/>
      <c r="FO56" s="403">
        <f>SUM(FM55:FM59)*1</f>
        <v>226570.73200000002</v>
      </c>
      <c r="FP56" s="46"/>
      <c r="FQ56" s="128">
        <v>1</v>
      </c>
      <c r="FR56" s="74">
        <f>2255.88</f>
        <v>2255.88</v>
      </c>
      <c r="FS56" s="128"/>
      <c r="FT56" s="403">
        <f>SUM(FR55:FR59)*1</f>
        <v>186085.46399999998</v>
      </c>
      <c r="FU56" s="46"/>
      <c r="FV56" s="128">
        <v>1</v>
      </c>
      <c r="FW56" s="74">
        <v>2255.88</v>
      </c>
      <c r="FX56" s="128"/>
      <c r="FY56" s="403">
        <f>SUM(FW55:FW59)*1</f>
        <v>262009.014</v>
      </c>
      <c r="FZ56" s="46"/>
      <c r="GA56" s="56">
        <v>1</v>
      </c>
      <c r="GB56" s="57">
        <f>1.2*2899.56</f>
        <v>3479.4719999999998</v>
      </c>
      <c r="GC56" s="56"/>
      <c r="GD56" s="403">
        <f>SUM(GB55:GB59)*1</f>
        <v>236101.80000000002</v>
      </c>
      <c r="GE56" s="46"/>
      <c r="GF56" s="56">
        <v>1</v>
      </c>
      <c r="GG56" s="57">
        <f>1.2*2899.56</f>
        <v>3479.4719999999998</v>
      </c>
      <c r="GH56" s="56"/>
      <c r="GI56" s="403">
        <f>SUM(GG55:GG59)*1</f>
        <v>37594.92</v>
      </c>
      <c r="GJ56" s="97"/>
      <c r="GK56" s="56">
        <v>1</v>
      </c>
      <c r="GL56" s="57">
        <f>1.2*2899.56</f>
        <v>3479.4719999999998</v>
      </c>
      <c r="GM56" s="56"/>
      <c r="GN56" s="403">
        <f>SUM(GL55:GL59)*1</f>
        <v>7183.0079999999998</v>
      </c>
      <c r="GO56" s="46"/>
      <c r="GP56" s="56">
        <v>1</v>
      </c>
      <c r="GQ56" s="57">
        <v>0</v>
      </c>
      <c r="GR56" s="56"/>
      <c r="GS56" s="403">
        <f>SUM(GQ55:GQ59)*1</f>
        <v>198596.01599999997</v>
      </c>
      <c r="GT56" s="46"/>
      <c r="GU56" s="128">
        <v>1</v>
      </c>
      <c r="GV56" s="74">
        <v>3350.67</v>
      </c>
      <c r="GW56" s="128"/>
      <c r="GX56" s="403">
        <f>SUM(GV55:GV59)*1</f>
        <v>262310.81599999999</v>
      </c>
      <c r="GY56" s="46"/>
      <c r="GZ56" s="56">
        <v>1</v>
      </c>
      <c r="HA56" s="57">
        <f>1.2*2899.56</f>
        <v>3479.4719999999998</v>
      </c>
      <c r="HB56" s="56"/>
      <c r="HC56" s="403">
        <f>SUM(HA55:HA59)*1</f>
        <v>51486.144000000008</v>
      </c>
      <c r="HD56" s="46"/>
      <c r="HE56" s="56">
        <v>1</v>
      </c>
      <c r="HF56" s="57">
        <f>1.2*2899.56</f>
        <v>3479.4719999999998</v>
      </c>
      <c r="HG56" s="56"/>
      <c r="HH56" s="403">
        <f>SUM(HF55:HF59)*1</f>
        <v>74311.740000000005</v>
      </c>
      <c r="HI56" s="46"/>
      <c r="HJ56" s="56">
        <v>1</v>
      </c>
      <c r="HK56" s="57">
        <f>(1.2*2899.56)*2</f>
        <v>6958.9439999999995</v>
      </c>
      <c r="HL56" s="56"/>
      <c r="HM56" s="403">
        <f>SUM(HK55:HK59)*1</f>
        <v>182315.11000000002</v>
      </c>
      <c r="HN56" s="46"/>
      <c r="HO56" s="56">
        <v>1</v>
      </c>
      <c r="HP56" s="57">
        <v>2255.88</v>
      </c>
      <c r="HQ56" s="56"/>
      <c r="HR56" s="403">
        <f>SUM(HP55:HP59)*1</f>
        <v>238753.038</v>
      </c>
      <c r="HS56" s="46"/>
      <c r="HT56" s="56">
        <v>1</v>
      </c>
      <c r="HU56" s="57">
        <v>2255.88</v>
      </c>
      <c r="HV56" s="56"/>
      <c r="HW56" s="403">
        <f>SUM(HU55:HU59)*1</f>
        <v>226570.73200000002</v>
      </c>
      <c r="HX56" s="46"/>
      <c r="HY56" s="56">
        <v>1</v>
      </c>
      <c r="HZ56" s="57">
        <f>2255.88</f>
        <v>2255.88</v>
      </c>
      <c r="IA56" s="56"/>
      <c r="IB56" s="403">
        <f>SUM(HZ55:HZ59)*1</f>
        <v>186085.46399999998</v>
      </c>
      <c r="IC56" s="46"/>
      <c r="ID56" s="56">
        <v>1</v>
      </c>
      <c r="IE56" s="57">
        <v>2255.88</v>
      </c>
      <c r="IF56" s="56"/>
      <c r="IG56" s="403">
        <f>SUM(IE55:IE59)*1</f>
        <v>262009.014</v>
      </c>
      <c r="IH56" s="46"/>
      <c r="II56" s="56">
        <v>1</v>
      </c>
      <c r="IJ56" s="57">
        <f>1.2*2899.56</f>
        <v>3479.4719999999998</v>
      </c>
      <c r="IK56" s="56"/>
      <c r="IL56" s="403">
        <f>SUM(IJ55:IJ59)*1</f>
        <v>37594.92</v>
      </c>
      <c r="IM56" s="46"/>
      <c r="IN56" s="56">
        <v>1</v>
      </c>
      <c r="IO56" s="57">
        <f>1.2*2899.56</f>
        <v>3479.4719999999998</v>
      </c>
      <c r="IP56" s="56"/>
      <c r="IQ56" s="403">
        <f>SUM(IO55:IO59)*1</f>
        <v>37594.92</v>
      </c>
    </row>
    <row r="57" spans="1:251" ht="15" customHeight="1">
      <c r="A57" s="647">
        <v>1</v>
      </c>
      <c r="B57" s="1471" t="s">
        <v>333</v>
      </c>
      <c r="C57" s="215"/>
      <c r="D57" s="45"/>
      <c r="E57" s="216" t="s">
        <v>13</v>
      </c>
      <c r="F57" s="1475"/>
      <c r="G57" s="104">
        <f>I57/H57</f>
        <v>5.2317112697919903</v>
      </c>
      <c r="H57" s="128">
        <v>6442</v>
      </c>
      <c r="I57" s="74">
        <f>1.2*28085.57</f>
        <v>33702.684000000001</v>
      </c>
      <c r="J57" s="128"/>
      <c r="K57" s="136"/>
      <c r="L57" s="104">
        <f>N57/M57</f>
        <v>5.2938113207547168</v>
      </c>
      <c r="M57" s="128">
        <v>6837</v>
      </c>
      <c r="N57" s="74">
        <f>1.2*30161.49</f>
        <v>36193.788</v>
      </c>
      <c r="O57" s="128"/>
      <c r="P57" s="136"/>
      <c r="Q57" s="104">
        <f>S57/R57</f>
        <v>5.3313120149022044</v>
      </c>
      <c r="R57" s="128">
        <v>6442</v>
      </c>
      <c r="S57" s="74">
        <f>1.2*28620.26</f>
        <v>34344.311999999998</v>
      </c>
      <c r="T57" s="128"/>
      <c r="U57" s="136"/>
      <c r="V57" s="115">
        <f>X57/W57</f>
        <v>5.2188720070942951</v>
      </c>
      <c r="W57" s="128">
        <v>10149</v>
      </c>
      <c r="X57" s="74">
        <f>1.2*44138.61</f>
        <v>52966.332000000002</v>
      </c>
      <c r="Y57" s="128"/>
      <c r="Z57" s="128"/>
      <c r="AA57" s="92">
        <f>AC57/AB57</f>
        <v>5.0483035714285709</v>
      </c>
      <c r="AB57" s="128">
        <v>7840</v>
      </c>
      <c r="AC57" s="74">
        <f>1.2*32982.25</f>
        <v>39578.699999999997</v>
      </c>
      <c r="AD57" s="128"/>
      <c r="AE57" s="128"/>
      <c r="AF57" s="92">
        <f>AH57/AG57</f>
        <v>4.8623882743362827</v>
      </c>
      <c r="AG57" s="128">
        <v>10848</v>
      </c>
      <c r="AH57" s="74">
        <f>1.2*43955.99</f>
        <v>52747.187999999995</v>
      </c>
      <c r="AI57" s="128"/>
      <c r="AJ57" s="128"/>
      <c r="AK57" s="92">
        <f>AM57/AL57</f>
        <v>5.2394158432423374</v>
      </c>
      <c r="AL57" s="128">
        <v>11942</v>
      </c>
      <c r="AM57" s="74">
        <f>1.2*52140.92</f>
        <v>62569.103999999992</v>
      </c>
      <c r="AN57" s="128"/>
      <c r="AO57" s="128"/>
      <c r="AP57" s="92">
        <f>AR57/AQ57</f>
        <v>5.6894517251377215</v>
      </c>
      <c r="AQ57" s="128">
        <v>13796</v>
      </c>
      <c r="AR57" s="74">
        <f>1.2*65409.73</f>
        <v>78491.676000000007</v>
      </c>
      <c r="AS57" s="128"/>
      <c r="AT57" s="128"/>
      <c r="AU57" s="92">
        <f>AW57/AV57</f>
        <v>6.5030283982806001</v>
      </c>
      <c r="AV57" s="128">
        <v>14191</v>
      </c>
      <c r="AW57" s="74">
        <f>1.2*76903.73</f>
        <v>92284.475999999995</v>
      </c>
      <c r="AX57" s="128"/>
      <c r="AY57" s="128"/>
      <c r="AZ57" s="92">
        <f>BB57/BA57</f>
        <v>6.4884476908576803</v>
      </c>
      <c r="BA57" s="128">
        <v>12732</v>
      </c>
      <c r="BB57" s="74">
        <f>1.2*68842.43</f>
        <v>82610.915999999983</v>
      </c>
      <c r="BC57" s="128"/>
      <c r="BD57" s="128"/>
      <c r="BE57" s="92">
        <f>BG57/BF57</f>
        <v>6.7719605077574041</v>
      </c>
      <c r="BF57" s="128">
        <v>8508</v>
      </c>
      <c r="BG57" s="74">
        <f>1.2*48013.2</f>
        <v>57615.839999999997</v>
      </c>
      <c r="BH57" s="128"/>
      <c r="BI57" s="128"/>
      <c r="BJ57" s="92">
        <f>BL57/BK57</f>
        <v>6.9206275830399511</v>
      </c>
      <c r="BK57" s="128">
        <v>13066</v>
      </c>
      <c r="BL57" s="74">
        <f>1.2*75354.1</f>
        <v>90424.92</v>
      </c>
      <c r="BM57" s="128"/>
      <c r="BN57" s="128"/>
      <c r="BO57" s="92">
        <f>BQ57/BP57</f>
        <v>7.0693801874163311</v>
      </c>
      <c r="BP57" s="128">
        <v>8964</v>
      </c>
      <c r="BQ57" s="74">
        <f>1.2*52808.27</f>
        <v>63369.923999999992</v>
      </c>
      <c r="BR57" s="128"/>
      <c r="BS57" s="128"/>
      <c r="BT57" s="92">
        <f>BV57/BU57</f>
        <v>6.1674965132496515</v>
      </c>
      <c r="BU57" s="128">
        <v>2868</v>
      </c>
      <c r="BV57" s="74">
        <v>17688.38</v>
      </c>
      <c r="BW57" s="128"/>
      <c r="BX57" s="128"/>
      <c r="BY57" s="92">
        <f>CA57/BZ57</f>
        <v>5.9139361256544491</v>
      </c>
      <c r="BZ57" s="128">
        <v>15280</v>
      </c>
      <c r="CA57" s="74">
        <f>1.2*75304.12</f>
        <v>90364.943999999989</v>
      </c>
      <c r="CB57" s="128"/>
      <c r="CC57" s="128"/>
      <c r="CD57" s="92">
        <f>CF57/CE57</f>
        <v>5.5426083624478757</v>
      </c>
      <c r="CE57" s="128">
        <v>8873</v>
      </c>
      <c r="CF57" s="74">
        <f>1.2*40982.97</f>
        <v>49179.563999999998</v>
      </c>
      <c r="CG57" s="128"/>
      <c r="CH57" s="128"/>
      <c r="CI57" s="92">
        <f>CK57/CJ57</f>
        <v>5.1429726315789477</v>
      </c>
      <c r="CJ57" s="128">
        <v>9025</v>
      </c>
      <c r="CK57" s="74">
        <f>1.2*38679.44</f>
        <v>46415.328000000001</v>
      </c>
      <c r="CL57" s="128"/>
      <c r="CM57" s="128"/>
      <c r="CN57" s="92">
        <f>CP57/CO57</f>
        <v>6.6155034642032335</v>
      </c>
      <c r="CO57" s="128">
        <v>10392</v>
      </c>
      <c r="CP57" s="74">
        <f>1.2*57290.26</f>
        <v>68748.312000000005</v>
      </c>
      <c r="CQ57" s="128"/>
      <c r="CR57" s="128"/>
      <c r="CS57" s="92">
        <f>CU57/CT57</f>
        <v>7.7378877713075704</v>
      </c>
      <c r="CT57" s="128">
        <v>11334</v>
      </c>
      <c r="CU57" s="74">
        <f>1.2*73084.35</f>
        <v>87701.22</v>
      </c>
      <c r="CV57" s="128"/>
      <c r="CW57" s="128"/>
      <c r="CX57" s="92">
        <f>CZ57/CY57</f>
        <v>8.2090804854441224</v>
      </c>
      <c r="CY57" s="629">
        <v>13431</v>
      </c>
      <c r="CZ57" s="552">
        <v>110256.16</v>
      </c>
      <c r="DA57" s="128"/>
      <c r="DB57" s="128"/>
      <c r="DC57" s="92">
        <f>DE57/DD57</f>
        <v>8.2691876347951112</v>
      </c>
      <c r="DD57" s="128">
        <v>12519</v>
      </c>
      <c r="DE57" s="74">
        <f>1.2*86268.3</f>
        <v>103521.96</v>
      </c>
      <c r="DF57" s="128"/>
      <c r="DG57" s="128"/>
      <c r="DH57" s="92">
        <f>DJ57/DI57</f>
        <v>8.4385195168913008</v>
      </c>
      <c r="DI57" s="128">
        <v>11426</v>
      </c>
      <c r="DJ57" s="74">
        <f>1.2*80348.77</f>
        <v>96418.524000000005</v>
      </c>
      <c r="DK57" s="128"/>
      <c r="DL57" s="128"/>
      <c r="DM57" s="92">
        <f>DO57/DN57</f>
        <v>8.4963717419921014</v>
      </c>
      <c r="DN57" s="128">
        <v>11395</v>
      </c>
      <c r="DO57" s="74">
        <f>80680.13*1.2</f>
        <v>96816.156000000003</v>
      </c>
      <c r="DP57" s="128"/>
      <c r="DQ57" s="128"/>
      <c r="DR57" s="92">
        <f>DT57/DS57</f>
        <v>8.4418802373673802</v>
      </c>
      <c r="DS57" s="128">
        <v>11122</v>
      </c>
      <c r="DT57" s="74">
        <f>1.2*78242.16</f>
        <v>93890.592000000004</v>
      </c>
      <c r="DU57" s="128"/>
      <c r="DV57" s="128"/>
      <c r="DW57" s="92">
        <f>DY57/DX57</f>
        <v>9.0018269149386363</v>
      </c>
      <c r="DX57" s="128">
        <v>9452</v>
      </c>
      <c r="DY57" s="74">
        <f>1.2*70904.39</f>
        <v>85085.267999999996</v>
      </c>
      <c r="DZ57" s="128"/>
      <c r="EA57" s="128"/>
      <c r="EB57" s="92" t="e">
        <f>ED57/EC57</f>
        <v>#DIV/0!</v>
      </c>
      <c r="EC57" s="1464">
        <v>0</v>
      </c>
      <c r="ED57" s="424">
        <v>0</v>
      </c>
      <c r="EE57" s="1464"/>
      <c r="EF57" s="128"/>
      <c r="EG57" s="92">
        <f>EI57/EH57</f>
        <v>9.5795037351691814</v>
      </c>
      <c r="EH57" s="1470">
        <v>20481</v>
      </c>
      <c r="EI57" s="74">
        <f>1.2*163498.18</f>
        <v>196197.81599999999</v>
      </c>
      <c r="EJ57" s="128"/>
      <c r="EK57" s="128"/>
      <c r="EL57" s="92">
        <f>EN57/EM57</f>
        <v>8.4257517796347869</v>
      </c>
      <c r="EM57" s="128">
        <v>9693</v>
      </c>
      <c r="EN57" s="1472">
        <f>1.2*68059.01</f>
        <v>81670.811999999991</v>
      </c>
      <c r="EO57" s="128"/>
      <c r="EP57" s="128"/>
      <c r="EQ57" s="92">
        <f>ES57/ER57</f>
        <v>5.1429726315789477</v>
      </c>
      <c r="ER57" s="56">
        <v>9025</v>
      </c>
      <c r="ES57" s="57">
        <f>1.2*38679.44</f>
        <v>46415.328000000001</v>
      </c>
      <c r="ET57" s="56"/>
      <c r="EU57" s="128"/>
      <c r="EV57" s="92">
        <f>EX57/EW57</f>
        <v>6.6155034642032335</v>
      </c>
      <c r="EW57" s="56">
        <v>10392</v>
      </c>
      <c r="EX57" s="57">
        <f>1.2*57290.26</f>
        <v>68748.312000000005</v>
      </c>
      <c r="EY57" s="56"/>
      <c r="EZ57" s="128"/>
      <c r="FA57" s="92">
        <f>FC57/FB57</f>
        <v>7.2240000000000011</v>
      </c>
      <c r="FB57" s="1527">
        <v>23788</v>
      </c>
      <c r="FC57" s="522">
        <f>1.2*143203.76</f>
        <v>171844.51200000002</v>
      </c>
      <c r="FD57" s="128">
        <v>190767.32</v>
      </c>
      <c r="FE57" s="128"/>
      <c r="FF57" s="92">
        <f>FH57/FG57</f>
        <v>7.9415161791528739</v>
      </c>
      <c r="FG57" s="1531">
        <v>29606</v>
      </c>
      <c r="FH57" s="1530">
        <f>1.2*195930.44</f>
        <v>235116.52799999999</v>
      </c>
      <c r="FI57" s="56"/>
      <c r="FJ57" s="128"/>
      <c r="FK57" s="92">
        <f>FM57/FL57</f>
        <v>7.9877639466513699</v>
      </c>
      <c r="FL57" s="408">
        <v>27892</v>
      </c>
      <c r="FM57" s="522">
        <f>1.2*185662.26</f>
        <v>222794.712</v>
      </c>
      <c r="FN57" s="128">
        <v>235116.53</v>
      </c>
      <c r="FO57" s="128"/>
      <c r="FP57" s="92">
        <f>FR57/FQ57</f>
        <v>7.2019080033166185</v>
      </c>
      <c r="FQ57" s="408">
        <v>25327</v>
      </c>
      <c r="FR57" s="522">
        <f>1.2*152002.27</f>
        <v>182402.72399999999</v>
      </c>
      <c r="FS57" s="128">
        <v>225735.75</v>
      </c>
      <c r="FT57" s="128"/>
      <c r="FU57" s="92">
        <f>FW57/FV57</f>
        <v>9.5370959535852418</v>
      </c>
      <c r="FV57" s="408">
        <v>26888</v>
      </c>
      <c r="FW57" s="522">
        <f>213694.53*1.2</f>
        <v>256433.43599999999</v>
      </c>
      <c r="FX57" s="56"/>
      <c r="FY57" s="128"/>
      <c r="FZ57" s="92">
        <f>GB57/GA57</f>
        <v>10.118063790849673</v>
      </c>
      <c r="GA57" s="408">
        <v>22950</v>
      </c>
      <c r="GB57" s="522">
        <f>1.2*193507.97</f>
        <v>232209.56399999998</v>
      </c>
      <c r="GC57" s="56"/>
      <c r="GD57" s="128"/>
      <c r="GE57" s="92">
        <f>GG57/GF57</f>
        <v>5.2317112697919903</v>
      </c>
      <c r="GF57" s="56">
        <v>6442</v>
      </c>
      <c r="GG57" s="57">
        <f>1.2*28085.57</f>
        <v>33702.684000000001</v>
      </c>
      <c r="GH57" s="372">
        <v>301909.03999999998</v>
      </c>
      <c r="GI57" s="128"/>
      <c r="GJ57" s="98" t="e">
        <f>GL57/GK57</f>
        <v>#DIV/0!</v>
      </c>
      <c r="GK57" s="56">
        <v>0</v>
      </c>
      <c r="GL57" s="57">
        <v>0</v>
      </c>
      <c r="GM57" s="56"/>
      <c r="GN57" s="128"/>
      <c r="GO57" s="92">
        <f>GQ57/GP57</f>
        <v>9.5795037351691814</v>
      </c>
      <c r="GP57" s="1564">
        <v>20481</v>
      </c>
      <c r="GQ57" s="57">
        <f>1.2*163498.18</f>
        <v>196197.81599999999</v>
      </c>
      <c r="GR57" s="56"/>
      <c r="GS57" s="128"/>
      <c r="GT57" s="92">
        <f>GV57/GU57</f>
        <v>10.482599877625942</v>
      </c>
      <c r="GU57" s="408">
        <v>24515</v>
      </c>
      <c r="GV57" s="1613">
        <f>1.2*214150.78</f>
        <v>256980.93599999999</v>
      </c>
      <c r="GW57" s="56"/>
      <c r="GX57" s="128"/>
      <c r="GY57" s="92">
        <f>HA57/GZ57</f>
        <v>5.1429726315789477</v>
      </c>
      <c r="GZ57" s="56">
        <v>9025</v>
      </c>
      <c r="HA57" s="57">
        <f>1.2*38679.44</f>
        <v>46415.328000000001</v>
      </c>
      <c r="HB57" s="56"/>
      <c r="HC57" s="128"/>
      <c r="HD57" s="92">
        <f>HF57/HE57</f>
        <v>6.6155034642032335</v>
      </c>
      <c r="HE57" s="56">
        <v>10392</v>
      </c>
      <c r="HF57" s="57">
        <f>1.2*57290.26</f>
        <v>68748.312000000005</v>
      </c>
      <c r="HG57" s="56"/>
      <c r="HH57" s="128"/>
      <c r="HI57" s="92">
        <f>HK57/HJ57</f>
        <v>7.2240000000000011</v>
      </c>
      <c r="HJ57" s="1564">
        <v>23788</v>
      </c>
      <c r="HK57" s="57">
        <f>1.2*143203.76</f>
        <v>171844.51200000002</v>
      </c>
      <c r="HL57" s="56">
        <v>190767.32</v>
      </c>
      <c r="HM57" s="128"/>
      <c r="HN57" s="92">
        <f>HP57/HO57</f>
        <v>7.9415161791528739</v>
      </c>
      <c r="HO57" s="570">
        <v>29606</v>
      </c>
      <c r="HP57" s="1449">
        <f>1.2*195930.44</f>
        <v>235116.52799999999</v>
      </c>
      <c r="HQ57" s="56"/>
      <c r="HR57" s="128"/>
      <c r="HS57" s="92">
        <f>HU57/HT57</f>
        <v>7.9877639466513699</v>
      </c>
      <c r="HT57" s="56">
        <v>27892</v>
      </c>
      <c r="HU57" s="57">
        <f>1.2*185662.26</f>
        <v>222794.712</v>
      </c>
      <c r="HV57" s="56">
        <v>235116.53</v>
      </c>
      <c r="HW57" s="128"/>
      <c r="HX57" s="92">
        <f>HZ57/HY57</f>
        <v>7.2019080033166185</v>
      </c>
      <c r="HY57" s="56">
        <v>25327</v>
      </c>
      <c r="HZ57" s="57">
        <f>1.2*152002.27</f>
        <v>182402.72399999999</v>
      </c>
      <c r="IA57" s="56">
        <v>225735.75</v>
      </c>
      <c r="IB57" s="128"/>
      <c r="IC57" s="92">
        <f>IE57/ID57</f>
        <v>9.5370959535852418</v>
      </c>
      <c r="ID57" s="56">
        <v>26888</v>
      </c>
      <c r="IE57" s="57">
        <f>213694.53*1.2</f>
        <v>256433.43599999999</v>
      </c>
      <c r="IF57" s="56"/>
      <c r="IG57" s="128"/>
      <c r="IH57" s="92">
        <f>IJ57/II57</f>
        <v>5.2317112697919903</v>
      </c>
      <c r="II57" s="56">
        <v>6442</v>
      </c>
      <c r="IJ57" s="57">
        <f>1.2*28085.57</f>
        <v>33702.684000000001</v>
      </c>
      <c r="IK57" s="56"/>
      <c r="IL57" s="128"/>
      <c r="IM57" s="92">
        <f>IO57/IN57</f>
        <v>5.2317112697919903</v>
      </c>
      <c r="IN57" s="56">
        <v>6442</v>
      </c>
      <c r="IO57" s="57">
        <f>1.2*28085.57</f>
        <v>33702.684000000001</v>
      </c>
      <c r="IP57" s="56"/>
      <c r="IQ57" s="128"/>
    </row>
    <row r="58" spans="1:251" ht="15" customHeight="1">
      <c r="A58" s="647"/>
      <c r="B58" s="256"/>
      <c r="C58" s="215"/>
      <c r="D58" s="45"/>
      <c r="E58" s="216" t="s">
        <v>15</v>
      </c>
      <c r="F58" s="1475"/>
      <c r="G58" s="103"/>
      <c r="H58" s="128">
        <v>1</v>
      </c>
      <c r="I58" s="74">
        <f>1.2*235.35</f>
        <v>282.41999999999996</v>
      </c>
      <c r="J58" s="128"/>
      <c r="K58" s="136"/>
      <c r="L58" s="103"/>
      <c r="M58" s="128">
        <v>1</v>
      </c>
      <c r="N58" s="74">
        <f>1.2*282.36</f>
        <v>338.83199999999999</v>
      </c>
      <c r="O58" s="128"/>
      <c r="P58" s="136"/>
      <c r="Q58" s="103"/>
      <c r="R58" s="128">
        <v>1</v>
      </c>
      <c r="S58" s="74">
        <f>1.2*334.73</f>
        <v>401.67599999999999</v>
      </c>
      <c r="T58" s="128"/>
      <c r="U58" s="136"/>
      <c r="V58" s="47"/>
      <c r="W58" s="128">
        <v>1</v>
      </c>
      <c r="X58" s="74">
        <f>1.2*344.42</f>
        <v>413.30400000000003</v>
      </c>
      <c r="Y58" s="128"/>
      <c r="Z58" s="128"/>
      <c r="AA58" s="46"/>
      <c r="AB58" s="128">
        <v>1</v>
      </c>
      <c r="AC58" s="74">
        <f>1.2*407.54</f>
        <v>489.048</v>
      </c>
      <c r="AD58" s="128"/>
      <c r="AE58" s="128"/>
      <c r="AF58" s="46"/>
      <c r="AG58" s="128">
        <v>1</v>
      </c>
      <c r="AH58" s="74">
        <f>1.2*556.12</f>
        <v>667.34399999999994</v>
      </c>
      <c r="AI58" s="128"/>
      <c r="AJ58" s="128"/>
      <c r="AK58" s="46"/>
      <c r="AL58" s="128">
        <v>1</v>
      </c>
      <c r="AM58" s="74">
        <f>1.2*570.81</f>
        <v>684.97199999999987</v>
      </c>
      <c r="AN58" s="128"/>
      <c r="AO58" s="128"/>
      <c r="AP58" s="46"/>
      <c r="AQ58" s="128">
        <v>1</v>
      </c>
      <c r="AR58" s="74">
        <f>1.2*735.2</f>
        <v>882.24</v>
      </c>
      <c r="AS58" s="128"/>
      <c r="AT58" s="128"/>
      <c r="AU58" s="46"/>
      <c r="AV58" s="128">
        <v>1</v>
      </c>
      <c r="AW58" s="74">
        <f>1.2*909.73</f>
        <v>1091.6759999999999</v>
      </c>
      <c r="AX58" s="128"/>
      <c r="AY58" s="128"/>
      <c r="AZ58" s="46"/>
      <c r="BA58" s="128">
        <v>1</v>
      </c>
      <c r="BB58" s="74">
        <f>1.2*920.46</f>
        <v>1104.5519999999999</v>
      </c>
      <c r="BC58" s="128"/>
      <c r="BD58" s="128"/>
      <c r="BE58" s="46"/>
      <c r="BF58" s="128">
        <v>1</v>
      </c>
      <c r="BG58" s="74">
        <f>1.2*582.38</f>
        <v>698.85599999999999</v>
      </c>
      <c r="BH58" s="128"/>
      <c r="BI58" s="128"/>
      <c r="BJ58" s="46"/>
      <c r="BK58" s="128">
        <v>1</v>
      </c>
      <c r="BL58" s="74">
        <v>818.69</v>
      </c>
      <c r="BM58" s="128"/>
      <c r="BN58" s="128"/>
      <c r="BO58" s="46"/>
      <c r="BP58" s="128">
        <v>1</v>
      </c>
      <c r="BQ58" s="74">
        <f>1.2*384.84</f>
        <v>461.80799999999994</v>
      </c>
      <c r="BR58" s="128"/>
      <c r="BS58" s="128"/>
      <c r="BT58" s="46"/>
      <c r="BU58" s="128">
        <v>1</v>
      </c>
      <c r="BV58" s="74">
        <f>1.2*158.64</f>
        <v>190.36799999999997</v>
      </c>
      <c r="BW58" s="128"/>
      <c r="BX58" s="128"/>
      <c r="BY58" s="46"/>
      <c r="BZ58" s="128">
        <v>1</v>
      </c>
      <c r="CA58" s="74">
        <f>1.2*563.92</f>
        <v>676.70399999999995</v>
      </c>
      <c r="CB58" s="128"/>
      <c r="CC58" s="128"/>
      <c r="CD58" s="46"/>
      <c r="CE58" s="128">
        <v>1</v>
      </c>
      <c r="CF58" s="74">
        <f>1.2*299.62</f>
        <v>359.54399999999998</v>
      </c>
      <c r="CG58" s="128"/>
      <c r="CH58" s="128"/>
      <c r="CI58" s="46"/>
      <c r="CJ58" s="128">
        <v>1</v>
      </c>
      <c r="CK58" s="74">
        <f>1.2*404.98</f>
        <v>485.976</v>
      </c>
      <c r="CL58" s="128"/>
      <c r="CM58" s="128"/>
      <c r="CN58" s="46"/>
      <c r="CO58" s="128">
        <v>1</v>
      </c>
      <c r="CP58" s="74">
        <f>1.2*101.87</f>
        <v>122.244</v>
      </c>
      <c r="CQ58" s="128"/>
      <c r="CR58" s="128"/>
      <c r="CS58" s="46"/>
      <c r="CT58" s="128">
        <v>1</v>
      </c>
      <c r="CU58" s="74">
        <v>1731.79</v>
      </c>
      <c r="CV58" s="128"/>
      <c r="CW58" s="128"/>
      <c r="CX58" s="46"/>
      <c r="CY58" s="629">
        <v>1</v>
      </c>
      <c r="CZ58" s="552">
        <v>1470.74</v>
      </c>
      <c r="DA58" s="128"/>
      <c r="DB58" s="128"/>
      <c r="DC58" s="46"/>
      <c r="DD58" s="128">
        <v>1</v>
      </c>
      <c r="DE58" s="74">
        <f>1.2*1311.64</f>
        <v>1573.9680000000001</v>
      </c>
      <c r="DF58" s="128"/>
      <c r="DG58" s="128"/>
      <c r="DH58" s="46"/>
      <c r="DI58" s="128">
        <v>1</v>
      </c>
      <c r="DJ58" s="74">
        <f>1.2*1166.78</f>
        <v>1400.136</v>
      </c>
      <c r="DK58" s="128"/>
      <c r="DL58" s="128"/>
      <c r="DM58" s="46"/>
      <c r="DN58" s="128">
        <v>1</v>
      </c>
      <c r="DO58" s="74">
        <f>1089.14*1.2</f>
        <v>1306.9680000000001</v>
      </c>
      <c r="DP58" s="128"/>
      <c r="DQ58" s="128"/>
      <c r="DR58" s="46"/>
      <c r="DS58" s="128">
        <v>1</v>
      </c>
      <c r="DT58" s="74">
        <f>1.2*860.02</f>
        <v>1032.0239999999999</v>
      </c>
      <c r="DU58" s="128"/>
      <c r="DV58" s="128"/>
      <c r="DW58" s="46"/>
      <c r="DX58" s="128">
        <v>1</v>
      </c>
      <c r="DY58" s="74">
        <f>1.2*767.31</f>
        <v>920.77199999999993</v>
      </c>
      <c r="DZ58" s="128"/>
      <c r="EA58" s="128"/>
      <c r="EB58" s="46"/>
      <c r="EC58" s="1464">
        <v>0</v>
      </c>
      <c r="ED58" s="424">
        <v>0</v>
      </c>
      <c r="EE58" s="1464"/>
      <c r="EF58" s="128"/>
      <c r="EG58" s="46"/>
      <c r="EH58" s="128">
        <v>1</v>
      </c>
      <c r="EI58" s="74">
        <f>1.2*1887.34</f>
        <v>2264.808</v>
      </c>
      <c r="EJ58" s="128"/>
      <c r="EK58" s="128"/>
      <c r="EL58" s="46"/>
      <c r="EM58" s="128">
        <v>1</v>
      </c>
      <c r="EN58" s="74">
        <v>955.35</v>
      </c>
      <c r="EO58" s="128"/>
      <c r="EP58" s="128"/>
      <c r="EQ58" s="46"/>
      <c r="ER58" s="56">
        <v>1</v>
      </c>
      <c r="ES58" s="57">
        <f>1.2*404.98</f>
        <v>485.976</v>
      </c>
      <c r="ET58" s="56"/>
      <c r="EU58" s="128"/>
      <c r="EV58" s="46"/>
      <c r="EW58" s="56">
        <v>1</v>
      </c>
      <c r="EX58" s="57">
        <f>1.2*101.87</f>
        <v>122.244</v>
      </c>
      <c r="EY58" s="56"/>
      <c r="EZ58" s="128"/>
      <c r="FA58" s="46"/>
      <c r="FB58" s="56">
        <v>1</v>
      </c>
      <c r="FC58" s="57">
        <v>1731.79</v>
      </c>
      <c r="FD58" s="56"/>
      <c r="FE58" s="128"/>
      <c r="FF58" s="46"/>
      <c r="FG58" s="570">
        <v>0</v>
      </c>
      <c r="FH58" s="1449">
        <v>0</v>
      </c>
      <c r="FI58" s="56"/>
      <c r="FJ58" s="128"/>
      <c r="FK58" s="46"/>
      <c r="FL58" s="56">
        <v>0</v>
      </c>
      <c r="FM58" s="57">
        <v>0</v>
      </c>
      <c r="FN58" s="56"/>
      <c r="FO58" s="128"/>
      <c r="FP58" s="46"/>
      <c r="FQ58" s="56">
        <v>1</v>
      </c>
      <c r="FR58" s="57">
        <v>0</v>
      </c>
      <c r="FS58" s="56"/>
      <c r="FT58" s="128"/>
      <c r="FU58" s="46"/>
      <c r="FV58" s="56">
        <v>1</v>
      </c>
      <c r="FW58" s="57">
        <f>1089.14*1.2</f>
        <v>1306.9680000000001</v>
      </c>
      <c r="FX58" s="56"/>
      <c r="FY58" s="128"/>
      <c r="FZ58" s="46"/>
      <c r="GA58" s="56">
        <v>1</v>
      </c>
      <c r="GB58" s="57">
        <f>1.2*235.35</f>
        <v>282.41999999999996</v>
      </c>
      <c r="GC58" s="56"/>
      <c r="GD58" s="128"/>
      <c r="GE58" s="46"/>
      <c r="GF58" s="56">
        <v>1</v>
      </c>
      <c r="GG58" s="57">
        <f>1.2*235.35</f>
        <v>282.41999999999996</v>
      </c>
      <c r="GH58" s="56"/>
      <c r="GI58" s="128"/>
      <c r="GJ58" s="97"/>
      <c r="GK58" s="56">
        <v>0</v>
      </c>
      <c r="GL58" s="57">
        <v>0</v>
      </c>
      <c r="GM58" s="56"/>
      <c r="GN58" s="128"/>
      <c r="GO58" s="46"/>
      <c r="GP58" s="56">
        <v>1</v>
      </c>
      <c r="GQ58" s="57">
        <f>1.2*1887.34</f>
        <v>2264.808</v>
      </c>
      <c r="GR58" s="56"/>
      <c r="GS58" s="128"/>
      <c r="GT58" s="46"/>
      <c r="GU58" s="56">
        <v>1</v>
      </c>
      <c r="GV58" s="57">
        <v>955.35</v>
      </c>
      <c r="GW58" s="56"/>
      <c r="GX58" s="128"/>
      <c r="GY58" s="46"/>
      <c r="GZ58" s="56">
        <v>1</v>
      </c>
      <c r="HA58" s="57">
        <f>1.2*404.98</f>
        <v>485.976</v>
      </c>
      <c r="HB58" s="56"/>
      <c r="HC58" s="128"/>
      <c r="HD58" s="46"/>
      <c r="HE58" s="56">
        <v>1</v>
      </c>
      <c r="HF58" s="57">
        <f>1.2*101.87</f>
        <v>122.244</v>
      </c>
      <c r="HG58" s="56"/>
      <c r="HH58" s="128"/>
      <c r="HI58" s="46"/>
      <c r="HJ58" s="56">
        <v>1</v>
      </c>
      <c r="HK58" s="57">
        <v>1731.79</v>
      </c>
      <c r="HL58" s="56"/>
      <c r="HM58" s="128"/>
      <c r="HN58" s="46"/>
      <c r="HO58" s="570">
        <v>0</v>
      </c>
      <c r="HP58" s="1449">
        <v>0</v>
      </c>
      <c r="HQ58" s="56"/>
      <c r="HR58" s="128"/>
      <c r="HS58" s="46"/>
      <c r="HT58" s="56">
        <v>0</v>
      </c>
      <c r="HU58" s="57">
        <v>0</v>
      </c>
      <c r="HV58" s="56"/>
      <c r="HW58" s="128"/>
      <c r="HX58" s="46"/>
      <c r="HY58" s="56">
        <v>1</v>
      </c>
      <c r="HZ58" s="57">
        <v>0</v>
      </c>
      <c r="IA58" s="56"/>
      <c r="IB58" s="128"/>
      <c r="IC58" s="46"/>
      <c r="ID58" s="56">
        <v>1</v>
      </c>
      <c r="IE58" s="57">
        <f>1089.14*1.2</f>
        <v>1306.9680000000001</v>
      </c>
      <c r="IF58" s="56"/>
      <c r="IG58" s="128"/>
      <c r="IH58" s="46"/>
      <c r="II58" s="56">
        <v>1</v>
      </c>
      <c r="IJ58" s="57">
        <f>1.2*235.35</f>
        <v>282.41999999999996</v>
      </c>
      <c r="IK58" s="56"/>
      <c r="IL58" s="128"/>
      <c r="IM58" s="46"/>
      <c r="IN58" s="56">
        <v>1</v>
      </c>
      <c r="IO58" s="57">
        <f>1.2*235.35</f>
        <v>282.41999999999996</v>
      </c>
      <c r="IP58" s="56"/>
      <c r="IQ58" s="128"/>
    </row>
    <row r="59" spans="1:251" s="264" customFormat="1" ht="15" customHeight="1" thickBot="1">
      <c r="A59" s="648"/>
      <c r="B59" s="257"/>
      <c r="C59" s="258"/>
      <c r="D59" s="1474"/>
      <c r="E59" s="259" t="s">
        <v>17</v>
      </c>
      <c r="F59" s="23"/>
      <c r="G59" s="168">
        <f>I59/H59</f>
        <v>33.76787564766839</v>
      </c>
      <c r="H59" s="172">
        <v>3.86</v>
      </c>
      <c r="I59" s="170">
        <f>1.2*108.62</f>
        <v>130.34399999999999</v>
      </c>
      <c r="J59" s="172"/>
      <c r="K59" s="18"/>
      <c r="L59" s="168">
        <f>N59/M59</f>
        <v>28.797927461139896</v>
      </c>
      <c r="M59" s="172">
        <v>3.86</v>
      </c>
      <c r="N59" s="170">
        <v>111.16</v>
      </c>
      <c r="O59" s="172"/>
      <c r="P59" s="18"/>
      <c r="Q59" s="168">
        <f>S59/R59</f>
        <v>34.557512953367876</v>
      </c>
      <c r="R59" s="172">
        <v>3.86</v>
      </c>
      <c r="S59" s="170">
        <f>1.2*111.16</f>
        <v>133.392</v>
      </c>
      <c r="T59" s="172"/>
      <c r="U59" s="18"/>
      <c r="V59" s="209">
        <f>X59/W59</f>
        <v>32.19481865284974</v>
      </c>
      <c r="W59" s="172">
        <v>3.86</v>
      </c>
      <c r="X59" s="170">
        <f>1.2*103.56</f>
        <v>124.27199999999999</v>
      </c>
      <c r="Y59" s="172"/>
      <c r="Z59" s="172"/>
      <c r="AA59" s="3">
        <f>AC59/AB59</f>
        <v>34.557512953367876</v>
      </c>
      <c r="AB59" s="172">
        <v>3.86</v>
      </c>
      <c r="AC59" s="170">
        <f>1.2*111.16</f>
        <v>133.392</v>
      </c>
      <c r="AD59" s="172"/>
      <c r="AE59" s="172"/>
      <c r="AF59" s="3">
        <f>AH59/AG59</f>
        <v>34.665957446808513</v>
      </c>
      <c r="AG59" s="172">
        <v>3.76</v>
      </c>
      <c r="AH59" s="170">
        <f>1.2*108.62</f>
        <v>130.34399999999999</v>
      </c>
      <c r="AI59" s="172"/>
      <c r="AJ59" s="172"/>
      <c r="AK59" s="3">
        <f>AM59/AL59</f>
        <v>43.029677419354833</v>
      </c>
      <c r="AL59" s="172">
        <v>3.1</v>
      </c>
      <c r="AM59" s="170">
        <f>1.2*111.16</f>
        <v>133.392</v>
      </c>
      <c r="AN59" s="172"/>
      <c r="AO59" s="172"/>
      <c r="AP59" s="3">
        <f>AR59/AQ59</f>
        <v>21.174093264248704</v>
      </c>
      <c r="AQ59" s="172">
        <v>3.86</v>
      </c>
      <c r="AR59" s="170">
        <f>1.2*68.11</f>
        <v>81.731999999999999</v>
      </c>
      <c r="AS59" s="172"/>
      <c r="AT59" s="172"/>
      <c r="AU59" s="3">
        <f>AW59/AV59</f>
        <v>47.151295336787562</v>
      </c>
      <c r="AV59" s="172">
        <v>3.86</v>
      </c>
      <c r="AW59" s="170">
        <f>1.2*151.67</f>
        <v>182.00399999999999</v>
      </c>
      <c r="AX59" s="177"/>
      <c r="AY59" s="172"/>
      <c r="AZ59" s="3">
        <f>BB59/BA59</f>
        <v>10.153367875647668</v>
      </c>
      <c r="BA59" s="172">
        <v>3.86</v>
      </c>
      <c r="BB59" s="170">
        <f>1.2*32.66</f>
        <v>39.191999999999993</v>
      </c>
      <c r="BC59" s="172"/>
      <c r="BD59" s="172"/>
      <c r="BE59" s="3">
        <f>BG59/BF59</f>
        <v>35.340932642487047</v>
      </c>
      <c r="BF59" s="172">
        <v>3.86</v>
      </c>
      <c r="BG59" s="506">
        <f>1.2*113.68</f>
        <v>136.416</v>
      </c>
      <c r="BH59" s="172"/>
      <c r="BI59" s="172"/>
      <c r="BJ59" s="3">
        <f>BL59/BK59</f>
        <v>39.191999999999993</v>
      </c>
      <c r="BK59" s="172">
        <v>1</v>
      </c>
      <c r="BL59" s="170">
        <f>1.2*32.66</f>
        <v>39.191999999999993</v>
      </c>
      <c r="BM59" s="172"/>
      <c r="BN59" s="172"/>
      <c r="BO59" s="3">
        <f>BQ59/BP59</f>
        <v>2.1023225806451613</v>
      </c>
      <c r="BP59" s="177">
        <v>62</v>
      </c>
      <c r="BQ59" s="169">
        <f>1.2*108.62</f>
        <v>130.34399999999999</v>
      </c>
      <c r="BR59" s="177"/>
      <c r="BS59" s="172"/>
      <c r="BT59" s="3">
        <f>BV59/BU59</f>
        <v>133.392</v>
      </c>
      <c r="BU59" s="172">
        <v>1</v>
      </c>
      <c r="BV59" s="170">
        <f>1.2*111.16</f>
        <v>133.392</v>
      </c>
      <c r="BW59" s="172"/>
      <c r="BX59" s="172"/>
      <c r="BY59" s="3">
        <f>CA59/BZ59</f>
        <v>133.392</v>
      </c>
      <c r="BZ59" s="172">
        <v>1</v>
      </c>
      <c r="CA59" s="170">
        <f>1.2*111.16</f>
        <v>133.392</v>
      </c>
      <c r="CB59" s="172"/>
      <c r="CC59" s="172"/>
      <c r="CD59" s="3">
        <f>CF59/CE59</f>
        <v>127.29600000000001</v>
      </c>
      <c r="CE59" s="172">
        <v>1</v>
      </c>
      <c r="CF59" s="170">
        <v>127.29600000000001</v>
      </c>
      <c r="CG59" s="172"/>
      <c r="CH59" s="172"/>
      <c r="CI59" s="3">
        <f>CK59/CJ59</f>
        <v>31.581942857142856</v>
      </c>
      <c r="CJ59" s="172">
        <v>35</v>
      </c>
      <c r="CK59" s="170">
        <f>1.2*921.14</f>
        <v>1105.3679999999999</v>
      </c>
      <c r="CL59" s="172"/>
      <c r="CM59" s="172"/>
      <c r="CN59" s="3">
        <f>CP59/CO59</f>
        <v>31.138285714285715</v>
      </c>
      <c r="CO59" s="172">
        <v>63</v>
      </c>
      <c r="CP59" s="170">
        <f>1.2*1634.76</f>
        <v>1961.712</v>
      </c>
      <c r="CQ59" s="172"/>
      <c r="CR59" s="172"/>
      <c r="CS59" s="3">
        <f>CU59/CT59</f>
        <v>31.783285714285718</v>
      </c>
      <c r="CT59" s="172">
        <v>56</v>
      </c>
      <c r="CU59" s="170">
        <v>1779.8640000000003</v>
      </c>
      <c r="CV59" s="177"/>
      <c r="CW59" s="172"/>
      <c r="CX59" s="3">
        <f>CZ59/CY59</f>
        <v>48.06</v>
      </c>
      <c r="CY59" s="172">
        <v>40</v>
      </c>
      <c r="CZ59" s="170">
        <v>1922.4</v>
      </c>
      <c r="DA59" s="172"/>
      <c r="DB59" s="172"/>
      <c r="DC59" s="3">
        <f>DE59/DD59</f>
        <v>48.122526315789479</v>
      </c>
      <c r="DD59" s="172">
        <v>38</v>
      </c>
      <c r="DE59" s="170">
        <f>1.2*1523.88</f>
        <v>1828.6560000000002</v>
      </c>
      <c r="DF59" s="172"/>
      <c r="DG59" s="172"/>
      <c r="DH59" s="3">
        <f>DJ59/DI59</f>
        <v>2.1023225806451613</v>
      </c>
      <c r="DI59" s="177">
        <v>62</v>
      </c>
      <c r="DJ59" s="169">
        <f>1.2*108.62</f>
        <v>130.34399999999999</v>
      </c>
      <c r="DK59" s="177"/>
      <c r="DL59" s="172"/>
      <c r="DM59" s="3">
        <f>DO59/DN59</f>
        <v>47.691379310344828</v>
      </c>
      <c r="DN59" s="172">
        <v>58</v>
      </c>
      <c r="DO59" s="170">
        <v>2766.1</v>
      </c>
      <c r="DP59" s="172"/>
      <c r="DQ59" s="172"/>
      <c r="DR59" s="3">
        <f>DT59/DS59</f>
        <v>47.541267605633799</v>
      </c>
      <c r="DS59" s="172">
        <v>71</v>
      </c>
      <c r="DT59" s="170">
        <v>3375.43</v>
      </c>
      <c r="DU59" s="172"/>
      <c r="DV59" s="172"/>
      <c r="DW59" s="3">
        <f>DY59/DX59</f>
        <v>2.1023225806451613</v>
      </c>
      <c r="DX59" s="177">
        <v>62</v>
      </c>
      <c r="DY59" s="169">
        <f>1.2*108.62</f>
        <v>130.34399999999999</v>
      </c>
      <c r="DZ59" s="177"/>
      <c r="EA59" s="172"/>
      <c r="EB59" s="3">
        <f>ED59/EC59</f>
        <v>3703.5360000000001</v>
      </c>
      <c r="EC59" s="172">
        <v>1</v>
      </c>
      <c r="ED59" s="170">
        <f>1.2*3086.28</f>
        <v>3703.5360000000001</v>
      </c>
      <c r="EE59" s="172"/>
      <c r="EF59" s="172"/>
      <c r="EG59" s="3">
        <f>EI59/EH59</f>
        <v>133.392</v>
      </c>
      <c r="EH59" s="177">
        <v>1</v>
      </c>
      <c r="EI59" s="169">
        <f>1.2*111.16</f>
        <v>133.392</v>
      </c>
      <c r="EJ59" s="177"/>
      <c r="EK59" s="172"/>
      <c r="EL59" s="3">
        <f>EN59/EM59</f>
        <v>50.239672131147543</v>
      </c>
      <c r="EM59" s="172">
        <v>183</v>
      </c>
      <c r="EN59" s="170">
        <v>9193.86</v>
      </c>
      <c r="EO59" s="172"/>
      <c r="EP59" s="172"/>
      <c r="EQ59" s="3">
        <f>ES59/ER59</f>
        <v>31.581942857142856</v>
      </c>
      <c r="ER59" s="177">
        <v>35</v>
      </c>
      <c r="ES59" s="169">
        <f>1.2*921.14</f>
        <v>1105.3679999999999</v>
      </c>
      <c r="ET59" s="177"/>
      <c r="EU59" s="172"/>
      <c r="EV59" s="3">
        <f>EX59/EW59</f>
        <v>31.138285714285715</v>
      </c>
      <c r="EW59" s="177">
        <v>63</v>
      </c>
      <c r="EX59" s="169">
        <f>1.2*1634.76</f>
        <v>1961.712</v>
      </c>
      <c r="EY59" s="177"/>
      <c r="EZ59" s="172"/>
      <c r="FA59" s="3">
        <f>FC59/FB59</f>
        <v>31.783285714285718</v>
      </c>
      <c r="FB59" s="177">
        <v>56</v>
      </c>
      <c r="FC59" s="169">
        <v>1779.8640000000003</v>
      </c>
      <c r="FD59" s="177"/>
      <c r="FE59" s="172"/>
      <c r="FF59" s="3">
        <f>FH59/FG59</f>
        <v>57.526250000000005</v>
      </c>
      <c r="FG59" s="172">
        <v>24</v>
      </c>
      <c r="FH59" s="170">
        <v>1380.63</v>
      </c>
      <c r="FI59" s="172"/>
      <c r="FJ59" s="172"/>
      <c r="FK59" s="3">
        <f>FM59/FL59</f>
        <v>58.466923076923081</v>
      </c>
      <c r="FL59" s="172">
        <v>26</v>
      </c>
      <c r="FM59" s="201">
        <v>1520.14</v>
      </c>
      <c r="FN59" s="172"/>
      <c r="FO59" s="172"/>
      <c r="FP59" s="3">
        <f>FR59/FQ59</f>
        <v>89.178750000000008</v>
      </c>
      <c r="FQ59" s="172">
        <v>16</v>
      </c>
      <c r="FR59" s="369">
        <f>1336.96+89.9</f>
        <v>1426.8600000000001</v>
      </c>
      <c r="FS59" s="172"/>
      <c r="FT59" s="172"/>
      <c r="FU59" s="3">
        <f>FW59/FV59</f>
        <v>55.909166666666664</v>
      </c>
      <c r="FV59" s="172">
        <v>36</v>
      </c>
      <c r="FW59" s="1541">
        <f>1925.23+87.5</f>
        <v>2012.73</v>
      </c>
      <c r="FX59" s="172"/>
      <c r="FY59" s="172"/>
      <c r="FZ59" s="3">
        <f>GB59/GA59</f>
        <v>2.1023225806451613</v>
      </c>
      <c r="GA59" s="177">
        <v>62</v>
      </c>
      <c r="GB59" s="169">
        <f>1.2*108.62</f>
        <v>130.34399999999999</v>
      </c>
      <c r="GC59" s="177"/>
      <c r="GD59" s="172"/>
      <c r="GE59" s="3">
        <f>GG59/GF59</f>
        <v>2.1023225806451613</v>
      </c>
      <c r="GF59" s="177">
        <v>62</v>
      </c>
      <c r="GG59" s="169">
        <f>1.2*108.62</f>
        <v>130.34399999999999</v>
      </c>
      <c r="GH59" s="177"/>
      <c r="GI59" s="172"/>
      <c r="GJ59" s="285">
        <f>GL59/GK59</f>
        <v>3703.5360000000001</v>
      </c>
      <c r="GK59" s="177">
        <v>1</v>
      </c>
      <c r="GL59" s="169">
        <f>1.2*3086.28</f>
        <v>3703.5360000000001</v>
      </c>
      <c r="GM59" s="177"/>
      <c r="GN59" s="172"/>
      <c r="GO59" s="3">
        <f>GQ59/GP59</f>
        <v>133.392</v>
      </c>
      <c r="GP59" s="177">
        <v>1</v>
      </c>
      <c r="GQ59" s="169">
        <f>1.2*111.16</f>
        <v>133.392</v>
      </c>
      <c r="GR59" s="177"/>
      <c r="GS59" s="172"/>
      <c r="GT59" s="3">
        <f>GV59/GU59</f>
        <v>68.257333333333335</v>
      </c>
      <c r="GU59" s="172">
        <v>15</v>
      </c>
      <c r="GV59" s="1618">
        <v>1023.86</v>
      </c>
      <c r="GW59" s="172"/>
      <c r="GX59" s="172"/>
      <c r="GY59" s="3">
        <f>HA59/GZ59</f>
        <v>31.581942857142856</v>
      </c>
      <c r="GZ59" s="177">
        <v>35</v>
      </c>
      <c r="HA59" s="169">
        <f>1.2*921.14</f>
        <v>1105.3679999999999</v>
      </c>
      <c r="HB59" s="177"/>
      <c r="HC59" s="172"/>
      <c r="HD59" s="3">
        <f>HF59/HE59</f>
        <v>31.138285714285715</v>
      </c>
      <c r="HE59" s="177">
        <v>63</v>
      </c>
      <c r="HF59" s="169">
        <f>1.2*1634.76</f>
        <v>1961.712</v>
      </c>
      <c r="HG59" s="177"/>
      <c r="HH59" s="172"/>
      <c r="HI59" s="3">
        <f>HK59/HJ59</f>
        <v>31.783285714285718</v>
      </c>
      <c r="HJ59" s="177">
        <v>56</v>
      </c>
      <c r="HK59" s="169">
        <v>1779.8640000000003</v>
      </c>
      <c r="HL59" s="177"/>
      <c r="HM59" s="172"/>
      <c r="HN59" s="3">
        <f>HP59/HO59</f>
        <v>57.526250000000005</v>
      </c>
      <c r="HO59" s="177">
        <v>24</v>
      </c>
      <c r="HP59" s="169">
        <v>1380.63</v>
      </c>
      <c r="HQ59" s="177"/>
      <c r="HR59" s="172"/>
      <c r="HS59" s="3">
        <f>HU59/HT59</f>
        <v>58.466923076923081</v>
      </c>
      <c r="HT59" s="177">
        <v>26</v>
      </c>
      <c r="HU59" s="186">
        <v>1520.14</v>
      </c>
      <c r="HV59" s="177"/>
      <c r="HW59" s="172"/>
      <c r="HX59" s="3">
        <f>HZ59/HY59</f>
        <v>89.178750000000008</v>
      </c>
      <c r="HY59" s="177">
        <v>16</v>
      </c>
      <c r="HZ59" s="775">
        <f>1336.96+89.9</f>
        <v>1426.8600000000001</v>
      </c>
      <c r="IA59" s="177"/>
      <c r="IB59" s="172"/>
      <c r="IC59" s="3">
        <f>IE59/ID59</f>
        <v>55.909166666666664</v>
      </c>
      <c r="ID59" s="177">
        <v>36</v>
      </c>
      <c r="IE59" s="1579">
        <f>1925.23+87.5</f>
        <v>2012.73</v>
      </c>
      <c r="IF59" s="177"/>
      <c r="IG59" s="172"/>
      <c r="IH59" s="3">
        <f>IJ59/II59</f>
        <v>2.1023225806451613</v>
      </c>
      <c r="II59" s="177">
        <v>62</v>
      </c>
      <c r="IJ59" s="169">
        <f>1.2*108.62</f>
        <v>130.34399999999999</v>
      </c>
      <c r="IK59" s="177"/>
      <c r="IL59" s="172"/>
      <c r="IM59" s="3">
        <f>IO59/IN59</f>
        <v>2.1023225806451613</v>
      </c>
      <c r="IN59" s="177">
        <v>62</v>
      </c>
      <c r="IO59" s="169">
        <f>1.2*108.62</f>
        <v>130.34399999999999</v>
      </c>
      <c r="IP59" s="177"/>
      <c r="IQ59" s="172"/>
    </row>
    <row r="60" spans="1:251" s="249" customFormat="1" ht="15" customHeight="1">
      <c r="A60" s="649"/>
      <c r="B60" s="265" t="s">
        <v>132</v>
      </c>
      <c r="C60" s="5" t="s">
        <v>42</v>
      </c>
      <c r="D60" s="6" t="s">
        <v>19</v>
      </c>
      <c r="E60" s="7" t="s">
        <v>10</v>
      </c>
      <c r="F60" s="4"/>
      <c r="G60" s="196"/>
      <c r="H60" s="197"/>
      <c r="I60" s="197"/>
      <c r="J60" s="197"/>
      <c r="K60" s="325"/>
      <c r="L60" s="196"/>
      <c r="M60" s="197"/>
      <c r="N60" s="197"/>
      <c r="O60" s="197"/>
      <c r="P60" s="325"/>
      <c r="Q60" s="196"/>
      <c r="R60" s="197"/>
      <c r="S60" s="197"/>
      <c r="T60" s="197"/>
      <c r="U60" s="325"/>
      <c r="V60" s="207"/>
      <c r="W60" s="197"/>
      <c r="X60" s="204">
        <v>1990</v>
      </c>
      <c r="Y60" s="197"/>
      <c r="Z60" s="383">
        <f>SUM(X60:X64)*1.1</f>
        <v>100305.7858</v>
      </c>
      <c r="AA60" s="36"/>
      <c r="AB60" s="197"/>
      <c r="AC60" s="204">
        <v>1769</v>
      </c>
      <c r="AD60" s="197"/>
      <c r="AE60" s="383">
        <f>SUM(AC60:AC64)*1.1</f>
        <v>74879.439799999993</v>
      </c>
      <c r="AF60" s="36"/>
      <c r="AG60" s="197"/>
      <c r="AH60" s="204">
        <v>1990</v>
      </c>
      <c r="AI60" s="197"/>
      <c r="AJ60" s="383">
        <f>AJ61*1.1</f>
        <v>127966.27800000001</v>
      </c>
      <c r="AK60" s="36"/>
      <c r="AL60" s="197"/>
      <c r="AM60" s="204">
        <v>1769</v>
      </c>
      <c r="AN60" s="197"/>
      <c r="AO60" s="383">
        <f>AO61*1.2</f>
        <v>45928.231199999995</v>
      </c>
      <c r="AP60" s="36"/>
      <c r="AQ60" s="197"/>
      <c r="AR60" s="204">
        <v>1548</v>
      </c>
      <c r="AS60" s="197"/>
      <c r="AT60" s="383">
        <f>SUM(AR60:AR64)*1.1</f>
        <v>180831.55200000003</v>
      </c>
      <c r="AU60" s="36"/>
      <c r="AV60" s="197"/>
      <c r="AW60" s="197"/>
      <c r="AX60" s="197"/>
      <c r="AY60" s="383">
        <f>SUM(AW60:AW64)*1.1</f>
        <v>154779.07500000001</v>
      </c>
      <c r="AZ60" s="36"/>
      <c r="BA60" s="197"/>
      <c r="BB60" s="197"/>
      <c r="BC60" s="197"/>
      <c r="BD60" s="383">
        <f>SUM(BB60:BB64)*1.1</f>
        <v>120349.82739999998</v>
      </c>
      <c r="BE60" s="36"/>
      <c r="BF60" s="197"/>
      <c r="BG60" s="197"/>
      <c r="BH60" s="197"/>
      <c r="BI60" s="383">
        <f>SUM(BG60:BG64)*1.1</f>
        <v>111317.50080000001</v>
      </c>
      <c r="BJ60" s="36"/>
      <c r="BK60" s="197"/>
      <c r="BL60" s="197"/>
      <c r="BM60" s="197"/>
      <c r="BN60" s="383">
        <f>SUM(BL60:BL64)*1.1</f>
        <v>135062.38680000004</v>
      </c>
      <c r="BO60" s="36"/>
      <c r="BP60" s="197"/>
      <c r="BQ60" s="197"/>
      <c r="BR60" s="197"/>
      <c r="BS60" s="383">
        <f>SUM(BQ60:BQ64)*1.1</f>
        <v>141526.08800000002</v>
      </c>
      <c r="BT60" s="36"/>
      <c r="BU60" s="197"/>
      <c r="BV60" s="197"/>
      <c r="BW60" s="197"/>
      <c r="BX60" s="383">
        <f>SUM(BV60:BV64)*1.1</f>
        <v>174851.22820000001</v>
      </c>
      <c r="BY60" s="36"/>
      <c r="BZ60" s="197"/>
      <c r="CA60" s="197"/>
      <c r="CB60" s="197"/>
      <c r="CC60" s="383">
        <f>SUM(CA60:CA64)*1.1</f>
        <v>120960.32080000002</v>
      </c>
      <c r="CD60" s="36"/>
      <c r="CE60" s="197"/>
      <c r="CF60" s="197"/>
      <c r="CG60" s="197"/>
      <c r="CH60" s="383">
        <f>SUM(CF60:CF64)*1.1</f>
        <v>130165.189</v>
      </c>
      <c r="CI60" s="36"/>
      <c r="CJ60" s="197"/>
      <c r="CK60" s="197"/>
      <c r="CL60" s="197"/>
      <c r="CM60" s="383">
        <f>SUM(CK60:CK64)*1.1</f>
        <v>92350.236000000019</v>
      </c>
      <c r="CN60" s="36"/>
      <c r="CO60" s="197"/>
      <c r="CP60" s="197"/>
      <c r="CQ60" s="197"/>
      <c r="CR60" s="383">
        <f>SUM(CP60:CP64)*1.1</f>
        <v>111140.6912</v>
      </c>
      <c r="CS60" s="36"/>
      <c r="CT60" s="197"/>
      <c r="CU60" s="197"/>
      <c r="CV60" s="197"/>
      <c r="CW60" s="383">
        <f>SUM(CU60:CU64)*1.1</f>
        <v>202018.46719999998</v>
      </c>
      <c r="CX60" s="36"/>
      <c r="CY60" s="197"/>
      <c r="CZ60" s="197"/>
      <c r="DA60" s="197"/>
      <c r="DB60" s="383">
        <f>SUM(CZ60:CZ64)*1.1</f>
        <v>147301.90200000003</v>
      </c>
      <c r="DC60" s="36"/>
      <c r="DD60" s="197"/>
      <c r="DE60" s="197"/>
      <c r="DF60" s="197"/>
      <c r="DG60" s="383">
        <f>SUM(DE60:DE64)*1.1</f>
        <v>55866.859400000001</v>
      </c>
      <c r="DH60" s="36"/>
      <c r="DI60" s="197"/>
      <c r="DJ60" s="197"/>
      <c r="DK60" s="197"/>
      <c r="DL60" s="383">
        <f>SUM(DJ60:DJ64)*1.1</f>
        <v>160203.46099999998</v>
      </c>
      <c r="DM60" s="36"/>
      <c r="DN60" s="197"/>
      <c r="DO60" s="197"/>
      <c r="DP60" s="197"/>
      <c r="DQ60" s="383">
        <f>SUM(DO60:DO64)*1.1</f>
        <v>189866.08300000001</v>
      </c>
      <c r="DR60" s="36"/>
      <c r="DS60" s="197"/>
      <c r="DT60" s="197"/>
      <c r="DU60" s="197"/>
      <c r="DV60" s="383">
        <f>SUM(DT60:DT64)*1.1</f>
        <v>149419.11379999999</v>
      </c>
      <c r="DW60" s="36"/>
      <c r="DX60" s="197"/>
      <c r="DY60" s="197"/>
      <c r="DZ60" s="197"/>
      <c r="EA60" s="383">
        <f>SUM(DY60:DY64)*1.1</f>
        <v>185479.3028</v>
      </c>
      <c r="EB60" s="36"/>
      <c r="EC60" s="197"/>
      <c r="ED60" s="197"/>
      <c r="EE60" s="197"/>
      <c r="EF60" s="383">
        <f>SUM(ED60:ED64)*1.1</f>
        <v>179083.18120000005</v>
      </c>
      <c r="EG60" s="36"/>
      <c r="EH60" s="197"/>
      <c r="EI60" s="197"/>
      <c r="EJ60" s="197"/>
      <c r="EK60" s="383">
        <f>SUM(EI60:EI64)*1.1</f>
        <v>191570.54399999999</v>
      </c>
      <c r="EL60" s="36"/>
      <c r="EM60" s="197"/>
      <c r="EN60" s="197"/>
      <c r="EO60" s="197"/>
      <c r="EP60" s="383">
        <f>SUM(EN60:EN64)*1.1</f>
        <v>150354.54720000003</v>
      </c>
      <c r="EQ60" s="36"/>
      <c r="ER60" s="197"/>
      <c r="ES60" s="197"/>
      <c r="ET60" s="197"/>
      <c r="EU60" s="383">
        <f>SUM(ES60:ES64)*1.1</f>
        <v>96242.784000000014</v>
      </c>
      <c r="EV60" s="36"/>
      <c r="EW60" s="197"/>
      <c r="EX60" s="197"/>
      <c r="EY60" s="197"/>
      <c r="EZ60" s="383">
        <f>SUM(EX60:EX64)*1.1</f>
        <v>143027.86079999999</v>
      </c>
      <c r="FA60" s="36"/>
      <c r="FB60" s="197"/>
      <c r="FC60" s="197"/>
      <c r="FD60" s="197"/>
      <c r="FE60" s="383">
        <f>SUM(FC60:FC64)*1.1</f>
        <v>134087.24120000002</v>
      </c>
      <c r="FF60" s="36"/>
      <c r="FG60" s="197"/>
      <c r="FH60" s="197"/>
      <c r="FI60" s="197"/>
      <c r="FJ60" s="383">
        <f>SUM(FH60:FH64)*1.1</f>
        <v>172736.04260000002</v>
      </c>
      <c r="FK60" s="36"/>
      <c r="FL60" s="197"/>
      <c r="FM60" s="197"/>
      <c r="FN60" s="197"/>
      <c r="FO60" s="383">
        <f>SUM(FM60:FM64)*1.1</f>
        <v>155474.81180000002</v>
      </c>
      <c r="FP60" s="36"/>
      <c r="FQ60" s="197"/>
      <c r="FR60" s="197"/>
      <c r="FS60" s="197"/>
      <c r="FT60" s="383">
        <f>SUM(FR60:FR64)*1.1</f>
        <v>144875.34599999999</v>
      </c>
      <c r="FU60" s="36"/>
      <c r="FV60" s="197"/>
      <c r="FW60" s="197"/>
      <c r="FX60" s="197"/>
      <c r="FY60" s="383">
        <f>SUM(FW60:FW64)*1.1</f>
        <v>140532.64060000001</v>
      </c>
      <c r="FZ60" s="36"/>
      <c r="GA60" s="197"/>
      <c r="GB60" s="197"/>
      <c r="GC60" s="197"/>
      <c r="GD60" s="383">
        <f>SUM(GB60:GB64)*1.1</f>
        <v>130264.9106</v>
      </c>
      <c r="GE60" s="36"/>
      <c r="GF60" s="197"/>
      <c r="GG60" s="197"/>
      <c r="GH60" s="197"/>
      <c r="GI60" s="383">
        <f>SUM(GG60:GG64)*1.1</f>
        <v>64442.2284</v>
      </c>
      <c r="GJ60" s="280"/>
      <c r="GK60" s="197"/>
      <c r="GL60" s="197"/>
      <c r="GM60" s="197"/>
      <c r="GN60" s="383">
        <f>SUM(GL60:GL64)*1.1</f>
        <v>179083.18120000005</v>
      </c>
      <c r="GO60" s="36"/>
      <c r="GP60" s="197"/>
      <c r="GQ60" s="197"/>
      <c r="GR60" s="197"/>
      <c r="GS60" s="383">
        <f>SUM(GQ60:GQ64)*1.1</f>
        <v>190380.24279999998</v>
      </c>
      <c r="GT60" s="36"/>
      <c r="GU60" s="197"/>
      <c r="GV60" s="197"/>
      <c r="GW60" s="197"/>
      <c r="GX60" s="383">
        <f>SUM(GV60:GV64)*1.1</f>
        <v>209959.51679999998</v>
      </c>
      <c r="GY60" s="36"/>
      <c r="GZ60" s="197"/>
      <c r="HA60" s="197"/>
      <c r="HB60" s="197"/>
      <c r="HC60" s="383">
        <f>SUM(HA60:HA64)*1.1</f>
        <v>96242.784000000014</v>
      </c>
      <c r="HD60" s="36"/>
      <c r="HE60" s="197"/>
      <c r="HF60" s="197"/>
      <c r="HG60" s="197"/>
      <c r="HH60" s="383">
        <f>SUM(HF60:HF64)*1.1</f>
        <v>143027.86079999999</v>
      </c>
      <c r="HI60" s="36"/>
      <c r="HJ60" s="197"/>
      <c r="HK60" s="197"/>
      <c r="HL60" s="197"/>
      <c r="HM60" s="383">
        <f>SUM(HK60:HK64)*1.1</f>
        <v>134087.24120000002</v>
      </c>
      <c r="HN60" s="36"/>
      <c r="HO60" s="197"/>
      <c r="HP60" s="197"/>
      <c r="HQ60" s="197"/>
      <c r="HR60" s="383">
        <f>SUM(HP60:HP64)*1.1</f>
        <v>172736.04260000002</v>
      </c>
      <c r="HS60" s="36"/>
      <c r="HT60" s="197"/>
      <c r="HU60" s="197"/>
      <c r="HV60" s="197"/>
      <c r="HW60" s="383">
        <f>SUM(HU60:HU64)*1.1</f>
        <v>155474.81180000002</v>
      </c>
      <c r="HX60" s="36"/>
      <c r="HY60" s="197"/>
      <c r="HZ60" s="197"/>
      <c r="IA60" s="197"/>
      <c r="IB60" s="383">
        <f>SUM(HZ60:HZ64)*1.1</f>
        <v>144875.34599999999</v>
      </c>
      <c r="IC60" s="36"/>
      <c r="ID60" s="197"/>
      <c r="IE60" s="197"/>
      <c r="IF60" s="197"/>
      <c r="IG60" s="383">
        <f>SUM(IE60:IE64)*1.1</f>
        <v>140532.64060000001</v>
      </c>
      <c r="IH60" s="36"/>
      <c r="II60" s="197"/>
      <c r="IJ60" s="197"/>
      <c r="IK60" s="197"/>
      <c r="IL60" s="383">
        <f>SUM(IJ60:IJ64)*1.1</f>
        <v>55866.859400000001</v>
      </c>
      <c r="IM60" s="36"/>
      <c r="IN60" s="197"/>
      <c r="IO60" s="197"/>
      <c r="IP60" s="197"/>
      <c r="IQ60" s="383">
        <f>SUM(IO60:IO64)*1.1</f>
        <v>55866.859400000001</v>
      </c>
    </row>
    <row r="61" spans="1:251" s="227" customFormat="1" ht="15" customHeight="1" thickBot="1">
      <c r="A61" s="651"/>
      <c r="B61" s="275"/>
      <c r="C61" s="225"/>
      <c r="D61" s="217" t="s">
        <v>43</v>
      </c>
      <c r="E61" s="226" t="s">
        <v>11</v>
      </c>
      <c r="F61" s="39"/>
      <c r="G61" s="107"/>
      <c r="H61" s="67">
        <v>1</v>
      </c>
      <c r="I61" s="67">
        <v>6000</v>
      </c>
      <c r="J61" s="67"/>
      <c r="K61" s="67">
        <v>6000</v>
      </c>
      <c r="L61" s="107"/>
      <c r="M61" s="67">
        <v>1</v>
      </c>
      <c r="N61" s="67">
        <v>6000</v>
      </c>
      <c r="O61" s="67"/>
      <c r="P61" s="67">
        <v>6000</v>
      </c>
      <c r="Q61" s="107"/>
      <c r="R61" s="67">
        <v>1</v>
      </c>
      <c r="S61" s="67">
        <v>6000</v>
      </c>
      <c r="T61" s="67">
        <v>6000</v>
      </c>
      <c r="U61" s="40"/>
      <c r="V61" s="118"/>
      <c r="W61" s="67">
        <v>1</v>
      </c>
      <c r="X61" s="67">
        <v>6000</v>
      </c>
      <c r="Y61" s="67"/>
      <c r="Z61" s="403">
        <f>SUM(X60:X64)*1</f>
        <v>91187.077999999994</v>
      </c>
      <c r="AA61" s="95"/>
      <c r="AB61" s="67">
        <v>1</v>
      </c>
      <c r="AC61" s="67">
        <v>6000</v>
      </c>
      <c r="AD61" s="67"/>
      <c r="AE61" s="403">
        <f>SUM(AC60:AC64)*1</f>
        <v>68072.217999999993</v>
      </c>
      <c r="AF61" s="95"/>
      <c r="AG61" s="67">
        <v>0</v>
      </c>
      <c r="AH61" s="67">
        <v>0</v>
      </c>
      <c r="AI61" s="67"/>
      <c r="AJ61" s="403">
        <f>SUM(AH63:AH64)+AI62+AH60*1</f>
        <v>116332.98</v>
      </c>
      <c r="AK61" s="95"/>
      <c r="AL61" s="67">
        <v>1</v>
      </c>
      <c r="AM61" s="67">
        <v>0</v>
      </c>
      <c r="AN61" s="67"/>
      <c r="AO61" s="403">
        <f>SUM(AM63:AM64)+AN62+AM60*1</f>
        <v>38273.525999999998</v>
      </c>
      <c r="AP61" s="95"/>
      <c r="AQ61" s="67">
        <v>1</v>
      </c>
      <c r="AR61" s="67">
        <v>0</v>
      </c>
      <c r="AS61" s="67"/>
      <c r="AT61" s="403">
        <f>SUM(AR60:AR64)*1</f>
        <v>164392.32000000001</v>
      </c>
      <c r="AU61" s="95"/>
      <c r="AV61" s="67">
        <v>1</v>
      </c>
      <c r="AW61" s="67">
        <v>6000</v>
      </c>
      <c r="AX61" s="67"/>
      <c r="AY61" s="403">
        <f>SUM(AW60:AW64)*1</f>
        <v>140708.25</v>
      </c>
      <c r="AZ61" s="95"/>
      <c r="BA61" s="67">
        <v>1</v>
      </c>
      <c r="BB61" s="67">
        <v>6000</v>
      </c>
      <c r="BC61" s="67"/>
      <c r="BD61" s="403">
        <f>SUM(BB60:BB64)*1</f>
        <v>109408.93399999998</v>
      </c>
      <c r="BE61" s="95"/>
      <c r="BF61" s="67">
        <v>1</v>
      </c>
      <c r="BG61" s="67">
        <v>6000</v>
      </c>
      <c r="BH61" s="67"/>
      <c r="BI61" s="403">
        <f>SUM(BG60:BG64)*1</f>
        <v>101197.728</v>
      </c>
      <c r="BJ61" s="95"/>
      <c r="BK61" s="67">
        <v>1</v>
      </c>
      <c r="BL61" s="67">
        <v>6000</v>
      </c>
      <c r="BM61" s="67"/>
      <c r="BN61" s="403">
        <f>SUM(BL60:BL64)*1</f>
        <v>122783.98800000001</v>
      </c>
      <c r="BO61" s="95"/>
      <c r="BP61" s="67">
        <v>1</v>
      </c>
      <c r="BQ61" s="67">
        <v>6000</v>
      </c>
      <c r="BR61" s="67"/>
      <c r="BS61" s="403">
        <f>SUM(BQ60:BQ64)*1</f>
        <v>128660.08</v>
      </c>
      <c r="BT61" s="95"/>
      <c r="BU61" s="67">
        <v>1</v>
      </c>
      <c r="BV61" s="67">
        <v>6000</v>
      </c>
      <c r="BW61" s="67"/>
      <c r="BX61" s="403">
        <f>SUM(BV60:BV64)*1</f>
        <v>158955.66200000001</v>
      </c>
      <c r="BY61" s="95"/>
      <c r="BZ61" s="67">
        <v>1</v>
      </c>
      <c r="CA61" s="67">
        <v>6000</v>
      </c>
      <c r="CB61" s="67"/>
      <c r="CC61" s="403">
        <f>SUM(CA60:CA64)*1</f>
        <v>109963.928</v>
      </c>
      <c r="CD61" s="95"/>
      <c r="CE61" s="67">
        <v>1</v>
      </c>
      <c r="CF61" s="67">
        <v>6000</v>
      </c>
      <c r="CG61" s="67"/>
      <c r="CH61" s="403">
        <f>SUM(CF60:CF64)*1</f>
        <v>118331.98999999999</v>
      </c>
      <c r="CI61" s="95"/>
      <c r="CJ61" s="67">
        <v>1</v>
      </c>
      <c r="CK61" s="67">
        <v>6000</v>
      </c>
      <c r="CL61" s="67"/>
      <c r="CM61" s="403">
        <f>SUM(CK60:CK64)*1</f>
        <v>83954.760000000009</v>
      </c>
      <c r="CN61" s="95"/>
      <c r="CO61" s="67">
        <v>1</v>
      </c>
      <c r="CP61" s="67">
        <v>6000</v>
      </c>
      <c r="CQ61" s="67"/>
      <c r="CR61" s="403">
        <f>SUM(CP60:CP64)*1</f>
        <v>101036.992</v>
      </c>
      <c r="CS61" s="95"/>
      <c r="CT61" s="67">
        <v>1</v>
      </c>
      <c r="CU61" s="67">
        <v>6000</v>
      </c>
      <c r="CV61" s="67"/>
      <c r="CW61" s="403">
        <f>SUM(CU60:CU64)*1</f>
        <v>183653.15199999997</v>
      </c>
      <c r="CX61" s="95"/>
      <c r="CY61" s="67">
        <v>1</v>
      </c>
      <c r="CZ61" s="67">
        <v>6000</v>
      </c>
      <c r="DA61" s="67"/>
      <c r="DB61" s="403">
        <f>SUM(CZ60:CZ64)*1</f>
        <v>133910.82</v>
      </c>
      <c r="DC61" s="95"/>
      <c r="DD61" s="67">
        <v>1</v>
      </c>
      <c r="DE61" s="67">
        <v>6000</v>
      </c>
      <c r="DF61" s="67"/>
      <c r="DG61" s="403">
        <f>SUM(DE60:DE64)*1</f>
        <v>50788.053999999996</v>
      </c>
      <c r="DH61" s="95"/>
      <c r="DI61" s="67">
        <v>1</v>
      </c>
      <c r="DJ61" s="67">
        <v>6000</v>
      </c>
      <c r="DK61" s="67"/>
      <c r="DL61" s="403">
        <f>SUM(DJ60:DJ64)*1</f>
        <v>145639.50999999998</v>
      </c>
      <c r="DM61" s="95"/>
      <c r="DN61" s="67">
        <v>1</v>
      </c>
      <c r="DO61" s="67">
        <v>6000</v>
      </c>
      <c r="DP61" s="67"/>
      <c r="DQ61" s="403">
        <f>SUM(DO60:DO64)*1</f>
        <v>172605.53</v>
      </c>
      <c r="DR61" s="95"/>
      <c r="DS61" s="67">
        <v>1</v>
      </c>
      <c r="DT61" s="67">
        <v>6000</v>
      </c>
      <c r="DU61" s="67"/>
      <c r="DV61" s="403">
        <f>SUM(DT60:DT64)*1</f>
        <v>135835.55799999999</v>
      </c>
      <c r="DW61" s="95"/>
      <c r="DX61" s="67">
        <v>1</v>
      </c>
      <c r="DY61" s="67">
        <v>6000</v>
      </c>
      <c r="DZ61" s="67"/>
      <c r="EA61" s="403">
        <f>SUM(DY60:DY64)*1</f>
        <v>168617.54799999998</v>
      </c>
      <c r="EB61" s="95"/>
      <c r="EC61" s="67">
        <v>1</v>
      </c>
      <c r="ED61" s="67">
        <v>6000</v>
      </c>
      <c r="EE61" s="67"/>
      <c r="EF61" s="403">
        <f>SUM(ED60:ED64)*1</f>
        <v>162802.89200000002</v>
      </c>
      <c r="EG61" s="95"/>
      <c r="EH61" s="67">
        <v>1</v>
      </c>
      <c r="EI61" s="67">
        <v>6000</v>
      </c>
      <c r="EJ61" s="67"/>
      <c r="EK61" s="403">
        <f>SUM(EI60:EI64)*1</f>
        <v>174155.03999999998</v>
      </c>
      <c r="EL61" s="95"/>
      <c r="EM61" s="67">
        <v>1</v>
      </c>
      <c r="EN61" s="67">
        <v>6000</v>
      </c>
      <c r="EO61" s="67"/>
      <c r="EP61" s="403">
        <f>SUM(EN60:EN64)*1</f>
        <v>136685.95200000002</v>
      </c>
      <c r="EQ61" s="95"/>
      <c r="ER61" s="67">
        <v>1</v>
      </c>
      <c r="ES61" s="67">
        <v>6000</v>
      </c>
      <c r="ET61" s="67"/>
      <c r="EU61" s="403">
        <f>SUM(ES60:ES64)*1</f>
        <v>87493.440000000002</v>
      </c>
      <c r="EV61" s="95"/>
      <c r="EW61" s="67">
        <v>1</v>
      </c>
      <c r="EX61" s="67">
        <v>6000</v>
      </c>
      <c r="EY61" s="67"/>
      <c r="EZ61" s="403">
        <f>SUM(EX60:EX64)*1</f>
        <v>130025.32799999999</v>
      </c>
      <c r="FA61" s="95"/>
      <c r="FB61" s="67">
        <v>1</v>
      </c>
      <c r="FC61" s="67">
        <v>6000</v>
      </c>
      <c r="FD61" s="67"/>
      <c r="FE61" s="403">
        <f>SUM(FC60:FC64)*1</f>
        <v>121897.492</v>
      </c>
      <c r="FF61" s="95"/>
      <c r="FG61" s="67">
        <v>1</v>
      </c>
      <c r="FH61" s="67">
        <v>6000</v>
      </c>
      <c r="FI61" s="67"/>
      <c r="FJ61" s="403">
        <f>SUM(FH60:FH64)*1</f>
        <v>157032.766</v>
      </c>
      <c r="FK61" s="95"/>
      <c r="FL61" s="67">
        <v>1</v>
      </c>
      <c r="FM61" s="67">
        <v>6000</v>
      </c>
      <c r="FN61" s="67"/>
      <c r="FO61" s="403">
        <f>SUM(FM60:FM64)*1</f>
        <v>141340.73800000001</v>
      </c>
      <c r="FP61" s="95"/>
      <c r="FQ61" s="67">
        <v>1</v>
      </c>
      <c r="FR61" s="67">
        <v>6000</v>
      </c>
      <c r="FS61" s="67"/>
      <c r="FT61" s="403">
        <f>SUM(FR60:FR64)*1</f>
        <v>131704.85999999999</v>
      </c>
      <c r="FU61" s="95"/>
      <c r="FV61" s="67">
        <v>1</v>
      </c>
      <c r="FW61" s="67">
        <v>6000</v>
      </c>
      <c r="FX61" s="67"/>
      <c r="FY61" s="403">
        <f>SUM(FW60:FW64)*1</f>
        <v>127756.94600000001</v>
      </c>
      <c r="FZ61" s="95"/>
      <c r="GA61" s="67">
        <v>1</v>
      </c>
      <c r="GB61" s="67">
        <v>6000</v>
      </c>
      <c r="GC61" s="1585"/>
      <c r="GD61" s="403">
        <f>SUM(GB60:GB64)*1</f>
        <v>118422.64599999999</v>
      </c>
      <c r="GE61" s="95"/>
      <c r="GF61" s="67">
        <v>1</v>
      </c>
      <c r="GG61" s="67">
        <v>6000</v>
      </c>
      <c r="GH61" s="1585"/>
      <c r="GI61" s="403">
        <f>SUM(GG60:GG64)*1</f>
        <v>58583.843999999997</v>
      </c>
      <c r="GJ61" s="1553"/>
      <c r="GK61" s="67">
        <v>1</v>
      </c>
      <c r="GL61" s="67">
        <v>6000</v>
      </c>
      <c r="GM61" s="67"/>
      <c r="GN61" s="403">
        <f>SUM(GL60:GL64)*1</f>
        <v>162802.89200000002</v>
      </c>
      <c r="GO61" s="95"/>
      <c r="GP61" s="67">
        <v>1</v>
      </c>
      <c r="GQ61" s="67">
        <v>6000</v>
      </c>
      <c r="GR61" s="67"/>
      <c r="GS61" s="403">
        <f>SUM(GQ60:GQ64)*1</f>
        <v>173072.94799999997</v>
      </c>
      <c r="GT61" s="95"/>
      <c r="GU61" s="67">
        <v>1</v>
      </c>
      <c r="GV61" s="67">
        <v>6000</v>
      </c>
      <c r="GW61" s="67"/>
      <c r="GX61" s="403">
        <f>SUM(GV60:GV64)*1</f>
        <v>190872.28799999997</v>
      </c>
      <c r="GY61" s="95"/>
      <c r="GZ61" s="67">
        <v>1</v>
      </c>
      <c r="HA61" s="67">
        <v>6000</v>
      </c>
      <c r="HB61" s="67"/>
      <c r="HC61" s="403">
        <f>SUM(HA60:HA64)*1</f>
        <v>87493.440000000002</v>
      </c>
      <c r="HD61" s="95"/>
      <c r="HE61" s="67">
        <v>1</v>
      </c>
      <c r="HF61" s="67">
        <v>6000</v>
      </c>
      <c r="HG61" s="67"/>
      <c r="HH61" s="403">
        <f>SUM(HF60:HF64)*1</f>
        <v>130025.32799999999</v>
      </c>
      <c r="HI61" s="95"/>
      <c r="HJ61" s="67">
        <v>1</v>
      </c>
      <c r="HK61" s="67">
        <v>6000</v>
      </c>
      <c r="HL61" s="67"/>
      <c r="HM61" s="403">
        <f>SUM(HK60:HK64)*1</f>
        <v>121897.492</v>
      </c>
      <c r="HN61" s="95"/>
      <c r="HO61" s="67">
        <v>1</v>
      </c>
      <c r="HP61" s="67">
        <v>6000</v>
      </c>
      <c r="HQ61" s="67"/>
      <c r="HR61" s="403">
        <f>SUM(HP60:HP64)*1</f>
        <v>157032.766</v>
      </c>
      <c r="HS61" s="95"/>
      <c r="HT61" s="67">
        <v>1</v>
      </c>
      <c r="HU61" s="67">
        <v>6000</v>
      </c>
      <c r="HV61" s="67"/>
      <c r="HW61" s="403">
        <f>SUM(HU60:HU64)*1</f>
        <v>141340.73800000001</v>
      </c>
      <c r="HX61" s="95"/>
      <c r="HY61" s="67">
        <v>1</v>
      </c>
      <c r="HZ61" s="67">
        <v>6000</v>
      </c>
      <c r="IA61" s="67"/>
      <c r="IB61" s="403">
        <f>SUM(HZ60:HZ64)*1</f>
        <v>131704.85999999999</v>
      </c>
      <c r="IC61" s="95"/>
      <c r="ID61" s="67">
        <v>1</v>
      </c>
      <c r="IE61" s="67">
        <v>6000</v>
      </c>
      <c r="IF61" s="67"/>
      <c r="IG61" s="403">
        <f>SUM(IE60:IE64)*1</f>
        <v>127756.94600000001</v>
      </c>
      <c r="IH61" s="95"/>
      <c r="II61" s="67">
        <v>1</v>
      </c>
      <c r="IJ61" s="67">
        <v>6000</v>
      </c>
      <c r="IK61" s="67"/>
      <c r="IL61" s="403">
        <f>SUM(IJ60:IJ64)*1</f>
        <v>50788.053999999996</v>
      </c>
      <c r="IM61" s="95"/>
      <c r="IN61" s="67">
        <v>1</v>
      </c>
      <c r="IO61" s="67">
        <v>6000</v>
      </c>
      <c r="IP61" s="67"/>
      <c r="IQ61" s="403">
        <f>SUM(IO60:IO64)*1</f>
        <v>50788.053999999996</v>
      </c>
    </row>
    <row r="62" spans="1:251" ht="15" customHeight="1" thickBot="1">
      <c r="A62" s="647"/>
      <c r="B62" s="256"/>
      <c r="C62" s="215">
        <v>45179093</v>
      </c>
      <c r="D62" s="45" t="s">
        <v>453</v>
      </c>
      <c r="E62" s="216" t="s">
        <v>13</v>
      </c>
      <c r="F62" s="22"/>
      <c r="G62" s="104">
        <f>I62/H62</f>
        <v>5.3077197390674069</v>
      </c>
      <c r="H62" s="69">
        <v>8278</v>
      </c>
      <c r="I62" s="69">
        <v>43937.303999999996</v>
      </c>
      <c r="J62" s="128">
        <v>30512.02</v>
      </c>
      <c r="K62" s="136"/>
      <c r="L62" s="104">
        <f>N62/M62</f>
        <v>5.3685483584738236</v>
      </c>
      <c r="M62" s="69">
        <v>13524</v>
      </c>
      <c r="N62" s="69">
        <v>72604.247999999992</v>
      </c>
      <c r="O62" s="128">
        <v>72604.25</v>
      </c>
      <c r="P62" s="136"/>
      <c r="Q62" s="104">
        <f>S62/R62</f>
        <v>4.9663922688337356</v>
      </c>
      <c r="R62" s="69">
        <v>13659</v>
      </c>
      <c r="S62" s="69">
        <v>67835.95199999999</v>
      </c>
      <c r="T62" s="128">
        <v>67835.95199999999</v>
      </c>
      <c r="U62" s="136"/>
      <c r="V62" s="115">
        <f>X62/W62</f>
        <v>5.2077242605052687</v>
      </c>
      <c r="W62" s="69">
        <v>15754</v>
      </c>
      <c r="X62" s="69">
        <v>82042.487999999998</v>
      </c>
      <c r="Y62" s="128">
        <v>82042.487999999998</v>
      </c>
      <c r="Z62" s="128"/>
      <c r="AA62" s="92">
        <f>AC62/AB62</f>
        <v>4.6829513462446855</v>
      </c>
      <c r="AB62" s="69">
        <v>12702</v>
      </c>
      <c r="AC62" s="69">
        <v>59482.847999999998</v>
      </c>
      <c r="AD62" s="128">
        <v>65912.543999999994</v>
      </c>
      <c r="AE62" s="128"/>
      <c r="AF62" s="92">
        <f>AH62/AG62</f>
        <v>4.0166201978671463</v>
      </c>
      <c r="AG62" s="410">
        <v>15566</v>
      </c>
      <c r="AH62" s="410">
        <v>62522.71</v>
      </c>
      <c r="AI62" s="128">
        <f>34690.81+79652.17</f>
        <v>114342.98</v>
      </c>
      <c r="AJ62" s="128"/>
      <c r="AK62" s="92">
        <f>AM62/AL62</f>
        <v>4.9792216114339558</v>
      </c>
      <c r="AL62" s="410">
        <v>6367</v>
      </c>
      <c r="AM62" s="410">
        <v>31702.703999999998</v>
      </c>
      <c r="AN62" s="128">
        <v>35653.775999999998</v>
      </c>
      <c r="AO62" s="128"/>
      <c r="AP62" s="92">
        <f>AR62/AQ62</f>
        <v>5.9466958808063106</v>
      </c>
      <c r="AQ62" s="410">
        <v>27384</v>
      </c>
      <c r="AR62" s="410">
        <v>162844.32</v>
      </c>
      <c r="AS62" s="128">
        <v>183193.59600000002</v>
      </c>
      <c r="AT62" s="56"/>
      <c r="AU62" s="92">
        <f>AW62/AV62</f>
        <v>6.6107614914184252</v>
      </c>
      <c r="AV62" s="410">
        <v>20276</v>
      </c>
      <c r="AW62" s="410">
        <v>134039.79999999999</v>
      </c>
      <c r="AX62" s="56">
        <v>30512.02</v>
      </c>
      <c r="AY62" s="128"/>
      <c r="AZ62" s="92">
        <f>BB62/BA62</f>
        <v>6.3494520734194415</v>
      </c>
      <c r="BA62" s="410">
        <v>16181</v>
      </c>
      <c r="BB62" s="410">
        <v>102740.48399999998</v>
      </c>
      <c r="BC62" s="128" t="s">
        <v>349</v>
      </c>
      <c r="BD62" s="128"/>
      <c r="BE62" s="92">
        <f>BG62/BF62</f>
        <v>6.362844611866004</v>
      </c>
      <c r="BF62" s="410">
        <v>14866</v>
      </c>
      <c r="BG62" s="410">
        <v>94590.04800000001</v>
      </c>
      <c r="BH62" s="128" t="s">
        <v>349</v>
      </c>
      <c r="BI62" s="128"/>
      <c r="BJ62" s="92">
        <f>BL62/BK62</f>
        <v>6.7715879537761179</v>
      </c>
      <c r="BK62" s="410">
        <f>14445+2689</f>
        <v>17134</v>
      </c>
      <c r="BL62" s="410">
        <v>116024.38800000001</v>
      </c>
      <c r="BM62" s="128">
        <v>79855.555999999997</v>
      </c>
      <c r="BN62" s="128"/>
      <c r="BO62" s="92">
        <f>BQ62/BP62</f>
        <v>6.3746260069044887</v>
      </c>
      <c r="BP62" s="410">
        <v>19118</v>
      </c>
      <c r="BQ62" s="410">
        <v>121870.1</v>
      </c>
      <c r="BR62" s="56">
        <v>30512.02</v>
      </c>
      <c r="BS62" s="128"/>
      <c r="BT62" s="92">
        <f>BV62/BU62</f>
        <v>6.0268803229381032</v>
      </c>
      <c r="BU62" s="410">
        <v>25268</v>
      </c>
      <c r="BV62" s="410">
        <v>152287.212</v>
      </c>
      <c r="BW62" s="128" t="s">
        <v>429</v>
      </c>
      <c r="BX62" s="128"/>
      <c r="BY62" s="92">
        <f>CA62/BZ62</f>
        <v>5.4806878087649409</v>
      </c>
      <c r="BZ62" s="410">
        <v>18825</v>
      </c>
      <c r="CA62" s="410">
        <v>103173.948</v>
      </c>
      <c r="CB62" s="128" t="s">
        <v>437</v>
      </c>
      <c r="CC62" s="128"/>
      <c r="CD62" s="92">
        <f>CF62/CE62</f>
        <v>5.4806881319328555</v>
      </c>
      <c r="CE62" s="410">
        <f>3730+16644</f>
        <v>20374</v>
      </c>
      <c r="CF62" s="410">
        <f>(76017.14+17035.81)*1.2</f>
        <v>111663.54</v>
      </c>
      <c r="CG62" s="128">
        <v>68421.286764705874</v>
      </c>
      <c r="CH62" s="128"/>
      <c r="CI62" s="92">
        <f>CK62/CJ62</f>
        <v>5.5512124262908102</v>
      </c>
      <c r="CJ62" s="410">
        <v>13906</v>
      </c>
      <c r="CK62" s="410">
        <v>77195.16</v>
      </c>
      <c r="CL62" s="56">
        <v>30512.02</v>
      </c>
      <c r="CM62" s="128"/>
      <c r="CN62" s="92">
        <f>CP62/CO62</f>
        <v>6.5632801169183654</v>
      </c>
      <c r="CO62" s="410">
        <v>14369</v>
      </c>
      <c r="CP62" s="410">
        <v>94307.771999999997</v>
      </c>
      <c r="CQ62" s="128">
        <v>72651.490000000005</v>
      </c>
      <c r="CR62" s="128"/>
      <c r="CS62" s="92">
        <f>CU62/CT62</f>
        <v>7.5064678501656328</v>
      </c>
      <c r="CT62" s="410">
        <v>23546</v>
      </c>
      <c r="CU62" s="410">
        <v>176747.29199999999</v>
      </c>
      <c r="CV62" s="128">
        <v>148701.12</v>
      </c>
      <c r="CW62" s="128"/>
      <c r="CX62" s="92">
        <f>CZ62/CY62</f>
        <v>7.9506958262937246</v>
      </c>
      <c r="CY62" s="410">
        <v>15981</v>
      </c>
      <c r="CZ62" s="410">
        <v>127060.07</v>
      </c>
      <c r="DA62" s="128">
        <v>252448.04399999999</v>
      </c>
      <c r="DB62" s="128"/>
      <c r="DC62" s="92">
        <f>DE62/DD62</f>
        <v>5.3077197390674069</v>
      </c>
      <c r="DD62" s="58">
        <v>8278</v>
      </c>
      <c r="DE62" s="58">
        <v>43937.303999999996</v>
      </c>
      <c r="DF62" s="128">
        <v>140358.68</v>
      </c>
      <c r="DG62" s="128"/>
      <c r="DH62" s="92">
        <f>DJ62/DI62</f>
        <v>16.678079246194731</v>
      </c>
      <c r="DI62" s="58">
        <v>8278</v>
      </c>
      <c r="DJ62" s="58">
        <v>138061.13999999998</v>
      </c>
      <c r="DK62" s="128">
        <v>124664.7</v>
      </c>
      <c r="DL62" s="128"/>
      <c r="DM62" s="92">
        <f>DO62/DN62</f>
        <v>8.2268397189975584</v>
      </c>
      <c r="DN62" s="410">
        <v>20071</v>
      </c>
      <c r="DO62" s="410">
        <v>165120.9</v>
      </c>
      <c r="DP62" s="128">
        <v>127911.67272727271</v>
      </c>
      <c r="DQ62" s="128"/>
      <c r="DR62" s="92">
        <f>DT62/DS62</f>
        <v>8.1744602319538622</v>
      </c>
      <c r="DS62" s="410">
        <v>15779</v>
      </c>
      <c r="DT62" s="410">
        <v>128984.80799999999</v>
      </c>
      <c r="DU62" s="128">
        <v>137600.75</v>
      </c>
      <c r="DV62" s="128"/>
      <c r="DW62" s="92">
        <f>DY62/DX62</f>
        <v>8.7144962456198893</v>
      </c>
      <c r="DX62" s="410">
        <v>17979</v>
      </c>
      <c r="DY62" s="410">
        <v>156677.92799999999</v>
      </c>
      <c r="DZ62" s="128">
        <v>113350.587</v>
      </c>
      <c r="EA62" s="128"/>
      <c r="EB62" s="92">
        <f>ED62/EC62</f>
        <v>8.5936438166618618</v>
      </c>
      <c r="EC62" s="410">
        <v>17345</v>
      </c>
      <c r="ED62" s="410">
        <v>149056.75200000001</v>
      </c>
      <c r="EE62" s="128">
        <v>161825.87999999998</v>
      </c>
      <c r="EF62" s="128"/>
      <c r="EG62" s="92">
        <f>EI62/EH62</f>
        <v>9.2773319290854825</v>
      </c>
      <c r="EH62" s="410">
        <f>3145+13946</f>
        <v>17091</v>
      </c>
      <c r="EI62" s="410">
        <f>1.2*(107818.06+24314.34)</f>
        <v>158558.87999999998</v>
      </c>
      <c r="EJ62" s="1465">
        <v>153150.45600000001</v>
      </c>
      <c r="EK62" s="128"/>
      <c r="EL62" s="92">
        <f>EN62/EM62</f>
        <v>8.1683877511215126</v>
      </c>
      <c r="EM62" s="410">
        <v>15381</v>
      </c>
      <c r="EN62" s="410">
        <v>125637.97199999999</v>
      </c>
      <c r="EO62" s="128">
        <v>158558.88</v>
      </c>
      <c r="EP62" s="128"/>
      <c r="EQ62" s="92">
        <f>ES62/ER62</f>
        <v>5.5512124262908102</v>
      </c>
      <c r="ER62" s="58">
        <v>13906</v>
      </c>
      <c r="ES62" s="58">
        <v>77195.16</v>
      </c>
      <c r="ET62" s="128">
        <v>158558.88</v>
      </c>
      <c r="EU62" s="128"/>
      <c r="EV62" s="92">
        <f>EX62/EW62</f>
        <v>7.2623281853281849</v>
      </c>
      <c r="EW62" s="410">
        <v>14504</v>
      </c>
      <c r="EX62" s="410">
        <v>105332.80799999999</v>
      </c>
      <c r="EY62" s="56">
        <v>72651.490000000005</v>
      </c>
      <c r="EZ62" s="128"/>
      <c r="FA62" s="92">
        <f>FC62/FB62</f>
        <v>7.2240000000000002</v>
      </c>
      <c r="FB62" s="410">
        <v>15918</v>
      </c>
      <c r="FC62" s="410">
        <v>114991.632</v>
      </c>
      <c r="FD62" s="128">
        <v>106563</v>
      </c>
      <c r="FE62" s="128"/>
      <c r="FF62" s="92">
        <f>FH62/FG62</f>
        <v>7.9415163661361117</v>
      </c>
      <c r="FG62" s="410">
        <v>18911</v>
      </c>
      <c r="FH62" s="410">
        <v>150182.016</v>
      </c>
      <c r="FI62" s="128">
        <v>130011</v>
      </c>
      <c r="FJ62" s="128"/>
      <c r="FK62" s="92">
        <f>FM62/FL62</f>
        <v>7.9877643285620961</v>
      </c>
      <c r="FL62" s="410">
        <v>16837</v>
      </c>
      <c r="FM62" s="410">
        <v>134489.98800000001</v>
      </c>
      <c r="FN62" s="128">
        <v>168381</v>
      </c>
      <c r="FO62" s="128"/>
      <c r="FP62" s="92">
        <f>FR62/FQ62</f>
        <v>7.2019083779409936</v>
      </c>
      <c r="FQ62" s="410">
        <v>16066</v>
      </c>
      <c r="FR62" s="410">
        <v>115705.86</v>
      </c>
      <c r="FS62" s="128">
        <v>146022.44399999999</v>
      </c>
      <c r="FT62" s="128"/>
      <c r="FU62" s="92">
        <f>FW62/FV62</f>
        <v>9.5370958686860678</v>
      </c>
      <c r="FV62" s="410">
        <v>12611</v>
      </c>
      <c r="FW62" s="410">
        <v>120272.31600000001</v>
      </c>
      <c r="FX62" s="56">
        <v>127911.67272727271</v>
      </c>
      <c r="FY62" s="128"/>
      <c r="FZ62" s="92">
        <f>GB62/GA62</f>
        <v>10.118064387412714</v>
      </c>
      <c r="GA62" s="410">
        <v>11027</v>
      </c>
      <c r="GB62" s="410">
        <v>111571.89599999999</v>
      </c>
      <c r="GC62" s="1582">
        <v>120272.31600000001</v>
      </c>
      <c r="GD62" s="1580"/>
      <c r="GE62" s="92">
        <f>GG62/GF62</f>
        <v>5.3077197390674069</v>
      </c>
      <c r="GF62" s="58">
        <v>8278</v>
      </c>
      <c r="GG62" s="58">
        <v>43937.303999999996</v>
      </c>
      <c r="GH62" s="1582">
        <v>157478.57999999999</v>
      </c>
      <c r="GI62" s="1580"/>
      <c r="GJ62" s="98">
        <f>GL62/GK62</f>
        <v>8.5936438166618618</v>
      </c>
      <c r="GK62" s="58">
        <v>17345</v>
      </c>
      <c r="GL62" s="58">
        <v>149056.75200000001</v>
      </c>
      <c r="GM62" s="56">
        <v>161825.87999999998</v>
      </c>
      <c r="GN62" s="128"/>
      <c r="GO62" s="92">
        <f>GQ62/GP62</f>
        <v>13.755336046717394</v>
      </c>
      <c r="GP62" s="410">
        <v>11302</v>
      </c>
      <c r="GQ62" s="410">
        <v>155462.80799999999</v>
      </c>
      <c r="GR62" s="1565">
        <v>153150.45600000001</v>
      </c>
      <c r="GS62" s="128"/>
      <c r="GT62" s="92">
        <f>GV62/GU62</f>
        <v>10.482600288600286</v>
      </c>
      <c r="GU62" s="410">
        <v>16632</v>
      </c>
      <c r="GV62" s="410">
        <v>174346.60799999998</v>
      </c>
      <c r="GW62" s="56">
        <v>158558.88</v>
      </c>
      <c r="GX62" s="128"/>
      <c r="GY62" s="92">
        <f>HA62/GZ62</f>
        <v>5.5512124262908102</v>
      </c>
      <c r="GZ62" s="58">
        <v>13906</v>
      </c>
      <c r="HA62" s="58">
        <v>77195.16</v>
      </c>
      <c r="HB62" s="56">
        <v>158558.88</v>
      </c>
      <c r="HC62" s="128"/>
      <c r="HD62" s="92">
        <f>HF62/HE62</f>
        <v>7.2623281853281849</v>
      </c>
      <c r="HE62" s="58">
        <v>14504</v>
      </c>
      <c r="HF62" s="58">
        <v>105332.80799999999</v>
      </c>
      <c r="HG62" s="56">
        <v>72651.490000000005</v>
      </c>
      <c r="HH62" s="128"/>
      <c r="HI62" s="92">
        <f>HK62/HJ62</f>
        <v>7.2240000000000002</v>
      </c>
      <c r="HJ62" s="58">
        <v>15918</v>
      </c>
      <c r="HK62" s="58">
        <v>114991.632</v>
      </c>
      <c r="HL62" s="56">
        <v>106563</v>
      </c>
      <c r="HM62" s="128"/>
      <c r="HN62" s="92">
        <f>HP62/HO62</f>
        <v>7.9415163661361117</v>
      </c>
      <c r="HO62" s="58">
        <v>18911</v>
      </c>
      <c r="HP62" s="58">
        <v>150182.016</v>
      </c>
      <c r="HQ62" s="56">
        <v>130011</v>
      </c>
      <c r="HR62" s="128"/>
      <c r="HS62" s="92">
        <f>HU62/HT62</f>
        <v>7.9877643285620961</v>
      </c>
      <c r="HT62" s="58">
        <v>16837</v>
      </c>
      <c r="HU62" s="58">
        <v>134489.98800000001</v>
      </c>
      <c r="HV62" s="56">
        <v>168381</v>
      </c>
      <c r="HW62" s="128"/>
      <c r="HX62" s="92">
        <f>HZ62/HY62</f>
        <v>7.2019083779409936</v>
      </c>
      <c r="HY62" s="58">
        <v>16066</v>
      </c>
      <c r="HZ62" s="58">
        <v>115705.86</v>
      </c>
      <c r="IA62" s="56">
        <v>146022.44399999999</v>
      </c>
      <c r="IB62" s="128"/>
      <c r="IC62" s="92">
        <f>IE62/ID62</f>
        <v>9.5370958686860678</v>
      </c>
      <c r="ID62" s="58">
        <v>12611</v>
      </c>
      <c r="IE62" s="58">
        <v>120272.31600000001</v>
      </c>
      <c r="IF62" s="56">
        <v>127911.67272727271</v>
      </c>
      <c r="IG62" s="128"/>
      <c r="IH62" s="92">
        <f>IJ62/II62</f>
        <v>5.3077197390674069</v>
      </c>
      <c r="II62" s="58">
        <v>8278</v>
      </c>
      <c r="IJ62" s="58">
        <v>43937.303999999996</v>
      </c>
      <c r="IK62" s="56">
        <v>137600.75</v>
      </c>
      <c r="IL62" s="128"/>
      <c r="IM62" s="92">
        <f>IO62/IN62</f>
        <v>5.3077197390674069</v>
      </c>
      <c r="IN62" s="58">
        <v>8278</v>
      </c>
      <c r="IO62" s="58">
        <v>43937.303999999996</v>
      </c>
      <c r="IP62" s="56">
        <v>30512.02</v>
      </c>
      <c r="IQ62" s="128"/>
    </row>
    <row r="63" spans="1:251" s="336" customFormat="1" ht="15" customHeight="1">
      <c r="A63" s="652"/>
      <c r="B63" s="296"/>
      <c r="C63" s="234">
        <v>41946011</v>
      </c>
      <c r="D63" s="220" t="s">
        <v>200</v>
      </c>
      <c r="E63" s="231" t="s">
        <v>15</v>
      </c>
      <c r="F63" s="29"/>
      <c r="G63" s="109"/>
      <c r="H63" s="56">
        <v>0</v>
      </c>
      <c r="I63" s="58">
        <v>0</v>
      </c>
      <c r="J63" s="56"/>
      <c r="K63" s="9"/>
      <c r="L63" s="109"/>
      <c r="M63" s="56"/>
      <c r="N63" s="58"/>
      <c r="O63" s="56"/>
      <c r="P63" s="9"/>
      <c r="Q63" s="109"/>
      <c r="R63" s="56"/>
      <c r="S63" s="58"/>
      <c r="T63" s="56"/>
      <c r="U63" s="9"/>
      <c r="V63" s="120"/>
      <c r="W63" s="56"/>
      <c r="X63" s="58"/>
      <c r="Y63" s="56"/>
      <c r="Z63" s="56"/>
      <c r="AA63" s="97"/>
      <c r="AB63" s="56"/>
      <c r="AC63" s="58"/>
      <c r="AD63" s="56"/>
      <c r="AE63" s="56"/>
      <c r="AF63" s="97"/>
      <c r="AG63" s="56"/>
      <c r="AH63" s="58"/>
      <c r="AI63" s="56"/>
      <c r="AJ63" s="56"/>
      <c r="AK63" s="97"/>
      <c r="AL63" s="56"/>
      <c r="AM63" s="58"/>
      <c r="AN63" s="56"/>
      <c r="AO63" s="56"/>
      <c r="AP63" s="97"/>
      <c r="AQ63" s="56"/>
      <c r="AR63" s="58"/>
      <c r="AS63" s="56"/>
      <c r="AT63" s="56"/>
      <c r="AU63" s="97"/>
      <c r="AV63" s="56"/>
      <c r="AW63" s="58"/>
      <c r="AX63" s="56"/>
      <c r="AY63" s="56"/>
      <c r="AZ63" s="97"/>
      <c r="BA63" s="56"/>
      <c r="BB63" s="58"/>
      <c r="BC63" s="56"/>
      <c r="BD63" s="56"/>
      <c r="BE63" s="97"/>
      <c r="BF63" s="56"/>
      <c r="BG63" s="58"/>
      <c r="BH63" s="56"/>
      <c r="BI63" s="56"/>
      <c r="BJ63" s="97"/>
      <c r="BK63" s="56"/>
      <c r="BL63" s="58"/>
      <c r="BM63" s="56"/>
      <c r="BN63" s="56"/>
      <c r="BO63" s="97"/>
      <c r="BP63" s="56"/>
      <c r="BQ63" s="58"/>
      <c r="BR63" s="56"/>
      <c r="BS63" s="56"/>
      <c r="BT63" s="97"/>
      <c r="BU63" s="56"/>
      <c r="BV63" s="58"/>
      <c r="BW63" s="56"/>
      <c r="BX63" s="56"/>
      <c r="BY63" s="97"/>
      <c r="BZ63" s="56"/>
      <c r="CA63" s="58"/>
      <c r="CB63" s="56"/>
      <c r="CC63" s="56"/>
      <c r="CD63" s="97"/>
      <c r="CE63" s="56"/>
      <c r="CF63" s="58"/>
      <c r="CG63" s="56"/>
      <c r="CH63" s="56"/>
      <c r="CI63" s="97"/>
      <c r="CJ63" s="56"/>
      <c r="CK63" s="58"/>
      <c r="CL63" s="56"/>
      <c r="CM63" s="56"/>
      <c r="CN63" s="97"/>
      <c r="CO63" s="56"/>
      <c r="CP63" s="58"/>
      <c r="CQ63" s="56"/>
      <c r="CR63" s="56"/>
      <c r="CS63" s="97"/>
      <c r="CT63" s="56"/>
      <c r="CU63" s="58"/>
      <c r="CV63" s="56"/>
      <c r="CW63" s="56"/>
      <c r="CX63" s="97"/>
      <c r="CY63" s="56"/>
      <c r="CZ63" s="58"/>
      <c r="DA63" s="56"/>
      <c r="DB63" s="56"/>
      <c r="DC63" s="97"/>
      <c r="DD63" s="56"/>
      <c r="DE63" s="58"/>
      <c r="DF63" s="56"/>
      <c r="DG63" s="56"/>
      <c r="DH63" s="97"/>
      <c r="DI63" s="56"/>
      <c r="DJ63" s="58"/>
      <c r="DK63" s="56"/>
      <c r="DL63" s="56"/>
      <c r="DM63" s="97"/>
      <c r="DN63" s="56"/>
      <c r="DO63" s="58"/>
      <c r="DP63" s="56"/>
      <c r="DQ63" s="56"/>
      <c r="DR63" s="97"/>
      <c r="DS63" s="56"/>
      <c r="DT63" s="58"/>
      <c r="DU63" s="56"/>
      <c r="DV63" s="56"/>
      <c r="DW63" s="97"/>
      <c r="DX63" s="56"/>
      <c r="DY63" s="58"/>
      <c r="DZ63" s="56"/>
      <c r="EA63" s="56"/>
      <c r="EB63" s="97"/>
      <c r="EC63" s="56"/>
      <c r="ED63" s="58"/>
      <c r="EE63" s="56"/>
      <c r="EF63" s="56"/>
      <c r="EG63" s="97"/>
      <c r="EH63" s="56"/>
      <c r="EI63" s="58"/>
      <c r="EJ63" s="56"/>
      <c r="EK63" s="56"/>
      <c r="EL63" s="97"/>
      <c r="EM63" s="56"/>
      <c r="EN63" s="58"/>
      <c r="EO63" s="56"/>
      <c r="EP63" s="56"/>
      <c r="EQ63" s="97"/>
      <c r="ER63" s="56"/>
      <c r="ES63" s="58"/>
      <c r="ET63" s="56"/>
      <c r="EU63" s="56"/>
      <c r="EV63" s="97"/>
      <c r="EW63" s="56"/>
      <c r="EX63" s="58"/>
      <c r="EY63" s="56"/>
      <c r="EZ63" s="56"/>
      <c r="FA63" s="97"/>
      <c r="FB63" s="56"/>
      <c r="FC63" s="58"/>
      <c r="FD63" s="56"/>
      <c r="FE63" s="56"/>
      <c r="FF63" s="97"/>
      <c r="FG63" s="56"/>
      <c r="FH63" s="58"/>
      <c r="FI63" s="56"/>
      <c r="FJ63" s="56"/>
      <c r="FK63" s="97"/>
      <c r="FL63" s="56"/>
      <c r="FM63" s="58"/>
      <c r="FN63" s="56"/>
      <c r="FO63" s="56"/>
      <c r="FP63" s="97"/>
      <c r="FQ63" s="56"/>
      <c r="FR63" s="58"/>
      <c r="FS63" s="56"/>
      <c r="FT63" s="56"/>
      <c r="FU63" s="97"/>
      <c r="FV63" s="56"/>
      <c r="FW63" s="58"/>
      <c r="FX63" s="56"/>
      <c r="FY63" s="56"/>
      <c r="FZ63" s="97"/>
      <c r="GA63" s="56"/>
      <c r="GB63" s="58"/>
      <c r="GC63" s="197"/>
      <c r="GD63" s="56"/>
      <c r="GE63" s="97"/>
      <c r="GF63" s="56"/>
      <c r="GG63" s="58"/>
      <c r="GH63" s="197"/>
      <c r="GI63" s="56"/>
      <c r="GJ63" s="97"/>
      <c r="GK63" s="56"/>
      <c r="GL63" s="58"/>
      <c r="GM63" s="56"/>
      <c r="GN63" s="56"/>
      <c r="GO63" s="97"/>
      <c r="GP63" s="56"/>
      <c r="GQ63" s="58"/>
      <c r="GR63" s="56"/>
      <c r="GS63" s="56"/>
      <c r="GT63" s="97"/>
      <c r="GU63" s="56"/>
      <c r="GV63" s="58"/>
      <c r="GW63" s="56"/>
      <c r="GX63" s="56"/>
      <c r="GY63" s="97"/>
      <c r="GZ63" s="56"/>
      <c r="HA63" s="58"/>
      <c r="HB63" s="56"/>
      <c r="HC63" s="56"/>
      <c r="HD63" s="97"/>
      <c r="HE63" s="56"/>
      <c r="HF63" s="58"/>
      <c r="HG63" s="56"/>
      <c r="HH63" s="56"/>
      <c r="HI63" s="97"/>
      <c r="HJ63" s="56"/>
      <c r="HK63" s="58"/>
      <c r="HL63" s="56"/>
      <c r="HM63" s="56"/>
      <c r="HN63" s="97"/>
      <c r="HO63" s="56"/>
      <c r="HP63" s="58"/>
      <c r="HQ63" s="56"/>
      <c r="HR63" s="56"/>
      <c r="HS63" s="97"/>
      <c r="HT63" s="56"/>
      <c r="HU63" s="58"/>
      <c r="HV63" s="56"/>
      <c r="HW63" s="56"/>
      <c r="HX63" s="97"/>
      <c r="HY63" s="56"/>
      <c r="HZ63" s="58"/>
      <c r="IA63" s="56"/>
      <c r="IB63" s="56"/>
      <c r="IC63" s="97"/>
      <c r="ID63" s="56"/>
      <c r="IE63" s="58"/>
      <c r="IF63" s="56"/>
      <c r="IG63" s="56"/>
      <c r="IH63" s="97"/>
      <c r="II63" s="56"/>
      <c r="IJ63" s="58"/>
      <c r="IK63" s="56"/>
      <c r="IL63" s="56"/>
      <c r="IM63" s="97"/>
      <c r="IN63" s="56"/>
      <c r="IO63" s="58"/>
      <c r="IP63" s="56"/>
      <c r="IQ63" s="56"/>
    </row>
    <row r="64" spans="1:251" s="264" customFormat="1" ht="29.25" customHeight="1" thickBot="1">
      <c r="A64" s="648"/>
      <c r="B64" s="257" t="s">
        <v>357</v>
      </c>
      <c r="C64" s="365" t="s">
        <v>219</v>
      </c>
      <c r="D64" s="20" t="s">
        <v>176</v>
      </c>
      <c r="E64" s="259" t="s">
        <v>17</v>
      </c>
      <c r="F64" s="23"/>
      <c r="G64" s="168">
        <f>I64/H64</f>
        <v>30.383928571428573</v>
      </c>
      <c r="H64" s="391">
        <v>28</v>
      </c>
      <c r="I64" s="172">
        <v>850.75</v>
      </c>
      <c r="J64" s="172"/>
      <c r="K64" s="18"/>
      <c r="L64" s="168">
        <f>N64/M64</f>
        <v>30.384090909090911</v>
      </c>
      <c r="M64" s="391">
        <v>22</v>
      </c>
      <c r="N64" s="172">
        <v>668.45</v>
      </c>
      <c r="O64" s="172"/>
      <c r="P64" s="18"/>
      <c r="Q64" s="168">
        <f>S64/R64</f>
        <v>30.383928571428573</v>
      </c>
      <c r="R64" s="184">
        <v>28</v>
      </c>
      <c r="S64" s="177">
        <v>850.75</v>
      </c>
      <c r="T64" s="177"/>
      <c r="U64" s="10"/>
      <c r="V64" s="209">
        <f>X64/W64</f>
        <v>30.383947368421051</v>
      </c>
      <c r="W64" s="391">
        <v>38</v>
      </c>
      <c r="X64" s="392">
        <v>1154.5899999999999</v>
      </c>
      <c r="Y64" s="172"/>
      <c r="Z64" s="172"/>
      <c r="AA64" s="3">
        <f>AC64/AB64</f>
        <v>30.384074074074075</v>
      </c>
      <c r="AB64" s="391">
        <v>27</v>
      </c>
      <c r="AC64" s="172">
        <v>820.37</v>
      </c>
      <c r="AD64" s="172"/>
      <c r="AE64" s="172"/>
      <c r="AF64" s="3" t="e">
        <f>AH64/AG64</f>
        <v>#VALUE!</v>
      </c>
      <c r="AG64" s="391">
        <v>33</v>
      </c>
      <c r="AH64" s="172" t="s">
        <v>238</v>
      </c>
      <c r="AI64" s="172"/>
      <c r="AJ64" s="172"/>
      <c r="AK64" s="3">
        <f>AM64/AL64</f>
        <v>30.383928571428573</v>
      </c>
      <c r="AL64" s="184">
        <v>28</v>
      </c>
      <c r="AM64" s="177">
        <v>850.75</v>
      </c>
      <c r="AN64" s="177"/>
      <c r="AO64" s="172"/>
      <c r="AP64" s="3" t="e">
        <f>AR64/AQ64</f>
        <v>#VALUE!</v>
      </c>
      <c r="AQ64" s="391">
        <v>45</v>
      </c>
      <c r="AR64" s="506" t="s">
        <v>326</v>
      </c>
      <c r="AS64" s="172"/>
      <c r="AT64" s="172"/>
      <c r="AU64" s="3">
        <f>AW64/AV64</f>
        <v>30.384090909090911</v>
      </c>
      <c r="AV64" s="391">
        <v>22</v>
      </c>
      <c r="AW64" s="172">
        <v>668.45</v>
      </c>
      <c r="AX64" s="172"/>
      <c r="AY64" s="172"/>
      <c r="AZ64" s="3">
        <f>BB64/BA64</f>
        <v>30.384090909090911</v>
      </c>
      <c r="BA64" s="391">
        <v>22</v>
      </c>
      <c r="BB64" s="172">
        <v>668.45</v>
      </c>
      <c r="BC64" s="172"/>
      <c r="BD64" s="172"/>
      <c r="BE64" s="3">
        <f>BG64/BF64</f>
        <v>30.383999999999997</v>
      </c>
      <c r="BF64" s="391">
        <v>20</v>
      </c>
      <c r="BG64" s="172">
        <v>607.67999999999995</v>
      </c>
      <c r="BH64" s="172"/>
      <c r="BI64" s="172"/>
      <c r="BJ64" s="3">
        <f>BL64/BK64</f>
        <v>30.384</v>
      </c>
      <c r="BK64" s="391">
        <v>25</v>
      </c>
      <c r="BL64" s="392">
        <v>759.6</v>
      </c>
      <c r="BM64" s="172"/>
      <c r="BN64" s="172"/>
      <c r="BO64" s="3">
        <f>BQ64/BP64</f>
        <v>30.383846153846154</v>
      </c>
      <c r="BP64" s="391">
        <v>26</v>
      </c>
      <c r="BQ64" s="172">
        <v>789.98</v>
      </c>
      <c r="BR64" s="172"/>
      <c r="BS64" s="172"/>
      <c r="BT64" s="3">
        <f>BV64/BU64</f>
        <v>30.384090909090911</v>
      </c>
      <c r="BU64" s="391">
        <v>22</v>
      </c>
      <c r="BV64" s="172">
        <v>668.45</v>
      </c>
      <c r="BW64" s="172"/>
      <c r="BX64" s="172"/>
      <c r="BY64" s="3">
        <f>CA64/BZ64</f>
        <v>30.383846153846154</v>
      </c>
      <c r="BZ64" s="391">
        <v>26</v>
      </c>
      <c r="CA64" s="392">
        <v>789.98</v>
      </c>
      <c r="CB64" s="172"/>
      <c r="CC64" s="172"/>
      <c r="CD64" s="3">
        <f>CF64/CE64</f>
        <v>30.384090909090911</v>
      </c>
      <c r="CE64" s="391">
        <v>22</v>
      </c>
      <c r="CF64" s="172">
        <v>668.45</v>
      </c>
      <c r="CG64" s="172"/>
      <c r="CH64" s="172"/>
      <c r="CI64" s="3">
        <f>CK64/CJ64</f>
        <v>30.384</v>
      </c>
      <c r="CJ64" s="391">
        <v>25</v>
      </c>
      <c r="CK64" s="172">
        <v>759.6</v>
      </c>
      <c r="CL64" s="172"/>
      <c r="CM64" s="172"/>
      <c r="CN64" s="3">
        <f>CP64/CO64</f>
        <v>30.384166666666669</v>
      </c>
      <c r="CO64" s="391">
        <v>24</v>
      </c>
      <c r="CP64" s="172">
        <v>729.22</v>
      </c>
      <c r="CQ64" s="172"/>
      <c r="CR64" s="172"/>
      <c r="CS64" s="3">
        <f>CU64/CT64</f>
        <v>36.234400000000001</v>
      </c>
      <c r="CT64" s="391">
        <v>25</v>
      </c>
      <c r="CU64" s="392">
        <v>905.86</v>
      </c>
      <c r="CV64" s="172"/>
      <c r="CW64" s="172"/>
      <c r="CX64" s="3">
        <f>CZ64/CY64</f>
        <v>30.383928571428573</v>
      </c>
      <c r="CY64" s="184">
        <v>28</v>
      </c>
      <c r="CZ64" s="177">
        <v>850.75</v>
      </c>
      <c r="DA64" s="177"/>
      <c r="DB64" s="172"/>
      <c r="DC64" s="3">
        <f>DE64/DD64</f>
        <v>30.383928571428573</v>
      </c>
      <c r="DD64" s="184">
        <v>28</v>
      </c>
      <c r="DE64" s="177">
        <v>850.75</v>
      </c>
      <c r="DF64" s="177"/>
      <c r="DG64" s="172"/>
      <c r="DH64" s="3">
        <f>DJ64/DI64</f>
        <v>60.706538461538457</v>
      </c>
      <c r="DI64" s="391">
        <v>26</v>
      </c>
      <c r="DJ64" s="172">
        <v>1578.37</v>
      </c>
      <c r="DK64" s="172"/>
      <c r="DL64" s="172"/>
      <c r="DM64" s="3">
        <v>46.872</v>
      </c>
      <c r="DN64" s="391">
        <v>25</v>
      </c>
      <c r="DO64" s="172">
        <v>1484.63</v>
      </c>
      <c r="DP64" s="172"/>
      <c r="DQ64" s="172"/>
      <c r="DR64" s="3">
        <f>DT64/DS64</f>
        <v>30.383928571428573</v>
      </c>
      <c r="DS64" s="184">
        <v>28</v>
      </c>
      <c r="DT64" s="177">
        <v>850.75</v>
      </c>
      <c r="DU64" s="177"/>
      <c r="DV64" s="172"/>
      <c r="DW64" s="3">
        <f>DY64/DX64</f>
        <v>46.872001262626263</v>
      </c>
      <c r="DX64" s="391">
        <v>126.72</v>
      </c>
      <c r="DY64" s="172">
        <v>5939.62</v>
      </c>
      <c r="DZ64" s="172"/>
      <c r="EA64" s="172"/>
      <c r="EB64" s="3">
        <f>ED64/EC64</f>
        <v>28.689407407407408</v>
      </c>
      <c r="EC64" s="391">
        <v>270</v>
      </c>
      <c r="ED64" s="172">
        <v>7746.14</v>
      </c>
      <c r="EE64" s="172"/>
      <c r="EF64" s="172"/>
      <c r="EG64" s="3">
        <f>EI64/EH64</f>
        <v>49.98</v>
      </c>
      <c r="EH64" s="391">
        <v>192</v>
      </c>
      <c r="EI64" s="392">
        <v>9596.16</v>
      </c>
      <c r="EJ64" s="172"/>
      <c r="EK64" s="172"/>
      <c r="EL64" s="3">
        <f>EN64/EM64</f>
        <v>50.479799999999997</v>
      </c>
      <c r="EM64" s="391">
        <v>100</v>
      </c>
      <c r="EN64" s="172">
        <v>5047.9799999999996</v>
      </c>
      <c r="EO64" s="172"/>
      <c r="EP64" s="172"/>
      <c r="EQ64" s="3">
        <f>ES64/ER64</f>
        <v>49.98</v>
      </c>
      <c r="ER64" s="391">
        <v>86</v>
      </c>
      <c r="ES64" s="172">
        <v>4298.28</v>
      </c>
      <c r="ET64" s="172"/>
      <c r="EU64" s="172"/>
      <c r="EV64" s="3">
        <f>EX64/EW64</f>
        <v>49.980000000000004</v>
      </c>
      <c r="EW64" s="184">
        <v>374</v>
      </c>
      <c r="EX64" s="172">
        <v>18692.52</v>
      </c>
      <c r="EY64" s="177"/>
      <c r="EZ64" s="172"/>
      <c r="FA64" s="3">
        <f>FC64/FB64</f>
        <v>36.234400000000001</v>
      </c>
      <c r="FB64" s="184">
        <v>25</v>
      </c>
      <c r="FC64" s="1447">
        <v>905.86</v>
      </c>
      <c r="FD64" s="177"/>
      <c r="FE64" s="172"/>
      <c r="FF64" s="3">
        <f>FH64/FG64</f>
        <v>30.383928571428573</v>
      </c>
      <c r="FG64" s="184">
        <v>28</v>
      </c>
      <c r="FH64" s="177">
        <v>850.75</v>
      </c>
      <c r="FI64" s="177"/>
      <c r="FJ64" s="172"/>
      <c r="FK64" s="3">
        <f>FM64/FL64</f>
        <v>30.383928571428573</v>
      </c>
      <c r="FL64" s="184">
        <v>28</v>
      </c>
      <c r="FM64" s="177">
        <v>850.75</v>
      </c>
      <c r="FN64" s="177"/>
      <c r="FO64" s="172"/>
      <c r="FP64" s="3">
        <f>FR64/FQ64</f>
        <v>58.133720930232556</v>
      </c>
      <c r="FQ64" s="391">
        <v>172</v>
      </c>
      <c r="FR64" s="172">
        <v>9999</v>
      </c>
      <c r="FS64" s="177"/>
      <c r="FT64" s="172"/>
      <c r="FU64" s="3">
        <v>46.872</v>
      </c>
      <c r="FV64" s="184">
        <v>25</v>
      </c>
      <c r="FW64" s="177">
        <v>1484.63</v>
      </c>
      <c r="FX64" s="177"/>
      <c r="FY64" s="172"/>
      <c r="FZ64" s="3">
        <f>GB64/GA64</f>
        <v>30.383928571428573</v>
      </c>
      <c r="GA64" s="184">
        <v>28</v>
      </c>
      <c r="GB64" s="177">
        <v>850.75</v>
      </c>
      <c r="GC64" s="177"/>
      <c r="GD64" s="172"/>
      <c r="GE64" s="3">
        <f>GG64/GF64</f>
        <v>49.980000000000004</v>
      </c>
      <c r="GF64" s="391">
        <v>173</v>
      </c>
      <c r="GG64" s="172">
        <v>8646.5400000000009</v>
      </c>
      <c r="GH64" s="172"/>
      <c r="GI64" s="172"/>
      <c r="GJ64" s="285">
        <f>GL64/GK64</f>
        <v>28.689407407407408</v>
      </c>
      <c r="GK64" s="184">
        <v>270</v>
      </c>
      <c r="GL64" s="177">
        <v>7746.14</v>
      </c>
      <c r="GM64" s="177"/>
      <c r="GN64" s="172"/>
      <c r="GO64" s="3">
        <f>GQ64/GP64</f>
        <v>63.791978021978018</v>
      </c>
      <c r="GP64" s="184">
        <v>182</v>
      </c>
      <c r="GQ64" s="1447">
        <v>11610.14</v>
      </c>
      <c r="GR64" s="177"/>
      <c r="GS64" s="172"/>
      <c r="GT64" s="3">
        <f>GV64/GU64</f>
        <v>63.792000000000002</v>
      </c>
      <c r="GU64" s="391">
        <v>165</v>
      </c>
      <c r="GV64" s="172">
        <v>10525.68</v>
      </c>
      <c r="GW64" s="172"/>
      <c r="GX64" s="172"/>
      <c r="GY64" s="3">
        <f>HA64/GZ64</f>
        <v>49.98</v>
      </c>
      <c r="GZ64" s="184">
        <v>86</v>
      </c>
      <c r="HA64" s="177">
        <v>4298.28</v>
      </c>
      <c r="HB64" s="177"/>
      <c r="HC64" s="172"/>
      <c r="HD64" s="3">
        <f>HF64/HE64</f>
        <v>49.980000000000004</v>
      </c>
      <c r="HE64" s="184">
        <v>374</v>
      </c>
      <c r="HF64" s="177">
        <v>18692.52</v>
      </c>
      <c r="HG64" s="177"/>
      <c r="HH64" s="172"/>
      <c r="HI64" s="3">
        <f>HK64/HJ64</f>
        <v>36.234400000000001</v>
      </c>
      <c r="HJ64" s="184">
        <v>25</v>
      </c>
      <c r="HK64" s="1447">
        <v>905.86</v>
      </c>
      <c r="HL64" s="177"/>
      <c r="HM64" s="172"/>
      <c r="HN64" s="3">
        <f>HP64/HO64</f>
        <v>30.383928571428573</v>
      </c>
      <c r="HO64" s="184">
        <v>28</v>
      </c>
      <c r="HP64" s="177">
        <v>850.75</v>
      </c>
      <c r="HQ64" s="177"/>
      <c r="HR64" s="172"/>
      <c r="HS64" s="3">
        <f>HU64/HT64</f>
        <v>30.383928571428573</v>
      </c>
      <c r="HT64" s="184">
        <v>28</v>
      </c>
      <c r="HU64" s="177">
        <v>850.75</v>
      </c>
      <c r="HV64" s="177"/>
      <c r="HW64" s="172"/>
      <c r="HX64" s="3">
        <f>HZ64/HY64</f>
        <v>58.133720930232556</v>
      </c>
      <c r="HY64" s="184">
        <v>172</v>
      </c>
      <c r="HZ64" s="177">
        <v>9999</v>
      </c>
      <c r="IA64" s="177"/>
      <c r="IB64" s="172"/>
      <c r="IC64" s="3">
        <v>46.872</v>
      </c>
      <c r="ID64" s="184">
        <v>25</v>
      </c>
      <c r="IE64" s="177">
        <v>1484.63</v>
      </c>
      <c r="IF64" s="177"/>
      <c r="IG64" s="172"/>
      <c r="IH64" s="3">
        <f>IJ64/II64</f>
        <v>30.383928571428573</v>
      </c>
      <c r="II64" s="184">
        <v>28</v>
      </c>
      <c r="IJ64" s="177">
        <v>850.75</v>
      </c>
      <c r="IK64" s="177"/>
      <c r="IL64" s="172"/>
      <c r="IM64" s="3">
        <f>IO64/IN64</f>
        <v>30.383928571428573</v>
      </c>
      <c r="IN64" s="184">
        <v>28</v>
      </c>
      <c r="IO64" s="177">
        <v>850.75</v>
      </c>
      <c r="IP64" s="177"/>
      <c r="IQ64" s="172"/>
    </row>
    <row r="65" spans="1:251" s="390" customFormat="1" ht="15" customHeight="1">
      <c r="A65" s="653"/>
      <c r="B65" s="295" t="s">
        <v>302</v>
      </c>
      <c r="C65" s="294" t="s">
        <v>224</v>
      </c>
      <c r="D65" s="6" t="s">
        <v>25</v>
      </c>
      <c r="E65" s="7" t="s">
        <v>10</v>
      </c>
      <c r="F65" s="279"/>
      <c r="G65" s="386"/>
      <c r="H65" s="200"/>
      <c r="I65" s="197"/>
      <c r="J65" s="38"/>
      <c r="K65" s="38"/>
      <c r="L65" s="386"/>
      <c r="M65" s="387"/>
      <c r="N65" s="197"/>
      <c r="O65" s="197"/>
      <c r="P65" s="197"/>
      <c r="Q65" s="386"/>
      <c r="R65" s="387"/>
      <c r="S65" s="197"/>
      <c r="T65" s="197"/>
      <c r="U65" s="197"/>
      <c r="V65" s="386"/>
      <c r="W65" s="387"/>
      <c r="X65" s="204">
        <v>506</v>
      </c>
      <c r="Y65" s="197"/>
      <c r="Z65" s="388">
        <f>SUM(X65+X67)*1.1</f>
        <v>115524.2</v>
      </c>
      <c r="AA65" s="386"/>
      <c r="AB65" s="387"/>
      <c r="AC65" s="204">
        <v>1012</v>
      </c>
      <c r="AD65" s="197"/>
      <c r="AE65" s="388">
        <f>SUM(AC65+AC66)*1.1</f>
        <v>77490.736400000009</v>
      </c>
      <c r="AF65" s="386"/>
      <c r="AG65" s="387"/>
      <c r="AH65" s="204">
        <v>2277</v>
      </c>
      <c r="AI65" s="197"/>
      <c r="AJ65" s="388">
        <f>AJ66*1.1</f>
        <v>86390.248999999996</v>
      </c>
      <c r="AK65" s="386"/>
      <c r="AL65" s="387"/>
      <c r="AM65" s="204">
        <v>1771</v>
      </c>
      <c r="AN65" s="197"/>
      <c r="AO65" s="388">
        <f>AO66*1.2</f>
        <v>98743.595999999976</v>
      </c>
      <c r="AP65" s="386"/>
      <c r="AQ65" s="387"/>
      <c r="AR65" s="197">
        <v>2277</v>
      </c>
      <c r="AS65" s="197"/>
      <c r="AT65" s="388">
        <f>AT66*1.2</f>
        <v>147933.94799999997</v>
      </c>
      <c r="AU65" s="386"/>
      <c r="AV65" s="387"/>
      <c r="AW65" s="197"/>
      <c r="AX65" s="197"/>
      <c r="AY65" s="388">
        <f>SUM(AW65+AW67)*1.1</f>
        <v>0</v>
      </c>
      <c r="AZ65" s="386"/>
      <c r="BA65" s="387"/>
      <c r="BB65" s="197"/>
      <c r="BC65" s="197"/>
      <c r="BD65" s="388">
        <f>SUM(BB65+BB67)*1.1</f>
        <v>0</v>
      </c>
      <c r="BE65" s="386"/>
      <c r="BF65" s="387"/>
      <c r="BG65" s="197"/>
      <c r="BH65" s="197"/>
      <c r="BI65" s="388">
        <f>SUM(BG65+BG67)*1.1</f>
        <v>0</v>
      </c>
      <c r="BJ65" s="386"/>
      <c r="BK65" s="387"/>
      <c r="BL65" s="197"/>
      <c r="BM65" s="197"/>
      <c r="BN65" s="388">
        <f>SUM(BL65+BL67)*1.1</f>
        <v>0</v>
      </c>
      <c r="BO65" s="386"/>
      <c r="BP65" s="387"/>
      <c r="BQ65" s="197"/>
      <c r="BR65" s="197"/>
      <c r="BS65" s="388">
        <f>SUM(BQ65+BQ67)*1.1</f>
        <v>0</v>
      </c>
      <c r="BT65" s="386"/>
      <c r="BU65" s="387"/>
      <c r="BV65" s="197"/>
      <c r="BW65" s="197"/>
      <c r="BX65" s="388">
        <f>SUM(BV65+BV67)*1.1</f>
        <v>0</v>
      </c>
      <c r="BY65" s="386"/>
      <c r="BZ65" s="387"/>
      <c r="CA65" s="197"/>
      <c r="CB65" s="197"/>
      <c r="CC65" s="388">
        <f>SUM(CA65+CA67)*1.1</f>
        <v>0</v>
      </c>
      <c r="CD65" s="386"/>
      <c r="CE65" s="387"/>
      <c r="CF65" s="197"/>
      <c r="CG65" s="197"/>
      <c r="CH65" s="388">
        <f>SUM(CF65+CF67)*1.1</f>
        <v>0</v>
      </c>
      <c r="CI65" s="386"/>
      <c r="CJ65" s="387"/>
      <c r="CK65" s="197"/>
      <c r="CL65" s="197"/>
      <c r="CM65" s="388">
        <f>SUM(CK65+CK67)*1.1</f>
        <v>0</v>
      </c>
      <c r="CN65" s="386"/>
      <c r="CO65" s="387"/>
      <c r="CP65" s="197"/>
      <c r="CQ65" s="197"/>
      <c r="CR65" s="388" t="e">
        <f>SUM(CP65+CP67)*1.1</f>
        <v>#VALUE!</v>
      </c>
      <c r="CS65" s="386"/>
      <c r="CT65" s="387"/>
      <c r="CU65" s="197"/>
      <c r="CV65" s="197"/>
      <c r="CW65" s="388">
        <f>SUM(CU65+CU67)*1.1</f>
        <v>2213.2000000000003</v>
      </c>
      <c r="CX65" s="386"/>
      <c r="CY65" s="387"/>
      <c r="CZ65" s="197"/>
      <c r="DA65" s="197"/>
      <c r="DB65" s="388">
        <f>SUM(CZ65+CZ67)*1.1</f>
        <v>0</v>
      </c>
      <c r="DC65" s="386"/>
      <c r="DD65" s="387"/>
      <c r="DE65" s="197"/>
      <c r="DF65" s="197"/>
      <c r="DG65" s="388">
        <f>SUM(DE65+DE67)*1.1</f>
        <v>0</v>
      </c>
      <c r="DH65" s="386"/>
      <c r="DI65" s="387"/>
      <c r="DJ65" s="197"/>
      <c r="DK65" s="197"/>
      <c r="DL65" s="388">
        <f>SUM(DJ65+DJ67)*1.1</f>
        <v>0</v>
      </c>
      <c r="DM65" s="386"/>
      <c r="DN65" s="387"/>
      <c r="DO65" s="197"/>
      <c r="DP65" s="197"/>
      <c r="DQ65" s="388">
        <f>SUM(DO65+DO67)*1.1</f>
        <v>0</v>
      </c>
      <c r="DR65" s="386"/>
      <c r="DS65" s="387"/>
      <c r="DT65" s="197"/>
      <c r="DU65" s="197"/>
      <c r="DV65" s="388">
        <f>SUM(DT65+DT67)*1.1</f>
        <v>759.00000000000011</v>
      </c>
      <c r="DW65" s="386"/>
      <c r="DX65" s="387"/>
      <c r="DY65" s="197"/>
      <c r="DZ65" s="197"/>
      <c r="EA65" s="388">
        <f>SUM(DY65+DY67)*1.1</f>
        <v>0</v>
      </c>
      <c r="EB65" s="386"/>
      <c r="EC65" s="387"/>
      <c r="ED65" s="197"/>
      <c r="EE65" s="197"/>
      <c r="EF65" s="388">
        <f>SUM(ED65+ED67)*1.1</f>
        <v>0</v>
      </c>
      <c r="EG65" s="386"/>
      <c r="EH65" s="387"/>
      <c r="EI65" s="197"/>
      <c r="EJ65" s="197"/>
      <c r="EK65" s="388">
        <f>SUM(EI65+EI67)*1.1</f>
        <v>1722.3360000000002</v>
      </c>
      <c r="EL65" s="386"/>
      <c r="EM65" s="387"/>
      <c r="EN65" s="197"/>
      <c r="EO65" s="197"/>
      <c r="EP65" s="388">
        <f>SUM(EN65+EN67)*1.1</f>
        <v>0</v>
      </c>
      <c r="EQ65" s="386"/>
      <c r="ER65" s="387"/>
      <c r="ES65" s="197"/>
      <c r="ET65" s="197"/>
      <c r="EU65" s="388">
        <f>SUM(ES65+ES67)*1.1</f>
        <v>0</v>
      </c>
      <c r="EV65" s="386"/>
      <c r="EW65" s="387"/>
      <c r="EX65" s="197"/>
      <c r="EY65" s="197"/>
      <c r="EZ65" s="388">
        <f>SUM(EX65+EX67)*1.1</f>
        <v>1980.0000000000002</v>
      </c>
      <c r="FA65" s="386"/>
      <c r="FB65" s="387"/>
      <c r="FC65" s="197"/>
      <c r="FD65" s="197"/>
      <c r="FE65" s="388">
        <f>SUM(FC65+FC67)*1.1</f>
        <v>2213.2000000000003</v>
      </c>
      <c r="FF65" s="386"/>
      <c r="FG65" s="387"/>
      <c r="FH65" s="197"/>
      <c r="FI65" s="197"/>
      <c r="FJ65" s="388">
        <f>SUM(FH65+FH67)*1.1</f>
        <v>0</v>
      </c>
      <c r="FK65" s="386"/>
      <c r="FL65" s="387"/>
      <c r="FM65" s="197"/>
      <c r="FN65" s="197"/>
      <c r="FO65" s="388">
        <f>SUM(FM65+FM67)*1.1</f>
        <v>0</v>
      </c>
      <c r="FP65" s="386"/>
      <c r="FQ65" s="387"/>
      <c r="FR65" s="197"/>
      <c r="FS65" s="197"/>
      <c r="FT65" s="388">
        <f>SUM(FR65+FR67)*1.1</f>
        <v>0</v>
      </c>
      <c r="FU65" s="386"/>
      <c r="FV65" s="387"/>
      <c r="FW65" s="197"/>
      <c r="FX65" s="197"/>
      <c r="FY65" s="388">
        <f>SUM(FW65+FW67)*1.1</f>
        <v>0</v>
      </c>
      <c r="FZ65" s="386"/>
      <c r="GA65" s="387"/>
      <c r="GB65" s="197"/>
      <c r="GC65" s="197"/>
      <c r="GD65" s="388">
        <f>SUM(GB65+GB67)*1.1</f>
        <v>759.00000000000011</v>
      </c>
      <c r="GE65" s="386"/>
      <c r="GF65" s="387"/>
      <c r="GG65" s="197"/>
      <c r="GH65" s="197"/>
      <c r="GI65" s="388">
        <f>SUM(GG65+GG67)*1.1</f>
        <v>0</v>
      </c>
      <c r="GJ65" s="386"/>
      <c r="GK65" s="387"/>
      <c r="GL65" s="197"/>
      <c r="GM65" s="197"/>
      <c r="GN65" s="388">
        <f>SUM(GL65+GL67)*1.1</f>
        <v>0</v>
      </c>
      <c r="GO65" s="386"/>
      <c r="GP65" s="387"/>
      <c r="GQ65" s="197"/>
      <c r="GR65" s="197"/>
      <c r="GS65" s="388">
        <f>SUM(GQ65+GQ67)*1.1</f>
        <v>1722.3360000000002</v>
      </c>
      <c r="GT65" s="386"/>
      <c r="GU65" s="387"/>
      <c r="GV65" s="197"/>
      <c r="GW65" s="197"/>
      <c r="GX65" s="388">
        <f>SUM(GV65+GV67)*1.1</f>
        <v>0</v>
      </c>
      <c r="GY65" s="386"/>
      <c r="GZ65" s="387"/>
      <c r="HA65" s="197"/>
      <c r="HB65" s="197"/>
      <c r="HC65" s="388">
        <f>SUM(HA65+HA67)*1.1</f>
        <v>0</v>
      </c>
      <c r="HD65" s="386"/>
      <c r="HE65" s="387"/>
      <c r="HF65" s="197"/>
      <c r="HG65" s="197"/>
      <c r="HH65" s="388">
        <f>SUM(HF65+HF67)*1.1</f>
        <v>1980.0000000000002</v>
      </c>
      <c r="HI65" s="386"/>
      <c r="HJ65" s="387"/>
      <c r="HK65" s="197"/>
      <c r="HL65" s="197"/>
      <c r="HM65" s="388">
        <f>SUM(HK65+HK67)*1.1</f>
        <v>2213.2000000000003</v>
      </c>
      <c r="HN65" s="386"/>
      <c r="HO65" s="387"/>
      <c r="HP65" s="197"/>
      <c r="HQ65" s="197"/>
      <c r="HR65" s="388">
        <f>SUM(HP65+HP67)*1.1</f>
        <v>0</v>
      </c>
      <c r="HS65" s="386"/>
      <c r="HT65" s="387"/>
      <c r="HU65" s="197"/>
      <c r="HV65" s="197"/>
      <c r="HW65" s="388">
        <f>SUM(HU65+HU67)*1.1</f>
        <v>0</v>
      </c>
      <c r="HX65" s="386"/>
      <c r="HY65" s="387"/>
      <c r="HZ65" s="197"/>
      <c r="IA65" s="197"/>
      <c r="IB65" s="388">
        <f>SUM(HZ65+HZ67)*1.1</f>
        <v>0</v>
      </c>
      <c r="IC65" s="386"/>
      <c r="ID65" s="387"/>
      <c r="IE65" s="197"/>
      <c r="IF65" s="197"/>
      <c r="IG65" s="388">
        <f>SUM(IE65+IE67)*1.1</f>
        <v>0</v>
      </c>
      <c r="IH65" s="386"/>
      <c r="II65" s="387"/>
      <c r="IJ65" s="197"/>
      <c r="IK65" s="197"/>
      <c r="IL65" s="388">
        <f>SUM(IJ65+IJ67)*1.1</f>
        <v>759.00000000000011</v>
      </c>
      <c r="IM65" s="386"/>
      <c r="IN65" s="387"/>
      <c r="IO65" s="197"/>
      <c r="IP65" s="197"/>
      <c r="IQ65" s="388">
        <f>SUM(IO65+IO67)*1.1</f>
        <v>0</v>
      </c>
    </row>
    <row r="66" spans="1:251" s="336" customFormat="1" ht="15" customHeight="1">
      <c r="A66" s="652"/>
      <c r="B66" s="256"/>
      <c r="C66" s="215">
        <v>45179093</v>
      </c>
      <c r="D66" s="45" t="s">
        <v>453</v>
      </c>
      <c r="E66" s="231" t="s">
        <v>13</v>
      </c>
      <c r="F66" s="231"/>
      <c r="G66" s="98"/>
      <c r="H66" s="57"/>
      <c r="I66" s="56"/>
      <c r="J66" s="44"/>
      <c r="K66" s="44"/>
      <c r="L66" s="98"/>
      <c r="M66" s="349"/>
      <c r="N66" s="56"/>
      <c r="O66" s="56"/>
      <c r="P66" s="56"/>
      <c r="Q66" s="98">
        <f>S66/R66</f>
        <v>5.0443882352941172</v>
      </c>
      <c r="R66" s="370">
        <v>850</v>
      </c>
      <c r="S66" s="128">
        <v>4287.7299999999996</v>
      </c>
      <c r="T66" s="128"/>
      <c r="U66" s="128"/>
      <c r="V66" s="98">
        <f>X66/W66</f>
        <v>5.2257608318890814</v>
      </c>
      <c r="W66" s="370">
        <v>5770</v>
      </c>
      <c r="X66" s="128">
        <v>30152.639999999999</v>
      </c>
      <c r="Y66" s="128">
        <f>154432.8+77216.4</f>
        <v>231649.19999999998</v>
      </c>
      <c r="Z66" s="403">
        <f>SUM(X65:X69)*1</f>
        <v>135174.63999999998</v>
      </c>
      <c r="AA66" s="98">
        <f>AC66/AB66</f>
        <v>4.6829516422742294</v>
      </c>
      <c r="AB66" s="370">
        <v>14827</v>
      </c>
      <c r="AC66" s="128">
        <v>69434.123999999996</v>
      </c>
      <c r="AD66" s="128" t="s">
        <v>225</v>
      </c>
      <c r="AE66" s="403">
        <f>SUM(AC65:AC69)*1</f>
        <v>72647.41399999999</v>
      </c>
      <c r="AF66" s="98">
        <f>AH66/AG66</f>
        <v>4.8199429784652708</v>
      </c>
      <c r="AG66" s="409">
        <v>32970</v>
      </c>
      <c r="AH66" s="408">
        <v>158913.51999999999</v>
      </c>
      <c r="AI66" s="128">
        <v>74058.3</v>
      </c>
      <c r="AJ66" s="403">
        <f>SUM(AH67:AH69)+AI66+AH65*1</f>
        <v>78536.59</v>
      </c>
      <c r="AK66" s="98">
        <f>AM66/AL66</f>
        <v>4.9792201691199498</v>
      </c>
      <c r="AL66" s="409">
        <v>31930</v>
      </c>
      <c r="AM66" s="408">
        <f>1.2*132488.75</f>
        <v>158986.5</v>
      </c>
      <c r="AN66" s="128">
        <f>1.2*65261.7</f>
        <v>78314.039999999994</v>
      </c>
      <c r="AO66" s="403">
        <f>SUM(AM67:AM69)+AN66+AM65*1</f>
        <v>82286.329999999987</v>
      </c>
      <c r="AP66" s="98">
        <f>AR66/AQ66</f>
        <v>5.94</v>
      </c>
      <c r="AQ66" s="349">
        <v>20000</v>
      </c>
      <c r="AR66" s="56">
        <v>118800</v>
      </c>
      <c r="AS66" s="128" t="s">
        <v>331</v>
      </c>
      <c r="AT66" s="403">
        <f>SUM(AR67:AR69)+AR66+AR65*1</f>
        <v>123278.29</v>
      </c>
      <c r="AU66" s="98">
        <f>AW66/AV66</f>
        <v>6.6757121052631581</v>
      </c>
      <c r="AV66" s="519">
        <v>22800</v>
      </c>
      <c r="AW66" s="408">
        <f>1.2*(125604.52+1234.01)</f>
        <v>152206.236</v>
      </c>
      <c r="AX66" s="56"/>
      <c r="AY66" s="403">
        <f>SUM(AW65:AW69)*1</f>
        <v>152206.236</v>
      </c>
      <c r="AZ66" s="98">
        <f>BB66/BA66</f>
        <v>6.2413444856255627</v>
      </c>
      <c r="BA66" s="519">
        <f>19800+166</f>
        <v>19966</v>
      </c>
      <c r="BB66" s="408">
        <f>(102982.18+863.39)*1.2</f>
        <v>124614.68399999998</v>
      </c>
      <c r="BC66" s="128" t="s">
        <v>347</v>
      </c>
      <c r="BD66" s="403">
        <f>SUM(BB65:BB69)*1</f>
        <v>127114.68399999998</v>
      </c>
      <c r="BE66" s="98">
        <f>BG66/BF66</f>
        <v>6.3628438627606876</v>
      </c>
      <c r="BF66" s="519">
        <f>16041+310</f>
        <v>16351</v>
      </c>
      <c r="BG66" s="408">
        <f>1.2*(85055.32+1643.73)</f>
        <v>104038.86</v>
      </c>
      <c r="BH66" s="128" t="s">
        <v>347</v>
      </c>
      <c r="BI66" s="403">
        <f>SUM(BG65:BG69)*1</f>
        <v>104038.86</v>
      </c>
      <c r="BJ66" s="98">
        <f>BL66/BK66</f>
        <v>6.7715883171070921</v>
      </c>
      <c r="BK66" s="519">
        <f>15518+300</f>
        <v>15818</v>
      </c>
      <c r="BL66" s="408">
        <f>1.2*(87567.92+1692.9)</f>
        <v>107112.98399999998</v>
      </c>
      <c r="BM66" s="372">
        <v>99699.41</v>
      </c>
      <c r="BN66" s="403">
        <f>SUM(BL65:BL69)*1</f>
        <v>107112.98399999998</v>
      </c>
      <c r="BO66" s="92">
        <f>BQ66/BP66</f>
        <v>6.3746283932780772</v>
      </c>
      <c r="BP66" s="408">
        <v>26302</v>
      </c>
      <c r="BQ66" s="408">
        <v>167665.476</v>
      </c>
      <c r="BR66" s="372" t="s">
        <v>389</v>
      </c>
      <c r="BS66" s="403">
        <f>SUM(BQ65:BQ69)*1</f>
        <v>167665.476</v>
      </c>
      <c r="BT66" s="98">
        <f>BV66/BU66</f>
        <v>6.0268799999999993</v>
      </c>
      <c r="BU66" s="519">
        <v>25800</v>
      </c>
      <c r="BV66" s="408">
        <f>1.2*(121742.98+7834.94)</f>
        <v>155493.50399999999</v>
      </c>
      <c r="BW66" s="128">
        <v>170119.12</v>
      </c>
      <c r="BX66" s="403">
        <f>SUM(BV65:BV69)*1</f>
        <v>157693.50399999999</v>
      </c>
      <c r="BY66" s="98">
        <f>CA66/BZ66</f>
        <v>5.4806882375333075</v>
      </c>
      <c r="BZ66" s="519">
        <v>21016</v>
      </c>
      <c r="CA66" s="408">
        <v>115182.14399999999</v>
      </c>
      <c r="CB66" s="128">
        <v>76559.98</v>
      </c>
      <c r="CC66" s="403">
        <f>SUM(CA65:CA69)*1</f>
        <v>115182.14399999999</v>
      </c>
      <c r="CD66" s="98">
        <f>CF66/CE66</f>
        <v>5.014450123660346</v>
      </c>
      <c r="CE66" s="519">
        <f>20760+1074</f>
        <v>21834</v>
      </c>
      <c r="CF66" s="408">
        <f>1.2*91237.92</f>
        <v>109485.504</v>
      </c>
      <c r="CG66" s="56"/>
      <c r="CH66" s="403">
        <f>SUM(CF65:CF69)*1</f>
        <v>111885.504</v>
      </c>
      <c r="CI66" s="98">
        <f>CK66/CJ66</f>
        <v>5.5512119826756487</v>
      </c>
      <c r="CJ66" s="519">
        <f>(16380+244)</f>
        <v>16624</v>
      </c>
      <c r="CK66" s="408">
        <f>(75774.04+1128.75)*1.2</f>
        <v>92283.347999999984</v>
      </c>
      <c r="CL66" s="128">
        <v>133734.74</v>
      </c>
      <c r="CM66" s="403">
        <f>SUM(CK65:CK69)*1</f>
        <v>92283.347999999984</v>
      </c>
      <c r="CN66" s="98">
        <f>CP66/CO66</f>
        <v>6.5632798740304423</v>
      </c>
      <c r="CO66" s="519">
        <f>16920+227</f>
        <v>17147</v>
      </c>
      <c r="CP66" s="408">
        <f>(92542.25+1241.55)*1.2</f>
        <v>112540.56</v>
      </c>
      <c r="CQ66" s="372">
        <v>60000</v>
      </c>
      <c r="CR66" s="403">
        <f>SUM(CP65:CP69)*1</f>
        <v>112540.56</v>
      </c>
      <c r="CS66" s="98">
        <f>CU66/CT66</f>
        <v>7.5064679646819101</v>
      </c>
      <c r="CT66" s="519">
        <v>17668</v>
      </c>
      <c r="CU66" s="408">
        <v>132624.27599999998</v>
      </c>
      <c r="CV66" s="372">
        <v>167429.84</v>
      </c>
      <c r="CW66" s="403">
        <f>SUM(CU65:CU69)*1</f>
        <v>134636.27599999998</v>
      </c>
      <c r="CX66" s="98">
        <f>CZ66/CY66</f>
        <v>7.9506961168507306</v>
      </c>
      <c r="CY66" s="519">
        <f>16299+543</f>
        <v>16842</v>
      </c>
      <c r="CZ66" s="408">
        <f>(107990.33+3597.69)*1.2</f>
        <v>133905.62400000001</v>
      </c>
      <c r="DA66" s="128">
        <v>187967.06399999998</v>
      </c>
      <c r="DB66" s="403">
        <f>SUM(CZ65:CZ69)*1</f>
        <v>144205.62400000001</v>
      </c>
      <c r="DC66" s="98">
        <f>DE66/DD66</f>
        <v>8.0084757923391017</v>
      </c>
      <c r="DD66" s="519">
        <f>20035+537</f>
        <v>20572</v>
      </c>
      <c r="DE66" s="408">
        <f>1.2*(133708.18+3583.79)</f>
        <v>164750.364</v>
      </c>
      <c r="DF66" s="128">
        <v>145453.31</v>
      </c>
      <c r="DG66" s="403">
        <f>SUM(DE65:DE69)*1</f>
        <v>164750.364</v>
      </c>
      <c r="DH66" s="98">
        <f>DJ66/DI66</f>
        <v>8.1712316344463964</v>
      </c>
      <c r="DI66" s="519">
        <f>16744+326</f>
        <v>17070</v>
      </c>
      <c r="DJ66" s="408">
        <f>1.2*(114015.92+2219.85)</f>
        <v>139482.924</v>
      </c>
      <c r="DK66" s="56"/>
      <c r="DL66" s="403">
        <f>SUM(DJ65:DJ69)*1</f>
        <v>139482.924</v>
      </c>
      <c r="DM66" s="98"/>
      <c r="DN66" s="519">
        <f>17087+633</f>
        <v>17720</v>
      </c>
      <c r="DO66" s="408">
        <f>1.2*(117143.35+4339.66)</f>
        <v>145779.61199999999</v>
      </c>
      <c r="DP66" s="128">
        <v>171613.62</v>
      </c>
      <c r="DQ66" s="403">
        <f>SUM(DO65:DO69)*1</f>
        <v>145779.61199999999</v>
      </c>
      <c r="DR66" s="98">
        <f>DT66/DS66</f>
        <v>8.17446052031036</v>
      </c>
      <c r="DS66" s="519">
        <f>(15510+2018)</f>
        <v>17528</v>
      </c>
      <c r="DT66" s="408">
        <f>1.2*(105654.9+13746.72)</f>
        <v>143281.94399999999</v>
      </c>
      <c r="DU66" s="128">
        <v>130347.3</v>
      </c>
      <c r="DV66" s="403">
        <f>SUM(DT65:DT69)*1</f>
        <v>143971.94399999999</v>
      </c>
      <c r="DW66" s="98">
        <f>DY66/DX66</f>
        <v>8.7144956175298791</v>
      </c>
      <c r="DX66" s="519">
        <f>2694+13621</f>
        <v>16315</v>
      </c>
      <c r="DY66" s="408">
        <f>1.2*(19564.04+98916.79)</f>
        <v>142176.99599999998</v>
      </c>
      <c r="DZ66" s="128">
        <v>130347.3</v>
      </c>
      <c r="EA66" s="403">
        <f>SUM(DY65:DY69)*1</f>
        <v>142176.99599999998</v>
      </c>
      <c r="EB66" s="98">
        <f>ED66/EC66</f>
        <v>8.5936438463038805</v>
      </c>
      <c r="EC66" s="519">
        <v>15381</v>
      </c>
      <c r="ED66" s="408">
        <f>1.2*110149.03</f>
        <v>132178.83599999998</v>
      </c>
      <c r="EE66" s="56">
        <v>170119.12</v>
      </c>
      <c r="EF66" s="403">
        <f>SUM(ED65:ED69)*1</f>
        <v>133978.83599999998</v>
      </c>
      <c r="EG66" s="98">
        <f>EI66/EH66</f>
        <v>5.4806882375333075</v>
      </c>
      <c r="EH66" s="349">
        <v>21016</v>
      </c>
      <c r="EI66" s="56">
        <v>115182.14399999999</v>
      </c>
      <c r="EJ66" s="56">
        <v>76559.98</v>
      </c>
      <c r="EK66" s="403">
        <f>SUM(EI65:EI69)*1</f>
        <v>116747.90399999998</v>
      </c>
      <c r="EL66" s="98">
        <f>EN66/EM66</f>
        <v>5.014450123660346</v>
      </c>
      <c r="EM66" s="349">
        <f>20760+1074</f>
        <v>21834</v>
      </c>
      <c r="EN66" s="56">
        <f>1.2*91237.92</f>
        <v>109485.504</v>
      </c>
      <c r="EO66" s="128">
        <v>186075.45</v>
      </c>
      <c r="EP66" s="403">
        <f>SUM(EN65:EN69)*1</f>
        <v>111885.504</v>
      </c>
      <c r="EQ66" s="98">
        <f>ES66/ER66</f>
        <v>7.1310838955198053</v>
      </c>
      <c r="ER66" s="370">
        <f>(16295+1048)</f>
        <v>17343</v>
      </c>
      <c r="ES66" s="128">
        <f>(96834.18+6227.81)*1.2</f>
        <v>123674.38799999998</v>
      </c>
      <c r="ET66" s="128">
        <v>143314.37</v>
      </c>
      <c r="EU66" s="403">
        <f>SUM(ES65:ES69)*1</f>
        <v>123674.38799999998</v>
      </c>
      <c r="EV66" s="98">
        <f>EX66/EW66</f>
        <v>7.2623280702761663</v>
      </c>
      <c r="EW66" s="519">
        <v>17417</v>
      </c>
      <c r="EX66" s="408">
        <v>126487.96799999999</v>
      </c>
      <c r="EY66" s="509">
        <v>60000</v>
      </c>
      <c r="EZ66" s="403">
        <f>SUM(EX65:EX69)*1</f>
        <v>128287.96799999999</v>
      </c>
      <c r="FA66" s="98">
        <f>FC66/FB66</f>
        <v>7.2239999999999993</v>
      </c>
      <c r="FB66" s="519">
        <v>18902</v>
      </c>
      <c r="FC66" s="408">
        <f>1.2*113790.04</f>
        <v>136548.04799999998</v>
      </c>
      <c r="FD66" s="372">
        <v>121499.91</v>
      </c>
      <c r="FE66" s="403">
        <f>SUM(FC65:FC69)*1</f>
        <v>138560.04799999998</v>
      </c>
      <c r="FF66" s="98">
        <f>FH66/FG66</f>
        <v>7.9415165036674811</v>
      </c>
      <c r="FG66" s="519">
        <f>18601+1031</f>
        <v>19632</v>
      </c>
      <c r="FH66" s="408">
        <f>(123100.12+6823.09)*1.2</f>
        <v>155907.85199999998</v>
      </c>
      <c r="FI66" s="56">
        <v>187967.06399999998</v>
      </c>
      <c r="FJ66" s="403">
        <f>SUM(FH65:FH69)*1</f>
        <v>166207.85199999998</v>
      </c>
      <c r="FK66" s="98">
        <f>FM66/FL66</f>
        <v>7.9877639850825792</v>
      </c>
      <c r="FL66" s="519">
        <f>21073+1451</f>
        <v>22524</v>
      </c>
      <c r="FM66" s="408">
        <f>1.2*(140271.79+9658.54)</f>
        <v>179916.39600000001</v>
      </c>
      <c r="FN66" s="128">
        <v>155907.84</v>
      </c>
      <c r="FO66" s="403">
        <f>SUM(FM65:FM69)*1</f>
        <v>179916.39600000001</v>
      </c>
      <c r="FP66" s="98">
        <f>FR66/FQ66</f>
        <v>7.2019079091471827</v>
      </c>
      <c r="FQ66" s="519">
        <f>19936+1065</f>
        <v>21001</v>
      </c>
      <c r="FR66" s="408">
        <f>1.2*(119647.7+6391.69)</f>
        <v>151247.26799999998</v>
      </c>
      <c r="FS66" s="128">
        <v>182291.42</v>
      </c>
      <c r="FT66" s="403">
        <f>SUM(FR65:FR69)*1</f>
        <v>151247.26799999998</v>
      </c>
      <c r="FU66" s="98">
        <f>FW66/FV66</f>
        <v>9.5370954561465293</v>
      </c>
      <c r="FV66" s="519">
        <f>15668+1366</f>
        <v>17034</v>
      </c>
      <c r="FW66" s="408">
        <f>1.2*(124522.68+10856.39)</f>
        <v>162454.88399999999</v>
      </c>
      <c r="FX66" s="56">
        <v>171613.62</v>
      </c>
      <c r="FY66" s="403">
        <f>SUM(FW65:FW69)*1</f>
        <v>162454.88399999999</v>
      </c>
      <c r="FZ66" s="98">
        <f>GB66/GA66</f>
        <v>10.118063968949901</v>
      </c>
      <c r="GA66" s="519">
        <f>(12233+1680)</f>
        <v>13913</v>
      </c>
      <c r="GB66" s="408">
        <f>1.2*(103145.23+14165.29)</f>
        <v>140772.62399999998</v>
      </c>
      <c r="GC66" s="56">
        <v>130347.3</v>
      </c>
      <c r="GD66" s="403">
        <f>SUM(GB65:GB69)*1</f>
        <v>141462.62399999998</v>
      </c>
      <c r="GE66" s="98"/>
      <c r="GF66" s="349"/>
      <c r="GG66" s="56"/>
      <c r="GH66" s="372">
        <v>183026</v>
      </c>
      <c r="GI66" s="403">
        <f>SUM(GG65:GG69)*1</f>
        <v>0</v>
      </c>
      <c r="GJ66" s="98">
        <f>GL66/GK66</f>
        <v>8.5936438463038805</v>
      </c>
      <c r="GK66" s="349">
        <v>15381</v>
      </c>
      <c r="GL66" s="56">
        <f>1.2*110149.03</f>
        <v>132178.83599999998</v>
      </c>
      <c r="GM66" s="56">
        <v>170119.12</v>
      </c>
      <c r="GN66" s="403">
        <f>SUM(GL65:GL69)*1</f>
        <v>133978.83599999998</v>
      </c>
      <c r="GO66" s="98">
        <f>GQ66/GP66</f>
        <v>13.755335866467636</v>
      </c>
      <c r="GP66" s="519">
        <f>12295+2443</f>
        <v>14738</v>
      </c>
      <c r="GQ66" s="408">
        <f>1.2*(140934.88+28003.57)</f>
        <v>202726.14</v>
      </c>
      <c r="GR66" s="56">
        <v>76559.98</v>
      </c>
      <c r="GS66" s="403">
        <f>SUM(GQ65:GQ69)*1</f>
        <v>204291.90000000002</v>
      </c>
      <c r="GT66" s="98">
        <f>GV66/GU66</f>
        <v>10.482600164428611</v>
      </c>
      <c r="GU66" s="519">
        <f>14690+3555</f>
        <v>18245</v>
      </c>
      <c r="GV66" s="408">
        <f>1.2*(128324.5+31054.7)</f>
        <v>191255.04000000001</v>
      </c>
      <c r="GW66" s="56">
        <v>186075.45</v>
      </c>
      <c r="GX66" s="403">
        <f>SUM(GV65:GV69)*1</f>
        <v>193655.04000000001</v>
      </c>
      <c r="GY66" s="98">
        <f>HA66/GZ66</f>
        <v>7.1310838955198053</v>
      </c>
      <c r="GZ66" s="349">
        <f>(16295+1048)</f>
        <v>17343</v>
      </c>
      <c r="HA66" s="56">
        <f>(96834.18+6227.81)*1.2</f>
        <v>123674.38799999998</v>
      </c>
      <c r="HB66" s="56">
        <v>143314.37</v>
      </c>
      <c r="HC66" s="403">
        <f>SUM(HA65:HA69)*1</f>
        <v>123674.38799999998</v>
      </c>
      <c r="HD66" s="98">
        <f>HF66/HE66</f>
        <v>7.2623280702761663</v>
      </c>
      <c r="HE66" s="349">
        <v>17417</v>
      </c>
      <c r="HF66" s="56">
        <v>126487.96799999999</v>
      </c>
      <c r="HG66" s="509">
        <v>60000</v>
      </c>
      <c r="HH66" s="403">
        <f>SUM(HF65:HF69)*1</f>
        <v>128287.96799999999</v>
      </c>
      <c r="HI66" s="98">
        <f>HK66/HJ66</f>
        <v>7.2239999999999993</v>
      </c>
      <c r="HJ66" s="349">
        <v>18902</v>
      </c>
      <c r="HK66" s="56">
        <f>1.2*113790.04</f>
        <v>136548.04799999998</v>
      </c>
      <c r="HL66" s="509">
        <v>121499.91</v>
      </c>
      <c r="HM66" s="403">
        <f>SUM(HK65:HK69)*1</f>
        <v>138560.04799999998</v>
      </c>
      <c r="HN66" s="98">
        <f>HP66/HO66</f>
        <v>7.9415165036674811</v>
      </c>
      <c r="HO66" s="349">
        <f>18601+1031</f>
        <v>19632</v>
      </c>
      <c r="HP66" s="56">
        <f>(123100.12+6823.09)*1.2</f>
        <v>155907.85199999998</v>
      </c>
      <c r="HQ66" s="56">
        <v>187967.06399999998</v>
      </c>
      <c r="HR66" s="403">
        <f>SUM(HP65:HP69)*1</f>
        <v>166207.85199999998</v>
      </c>
      <c r="HS66" s="98">
        <f>HU66/HT66</f>
        <v>7.9877639850825792</v>
      </c>
      <c r="HT66" s="349">
        <f>21073+1451</f>
        <v>22524</v>
      </c>
      <c r="HU66" s="56">
        <f>1.2*(140271.79+9658.54)</f>
        <v>179916.39600000001</v>
      </c>
      <c r="HV66" s="56">
        <v>155907.84</v>
      </c>
      <c r="HW66" s="403">
        <f>SUM(HU65:HU69)*1</f>
        <v>179916.39600000001</v>
      </c>
      <c r="HX66" s="98">
        <f>HZ66/HY66</f>
        <v>7.2019079091471827</v>
      </c>
      <c r="HY66" s="349">
        <f>19936+1065</f>
        <v>21001</v>
      </c>
      <c r="HZ66" s="56">
        <f>1.2*(119647.7+6391.69)</f>
        <v>151247.26799999998</v>
      </c>
      <c r="IA66" s="56">
        <v>182291.42</v>
      </c>
      <c r="IB66" s="403">
        <f>SUM(HZ65:HZ69)*1</f>
        <v>151247.26799999998</v>
      </c>
      <c r="IC66" s="98">
        <f>IE66/ID66</f>
        <v>9.5370954561465293</v>
      </c>
      <c r="ID66" s="349">
        <f>15668+1366</f>
        <v>17034</v>
      </c>
      <c r="IE66" s="56">
        <f>1.2*(124522.68+10856.39)</f>
        <v>162454.88399999999</v>
      </c>
      <c r="IF66" s="56">
        <v>171613.62</v>
      </c>
      <c r="IG66" s="403">
        <f>SUM(IE65:IE69)*1</f>
        <v>162454.88399999999</v>
      </c>
      <c r="IH66" s="98"/>
      <c r="II66" s="349"/>
      <c r="IJ66" s="56"/>
      <c r="IK66" s="56">
        <v>130347.3</v>
      </c>
      <c r="IL66" s="403">
        <f>SUM(IJ65:IJ69)*1</f>
        <v>690</v>
      </c>
      <c r="IM66" s="98"/>
      <c r="IN66" s="349"/>
      <c r="IO66" s="56"/>
      <c r="IP66" s="56"/>
      <c r="IQ66" s="403">
        <f>SUM(IO65:IO69)*1</f>
        <v>0</v>
      </c>
    </row>
    <row r="67" spans="1:251" s="336" customFormat="1" ht="15" customHeight="1">
      <c r="A67" s="652"/>
      <c r="B67" s="296"/>
      <c r="C67" s="234">
        <v>41946011</v>
      </c>
      <c r="D67" s="220" t="s">
        <v>200</v>
      </c>
      <c r="E67" s="231" t="s">
        <v>15</v>
      </c>
      <c r="F67" s="231"/>
      <c r="G67" s="98"/>
      <c r="H67" s="57"/>
      <c r="I67" s="56"/>
      <c r="J67" s="44"/>
      <c r="K67" s="44"/>
      <c r="L67" s="98"/>
      <c r="M67" s="349"/>
      <c r="N67" s="56"/>
      <c r="O67" s="56"/>
      <c r="P67" s="56"/>
      <c r="Q67" s="98"/>
      <c r="R67" s="349"/>
      <c r="S67" s="56"/>
      <c r="T67" s="56"/>
      <c r="U67" s="56"/>
      <c r="V67" s="98">
        <v>5.2257999999999996</v>
      </c>
      <c r="W67" s="349">
        <v>20000</v>
      </c>
      <c r="X67" s="56">
        <f>W67*V67</f>
        <v>104515.99999999999</v>
      </c>
      <c r="Y67" s="56"/>
      <c r="Z67" s="56"/>
      <c r="AA67" s="98"/>
      <c r="AB67" s="349"/>
      <c r="AC67" s="56"/>
      <c r="AD67" s="56"/>
      <c r="AE67" s="56"/>
      <c r="AF67" s="98"/>
      <c r="AG67" s="349"/>
      <c r="AH67" s="56"/>
      <c r="AI67" s="56"/>
      <c r="AJ67" s="56"/>
      <c r="AK67" s="98"/>
      <c r="AL67" s="349"/>
      <c r="AM67" s="56"/>
      <c r="AN67" s="56"/>
      <c r="AO67" s="56"/>
      <c r="AP67" s="98"/>
      <c r="AQ67" s="349"/>
      <c r="AR67" s="56"/>
      <c r="AS67" s="56"/>
      <c r="AT67" s="56"/>
      <c r="AU67" s="98"/>
      <c r="AV67" s="349"/>
      <c r="AW67" s="56"/>
      <c r="AX67" s="56"/>
      <c r="AY67" s="56"/>
      <c r="AZ67" s="98"/>
      <c r="BA67" s="349"/>
      <c r="BB67" s="56"/>
      <c r="BC67" s="56"/>
      <c r="BD67" s="56"/>
      <c r="BE67" s="98"/>
      <c r="BF67" s="349"/>
      <c r="BG67" s="56"/>
      <c r="BH67" s="56"/>
      <c r="BI67" s="56"/>
      <c r="BJ67" s="98"/>
      <c r="BK67" s="349"/>
      <c r="BL67" s="56"/>
      <c r="BM67" s="56"/>
      <c r="BN67" s="56"/>
      <c r="BO67" s="98"/>
      <c r="BP67" s="349"/>
      <c r="BQ67" s="56"/>
      <c r="BR67" s="56"/>
      <c r="BS67" s="56"/>
      <c r="BT67" s="98"/>
      <c r="BU67" s="349"/>
      <c r="BV67" s="56"/>
      <c r="BW67" s="56"/>
      <c r="BX67" s="56"/>
      <c r="BY67" s="98"/>
      <c r="BZ67" s="349"/>
      <c r="CA67" s="56"/>
      <c r="CB67" s="56"/>
      <c r="CC67" s="56"/>
      <c r="CD67" s="98"/>
      <c r="CE67" s="349"/>
      <c r="CF67" s="56"/>
      <c r="CG67" s="56"/>
      <c r="CH67" s="56"/>
      <c r="CI67" s="98"/>
      <c r="CJ67" s="349"/>
      <c r="CK67" s="56"/>
      <c r="CL67" s="56"/>
      <c r="CM67" s="56"/>
      <c r="CN67" s="98"/>
      <c r="CO67" s="370"/>
      <c r="CP67" s="128" t="s">
        <v>532</v>
      </c>
      <c r="CQ67" s="128"/>
      <c r="CR67" s="56"/>
      <c r="CS67" s="98"/>
      <c r="CT67" s="370">
        <v>1</v>
      </c>
      <c r="CU67" s="128">
        <v>2012</v>
      </c>
      <c r="CV67" s="128"/>
      <c r="CW67" s="56"/>
      <c r="CX67" s="98"/>
      <c r="CY67" s="349"/>
      <c r="CZ67" s="56"/>
      <c r="DA67" s="56"/>
      <c r="DB67" s="56"/>
      <c r="DC67" s="98"/>
      <c r="DD67" s="349"/>
      <c r="DE67" s="56"/>
      <c r="DF67" s="56"/>
      <c r="DG67" s="56"/>
      <c r="DH67" s="98"/>
      <c r="DI67" s="349"/>
      <c r="DJ67" s="56"/>
      <c r="DK67" s="56"/>
      <c r="DL67" s="56"/>
      <c r="DM67" s="98"/>
      <c r="DN67" s="349"/>
      <c r="DO67" s="56"/>
      <c r="DP67" s="56"/>
      <c r="DQ67" s="56"/>
      <c r="DR67" s="98"/>
      <c r="DS67" s="370">
        <v>1</v>
      </c>
      <c r="DT67" s="128">
        <v>690</v>
      </c>
      <c r="DU67" s="128"/>
      <c r="DV67" s="56"/>
      <c r="DW67" s="98"/>
      <c r="DX67" s="349"/>
      <c r="DY67" s="56"/>
      <c r="DZ67" s="56"/>
      <c r="EA67" s="56"/>
      <c r="EB67" s="98"/>
      <c r="EC67" s="349"/>
      <c r="ED67" s="56"/>
      <c r="EE67" s="56"/>
      <c r="EF67" s="56"/>
      <c r="EG67" s="98"/>
      <c r="EH67" s="370"/>
      <c r="EI67" s="372">
        <v>1565.76</v>
      </c>
      <c r="EJ67" s="128"/>
      <c r="EK67" s="56"/>
      <c r="EL67" s="98"/>
      <c r="EM67" s="349"/>
      <c r="EN67" s="56"/>
      <c r="EO67" s="56"/>
      <c r="EP67" s="56"/>
      <c r="EQ67" s="98"/>
      <c r="ER67" s="349"/>
      <c r="ES67" s="56"/>
      <c r="ET67" s="56"/>
      <c r="EU67" s="56"/>
      <c r="EV67" s="98"/>
      <c r="EW67" s="370"/>
      <c r="EX67" s="128">
        <v>1800</v>
      </c>
      <c r="EY67" s="128"/>
      <c r="EZ67" s="56"/>
      <c r="FA67" s="98"/>
      <c r="FB67" s="349">
        <v>1</v>
      </c>
      <c r="FC67" s="56">
        <v>2012</v>
      </c>
      <c r="FD67" s="56"/>
      <c r="FE67" s="56"/>
      <c r="FF67" s="98"/>
      <c r="FG67" s="349"/>
      <c r="FH67" s="56"/>
      <c r="FI67" s="56"/>
      <c r="FJ67" s="56"/>
      <c r="FK67" s="98"/>
      <c r="FL67" s="349"/>
      <c r="FM67" s="56"/>
      <c r="FN67" s="56">
        <f>FM66-FN66</f>
        <v>24008.556000000011</v>
      </c>
      <c r="FO67" s="56"/>
      <c r="FP67" s="98"/>
      <c r="FQ67" s="349"/>
      <c r="FR67" s="56"/>
      <c r="FS67" s="56"/>
      <c r="FT67" s="56"/>
      <c r="FU67" s="98"/>
      <c r="FV67" s="349"/>
      <c r="FW67" s="56"/>
      <c r="FX67" s="56"/>
      <c r="FY67" s="56"/>
      <c r="FZ67" s="98"/>
      <c r="GA67" s="349">
        <v>1</v>
      </c>
      <c r="GB67" s="56">
        <v>690</v>
      </c>
      <c r="GC67" s="56"/>
      <c r="GD67" s="56"/>
      <c r="GE67" s="98"/>
      <c r="GF67" s="349"/>
      <c r="GG67" s="56"/>
      <c r="GH67" s="56"/>
      <c r="GI67" s="128"/>
      <c r="GJ67" s="405"/>
      <c r="GK67" s="370"/>
      <c r="GL67" s="128"/>
      <c r="GM67" s="128"/>
      <c r="GN67" s="128"/>
      <c r="GO67" s="405"/>
      <c r="GP67" s="370"/>
      <c r="GQ67" s="372">
        <v>1565.76</v>
      </c>
      <c r="GR67" s="128"/>
      <c r="GS67" s="128"/>
      <c r="GT67" s="405"/>
      <c r="GU67" s="370"/>
      <c r="GV67" s="128"/>
      <c r="GW67" s="128"/>
      <c r="GX67" s="128"/>
      <c r="GY67" s="405"/>
      <c r="GZ67" s="370"/>
      <c r="HA67" s="128"/>
      <c r="HB67" s="128"/>
      <c r="HC67" s="128"/>
      <c r="HD67" s="405"/>
      <c r="HE67" s="370"/>
      <c r="HF67" s="128">
        <v>1800</v>
      </c>
      <c r="HG67" s="128"/>
      <c r="HH67" s="128"/>
      <c r="HI67" s="405"/>
      <c r="HJ67" s="370">
        <v>1</v>
      </c>
      <c r="HK67" s="128">
        <v>2012</v>
      </c>
      <c r="HL67" s="128"/>
      <c r="HM67" s="128"/>
      <c r="HN67" s="405"/>
      <c r="HO67" s="370"/>
      <c r="HP67" s="128"/>
      <c r="HQ67" s="128"/>
      <c r="HR67" s="128"/>
      <c r="HS67" s="405"/>
      <c r="HT67" s="370"/>
      <c r="HU67" s="128"/>
      <c r="HV67" s="128">
        <f>HU66-HV66</f>
        <v>24008.556000000011</v>
      </c>
      <c r="HW67" s="128"/>
      <c r="HX67" s="405"/>
      <c r="HY67" s="370"/>
      <c r="HZ67" s="128"/>
      <c r="IA67" s="128"/>
      <c r="IB67" s="128"/>
      <c r="IC67" s="405"/>
      <c r="ID67" s="370"/>
      <c r="IE67" s="128"/>
      <c r="IF67" s="128"/>
      <c r="IG67" s="128"/>
      <c r="IH67" s="405"/>
      <c r="II67" s="370">
        <v>1</v>
      </c>
      <c r="IJ67" s="128">
        <v>690</v>
      </c>
      <c r="IK67" s="128"/>
      <c r="IL67" s="128"/>
      <c r="IM67" s="405"/>
      <c r="IN67" s="370"/>
      <c r="IO67" s="128"/>
      <c r="IP67" s="128"/>
      <c r="IQ67" s="128"/>
    </row>
    <row r="68" spans="1:251" s="336" customFormat="1" ht="15" customHeight="1">
      <c r="A68" s="652"/>
      <c r="B68" s="296"/>
      <c r="C68" s="234">
        <v>3160204992</v>
      </c>
      <c r="D68" s="220" t="s">
        <v>231</v>
      </c>
      <c r="E68" s="231" t="s">
        <v>17</v>
      </c>
      <c r="F68" s="231"/>
      <c r="G68" s="98"/>
      <c r="H68" s="57"/>
      <c r="I68" s="56"/>
      <c r="J68" s="44"/>
      <c r="K68" s="44"/>
      <c r="L68" s="98"/>
      <c r="M68" s="349"/>
      <c r="N68" s="56"/>
      <c r="O68" s="56"/>
      <c r="P68" s="56"/>
      <c r="Q68" s="98"/>
      <c r="R68" s="349"/>
      <c r="S68" s="56"/>
      <c r="T68" s="56"/>
      <c r="U68" s="56"/>
      <c r="V68" s="98"/>
      <c r="W68" s="349"/>
      <c r="X68" s="56"/>
      <c r="Y68" s="56"/>
      <c r="Z68" s="56"/>
      <c r="AA68" s="98"/>
      <c r="AB68" s="128">
        <v>156.75</v>
      </c>
      <c r="AC68" s="128">
        <v>2201.29</v>
      </c>
      <c r="AD68" s="128"/>
      <c r="AE68" s="128"/>
      <c r="AF68" s="405">
        <f>AH68/AG68</f>
        <v>33.352878787878787</v>
      </c>
      <c r="AG68" s="370">
        <v>66</v>
      </c>
      <c r="AH68" s="128">
        <v>2201.29</v>
      </c>
      <c r="AI68" s="128"/>
      <c r="AJ68" s="128"/>
      <c r="AK68" s="98">
        <f>AM68/AL68</f>
        <v>33.352878787878787</v>
      </c>
      <c r="AL68" s="349">
        <v>66</v>
      </c>
      <c r="AM68" s="56">
        <v>2201.29</v>
      </c>
      <c r="AN68" s="56"/>
      <c r="AO68" s="56"/>
      <c r="AP68" s="98">
        <f>AR68/AQ68</f>
        <v>33.352878787878787</v>
      </c>
      <c r="AQ68" s="349">
        <v>66</v>
      </c>
      <c r="AR68" s="56">
        <v>2201.29</v>
      </c>
      <c r="AS68" s="56"/>
      <c r="AT68" s="56"/>
      <c r="AU68" s="98"/>
      <c r="AV68" s="349"/>
      <c r="AW68" s="56"/>
      <c r="AX68" s="56"/>
      <c r="AY68" s="56"/>
      <c r="AZ68" s="98"/>
      <c r="BA68" s="370"/>
      <c r="BB68" s="128">
        <v>2500</v>
      </c>
      <c r="BC68" s="128"/>
      <c r="BD68" s="56"/>
      <c r="BE68" s="98"/>
      <c r="BF68" s="349"/>
      <c r="BG68" s="56"/>
      <c r="BH68" s="56"/>
      <c r="BI68" s="56"/>
      <c r="BJ68" s="98"/>
      <c r="BK68" s="349"/>
      <c r="BL68" s="372" t="s">
        <v>434</v>
      </c>
      <c r="BM68" s="56"/>
      <c r="BN68" s="56"/>
      <c r="BO68" s="98"/>
      <c r="BP68" s="349"/>
      <c r="BQ68" s="372" t="s">
        <v>433</v>
      </c>
      <c r="BR68" s="56"/>
      <c r="BS68" s="56"/>
      <c r="BT68" s="98"/>
      <c r="BU68" s="349">
        <v>1</v>
      </c>
      <c r="BV68" s="128">
        <v>2200</v>
      </c>
      <c r="BW68" s="56"/>
      <c r="BX68" s="56"/>
      <c r="BY68" s="98"/>
      <c r="BZ68" s="349"/>
      <c r="CA68" s="128"/>
      <c r="CB68" s="56"/>
      <c r="CC68" s="56"/>
      <c r="CD68" s="98"/>
      <c r="CE68" s="349"/>
      <c r="CF68" s="128">
        <v>2400</v>
      </c>
      <c r="CG68" s="56"/>
      <c r="CH68" s="56"/>
      <c r="CI68" s="98"/>
      <c r="CJ68" s="349"/>
      <c r="CK68" s="56"/>
      <c r="CL68" s="56"/>
      <c r="CM68" s="56"/>
      <c r="CN68" s="98"/>
      <c r="CO68" s="349"/>
      <c r="CP68" s="56"/>
      <c r="CQ68" s="56"/>
      <c r="CR68" s="56"/>
      <c r="CS68" s="98"/>
      <c r="CT68" s="349"/>
      <c r="CU68" s="56"/>
      <c r="CV68" s="56"/>
      <c r="CW68" s="56"/>
      <c r="CX68" s="98"/>
      <c r="CY68" s="370"/>
      <c r="CZ68" s="128">
        <f>4300+4000+2000</f>
        <v>10300</v>
      </c>
      <c r="DA68" s="128"/>
      <c r="DB68" s="128"/>
      <c r="DC68" s="98"/>
      <c r="DD68" s="349"/>
      <c r="DE68" s="56"/>
      <c r="DF68" s="56"/>
      <c r="DG68" s="56"/>
      <c r="DH68" s="98"/>
      <c r="DI68" s="349"/>
      <c r="DJ68" s="56"/>
      <c r="DK68" s="56"/>
      <c r="DL68" s="56"/>
      <c r="DM68" s="98"/>
      <c r="DN68" s="349"/>
      <c r="DO68" s="56"/>
      <c r="DP68" s="56"/>
      <c r="DQ68" s="56"/>
      <c r="DR68" s="98"/>
      <c r="DS68" s="349"/>
      <c r="DT68" s="56"/>
      <c r="DU68" s="56"/>
      <c r="DV68" s="56"/>
      <c r="DW68" s="98"/>
      <c r="DX68" s="349"/>
      <c r="DY68" s="56"/>
      <c r="DZ68" s="56"/>
      <c r="EA68" s="56"/>
      <c r="EB68" s="98"/>
      <c r="EC68" s="370">
        <v>1</v>
      </c>
      <c r="ED68" s="128">
        <v>1800</v>
      </c>
      <c r="EE68" s="128"/>
      <c r="EF68" s="56"/>
      <c r="EG68" s="98"/>
      <c r="EH68" s="349"/>
      <c r="EI68" s="56"/>
      <c r="EJ68" s="56"/>
      <c r="EK68" s="56"/>
      <c r="EL68" s="98"/>
      <c r="EM68" s="349"/>
      <c r="EN68" s="56">
        <v>2400</v>
      </c>
      <c r="EO68" s="56"/>
      <c r="EP68" s="56"/>
      <c r="EQ68" s="98"/>
      <c r="ER68" s="349"/>
      <c r="ES68" s="56"/>
      <c r="ET68" s="56"/>
      <c r="EU68" s="56"/>
      <c r="EV68" s="98"/>
      <c r="EW68" s="349"/>
      <c r="EX68" s="56"/>
      <c r="EY68" s="56"/>
      <c r="EZ68" s="56"/>
      <c r="FA68" s="98"/>
      <c r="FB68" s="349"/>
      <c r="FC68" s="56"/>
      <c r="FD68" s="56"/>
      <c r="FE68" s="56"/>
      <c r="FF68" s="98"/>
      <c r="FG68" s="349"/>
      <c r="FH68" s="56">
        <f>4300+4000+2000</f>
        <v>10300</v>
      </c>
      <c r="FI68" s="56"/>
      <c r="FJ68" s="128"/>
      <c r="FK68" s="98"/>
      <c r="FL68" s="349"/>
      <c r="FM68" s="56"/>
      <c r="FN68" s="56"/>
      <c r="FO68" s="56"/>
      <c r="FP68" s="98"/>
      <c r="FQ68" s="349"/>
      <c r="FR68" s="56"/>
      <c r="FS68" s="56"/>
      <c r="FT68" s="56"/>
      <c r="FU68" s="98"/>
      <c r="FV68" s="349"/>
      <c r="FW68" s="56"/>
      <c r="FX68" s="56"/>
      <c r="FY68" s="56"/>
      <c r="FZ68" s="98"/>
      <c r="GA68" s="349"/>
      <c r="GB68" s="56"/>
      <c r="GC68" s="56"/>
      <c r="GD68" s="56"/>
      <c r="GE68" s="98"/>
      <c r="GF68" s="349"/>
      <c r="GG68" s="56"/>
      <c r="GH68" s="56"/>
      <c r="GI68" s="128"/>
      <c r="GJ68" s="405"/>
      <c r="GK68" s="370">
        <v>1</v>
      </c>
      <c r="GL68" s="128">
        <v>1800</v>
      </c>
      <c r="GM68" s="128"/>
      <c r="GN68" s="128"/>
      <c r="GO68" s="405"/>
      <c r="GP68" s="370"/>
      <c r="GQ68" s="128"/>
      <c r="GR68" s="128"/>
      <c r="GS68" s="128"/>
      <c r="GT68" s="405"/>
      <c r="GU68" s="370"/>
      <c r="GV68" s="128">
        <v>2400</v>
      </c>
      <c r="GW68" s="128"/>
      <c r="GX68" s="128"/>
      <c r="GY68" s="405"/>
      <c r="GZ68" s="370"/>
      <c r="HA68" s="128"/>
      <c r="HB68" s="128"/>
      <c r="HC68" s="128"/>
      <c r="HD68" s="405"/>
      <c r="HE68" s="370"/>
      <c r="HF68" s="128"/>
      <c r="HG68" s="128"/>
      <c r="HH68" s="128"/>
      <c r="HI68" s="405"/>
      <c r="HJ68" s="370"/>
      <c r="HK68" s="128"/>
      <c r="HL68" s="128"/>
      <c r="HM68" s="128"/>
      <c r="HN68" s="405"/>
      <c r="HO68" s="370"/>
      <c r="HP68" s="128">
        <f>4300+4000+2000</f>
        <v>10300</v>
      </c>
      <c r="HQ68" s="128"/>
      <c r="HR68" s="128"/>
      <c r="HS68" s="405"/>
      <c r="HT68" s="370"/>
      <c r="HU68" s="128"/>
      <c r="HV68" s="128"/>
      <c r="HW68" s="128"/>
      <c r="HX68" s="405"/>
      <c r="HY68" s="370"/>
      <c r="HZ68" s="128"/>
      <c r="IA68" s="128"/>
      <c r="IB68" s="128"/>
      <c r="IC68" s="405"/>
      <c r="ID68" s="370"/>
      <c r="IE68" s="128"/>
      <c r="IF68" s="128"/>
      <c r="IG68" s="128"/>
      <c r="IH68" s="405"/>
      <c r="II68" s="370"/>
      <c r="IJ68" s="128"/>
      <c r="IK68" s="128"/>
      <c r="IL68" s="128"/>
      <c r="IM68" s="405"/>
      <c r="IN68" s="370"/>
      <c r="IO68" s="128"/>
      <c r="IP68" s="128"/>
      <c r="IQ68" s="128"/>
    </row>
    <row r="69" spans="1:251" s="350" customFormat="1" ht="15" customHeight="1" thickBot="1">
      <c r="A69" s="650"/>
      <c r="B69" s="297"/>
      <c r="C69" s="298"/>
      <c r="D69" s="43"/>
      <c r="E69" s="284"/>
      <c r="F69" s="284"/>
      <c r="G69" s="285"/>
      <c r="H69" s="169"/>
      <c r="I69" s="177"/>
      <c r="J69" s="48"/>
      <c r="K69" s="48"/>
      <c r="L69" s="285"/>
      <c r="M69" s="184"/>
      <c r="N69" s="177"/>
      <c r="O69" s="177"/>
      <c r="P69" s="177"/>
      <c r="Q69" s="285"/>
      <c r="R69" s="184"/>
      <c r="S69" s="177"/>
      <c r="T69" s="177"/>
      <c r="U69" s="177"/>
      <c r="V69" s="285"/>
      <c r="W69" s="184"/>
      <c r="X69" s="177"/>
      <c r="Y69" s="177"/>
      <c r="Z69" s="177"/>
      <c r="AA69" s="285"/>
      <c r="AB69" s="184"/>
      <c r="AC69" s="177"/>
      <c r="AD69" s="177"/>
      <c r="AE69" s="177"/>
      <c r="AF69" s="285"/>
      <c r="AG69" s="184"/>
      <c r="AH69" s="177"/>
      <c r="AI69" s="177"/>
      <c r="AJ69" s="177"/>
      <c r="AK69" s="285"/>
      <c r="AL69" s="184"/>
      <c r="AM69" s="177"/>
      <c r="AN69" s="177"/>
      <c r="AO69" s="177"/>
      <c r="AP69" s="285"/>
      <c r="AQ69" s="184"/>
      <c r="AR69" s="177"/>
      <c r="AS69" s="177"/>
      <c r="AT69" s="177"/>
      <c r="AU69" s="285"/>
      <c r="AV69" s="184"/>
      <c r="AW69" s="177"/>
      <c r="AX69" s="177"/>
      <c r="AY69" s="177"/>
      <c r="AZ69" s="285"/>
      <c r="BA69" s="184"/>
      <c r="BB69" s="177"/>
      <c r="BC69" s="177"/>
      <c r="BD69" s="177"/>
      <c r="BE69" s="285"/>
      <c r="BF69" s="184"/>
      <c r="BG69" s="177"/>
      <c r="BH69" s="177"/>
      <c r="BI69" s="177"/>
      <c r="BJ69" s="285"/>
      <c r="BK69" s="184"/>
      <c r="BL69" s="177"/>
      <c r="BM69" s="177"/>
      <c r="BN69" s="177"/>
      <c r="BO69" s="285"/>
      <c r="BP69" s="184"/>
      <c r="BQ69" s="177"/>
      <c r="BR69" s="177"/>
      <c r="BS69" s="177"/>
      <c r="BT69" s="285"/>
      <c r="BU69" s="184"/>
      <c r="BV69" s="177"/>
      <c r="BW69" s="177"/>
      <c r="BX69" s="177"/>
      <c r="BY69" s="285"/>
      <c r="BZ69" s="184"/>
      <c r="CA69" s="177"/>
      <c r="CB69" s="177"/>
      <c r="CC69" s="177"/>
      <c r="CD69" s="285"/>
      <c r="CE69" s="184"/>
      <c r="CF69" s="177"/>
      <c r="CG69" s="177"/>
      <c r="CH69" s="177"/>
      <c r="CI69" s="285"/>
      <c r="CJ69" s="184"/>
      <c r="CK69" s="177"/>
      <c r="CL69" s="177"/>
      <c r="CM69" s="177"/>
      <c r="CN69" s="285"/>
      <c r="CO69" s="184"/>
      <c r="CP69" s="177"/>
      <c r="CQ69" s="177"/>
      <c r="CR69" s="177"/>
      <c r="CS69" s="285"/>
      <c r="CT69" s="184"/>
      <c r="CU69" s="177"/>
      <c r="CV69" s="177"/>
      <c r="CW69" s="177"/>
      <c r="CX69" s="285"/>
      <c r="CY69" s="184"/>
      <c r="CZ69" s="177"/>
      <c r="DA69" s="177"/>
      <c r="DB69" s="177"/>
      <c r="DC69" s="285"/>
      <c r="DD69" s="184"/>
      <c r="DE69" s="177"/>
      <c r="DF69" s="177"/>
      <c r="DG69" s="177"/>
      <c r="DH69" s="285"/>
      <c r="DI69" s="184"/>
      <c r="DJ69" s="177"/>
      <c r="DK69" s="177"/>
      <c r="DL69" s="177"/>
      <c r="DM69" s="285"/>
      <c r="DN69" s="184"/>
      <c r="DO69" s="177"/>
      <c r="DP69" s="177"/>
      <c r="DQ69" s="177"/>
      <c r="DR69" s="285"/>
      <c r="DS69" s="184"/>
      <c r="DT69" s="177"/>
      <c r="DU69" s="177"/>
      <c r="DV69" s="177"/>
      <c r="DW69" s="285"/>
      <c r="DX69" s="184"/>
      <c r="DY69" s="177"/>
      <c r="DZ69" s="177"/>
      <c r="EA69" s="177"/>
      <c r="EB69" s="285"/>
      <c r="EC69" s="184"/>
      <c r="ED69" s="177"/>
      <c r="EE69" s="177"/>
      <c r="EF69" s="177"/>
      <c r="EG69" s="285"/>
      <c r="EH69" s="184"/>
      <c r="EI69" s="177"/>
      <c r="EJ69" s="177"/>
      <c r="EK69" s="177"/>
      <c r="EL69" s="285"/>
      <c r="EM69" s="184"/>
      <c r="EN69" s="177"/>
      <c r="EO69" s="177"/>
      <c r="EP69" s="177"/>
      <c r="EQ69" s="285"/>
      <c r="ER69" s="184"/>
      <c r="ES69" s="177"/>
      <c r="ET69" s="177"/>
      <c r="EU69" s="177"/>
      <c r="EV69" s="285"/>
      <c r="EW69" s="184"/>
      <c r="EX69" s="177"/>
      <c r="EY69" s="177"/>
      <c r="EZ69" s="177"/>
      <c r="FA69" s="285"/>
      <c r="FB69" s="184"/>
      <c r="FC69" s="177"/>
      <c r="FD69" s="177"/>
      <c r="FE69" s="177"/>
      <c r="FF69" s="285"/>
      <c r="FG69" s="184"/>
      <c r="FH69" s="177"/>
      <c r="FI69" s="177"/>
      <c r="FJ69" s="177"/>
      <c r="FK69" s="285"/>
      <c r="FL69" s="184"/>
      <c r="FM69" s="177"/>
      <c r="FN69" s="177"/>
      <c r="FO69" s="177"/>
      <c r="FP69" s="285"/>
      <c r="FQ69" s="184"/>
      <c r="FR69" s="177"/>
      <c r="FS69" s="177"/>
      <c r="FT69" s="177"/>
      <c r="FU69" s="285"/>
      <c r="FV69" s="184"/>
      <c r="FW69" s="177"/>
      <c r="FX69" s="177"/>
      <c r="FY69" s="177"/>
      <c r="FZ69" s="285"/>
      <c r="GA69" s="184"/>
      <c r="GB69" s="177"/>
      <c r="GC69" s="177"/>
      <c r="GD69" s="177"/>
      <c r="GE69" s="285"/>
      <c r="GF69" s="184"/>
      <c r="GG69" s="177"/>
      <c r="GH69" s="177"/>
      <c r="GI69" s="172"/>
      <c r="GJ69" s="715"/>
      <c r="GK69" s="391"/>
      <c r="GL69" s="172"/>
      <c r="GM69" s="172"/>
      <c r="GN69" s="172"/>
      <c r="GO69" s="715"/>
      <c r="GP69" s="391"/>
      <c r="GQ69" s="172"/>
      <c r="GR69" s="172"/>
      <c r="GS69" s="172"/>
      <c r="GT69" s="715"/>
      <c r="GU69" s="391"/>
      <c r="GV69" s="172"/>
      <c r="GW69" s="172"/>
      <c r="GX69" s="172"/>
      <c r="GY69" s="715"/>
      <c r="GZ69" s="391"/>
      <c r="HA69" s="172"/>
      <c r="HB69" s="172"/>
      <c r="HC69" s="172"/>
      <c r="HD69" s="715"/>
      <c r="HE69" s="391"/>
      <c r="HF69" s="172"/>
      <c r="HG69" s="172"/>
      <c r="HH69" s="172"/>
      <c r="HI69" s="715"/>
      <c r="HJ69" s="391"/>
      <c r="HK69" s="172"/>
      <c r="HL69" s="172"/>
      <c r="HM69" s="172"/>
      <c r="HN69" s="715"/>
      <c r="HO69" s="391"/>
      <c r="HP69" s="172"/>
      <c r="HQ69" s="172"/>
      <c r="HR69" s="172"/>
      <c r="HS69" s="715"/>
      <c r="HT69" s="391"/>
      <c r="HU69" s="172"/>
      <c r="HV69" s="172"/>
      <c r="HW69" s="172"/>
      <c r="HX69" s="715"/>
      <c r="HY69" s="391"/>
      <c r="HZ69" s="172"/>
      <c r="IA69" s="172"/>
      <c r="IB69" s="172"/>
      <c r="IC69" s="715"/>
      <c r="ID69" s="391"/>
      <c r="IE69" s="172"/>
      <c r="IF69" s="172"/>
      <c r="IG69" s="172"/>
      <c r="IH69" s="715"/>
      <c r="II69" s="391"/>
      <c r="IJ69" s="172"/>
      <c r="IK69" s="172"/>
      <c r="IL69" s="172"/>
      <c r="IM69" s="715"/>
      <c r="IN69" s="391"/>
      <c r="IO69" s="172"/>
      <c r="IP69" s="172"/>
      <c r="IQ69" s="172"/>
    </row>
    <row r="70" spans="1:251" s="249" customFormat="1" ht="15" customHeight="1">
      <c r="A70" s="649"/>
      <c r="B70" s="265" t="s">
        <v>303</v>
      </c>
      <c r="C70" s="5" t="s">
        <v>44</v>
      </c>
      <c r="D70" s="6" t="s">
        <v>45</v>
      </c>
      <c r="E70" s="7" t="s">
        <v>10</v>
      </c>
      <c r="F70" s="4"/>
      <c r="G70" s="196"/>
      <c r="H70" s="202">
        <v>37</v>
      </c>
      <c r="I70" s="203">
        <v>6921.07</v>
      </c>
      <c r="J70" s="204"/>
      <c r="K70" s="327"/>
      <c r="L70" s="196"/>
      <c r="M70" s="202">
        <v>38</v>
      </c>
      <c r="N70" s="203">
        <f>1.2*5923</f>
        <v>7107.5999999999995</v>
      </c>
      <c r="O70" s="204"/>
      <c r="P70" s="327"/>
      <c r="Q70" s="196"/>
      <c r="R70" s="202">
        <v>38</v>
      </c>
      <c r="S70" s="203">
        <v>7108.13</v>
      </c>
      <c r="T70" s="204"/>
      <c r="U70" s="327"/>
      <c r="V70" s="207"/>
      <c r="W70" s="202">
        <v>41</v>
      </c>
      <c r="X70" s="203">
        <v>7669.3</v>
      </c>
      <c r="Y70" s="204"/>
      <c r="Z70" s="383">
        <f>SUM(X70:X76)*1.1</f>
        <v>236737.78920000003</v>
      </c>
      <c r="AA70" s="36"/>
      <c r="AB70" s="273">
        <v>40</v>
      </c>
      <c r="AC70" s="203">
        <v>7482.24</v>
      </c>
      <c r="AD70" s="197"/>
      <c r="AE70" s="383">
        <f>SUM(AC70:AC76)*1.1</f>
        <v>221437.65160000001</v>
      </c>
      <c r="AF70" s="36"/>
      <c r="AG70" s="273">
        <v>37</v>
      </c>
      <c r="AH70" s="203">
        <v>7856.35</v>
      </c>
      <c r="AI70" s="197"/>
      <c r="AJ70" s="383">
        <f>AJ71*1.1</f>
        <v>308203.92460000003</v>
      </c>
      <c r="AK70" s="36"/>
      <c r="AL70" s="202">
        <v>40</v>
      </c>
      <c r="AM70" s="203">
        <v>7482.24</v>
      </c>
      <c r="AN70" s="204"/>
      <c r="AO70" s="383">
        <f>AO71*1.2</f>
        <v>538476.48719999997</v>
      </c>
      <c r="AP70" s="36"/>
      <c r="AQ70" s="202">
        <v>43</v>
      </c>
      <c r="AR70" s="203">
        <v>8043.41</v>
      </c>
      <c r="AS70" s="204"/>
      <c r="AT70" s="383">
        <f>SUM(AR70:AR76)*1.1</f>
        <v>93424.243000000017</v>
      </c>
      <c r="AU70" s="36"/>
      <c r="AV70" s="202">
        <v>43</v>
      </c>
      <c r="AW70" s="203">
        <v>8043.41</v>
      </c>
      <c r="AX70" s="197"/>
      <c r="AY70" s="383">
        <f>SUM(AW70:AW76)*1.1</f>
        <v>327846.31660000002</v>
      </c>
      <c r="AZ70" s="36"/>
      <c r="BA70" s="202">
        <v>45</v>
      </c>
      <c r="BB70" s="203">
        <v>8417.52</v>
      </c>
      <c r="BC70" s="204"/>
      <c r="BD70" s="383">
        <f>SUM(BB70:BB76)*1.1</f>
        <v>288493.64940000005</v>
      </c>
      <c r="BE70" s="36"/>
      <c r="BF70" s="202">
        <v>52</v>
      </c>
      <c r="BG70" s="203">
        <v>9726.91</v>
      </c>
      <c r="BH70" s="204"/>
      <c r="BI70" s="383">
        <f>SUM(BG70:BG76)*1.1</f>
        <v>66187.391600000003</v>
      </c>
      <c r="BJ70" s="36"/>
      <c r="BK70" s="202">
        <v>45</v>
      </c>
      <c r="BL70" s="203">
        <v>8417.52</v>
      </c>
      <c r="BM70" s="204"/>
      <c r="BN70" s="383">
        <f>SUM(BL70:BL76)*1.1</f>
        <v>537334.3162</v>
      </c>
      <c r="BO70" s="36"/>
      <c r="BP70" s="202">
        <v>48</v>
      </c>
      <c r="BQ70" s="203">
        <v>8978.69</v>
      </c>
      <c r="BR70" s="204"/>
      <c r="BS70" s="383">
        <f>SUM(BQ70:BQ76)*1.1</f>
        <v>336321.73080000002</v>
      </c>
      <c r="BT70" s="36"/>
      <c r="BU70" s="202">
        <v>36</v>
      </c>
      <c r="BV70" s="203">
        <v>6734.02</v>
      </c>
      <c r="BW70" s="204"/>
      <c r="BX70" s="383">
        <f>SUM(BV70:BV76)*1.1</f>
        <v>343352.53259999998</v>
      </c>
      <c r="BY70" s="36"/>
      <c r="BZ70" s="202">
        <v>41</v>
      </c>
      <c r="CA70" s="203">
        <v>7669.3</v>
      </c>
      <c r="CB70" s="204"/>
      <c r="CC70" s="383">
        <f>SUM(CA70:CA76)*1.1</f>
        <v>318364.99860000005</v>
      </c>
      <c r="CD70" s="36"/>
      <c r="CE70" s="202">
        <v>43</v>
      </c>
      <c r="CF70" s="203">
        <v>8043.41</v>
      </c>
      <c r="CG70" s="197"/>
      <c r="CH70" s="383">
        <f>SUM(CF70:CF76)*1.1</f>
        <v>333761.38620000001</v>
      </c>
      <c r="CI70" s="36"/>
      <c r="CJ70" s="202">
        <v>42</v>
      </c>
      <c r="CK70" s="203">
        <v>7856.35</v>
      </c>
      <c r="CL70" s="204"/>
      <c r="CM70" s="383">
        <f>SUM(CK70:CK76)*1.1</f>
        <v>262845.99659999995</v>
      </c>
      <c r="CN70" s="36"/>
      <c r="CO70" s="202">
        <v>45</v>
      </c>
      <c r="CP70" s="203">
        <v>8417.52</v>
      </c>
      <c r="CQ70" s="204"/>
      <c r="CR70" s="383">
        <f>SUM(CP70:CP76)*1.1</f>
        <v>308653.38460000005</v>
      </c>
      <c r="CS70" s="36"/>
      <c r="CT70" s="202">
        <v>46</v>
      </c>
      <c r="CU70" s="203">
        <v>8604.58</v>
      </c>
      <c r="CV70" s="204"/>
      <c r="CW70" s="383">
        <f>SUM(CU70:CU76)*1.1</f>
        <v>328151.07600000006</v>
      </c>
      <c r="CX70" s="36"/>
      <c r="CY70" s="202">
        <v>50</v>
      </c>
      <c r="CZ70" s="203">
        <v>9352.7999999999993</v>
      </c>
      <c r="DA70" s="204"/>
      <c r="DB70" s="383">
        <f>SUM(CZ70:CZ76)*1.1</f>
        <v>328206.51160000003</v>
      </c>
      <c r="DC70" s="36"/>
      <c r="DD70" s="273">
        <v>37</v>
      </c>
      <c r="DE70" s="274">
        <v>6921.07</v>
      </c>
      <c r="DF70" s="197"/>
      <c r="DG70" s="383">
        <f>SUM(DE70:DE76)*1.1</f>
        <v>220641.51560000001</v>
      </c>
      <c r="DH70" s="36"/>
      <c r="DI70" s="273">
        <v>37</v>
      </c>
      <c r="DJ70" s="274">
        <v>6921.07</v>
      </c>
      <c r="DK70" s="197"/>
      <c r="DL70" s="383">
        <f>SUM(DJ70:DJ76)*1.1</f>
        <v>220641.51560000001</v>
      </c>
      <c r="DM70" s="36"/>
      <c r="DN70" s="202">
        <v>53</v>
      </c>
      <c r="DO70" s="203">
        <v>9913.9699999999993</v>
      </c>
      <c r="DP70" s="204"/>
      <c r="DQ70" s="383">
        <f>SUM(DO70:DO76)*1.1</f>
        <v>447633.85700000002</v>
      </c>
      <c r="DR70" s="36"/>
      <c r="DS70" s="273">
        <v>37</v>
      </c>
      <c r="DT70" s="274">
        <v>6921.07</v>
      </c>
      <c r="DU70" s="197"/>
      <c r="DV70" s="383">
        <f>SUM(DT70:DT76)*1.1</f>
        <v>388288.12220000004</v>
      </c>
      <c r="DW70" s="36"/>
      <c r="DX70" s="202">
        <v>60</v>
      </c>
      <c r="DY70" s="203">
        <v>11223.36</v>
      </c>
      <c r="DZ70" s="204"/>
      <c r="EA70" s="383">
        <f>SUM(DY70:DY76)*1.1</f>
        <v>308493.96159999998</v>
      </c>
      <c r="EB70" s="36"/>
      <c r="EC70" s="202">
        <v>53</v>
      </c>
      <c r="ED70" s="203">
        <v>9913.9699999999993</v>
      </c>
      <c r="EE70" s="197"/>
      <c r="EF70" s="383">
        <f>SUM(ED70:ED76)*1.1</f>
        <v>407173.47660000005</v>
      </c>
      <c r="EG70" s="36"/>
      <c r="EH70" s="202">
        <v>63</v>
      </c>
      <c r="EI70" s="203">
        <v>11784.53</v>
      </c>
      <c r="EJ70" s="204"/>
      <c r="EK70" s="383">
        <f>SUM(EI70:EI76)*1.1</f>
        <v>326444.66360000003</v>
      </c>
      <c r="EL70" s="36"/>
      <c r="EM70" s="202">
        <v>63</v>
      </c>
      <c r="EN70" s="203">
        <v>11784.53</v>
      </c>
      <c r="EO70" s="204"/>
      <c r="EP70" s="383">
        <f>SUM(EN70:EN76)*1.1</f>
        <v>364599.08100000006</v>
      </c>
      <c r="EQ70" s="36"/>
      <c r="ER70" s="202">
        <v>61</v>
      </c>
      <c r="ES70" s="203">
        <v>11410.42</v>
      </c>
      <c r="ET70" s="204"/>
      <c r="EU70" s="383">
        <f>SUM(ES70:ES76)*1.1</f>
        <v>270240.46059999999</v>
      </c>
      <c r="EV70" s="36"/>
      <c r="EW70" s="202">
        <v>61</v>
      </c>
      <c r="EX70" s="203">
        <v>11410.42</v>
      </c>
      <c r="EY70" s="204"/>
      <c r="EZ70" s="383">
        <f>SUM(EX70:EX76)*1.1</f>
        <v>329343.17460000003</v>
      </c>
      <c r="FA70" s="36"/>
      <c r="FB70" s="202">
        <v>66</v>
      </c>
      <c r="FC70" s="203">
        <v>12345.7</v>
      </c>
      <c r="FD70" s="204"/>
      <c r="FE70" s="383">
        <f>SUM(FC70:FC76)*1.1</f>
        <v>340327.90440000006</v>
      </c>
      <c r="FF70" s="36"/>
      <c r="FG70" s="273">
        <v>66</v>
      </c>
      <c r="FH70" s="274">
        <v>12345.7</v>
      </c>
      <c r="FI70" s="197"/>
      <c r="FJ70" s="383">
        <f>SUM(FH70:FH76)*1.1</f>
        <v>385059.02160000004</v>
      </c>
      <c r="FK70" s="36"/>
      <c r="FL70" s="202">
        <v>63</v>
      </c>
      <c r="FM70" s="203">
        <v>11784.53</v>
      </c>
      <c r="FN70" s="204"/>
      <c r="FO70" s="383">
        <f>SUM(FM70:FM76)*1.1</f>
        <v>359065.2758</v>
      </c>
      <c r="FP70" s="36"/>
      <c r="FQ70" s="202">
        <v>68</v>
      </c>
      <c r="FR70" s="203">
        <v>12719.81</v>
      </c>
      <c r="FS70" s="204"/>
      <c r="FT70" s="383">
        <f>SUM(FR70:FR76)*1.1</f>
        <v>318957.07580000005</v>
      </c>
      <c r="FU70" s="36"/>
      <c r="FV70" s="202">
        <v>63</v>
      </c>
      <c r="FW70" s="203">
        <v>12532.75</v>
      </c>
      <c r="FX70" s="204"/>
      <c r="FY70" s="383">
        <f>SUM(FW70:FW76)*1.1</f>
        <v>367273.57260000001</v>
      </c>
      <c r="FZ70" s="36"/>
      <c r="GA70" s="202">
        <v>63</v>
      </c>
      <c r="GB70" s="203">
        <v>11784.53</v>
      </c>
      <c r="GC70" s="204"/>
      <c r="GD70" s="383">
        <f>SUM(GB70:GB76)*1.1</f>
        <v>356817.505</v>
      </c>
      <c r="GE70" s="36"/>
      <c r="GF70" s="273">
        <v>63</v>
      </c>
      <c r="GG70" s="274">
        <v>11784.53</v>
      </c>
      <c r="GH70" s="197"/>
      <c r="GI70" s="383">
        <f>SUM(GG70:GG76)*1.1</f>
        <v>225991.32160000002</v>
      </c>
      <c r="GJ70" s="280"/>
      <c r="GK70" s="273">
        <v>53</v>
      </c>
      <c r="GL70" s="274">
        <v>9913.9699999999993</v>
      </c>
      <c r="GM70" s="197"/>
      <c r="GN70" s="383">
        <f>SUM(GL70:GL76)*1.1</f>
        <v>407173.47660000005</v>
      </c>
      <c r="GO70" s="36"/>
      <c r="GP70" s="273">
        <v>63</v>
      </c>
      <c r="GQ70" s="274">
        <v>11784.53</v>
      </c>
      <c r="GR70" s="197"/>
      <c r="GS70" s="383">
        <f>SUM(GQ70:GQ76)*1.1</f>
        <v>529371.52400000009</v>
      </c>
      <c r="GT70" s="36"/>
      <c r="GU70" s="273">
        <v>63</v>
      </c>
      <c r="GV70" s="274">
        <v>11784.53</v>
      </c>
      <c r="GW70" s="197"/>
      <c r="GX70" s="383">
        <f>SUM(GV70:GV76)*1.1</f>
        <v>437586.47460000002</v>
      </c>
      <c r="GY70" s="36"/>
      <c r="GZ70" s="273">
        <v>61</v>
      </c>
      <c r="HA70" s="274">
        <v>11410.42</v>
      </c>
      <c r="HB70" s="197"/>
      <c r="HC70" s="383">
        <f>SUM(HA70:HA76)*1.1</f>
        <v>270240.46059999999</v>
      </c>
      <c r="HD70" s="36"/>
      <c r="HE70" s="273">
        <v>61</v>
      </c>
      <c r="HF70" s="274">
        <v>11410.42</v>
      </c>
      <c r="HG70" s="197"/>
      <c r="HH70" s="383">
        <f>SUM(HF70:HF76)*1.1</f>
        <v>329343.17460000003</v>
      </c>
      <c r="HI70" s="36"/>
      <c r="HJ70" s="273">
        <v>66</v>
      </c>
      <c r="HK70" s="274">
        <v>12345.7</v>
      </c>
      <c r="HL70" s="197"/>
      <c r="HM70" s="383">
        <f>SUM(HK70:HK76)*1.1</f>
        <v>340327.90440000006</v>
      </c>
      <c r="HN70" s="36"/>
      <c r="HO70" s="273">
        <v>66</v>
      </c>
      <c r="HP70" s="274">
        <v>12345.7</v>
      </c>
      <c r="HQ70" s="197"/>
      <c r="HR70" s="383">
        <f>SUM(HP70:HP76)*1.1</f>
        <v>385059.02160000004</v>
      </c>
      <c r="HS70" s="36"/>
      <c r="HT70" s="273">
        <v>63</v>
      </c>
      <c r="HU70" s="274">
        <v>11784.53</v>
      </c>
      <c r="HV70" s="197"/>
      <c r="HW70" s="383">
        <f>SUM(HU70:HU76)*1.1</f>
        <v>359065.2758</v>
      </c>
      <c r="HX70" s="36"/>
      <c r="HY70" s="273">
        <v>37</v>
      </c>
      <c r="HZ70" s="274">
        <v>6921.07</v>
      </c>
      <c r="IA70" s="197"/>
      <c r="IB70" s="383">
        <f>SUM(HZ70:HZ76)*1.1</f>
        <v>312578.46180000005</v>
      </c>
      <c r="IC70" s="36"/>
      <c r="ID70" s="273">
        <v>53</v>
      </c>
      <c r="IE70" s="274">
        <v>9913.9699999999993</v>
      </c>
      <c r="IF70" s="197"/>
      <c r="IG70" s="383">
        <f>SUM(IE70:IE76)*1.1</f>
        <v>364392.91460000008</v>
      </c>
      <c r="IH70" s="36"/>
      <c r="II70" s="273">
        <v>37</v>
      </c>
      <c r="IJ70" s="274">
        <v>6921.07</v>
      </c>
      <c r="IK70" s="197"/>
      <c r="IL70" s="383">
        <f>SUM(IJ70:IJ76)*1.1</f>
        <v>222607.69960000002</v>
      </c>
      <c r="IM70" s="36"/>
      <c r="IN70" s="273">
        <v>37</v>
      </c>
      <c r="IO70" s="274">
        <v>6921.07</v>
      </c>
      <c r="IP70" s="197"/>
      <c r="IQ70" s="383">
        <f>SUM(IO70:IO76)*1.1</f>
        <v>220641.51560000001</v>
      </c>
    </row>
    <row r="71" spans="1:251" ht="15" customHeight="1">
      <c r="A71" s="647"/>
      <c r="B71" s="256"/>
      <c r="C71" s="368" t="s">
        <v>1204</v>
      </c>
      <c r="D71" s="6" t="s">
        <v>45</v>
      </c>
      <c r="E71" s="216" t="s">
        <v>1172</v>
      </c>
      <c r="F71" s="22"/>
      <c r="G71" s="103"/>
      <c r="H71" s="128">
        <v>1</v>
      </c>
      <c r="I71" s="128">
        <f>1.2*14416.67</f>
        <v>17300.004000000001</v>
      </c>
      <c r="J71" s="128"/>
      <c r="K71" s="136"/>
      <c r="L71" s="103"/>
      <c r="M71" s="128">
        <v>1</v>
      </c>
      <c r="N71" s="128">
        <f>1.2*14416.67</f>
        <v>17300.004000000001</v>
      </c>
      <c r="O71" s="128"/>
      <c r="P71" s="136"/>
      <c r="Q71" s="103"/>
      <c r="R71" s="128">
        <v>1</v>
      </c>
      <c r="S71" s="128">
        <f>1.2*14416.67</f>
        <v>17300.004000000001</v>
      </c>
      <c r="T71" s="128"/>
      <c r="U71" s="136"/>
      <c r="V71" s="47"/>
      <c r="W71" s="128">
        <v>1</v>
      </c>
      <c r="X71" s="128">
        <f>1.2*14416.67</f>
        <v>17300.004000000001</v>
      </c>
      <c r="Y71" s="128"/>
      <c r="Z71" s="403">
        <f>SUM(X70:X76)*1</f>
        <v>215216.17200000002</v>
      </c>
      <c r="AA71" s="46"/>
      <c r="AB71" s="128">
        <v>1</v>
      </c>
      <c r="AC71" s="128">
        <f>1.2*14416.67</f>
        <v>17300.004000000001</v>
      </c>
      <c r="AD71" s="128"/>
      <c r="AE71" s="403">
        <f>SUM(AC70:AC76)*1</f>
        <v>201306.95600000001</v>
      </c>
      <c r="AF71" s="46"/>
      <c r="AG71" s="128">
        <v>1</v>
      </c>
      <c r="AH71" s="128">
        <f>1.2*14416.67</f>
        <v>17300.004000000001</v>
      </c>
      <c r="AI71" s="128"/>
      <c r="AJ71" s="403">
        <f>SUM(AH75:AH76)+AI74+AH73+AH72+AH71+AH70*1</f>
        <v>280185.386</v>
      </c>
      <c r="AK71" s="46"/>
      <c r="AL71" s="128">
        <v>1</v>
      </c>
      <c r="AM71" s="128">
        <f>1.2*14416.67</f>
        <v>17300.004000000001</v>
      </c>
      <c r="AN71" s="128"/>
      <c r="AO71" s="403">
        <f>SUM(AM75:AM76)+AN74+AM73+AM72+AM71+AM70*1</f>
        <v>448730.40599999996</v>
      </c>
      <c r="AP71" s="46"/>
      <c r="AQ71" s="128">
        <v>1</v>
      </c>
      <c r="AR71" s="128">
        <f>1.2*14416.67</f>
        <v>17300.004000000001</v>
      </c>
      <c r="AS71" s="128"/>
      <c r="AT71" s="403">
        <f>SUM(AR70:AR76)*1</f>
        <v>84931.13</v>
      </c>
      <c r="AU71" s="46"/>
      <c r="AV71" s="128">
        <v>1</v>
      </c>
      <c r="AW71" s="128">
        <f>1.2*14416.67</f>
        <v>17300.004000000001</v>
      </c>
      <c r="AX71" s="128"/>
      <c r="AY71" s="403">
        <f>SUM(AW70:AW76)*1</f>
        <v>298042.10599999997</v>
      </c>
      <c r="AZ71" s="46"/>
      <c r="BA71" s="128">
        <v>1</v>
      </c>
      <c r="BB71" s="128">
        <f>1.2*14416.67</f>
        <v>17300.004000000001</v>
      </c>
      <c r="BC71" s="128"/>
      <c r="BD71" s="403">
        <f>SUM(BB70:BB76)*1</f>
        <v>262266.95400000003</v>
      </c>
      <c r="BE71" s="46"/>
      <c r="BF71" s="128">
        <v>1</v>
      </c>
      <c r="BG71" s="128">
        <f>1.2*14416.67</f>
        <v>17300.004000000001</v>
      </c>
      <c r="BH71" s="128"/>
      <c r="BI71" s="403">
        <f>SUM(BG70:BG76)*1</f>
        <v>60170.356</v>
      </c>
      <c r="BJ71" s="46"/>
      <c r="BK71" s="128">
        <v>1</v>
      </c>
      <c r="BL71" s="128">
        <f>1.2*14416.67</f>
        <v>17300.004000000001</v>
      </c>
      <c r="BM71" s="128"/>
      <c r="BN71" s="403">
        <f>SUM(BL70:BL76)*1</f>
        <v>488485.74199999997</v>
      </c>
      <c r="BO71" s="46"/>
      <c r="BP71" s="128">
        <v>1</v>
      </c>
      <c r="BQ71" s="128">
        <f>1.2*14416.67</f>
        <v>17300.004000000001</v>
      </c>
      <c r="BR71" s="128"/>
      <c r="BS71" s="403">
        <f>SUM(BQ70:BQ76)*1</f>
        <v>305747.02799999999</v>
      </c>
      <c r="BT71" s="46"/>
      <c r="BU71" s="128">
        <v>1</v>
      </c>
      <c r="BV71" s="128">
        <f>1.2*14416.67</f>
        <v>17300.004000000001</v>
      </c>
      <c r="BW71" s="128"/>
      <c r="BX71" s="403">
        <f>SUM(BV70:BV76)*1</f>
        <v>312138.66599999997</v>
      </c>
      <c r="BY71" s="46"/>
      <c r="BZ71" s="128">
        <v>1</v>
      </c>
      <c r="CA71" s="128">
        <f>1.2*14416.67</f>
        <v>17300.004000000001</v>
      </c>
      <c r="CB71" s="128"/>
      <c r="CC71" s="403">
        <f>SUM(CA70:CA76)*1</f>
        <v>289422.72600000002</v>
      </c>
      <c r="CD71" s="46"/>
      <c r="CE71" s="128">
        <v>1</v>
      </c>
      <c r="CF71" s="128">
        <f>1.2*14416.67</f>
        <v>17300.004000000001</v>
      </c>
      <c r="CG71" s="128"/>
      <c r="CH71" s="403">
        <f>SUM(CF70:CF76)*1</f>
        <v>303419.44199999998</v>
      </c>
      <c r="CI71" s="46"/>
      <c r="CJ71" s="128">
        <v>1</v>
      </c>
      <c r="CK71" s="128">
        <f>1.2*14416.67</f>
        <v>17300.004000000001</v>
      </c>
      <c r="CL71" s="128"/>
      <c r="CM71" s="403">
        <f>SUM(CK70:CK76)*1</f>
        <v>238950.90599999996</v>
      </c>
      <c r="CN71" s="46"/>
      <c r="CO71" s="128">
        <v>1</v>
      </c>
      <c r="CP71" s="128">
        <f>1.2*14416.67</f>
        <v>17300.004000000001</v>
      </c>
      <c r="CQ71" s="128"/>
      <c r="CR71" s="403">
        <f>SUM(CP70:CP76)*1</f>
        <v>280593.98600000003</v>
      </c>
      <c r="CS71" s="46"/>
      <c r="CT71" s="128">
        <v>1</v>
      </c>
      <c r="CU71" s="128">
        <f>1.2*14416.67</f>
        <v>17300.004000000001</v>
      </c>
      <c r="CV71" s="128"/>
      <c r="CW71" s="403">
        <f>SUM(CU70:CU76)*1</f>
        <v>298319.16000000003</v>
      </c>
      <c r="CX71" s="46"/>
      <c r="CY71" s="128">
        <v>1</v>
      </c>
      <c r="CZ71" s="128">
        <f>1.2*14416.67</f>
        <v>17300.004000000001</v>
      </c>
      <c r="DA71" s="128"/>
      <c r="DB71" s="403">
        <f>SUM(CZ70:CZ76)*1</f>
        <v>298369.55599999998</v>
      </c>
      <c r="DC71" s="46"/>
      <c r="DD71" s="56">
        <v>1</v>
      </c>
      <c r="DE71" s="56">
        <f>1.2*14416.67</f>
        <v>17300.004000000001</v>
      </c>
      <c r="DF71" s="56"/>
      <c r="DG71" s="403">
        <f>SUM(DE70:DE76)*1</f>
        <v>200583.196</v>
      </c>
      <c r="DH71" s="46"/>
      <c r="DI71" s="56">
        <v>1</v>
      </c>
      <c r="DJ71" s="56">
        <f>1.2*14416.67</f>
        <v>17300.004000000001</v>
      </c>
      <c r="DK71" s="56"/>
      <c r="DL71" s="403">
        <f>SUM(DJ70:DJ76)*1</f>
        <v>200583.196</v>
      </c>
      <c r="DM71" s="46"/>
      <c r="DN71" s="128">
        <v>1</v>
      </c>
      <c r="DO71" s="128">
        <f>1.2*14416.67</f>
        <v>17300.004000000001</v>
      </c>
      <c r="DP71" s="128"/>
      <c r="DQ71" s="403">
        <f>SUM(DO70:DO76)*1</f>
        <v>406939.87</v>
      </c>
      <c r="DR71" s="46"/>
      <c r="DS71" s="128">
        <v>1</v>
      </c>
      <c r="DT71" s="128">
        <f>1.2*14416.67</f>
        <v>17300.004000000001</v>
      </c>
      <c r="DU71" s="128"/>
      <c r="DV71" s="403">
        <f>SUM(DT70:DT76)*1</f>
        <v>352989.20199999999</v>
      </c>
      <c r="DW71" s="46"/>
      <c r="DX71" s="128">
        <v>1</v>
      </c>
      <c r="DY71" s="128">
        <f>1.2*14416.67</f>
        <v>17300.004000000001</v>
      </c>
      <c r="DZ71" s="128"/>
      <c r="EA71" s="403">
        <f>SUM(DY70:DY76)*1</f>
        <v>280449.05599999998</v>
      </c>
      <c r="EB71" s="46"/>
      <c r="EC71" s="128">
        <v>1</v>
      </c>
      <c r="ED71" s="128">
        <f>1.2*14416.67</f>
        <v>17300.004000000001</v>
      </c>
      <c r="EE71" s="128"/>
      <c r="EF71" s="403">
        <f>SUM(ED70:ED76)*1</f>
        <v>370157.70600000001</v>
      </c>
      <c r="EG71" s="46"/>
      <c r="EH71" s="128">
        <v>1</v>
      </c>
      <c r="EI71" s="128">
        <f>1.2*14416.67</f>
        <v>17300.004000000001</v>
      </c>
      <c r="EJ71" s="128"/>
      <c r="EK71" s="403">
        <f>SUM(EI70:EI76)*1</f>
        <v>296767.87599999999</v>
      </c>
      <c r="EL71" s="46"/>
      <c r="EM71" s="128">
        <v>1</v>
      </c>
      <c r="EN71" s="128">
        <f>1.2*14416.67</f>
        <v>17300.004000000001</v>
      </c>
      <c r="EO71" s="128"/>
      <c r="EP71" s="403">
        <f>SUM(EN70:EN76)*1</f>
        <v>331453.71000000002</v>
      </c>
      <c r="EQ71" s="46"/>
      <c r="ER71" s="128">
        <v>1</v>
      </c>
      <c r="ES71" s="128">
        <f>1.2*14416.67</f>
        <v>17300.004000000001</v>
      </c>
      <c r="ET71" s="128"/>
      <c r="EU71" s="403">
        <f>SUM(ES70:ES76)*1</f>
        <v>245673.14599999998</v>
      </c>
      <c r="EV71" s="46"/>
      <c r="EW71" s="128">
        <v>1</v>
      </c>
      <c r="EX71" s="128">
        <f>1.2*14416.67</f>
        <v>17300.004000000001</v>
      </c>
      <c r="EY71" s="128"/>
      <c r="EZ71" s="403">
        <f>SUM(EX70:EX76)*1</f>
        <v>299402.886</v>
      </c>
      <c r="FA71" s="46"/>
      <c r="FB71" s="128">
        <v>1</v>
      </c>
      <c r="FC71" s="128">
        <f>1.2*14416.67</f>
        <v>17300.004000000001</v>
      </c>
      <c r="FD71" s="128"/>
      <c r="FE71" s="403">
        <f>SUM(FC70:FC76)*1</f>
        <v>309389.00400000002</v>
      </c>
      <c r="FF71" s="46"/>
      <c r="FG71" s="128">
        <v>1</v>
      </c>
      <c r="FH71" s="128">
        <f>1.2*14416.67</f>
        <v>17300.004000000001</v>
      </c>
      <c r="FI71" s="128"/>
      <c r="FJ71" s="403">
        <f>SUM(FH70:FH76)*1</f>
        <v>350053.65600000002</v>
      </c>
      <c r="FK71" s="46"/>
      <c r="FL71" s="128">
        <v>1</v>
      </c>
      <c r="FM71" s="128">
        <f>1.2*14416.67</f>
        <v>17300.004000000001</v>
      </c>
      <c r="FN71" s="128"/>
      <c r="FO71" s="403">
        <f>SUM(FM70:FM76)*1</f>
        <v>326422.978</v>
      </c>
      <c r="FP71" s="46"/>
      <c r="FQ71" s="128">
        <v>1</v>
      </c>
      <c r="FR71" s="128">
        <f>1.2*14416.67</f>
        <v>17300.004000000001</v>
      </c>
      <c r="FS71" s="128"/>
      <c r="FT71" s="403">
        <f>SUM(FR70:FR76)*1</f>
        <v>289960.978</v>
      </c>
      <c r="FU71" s="46"/>
      <c r="FV71" s="128">
        <v>1</v>
      </c>
      <c r="FW71" s="128">
        <f>1.2*14416.67</f>
        <v>17300.004000000001</v>
      </c>
      <c r="FX71" s="128"/>
      <c r="FY71" s="403">
        <f>SUM(FW70:FW76)*1</f>
        <v>333885.06599999999</v>
      </c>
      <c r="FZ71" s="46"/>
      <c r="GA71" s="128">
        <v>1</v>
      </c>
      <c r="GB71" s="128">
        <v>17300.004000000001</v>
      </c>
      <c r="GC71" s="128"/>
      <c r="GD71" s="403">
        <f>SUM(GB70:GB76)*1</f>
        <v>324379.55</v>
      </c>
      <c r="GE71" s="46"/>
      <c r="GF71" s="56">
        <v>1</v>
      </c>
      <c r="GG71" s="56">
        <f>1.2*14416.67</f>
        <v>17300.004000000001</v>
      </c>
      <c r="GH71" s="56"/>
      <c r="GI71" s="403">
        <f>SUM(GG70:GG76)*1</f>
        <v>205446.65600000002</v>
      </c>
      <c r="GJ71" s="97"/>
      <c r="GK71" s="56">
        <v>1</v>
      </c>
      <c r="GL71" s="56">
        <f>1.2*14416.67</f>
        <v>17300.004000000001</v>
      </c>
      <c r="GM71" s="56"/>
      <c r="GN71" s="403">
        <f>SUM(GL70:GL76)*1</f>
        <v>370157.70600000001</v>
      </c>
      <c r="GO71" s="46"/>
      <c r="GP71" s="56">
        <v>1</v>
      </c>
      <c r="GQ71" s="56">
        <f>1.2*14416.67</f>
        <v>17300.004000000001</v>
      </c>
      <c r="GR71" s="56"/>
      <c r="GS71" s="403">
        <f>SUM(GQ70:GQ76)*1</f>
        <v>481246.84</v>
      </c>
      <c r="GT71" s="46"/>
      <c r="GU71" s="56">
        <v>1</v>
      </c>
      <c r="GV71" s="56">
        <f>1.2*14416.67</f>
        <v>17300.004000000001</v>
      </c>
      <c r="GW71" s="56"/>
      <c r="GX71" s="403">
        <f>SUM(GV70:GV76)*1</f>
        <v>397805.886</v>
      </c>
      <c r="GY71" s="46"/>
      <c r="GZ71" s="56">
        <v>1</v>
      </c>
      <c r="HA71" s="56">
        <f>1.2*14416.67</f>
        <v>17300.004000000001</v>
      </c>
      <c r="HB71" s="56"/>
      <c r="HC71" s="403">
        <f>SUM(HA70:HA76)*1</f>
        <v>245673.14599999998</v>
      </c>
      <c r="HD71" s="46"/>
      <c r="HE71" s="56">
        <v>1</v>
      </c>
      <c r="HF71" s="56">
        <f>1.2*14416.67</f>
        <v>17300.004000000001</v>
      </c>
      <c r="HG71" s="56"/>
      <c r="HH71" s="403">
        <f>SUM(HF70:HF76)*1</f>
        <v>299402.886</v>
      </c>
      <c r="HI71" s="46"/>
      <c r="HJ71" s="56">
        <v>1</v>
      </c>
      <c r="HK71" s="56">
        <f>1.2*14416.67</f>
        <v>17300.004000000001</v>
      </c>
      <c r="HL71" s="56"/>
      <c r="HM71" s="403">
        <f>SUM(HK70:HK76)*1</f>
        <v>309389.00400000002</v>
      </c>
      <c r="HN71" s="46"/>
      <c r="HO71" s="56">
        <v>1</v>
      </c>
      <c r="HP71" s="56">
        <f>1.2*14416.67</f>
        <v>17300.004000000001</v>
      </c>
      <c r="HQ71" s="56"/>
      <c r="HR71" s="403">
        <f>SUM(HP70:HP76)*1</f>
        <v>350053.65600000002</v>
      </c>
      <c r="HS71" s="46"/>
      <c r="HT71" s="56">
        <v>1</v>
      </c>
      <c r="HU71" s="56">
        <f>1.2*14416.67</f>
        <v>17300.004000000001</v>
      </c>
      <c r="HV71" s="56"/>
      <c r="HW71" s="403">
        <f>SUM(HU70:HU76)*1</f>
        <v>326422.978</v>
      </c>
      <c r="HX71" s="46"/>
      <c r="HY71" s="56">
        <v>1</v>
      </c>
      <c r="HZ71" s="56">
        <f>1.2*14416.67</f>
        <v>17300.004000000001</v>
      </c>
      <c r="IA71" s="56"/>
      <c r="IB71" s="403">
        <f>SUM(HZ70:HZ76)*1</f>
        <v>284162.23800000001</v>
      </c>
      <c r="IC71" s="46"/>
      <c r="ID71" s="56">
        <v>1</v>
      </c>
      <c r="IE71" s="56">
        <f>1.2*14416.67</f>
        <v>17300.004000000001</v>
      </c>
      <c r="IF71" s="56"/>
      <c r="IG71" s="403">
        <f>SUM(IE70:IE76)*1</f>
        <v>331266.28600000002</v>
      </c>
      <c r="IH71" s="46"/>
      <c r="II71" s="56">
        <v>1</v>
      </c>
      <c r="IJ71" s="56">
        <f>1.2*14416.67</f>
        <v>17300.004000000001</v>
      </c>
      <c r="IK71" s="56"/>
      <c r="IL71" s="403">
        <f>SUM(IJ70:IJ76)*1</f>
        <v>202370.636</v>
      </c>
      <c r="IM71" s="46"/>
      <c r="IN71" s="56">
        <v>1</v>
      </c>
      <c r="IO71" s="56">
        <f>1.2*14416.67</f>
        <v>17300.004000000001</v>
      </c>
      <c r="IP71" s="56"/>
      <c r="IQ71" s="403">
        <f>SUM(IO70:IO76)*1</f>
        <v>200583.196</v>
      </c>
    </row>
    <row r="72" spans="1:251" ht="15" customHeight="1">
      <c r="A72" s="647"/>
      <c r="B72" s="256"/>
      <c r="C72" s="215"/>
      <c r="D72" s="6" t="s">
        <v>45</v>
      </c>
      <c r="E72" s="216" t="s">
        <v>46</v>
      </c>
      <c r="F72" s="22"/>
      <c r="G72" s="103"/>
      <c r="H72" s="128">
        <v>1</v>
      </c>
      <c r="I72" s="128">
        <f>1.2*13333.33</f>
        <v>15999.995999999999</v>
      </c>
      <c r="J72" s="128"/>
      <c r="K72" s="136"/>
      <c r="L72" s="103"/>
      <c r="M72" s="128">
        <v>1</v>
      </c>
      <c r="N72" s="128">
        <f>1.2*13333.33</f>
        <v>15999.995999999999</v>
      </c>
      <c r="O72" s="128"/>
      <c r="P72" s="136"/>
      <c r="Q72" s="103"/>
      <c r="R72" s="128">
        <v>1</v>
      </c>
      <c r="S72" s="128">
        <f>1.2*13333.33</f>
        <v>15999.995999999999</v>
      </c>
      <c r="T72" s="128"/>
      <c r="U72" s="136"/>
      <c r="V72" s="47"/>
      <c r="W72" s="128">
        <v>1</v>
      </c>
      <c r="X72" s="128">
        <f>1.2*13333.33</f>
        <v>15999.995999999999</v>
      </c>
      <c r="Y72" s="128"/>
      <c r="Z72" s="128"/>
      <c r="AA72" s="46"/>
      <c r="AB72" s="128">
        <v>1</v>
      </c>
      <c r="AC72" s="128">
        <f>1.2*13333.33</f>
        <v>15999.995999999999</v>
      </c>
      <c r="AD72" s="128"/>
      <c r="AE72" s="128"/>
      <c r="AF72" s="46"/>
      <c r="AG72" s="128">
        <v>1</v>
      </c>
      <c r="AH72" s="128">
        <f>1.2*13333.33</f>
        <v>15999.995999999999</v>
      </c>
      <c r="AI72" s="128"/>
      <c r="AJ72" s="128"/>
      <c r="AK72" s="46"/>
      <c r="AL72" s="128">
        <v>1</v>
      </c>
      <c r="AM72" s="128">
        <f>1.2*13333.33</f>
        <v>15999.995999999999</v>
      </c>
      <c r="AN72" s="128"/>
      <c r="AO72" s="128"/>
      <c r="AP72" s="46"/>
      <c r="AQ72" s="128">
        <v>1</v>
      </c>
      <c r="AR72" s="128">
        <f>1.2*13333.33</f>
        <v>15999.995999999999</v>
      </c>
      <c r="AS72" s="128"/>
      <c r="AT72" s="128"/>
      <c r="AU72" s="46"/>
      <c r="AV72" s="128">
        <v>1</v>
      </c>
      <c r="AW72" s="128">
        <f>1.2*13333.33</f>
        <v>15999.995999999999</v>
      </c>
      <c r="AX72" s="128"/>
      <c r="AY72" s="128"/>
      <c r="AZ72" s="46"/>
      <c r="BA72" s="128">
        <v>1</v>
      </c>
      <c r="BB72" s="128">
        <f>1.2*13333.33</f>
        <v>15999.995999999999</v>
      </c>
      <c r="BC72" s="128"/>
      <c r="BD72" s="128"/>
      <c r="BE72" s="46"/>
      <c r="BF72" s="128">
        <v>1</v>
      </c>
      <c r="BG72" s="128">
        <f>1.2*13333.33</f>
        <v>15999.995999999999</v>
      </c>
      <c r="BH72" s="128"/>
      <c r="BI72" s="128"/>
      <c r="BJ72" s="46"/>
      <c r="BK72" s="128">
        <v>1</v>
      </c>
      <c r="BL72" s="128">
        <f>1.2*13333.33</f>
        <v>15999.995999999999</v>
      </c>
      <c r="BM72" s="128"/>
      <c r="BN72" s="128"/>
      <c r="BO72" s="46"/>
      <c r="BP72" s="128">
        <v>1</v>
      </c>
      <c r="BQ72" s="128">
        <f>1.2*13333.33</f>
        <v>15999.995999999999</v>
      </c>
      <c r="BR72" s="128"/>
      <c r="BS72" s="128"/>
      <c r="BT72" s="46"/>
      <c r="BU72" s="128">
        <v>1</v>
      </c>
      <c r="BV72" s="128">
        <f>1.2*13333.33</f>
        <v>15999.995999999999</v>
      </c>
      <c r="BW72" s="128"/>
      <c r="BX72" s="128"/>
      <c r="BY72" s="46"/>
      <c r="BZ72" s="128">
        <v>1</v>
      </c>
      <c r="CA72" s="128">
        <f>1.2*13333.33</f>
        <v>15999.995999999999</v>
      </c>
      <c r="CB72" s="128"/>
      <c r="CC72" s="128"/>
      <c r="CD72" s="46"/>
      <c r="CE72" s="128">
        <v>1</v>
      </c>
      <c r="CF72" s="128">
        <f>1.2*13333.33</f>
        <v>15999.995999999999</v>
      </c>
      <c r="CG72" s="128"/>
      <c r="CH72" s="128"/>
      <c r="CI72" s="46"/>
      <c r="CJ72" s="128">
        <v>1</v>
      </c>
      <c r="CK72" s="128">
        <f>1.2*13333.33</f>
        <v>15999.995999999999</v>
      </c>
      <c r="CL72" s="128"/>
      <c r="CM72" s="128"/>
      <c r="CN72" s="46"/>
      <c r="CO72" s="128">
        <v>1</v>
      </c>
      <c r="CP72" s="128">
        <f>1.2*13333.33</f>
        <v>15999.995999999999</v>
      </c>
      <c r="CQ72" s="128"/>
      <c r="CR72" s="128"/>
      <c r="CS72" s="46"/>
      <c r="CT72" s="128">
        <v>1</v>
      </c>
      <c r="CU72" s="128">
        <f>1.2*13333.33</f>
        <v>15999.995999999999</v>
      </c>
      <c r="CV72" s="128"/>
      <c r="CW72" s="128"/>
      <c r="CX72" s="46"/>
      <c r="CY72" s="128">
        <v>1</v>
      </c>
      <c r="CZ72" s="128">
        <f>1.2*13333.33</f>
        <v>15999.995999999999</v>
      </c>
      <c r="DA72" s="128"/>
      <c r="DB72" s="128"/>
      <c r="DC72" s="46"/>
      <c r="DD72" s="56">
        <v>1</v>
      </c>
      <c r="DE72" s="56">
        <f>1.2*13333.33</f>
        <v>15999.995999999999</v>
      </c>
      <c r="DF72" s="56"/>
      <c r="DG72" s="128"/>
      <c r="DH72" s="46"/>
      <c r="DI72" s="56">
        <v>1</v>
      </c>
      <c r="DJ72" s="56">
        <f>1.2*13333.33</f>
        <v>15999.995999999999</v>
      </c>
      <c r="DK72" s="56"/>
      <c r="DL72" s="128"/>
      <c r="DM72" s="46"/>
      <c r="DN72" s="128">
        <v>1</v>
      </c>
      <c r="DO72" s="128">
        <f>1.2*13333.33</f>
        <v>15999.995999999999</v>
      </c>
      <c r="DP72" s="128"/>
      <c r="DQ72" s="128"/>
      <c r="DR72" s="46"/>
      <c r="DS72" s="128">
        <v>1</v>
      </c>
      <c r="DT72" s="128">
        <f>1.2*13333.33</f>
        <v>15999.995999999999</v>
      </c>
      <c r="DU72" s="128"/>
      <c r="DV72" s="128"/>
      <c r="DW72" s="46"/>
      <c r="DX72" s="128">
        <v>1</v>
      </c>
      <c r="DY72" s="128">
        <f>1.2*13333.33</f>
        <v>15999.995999999999</v>
      </c>
      <c r="DZ72" s="128"/>
      <c r="EA72" s="128"/>
      <c r="EB72" s="46"/>
      <c r="EC72" s="128">
        <v>1</v>
      </c>
      <c r="ED72" s="128">
        <f>1.2*13333.33</f>
        <v>15999.995999999999</v>
      </c>
      <c r="EE72" s="128"/>
      <c r="EF72" s="128"/>
      <c r="EG72" s="46"/>
      <c r="EH72" s="128">
        <v>1</v>
      </c>
      <c r="EI72" s="128">
        <f>1.2*13333.33</f>
        <v>15999.995999999999</v>
      </c>
      <c r="EJ72" s="128"/>
      <c r="EK72" s="128"/>
      <c r="EL72" s="46"/>
      <c r="EM72" s="128">
        <v>1</v>
      </c>
      <c r="EN72" s="128">
        <f>1.2*13333.33</f>
        <v>15999.995999999999</v>
      </c>
      <c r="EO72" s="128"/>
      <c r="EP72" s="128"/>
      <c r="EQ72" s="46"/>
      <c r="ER72" s="128">
        <v>1</v>
      </c>
      <c r="ES72" s="128">
        <f>1.2*13333.33</f>
        <v>15999.995999999999</v>
      </c>
      <c r="ET72" s="128"/>
      <c r="EU72" s="128"/>
      <c r="EV72" s="46"/>
      <c r="EW72" s="128">
        <v>1</v>
      </c>
      <c r="EX72" s="128">
        <f>1.2*13333.33</f>
        <v>15999.995999999999</v>
      </c>
      <c r="EY72" s="128"/>
      <c r="EZ72" s="128"/>
      <c r="FA72" s="46"/>
      <c r="FB72" s="128">
        <v>1</v>
      </c>
      <c r="FC72" s="128">
        <f>1.2*13333.33</f>
        <v>15999.995999999999</v>
      </c>
      <c r="FD72" s="128"/>
      <c r="FE72" s="128"/>
      <c r="FF72" s="46"/>
      <c r="FG72" s="128">
        <v>1</v>
      </c>
      <c r="FH72" s="128">
        <f>1.2*13333.33</f>
        <v>15999.995999999999</v>
      </c>
      <c r="FI72" s="128"/>
      <c r="FJ72" s="128"/>
      <c r="FK72" s="46"/>
      <c r="FL72" s="128">
        <v>1</v>
      </c>
      <c r="FM72" s="128">
        <f>1.2*13333.33</f>
        <v>15999.995999999999</v>
      </c>
      <c r="FN72" s="128"/>
      <c r="FO72" s="128"/>
      <c r="FP72" s="46"/>
      <c r="FQ72" s="128">
        <v>1</v>
      </c>
      <c r="FR72" s="128">
        <f>1.2*13333.33</f>
        <v>15999.995999999999</v>
      </c>
      <c r="FS72" s="128"/>
      <c r="FT72" s="128"/>
      <c r="FU72" s="46"/>
      <c r="FV72" s="128">
        <v>1</v>
      </c>
      <c r="FW72" s="128">
        <f>1.2*13333.33</f>
        <v>15999.995999999999</v>
      </c>
      <c r="FX72" s="128"/>
      <c r="FY72" s="128"/>
      <c r="FZ72" s="46"/>
      <c r="GA72" s="128">
        <v>1</v>
      </c>
      <c r="GB72" s="128">
        <v>15999.995999999999</v>
      </c>
      <c r="GC72" s="128"/>
      <c r="GD72" s="128"/>
      <c r="GE72" s="46"/>
      <c r="GF72" s="56">
        <v>1</v>
      </c>
      <c r="GG72" s="56">
        <f>1.2*13333.33</f>
        <v>15999.995999999999</v>
      </c>
      <c r="GH72" s="56"/>
      <c r="GI72" s="128"/>
      <c r="GJ72" s="97"/>
      <c r="GK72" s="56">
        <v>1</v>
      </c>
      <c r="GL72" s="56">
        <f>1.2*13333.33</f>
        <v>15999.995999999999</v>
      </c>
      <c r="GM72" s="56"/>
      <c r="GN72" s="128"/>
      <c r="GO72" s="46"/>
      <c r="GP72" s="56">
        <v>1</v>
      </c>
      <c r="GQ72" s="56">
        <f>1.2*13333.33</f>
        <v>15999.995999999999</v>
      </c>
      <c r="GR72" s="56"/>
      <c r="GS72" s="128"/>
      <c r="GT72" s="46"/>
      <c r="GU72" s="56">
        <v>1</v>
      </c>
      <c r="GV72" s="56">
        <f>1.2*13333.33</f>
        <v>15999.995999999999</v>
      </c>
      <c r="GW72" s="56"/>
      <c r="GX72" s="128"/>
      <c r="GY72" s="46"/>
      <c r="GZ72" s="56">
        <v>1</v>
      </c>
      <c r="HA72" s="56">
        <f>1.2*13333.33</f>
        <v>15999.995999999999</v>
      </c>
      <c r="HB72" s="56"/>
      <c r="HC72" s="128"/>
      <c r="HD72" s="46"/>
      <c r="HE72" s="56">
        <v>1</v>
      </c>
      <c r="HF72" s="56">
        <f>1.2*13333.33</f>
        <v>15999.995999999999</v>
      </c>
      <c r="HG72" s="56"/>
      <c r="HH72" s="128"/>
      <c r="HI72" s="46"/>
      <c r="HJ72" s="56">
        <v>1</v>
      </c>
      <c r="HK72" s="56">
        <f>1.2*13333.33</f>
        <v>15999.995999999999</v>
      </c>
      <c r="HL72" s="56"/>
      <c r="HM72" s="128"/>
      <c r="HN72" s="46"/>
      <c r="HO72" s="56">
        <v>1</v>
      </c>
      <c r="HP72" s="56">
        <f>1.2*13333.33</f>
        <v>15999.995999999999</v>
      </c>
      <c r="HQ72" s="56"/>
      <c r="HR72" s="128"/>
      <c r="HS72" s="46"/>
      <c r="HT72" s="56">
        <v>1</v>
      </c>
      <c r="HU72" s="56">
        <f>1.2*13333.33</f>
        <v>15999.995999999999</v>
      </c>
      <c r="HV72" s="56"/>
      <c r="HW72" s="128"/>
      <c r="HX72" s="46"/>
      <c r="HY72" s="56">
        <v>1</v>
      </c>
      <c r="HZ72" s="56">
        <f>1.2*13333.33</f>
        <v>15999.995999999999</v>
      </c>
      <c r="IA72" s="56"/>
      <c r="IB72" s="128"/>
      <c r="IC72" s="46"/>
      <c r="ID72" s="56">
        <v>1</v>
      </c>
      <c r="IE72" s="56">
        <f>1.2*13333.33</f>
        <v>15999.995999999999</v>
      </c>
      <c r="IF72" s="56"/>
      <c r="IG72" s="128"/>
      <c r="IH72" s="46"/>
      <c r="II72" s="56">
        <v>1</v>
      </c>
      <c r="IJ72" s="56">
        <f>1.2*13333.33</f>
        <v>15999.995999999999</v>
      </c>
      <c r="IK72" s="56"/>
      <c r="IL72" s="128"/>
      <c r="IM72" s="46"/>
      <c r="IN72" s="56">
        <v>1</v>
      </c>
      <c r="IO72" s="56">
        <f>1.2*13333.33</f>
        <v>15999.995999999999</v>
      </c>
      <c r="IP72" s="56"/>
      <c r="IQ72" s="128"/>
    </row>
    <row r="73" spans="1:251" ht="15" customHeight="1" thickBot="1">
      <c r="A73" s="647"/>
      <c r="B73" s="256"/>
      <c r="C73" s="215"/>
      <c r="D73" s="6" t="s">
        <v>45</v>
      </c>
      <c r="E73" s="216" t="s">
        <v>47</v>
      </c>
      <c r="F73" s="22"/>
      <c r="G73" s="103"/>
      <c r="H73" s="128">
        <v>1</v>
      </c>
      <c r="I73" s="128">
        <f>1.2*10833.33</f>
        <v>12999.995999999999</v>
      </c>
      <c r="J73" s="128"/>
      <c r="K73" s="136"/>
      <c r="L73" s="103"/>
      <c r="M73" s="128">
        <v>1</v>
      </c>
      <c r="N73" s="128">
        <f>1.2*10833.33</f>
        <v>12999.995999999999</v>
      </c>
      <c r="O73" s="128"/>
      <c r="P73" s="136"/>
      <c r="Q73" s="103"/>
      <c r="R73" s="128">
        <v>1</v>
      </c>
      <c r="S73" s="128">
        <f>1.2*10833.33</f>
        <v>12999.995999999999</v>
      </c>
      <c r="T73" s="128"/>
      <c r="U73" s="136"/>
      <c r="V73" s="47"/>
      <c r="W73" s="128">
        <v>1</v>
      </c>
      <c r="X73" s="128">
        <f>1.2*10833.33</f>
        <v>12999.995999999999</v>
      </c>
      <c r="Y73" s="128"/>
      <c r="Z73" s="128"/>
      <c r="AA73" s="46"/>
      <c r="AB73" s="128">
        <v>1</v>
      </c>
      <c r="AC73" s="128">
        <f>1.2*10833.33</f>
        <v>12999.995999999999</v>
      </c>
      <c r="AD73" s="128"/>
      <c r="AE73" s="128"/>
      <c r="AF73" s="46"/>
      <c r="AG73" s="128">
        <v>1</v>
      </c>
      <c r="AH73" s="128">
        <f>1.2*10833.33</f>
        <v>12999.995999999999</v>
      </c>
      <c r="AI73" s="128"/>
      <c r="AJ73" s="128"/>
      <c r="AK73" s="46"/>
      <c r="AL73" s="128">
        <v>1</v>
      </c>
      <c r="AM73" s="128">
        <f>1.2*10833.33</f>
        <v>12999.995999999999</v>
      </c>
      <c r="AN73" s="128"/>
      <c r="AO73" s="128"/>
      <c r="AP73" s="46"/>
      <c r="AQ73" s="128">
        <v>1</v>
      </c>
      <c r="AR73" s="128">
        <f>1.2*10833.33</f>
        <v>12999.995999999999</v>
      </c>
      <c r="AS73" s="128"/>
      <c r="AT73" s="128"/>
      <c r="AU73" s="46"/>
      <c r="AV73" s="128">
        <v>1</v>
      </c>
      <c r="AW73" s="128">
        <f>1.2*10833.33</f>
        <v>12999.995999999999</v>
      </c>
      <c r="AX73" s="128"/>
      <c r="AY73" s="128"/>
      <c r="AZ73" s="46"/>
      <c r="BA73" s="128">
        <v>1</v>
      </c>
      <c r="BB73" s="128">
        <f>1.2*10833.33</f>
        <v>12999.995999999999</v>
      </c>
      <c r="BC73" s="128"/>
      <c r="BD73" s="128"/>
      <c r="BE73" s="46"/>
      <c r="BF73" s="128">
        <v>1</v>
      </c>
      <c r="BG73" s="128">
        <f>1.2*10833.33</f>
        <v>12999.995999999999</v>
      </c>
      <c r="BH73" s="128"/>
      <c r="BI73" s="128"/>
      <c r="BJ73" s="46"/>
      <c r="BK73" s="549">
        <v>1</v>
      </c>
      <c r="BL73" s="549">
        <f>1.2*10833.33</f>
        <v>12999.995999999999</v>
      </c>
      <c r="BM73" s="128"/>
      <c r="BN73" s="128"/>
      <c r="BO73" s="46"/>
      <c r="BP73" s="128">
        <v>1</v>
      </c>
      <c r="BQ73" s="128">
        <f>1.2*10833.33</f>
        <v>12999.995999999999</v>
      </c>
      <c r="BR73" s="128"/>
      <c r="BS73" s="128"/>
      <c r="BT73" s="46"/>
      <c r="BU73" s="128">
        <v>1</v>
      </c>
      <c r="BV73" s="128">
        <f>1.2*10833.33</f>
        <v>12999.995999999999</v>
      </c>
      <c r="BW73" s="128"/>
      <c r="BX73" s="128"/>
      <c r="BY73" s="46"/>
      <c r="BZ73" s="128">
        <v>1</v>
      </c>
      <c r="CA73" s="128">
        <f>1.2*10833.33</f>
        <v>12999.995999999999</v>
      </c>
      <c r="CB73" s="128"/>
      <c r="CC73" s="128"/>
      <c r="CD73" s="46"/>
      <c r="CE73" s="128">
        <v>1</v>
      </c>
      <c r="CF73" s="128">
        <f>1.2*10833.33</f>
        <v>12999.995999999999</v>
      </c>
      <c r="CG73" s="128"/>
      <c r="CH73" s="128"/>
      <c r="CI73" s="46"/>
      <c r="CJ73" s="128">
        <v>1</v>
      </c>
      <c r="CK73" s="128">
        <f>1.2*10833.33</f>
        <v>12999.995999999999</v>
      </c>
      <c r="CL73" s="128"/>
      <c r="CM73" s="128"/>
      <c r="CN73" s="46"/>
      <c r="CO73" s="128">
        <v>1</v>
      </c>
      <c r="CP73" s="128">
        <f>1.2*10833.33</f>
        <v>12999.995999999999</v>
      </c>
      <c r="CQ73" s="128"/>
      <c r="CR73" s="128"/>
      <c r="CS73" s="46"/>
      <c r="CT73" s="128">
        <v>1</v>
      </c>
      <c r="CU73" s="128">
        <f>1.2*10833.33</f>
        <v>12999.995999999999</v>
      </c>
      <c r="CV73" s="128"/>
      <c r="CW73" s="128"/>
      <c r="CX73" s="46"/>
      <c r="CY73" s="128">
        <v>1</v>
      </c>
      <c r="CZ73" s="128">
        <f>1.2*10833.33</f>
        <v>12999.995999999999</v>
      </c>
      <c r="DA73" s="128"/>
      <c r="DB73" s="128"/>
      <c r="DC73" s="46"/>
      <c r="DD73" s="56">
        <v>1</v>
      </c>
      <c r="DE73" s="56">
        <f>1.2*10833.33</f>
        <v>12999.995999999999</v>
      </c>
      <c r="DF73" s="56"/>
      <c r="DG73" s="128"/>
      <c r="DH73" s="46"/>
      <c r="DI73" s="56">
        <v>1</v>
      </c>
      <c r="DJ73" s="56">
        <f>1.2*10833.33</f>
        <v>12999.995999999999</v>
      </c>
      <c r="DK73" s="56"/>
      <c r="DL73" s="128"/>
      <c r="DM73" s="46"/>
      <c r="DN73" s="128">
        <v>1</v>
      </c>
      <c r="DO73" s="128">
        <f>1.2*10833.33</f>
        <v>12999.995999999999</v>
      </c>
      <c r="DP73" s="128"/>
      <c r="DQ73" s="128"/>
      <c r="DR73" s="46"/>
      <c r="DS73" s="128">
        <v>1</v>
      </c>
      <c r="DT73" s="128">
        <f>1.2*10833.33</f>
        <v>12999.995999999999</v>
      </c>
      <c r="DU73" s="128"/>
      <c r="DV73" s="128"/>
      <c r="DW73" s="46"/>
      <c r="DX73" s="128">
        <v>1</v>
      </c>
      <c r="DY73" s="128">
        <f>1.2*10833.33</f>
        <v>12999.995999999999</v>
      </c>
      <c r="DZ73" s="128"/>
      <c r="EA73" s="128"/>
      <c r="EB73" s="46"/>
      <c r="EC73" s="128">
        <v>1</v>
      </c>
      <c r="ED73" s="128">
        <f>1.2*10833.33</f>
        <v>12999.995999999999</v>
      </c>
      <c r="EE73" s="128"/>
      <c r="EF73" s="128"/>
      <c r="EG73" s="46"/>
      <c r="EH73" s="128">
        <v>1</v>
      </c>
      <c r="EI73" s="128">
        <f>1.2*10833.33</f>
        <v>12999.995999999999</v>
      </c>
      <c r="EJ73" s="128"/>
      <c r="EK73" s="128"/>
      <c r="EL73" s="46"/>
      <c r="EM73" s="128">
        <v>1</v>
      </c>
      <c r="EN73" s="128">
        <f>1.2*10833.33</f>
        <v>12999.995999999999</v>
      </c>
      <c r="EO73" s="128"/>
      <c r="EP73" s="128"/>
      <c r="EQ73" s="46"/>
      <c r="ER73" s="128">
        <v>1</v>
      </c>
      <c r="ES73" s="128">
        <f>1.2*10833.33</f>
        <v>12999.995999999999</v>
      </c>
      <c r="ET73" s="128"/>
      <c r="EU73" s="128"/>
      <c r="EV73" s="46"/>
      <c r="EW73" s="128">
        <v>1</v>
      </c>
      <c r="EX73" s="128">
        <f>1.2*10833.33</f>
        <v>12999.995999999999</v>
      </c>
      <c r="EY73" s="128"/>
      <c r="EZ73" s="128"/>
      <c r="FA73" s="46"/>
      <c r="FB73" s="128">
        <v>1</v>
      </c>
      <c r="FC73" s="128">
        <f>1.2*10833.33</f>
        <v>12999.995999999999</v>
      </c>
      <c r="FD73" s="128"/>
      <c r="FE73" s="128"/>
      <c r="FF73" s="46"/>
      <c r="FG73" s="128">
        <v>1</v>
      </c>
      <c r="FH73" s="128">
        <f>1.2*10833.33</f>
        <v>12999.995999999999</v>
      </c>
      <c r="FI73" s="128"/>
      <c r="FJ73" s="128"/>
      <c r="FK73" s="46"/>
      <c r="FL73" s="128">
        <v>1</v>
      </c>
      <c r="FM73" s="128">
        <f>1.2*10833.33</f>
        <v>12999.995999999999</v>
      </c>
      <c r="FN73" s="128"/>
      <c r="FO73" s="128"/>
      <c r="FP73" s="46"/>
      <c r="FQ73" s="128">
        <v>1</v>
      </c>
      <c r="FR73" s="128">
        <f>1.2*10833.33</f>
        <v>12999.995999999999</v>
      </c>
      <c r="FS73" s="128"/>
      <c r="FT73" s="128"/>
      <c r="FU73" s="46"/>
      <c r="FV73" s="128">
        <v>1</v>
      </c>
      <c r="FW73" s="128">
        <f>1.2*10833.33</f>
        <v>12999.995999999999</v>
      </c>
      <c r="FX73" s="128"/>
      <c r="FY73" s="128"/>
      <c r="FZ73" s="46"/>
      <c r="GA73" s="128">
        <v>1</v>
      </c>
      <c r="GB73" s="128">
        <v>12999.995999999999</v>
      </c>
      <c r="GC73" s="718"/>
      <c r="GD73" s="128"/>
      <c r="GE73" s="46"/>
      <c r="GF73" s="56">
        <v>1</v>
      </c>
      <c r="GG73" s="56">
        <f>1.2*10833.33</f>
        <v>12999.995999999999</v>
      </c>
      <c r="GH73" s="56"/>
      <c r="GI73" s="128"/>
      <c r="GJ73" s="97"/>
      <c r="GK73" s="56">
        <v>1</v>
      </c>
      <c r="GL73" s="56">
        <f>1.2*10833.33</f>
        <v>12999.995999999999</v>
      </c>
      <c r="GM73" s="56"/>
      <c r="GN73" s="128"/>
      <c r="GO73" s="46"/>
      <c r="GP73" s="56">
        <v>1</v>
      </c>
      <c r="GQ73" s="56">
        <f>1.2*10833.33</f>
        <v>12999.995999999999</v>
      </c>
      <c r="GR73" s="56"/>
      <c r="GS73" s="128"/>
      <c r="GT73" s="46"/>
      <c r="GU73" s="56">
        <v>1</v>
      </c>
      <c r="GV73" s="56">
        <f>1.2*10833.33</f>
        <v>12999.995999999999</v>
      </c>
      <c r="GW73" s="56"/>
      <c r="GX73" s="128"/>
      <c r="GY73" s="46"/>
      <c r="GZ73" s="56">
        <v>1</v>
      </c>
      <c r="HA73" s="56">
        <f>1.2*10833.33</f>
        <v>12999.995999999999</v>
      </c>
      <c r="HB73" s="56"/>
      <c r="HC73" s="128"/>
      <c r="HD73" s="46"/>
      <c r="HE73" s="56">
        <v>1</v>
      </c>
      <c r="HF73" s="56">
        <f>1.2*10833.33</f>
        <v>12999.995999999999</v>
      </c>
      <c r="HG73" s="56"/>
      <c r="HH73" s="128"/>
      <c r="HI73" s="46"/>
      <c r="HJ73" s="56">
        <v>1</v>
      </c>
      <c r="HK73" s="56">
        <f>1.2*10833.33</f>
        <v>12999.995999999999</v>
      </c>
      <c r="HL73" s="56"/>
      <c r="HM73" s="128"/>
      <c r="HN73" s="46"/>
      <c r="HO73" s="56">
        <v>1</v>
      </c>
      <c r="HP73" s="56">
        <f>1.2*10833.33</f>
        <v>12999.995999999999</v>
      </c>
      <c r="HQ73" s="56"/>
      <c r="HR73" s="128"/>
      <c r="HS73" s="46"/>
      <c r="HT73" s="56">
        <v>1</v>
      </c>
      <c r="HU73" s="56">
        <f>1.2*10833.33</f>
        <v>12999.995999999999</v>
      </c>
      <c r="HV73" s="56"/>
      <c r="HW73" s="128"/>
      <c r="HX73" s="46"/>
      <c r="HY73" s="56">
        <v>1</v>
      </c>
      <c r="HZ73" s="56">
        <f>1.2*10833.33</f>
        <v>12999.995999999999</v>
      </c>
      <c r="IA73" s="56"/>
      <c r="IB73" s="128"/>
      <c r="IC73" s="46"/>
      <c r="ID73" s="56">
        <v>1</v>
      </c>
      <c r="IE73" s="56">
        <f>1.2*10833.33</f>
        <v>12999.995999999999</v>
      </c>
      <c r="IF73" s="56"/>
      <c r="IG73" s="128"/>
      <c r="IH73" s="46"/>
      <c r="II73" s="56">
        <v>1</v>
      </c>
      <c r="IJ73" s="56">
        <f>1.2*10833.33</f>
        <v>12999.995999999999</v>
      </c>
      <c r="IK73" s="56"/>
      <c r="IL73" s="128"/>
      <c r="IM73" s="46"/>
      <c r="IN73" s="56">
        <v>1</v>
      </c>
      <c r="IO73" s="56">
        <f>1.2*10833.33</f>
        <v>12999.995999999999</v>
      </c>
      <c r="IP73" s="56"/>
      <c r="IQ73" s="128"/>
    </row>
    <row r="74" spans="1:251" ht="15" customHeight="1" thickBot="1">
      <c r="A74" s="647"/>
      <c r="B74" s="256"/>
      <c r="C74" s="215">
        <v>45179093</v>
      </c>
      <c r="D74" s="45" t="s">
        <v>453</v>
      </c>
      <c r="E74" s="216" t="s">
        <v>13</v>
      </c>
      <c r="F74" s="22"/>
      <c r="G74" s="104">
        <f>I74/H74</f>
        <v>5.244395798284847</v>
      </c>
      <c r="H74" s="69">
        <v>24371</v>
      </c>
      <c r="I74" s="69">
        <v>127811.17</v>
      </c>
      <c r="J74" s="128"/>
      <c r="K74" s="136"/>
      <c r="L74" s="104">
        <f>N74/M74</f>
        <v>5.3410318197007394</v>
      </c>
      <c r="M74" s="69">
        <v>26933</v>
      </c>
      <c r="N74" s="69">
        <v>143850.01</v>
      </c>
      <c r="O74" s="128"/>
      <c r="P74" s="136"/>
      <c r="Q74" s="104">
        <f>S74/R74</f>
        <v>4.9663920090463627</v>
      </c>
      <c r="R74" s="69">
        <v>47754</v>
      </c>
      <c r="S74" s="69">
        <v>237165.084</v>
      </c>
      <c r="T74" s="128">
        <v>148991.76</v>
      </c>
      <c r="U74" s="128">
        <f>2*187067.16</f>
        <v>374134.32</v>
      </c>
      <c r="V74" s="121">
        <f>X74/W74</f>
        <v>5.2077239999999998</v>
      </c>
      <c r="W74" s="69">
        <v>30000</v>
      </c>
      <c r="X74" s="69">
        <v>156231.72</v>
      </c>
      <c r="Y74" s="128">
        <v>156231.72</v>
      </c>
      <c r="Z74" s="128"/>
      <c r="AA74" s="98">
        <f>AC74/AB74</f>
        <v>5.3410318197007394</v>
      </c>
      <c r="AB74" s="395">
        <v>26933</v>
      </c>
      <c r="AC74" s="395">
        <v>143850.01</v>
      </c>
      <c r="AD74" s="128">
        <v>140488.56</v>
      </c>
      <c r="AE74" s="128"/>
      <c r="AF74" s="98">
        <f>AH74/AG74</f>
        <v>4.8199439456842672</v>
      </c>
      <c r="AG74" s="410">
        <v>66721</v>
      </c>
      <c r="AH74" s="410">
        <v>321591.48</v>
      </c>
      <c r="AI74" s="128">
        <f>73941.42+148116.6</f>
        <v>222058.02000000002</v>
      </c>
      <c r="AJ74" s="128"/>
      <c r="AK74" s="98">
        <f>AM74/AL74</f>
        <v>4.9792199851319534</v>
      </c>
      <c r="AL74" s="410">
        <v>64568</v>
      </c>
      <c r="AM74" s="410">
        <v>321498.27599999995</v>
      </c>
      <c r="AN74" s="128">
        <f>233669.91+156628.08</f>
        <v>390297.99</v>
      </c>
      <c r="AO74" s="128"/>
      <c r="AP74" s="98">
        <f>AR74/AQ74</f>
        <v>5.9466952908587256</v>
      </c>
      <c r="AQ74" s="410">
        <v>4332</v>
      </c>
      <c r="AR74" s="410">
        <v>25761.083999999999</v>
      </c>
      <c r="AS74" s="128">
        <v>201186.36</v>
      </c>
      <c r="AT74" s="128"/>
      <c r="AU74" s="98">
        <f>AW74/AV74</f>
        <v>6.6107641969831414</v>
      </c>
      <c r="AV74" s="410">
        <v>36064</v>
      </c>
      <c r="AW74" s="410">
        <v>238410.6</v>
      </c>
      <c r="AX74" s="56"/>
      <c r="AY74" s="128"/>
      <c r="AZ74" s="98">
        <f>BB74/BA74</f>
        <v>6.349452161181488</v>
      </c>
      <c r="BA74" s="410">
        <v>31418</v>
      </c>
      <c r="BB74" s="410">
        <v>199487.08799999999</v>
      </c>
      <c r="BC74" s="128" t="s">
        <v>353</v>
      </c>
      <c r="BD74" s="128"/>
      <c r="BE74" s="98">
        <f>BG74/BF74</f>
        <v>0</v>
      </c>
      <c r="BF74" s="58">
        <v>31387.600000000093</v>
      </c>
      <c r="BG74" s="58">
        <v>0</v>
      </c>
      <c r="BH74" s="128">
        <v>176303.8</v>
      </c>
      <c r="BI74" s="128"/>
      <c r="BJ74" s="98">
        <f>BL74/BK74</f>
        <v>6.7715879454131915</v>
      </c>
      <c r="BK74" s="546">
        <v>63312</v>
      </c>
      <c r="BL74" s="547">
        <v>428722.77599999995</v>
      </c>
      <c r="BM74" s="543">
        <v>176303.8</v>
      </c>
      <c r="BN74" s="128"/>
      <c r="BO74" s="98">
        <f>BQ74/BP74</f>
        <v>6.3746279081871648</v>
      </c>
      <c r="BP74" s="410">
        <v>38426</v>
      </c>
      <c r="BQ74" s="410">
        <v>244951.45199999999</v>
      </c>
      <c r="BR74" s="56"/>
      <c r="BS74" s="128"/>
      <c r="BT74" s="98">
        <f>BV74/BU74</f>
        <v>6.0268799212598418</v>
      </c>
      <c r="BU74" s="410">
        <v>42672</v>
      </c>
      <c r="BV74" s="410">
        <v>257179.02</v>
      </c>
      <c r="BW74" s="128" t="s">
        <v>430</v>
      </c>
      <c r="BX74" s="128"/>
      <c r="BY74" s="98">
        <f>CA74/BZ74</f>
        <v>5.4806881394837728</v>
      </c>
      <c r="BZ74" s="410">
        <v>40951</v>
      </c>
      <c r="CA74" s="410">
        <v>224439.65999999997</v>
      </c>
      <c r="CB74" s="128">
        <v>248728.57</v>
      </c>
      <c r="CC74" s="128"/>
      <c r="CD74" s="98">
        <f>CF74/CE74</f>
        <v>5.4806880866425987</v>
      </c>
      <c r="CE74" s="410">
        <v>44320</v>
      </c>
      <c r="CF74" s="410">
        <f>1.2*202420.08</f>
        <v>242904.09599999996</v>
      </c>
      <c r="CG74" s="128">
        <v>148838.29411764705</v>
      </c>
      <c r="CH74" s="128"/>
      <c r="CI74" s="98">
        <f>CK74/CJ74</f>
        <v>5.5512121324209351</v>
      </c>
      <c r="CJ74" s="410">
        <v>32442</v>
      </c>
      <c r="CK74" s="410">
        <f>150077.02*1.2</f>
        <v>180092.42399999997</v>
      </c>
      <c r="CL74" s="56"/>
      <c r="CM74" s="128"/>
      <c r="CN74" s="98">
        <f>CP74/CO74</f>
        <v>6.5632801360260116</v>
      </c>
      <c r="CO74" s="410">
        <v>33523</v>
      </c>
      <c r="CP74" s="410">
        <v>220020.84</v>
      </c>
      <c r="CQ74" s="128">
        <v>169497.01</v>
      </c>
      <c r="CR74" s="128"/>
      <c r="CS74" s="98">
        <f>CU74/CT74</f>
        <v>7.506468063329601</v>
      </c>
      <c r="CT74" s="410">
        <v>31265</v>
      </c>
      <c r="CU74" s="410">
        <v>234689.72399999999</v>
      </c>
      <c r="CV74" s="128">
        <v>285509.07</v>
      </c>
      <c r="CW74" s="128"/>
      <c r="CX74" s="98">
        <f>CZ74/CY74</f>
        <v>7.9506960047862796</v>
      </c>
      <c r="CY74" s="519">
        <v>30086</v>
      </c>
      <c r="CZ74" s="408">
        <f>1.2*199337.2</f>
        <v>239204.64</v>
      </c>
      <c r="DA74" s="128">
        <v>335214.94799999997</v>
      </c>
      <c r="DB74" s="128"/>
      <c r="DC74" s="98">
        <f>DE74/DD74</f>
        <v>5.3410318197007394</v>
      </c>
      <c r="DD74" s="58">
        <v>26933</v>
      </c>
      <c r="DE74" s="58">
        <v>143850.01</v>
      </c>
      <c r="DF74" s="128">
        <v>266729.53000000003</v>
      </c>
      <c r="DG74" s="128"/>
      <c r="DH74" s="98">
        <f>DJ74/DI74</f>
        <v>5.3410318197007394</v>
      </c>
      <c r="DI74" s="58">
        <v>26933</v>
      </c>
      <c r="DJ74" s="58">
        <v>143850.01</v>
      </c>
      <c r="DK74" s="128">
        <v>212135.04000000001</v>
      </c>
      <c r="DL74" s="128"/>
      <c r="DM74" s="98">
        <f>DO74/DN74</f>
        <v>8.2268400426489752</v>
      </c>
      <c r="DN74" s="410">
        <v>42205</v>
      </c>
      <c r="DO74" s="410">
        <v>347213.78399999999</v>
      </c>
      <c r="DP74" s="128">
        <v>242088.03636363638</v>
      </c>
      <c r="DQ74" s="128"/>
      <c r="DR74" s="98">
        <f>DT74/DS74</f>
        <v>8.1744600949393451</v>
      </c>
      <c r="DS74" s="410">
        <v>36023</v>
      </c>
      <c r="DT74" s="410">
        <v>294468.576</v>
      </c>
      <c r="DU74" s="128">
        <v>289344.82</v>
      </c>
      <c r="DV74" s="128"/>
      <c r="DW74" s="98">
        <f>DY74/DX74</f>
        <v>8.7144959885614419</v>
      </c>
      <c r="DX74" s="410">
        <v>25178</v>
      </c>
      <c r="DY74" s="410">
        <v>219413.58</v>
      </c>
      <c r="DZ74" s="128">
        <v>221797.386</v>
      </c>
      <c r="EA74" s="128"/>
      <c r="EB74" s="98">
        <f>ED74/EC74</f>
        <v>8.5936439381057639</v>
      </c>
      <c r="EC74" s="410">
        <v>35286</v>
      </c>
      <c r="ED74" s="410">
        <v>303235.32</v>
      </c>
      <c r="EE74" s="128">
        <v>226622.84399999998</v>
      </c>
      <c r="EF74" s="128"/>
      <c r="EG74" s="98">
        <f>EI74/EH74</f>
        <v>5.4806881394837728</v>
      </c>
      <c r="EH74" s="58">
        <v>40951</v>
      </c>
      <c r="EI74" s="58">
        <v>224439.65999999997</v>
      </c>
      <c r="EJ74" s="1465">
        <v>311563.38</v>
      </c>
      <c r="EK74" s="128"/>
      <c r="EL74" s="98">
        <f>EN74/EM74</f>
        <v>8.1683880918000558</v>
      </c>
      <c r="EM74" s="410">
        <v>32549</v>
      </c>
      <c r="EN74" s="410">
        <v>265872.864</v>
      </c>
      <c r="EO74" s="128">
        <v>312377.05</v>
      </c>
      <c r="EP74" s="128"/>
      <c r="EQ74" s="98">
        <f>ES74/ER74</f>
        <v>5.5512121324209351</v>
      </c>
      <c r="ER74" s="58">
        <v>32442</v>
      </c>
      <c r="ES74" s="58">
        <f>150077.02*1.2</f>
        <v>180092.42399999997</v>
      </c>
      <c r="ET74" s="128">
        <v>312377.05</v>
      </c>
      <c r="EU74" s="128"/>
      <c r="EV74" s="98">
        <f>EX74/EW74</f>
        <v>7.2623280162591612</v>
      </c>
      <c r="EW74" s="410">
        <v>32474</v>
      </c>
      <c r="EX74" s="410">
        <v>235836.84</v>
      </c>
      <c r="EY74" s="56">
        <v>169497.01</v>
      </c>
      <c r="EZ74" s="128"/>
      <c r="FA74" s="98">
        <f>FC74/FB74</f>
        <v>7.2240000000000002</v>
      </c>
      <c r="FB74" s="410">
        <v>33502</v>
      </c>
      <c r="FC74" s="410">
        <v>242018.448</v>
      </c>
      <c r="FD74" s="128">
        <v>238592</v>
      </c>
      <c r="FE74" s="128"/>
      <c r="FF74" s="98">
        <f>FH74/FG74</f>
        <v>7.9415160542866605</v>
      </c>
      <c r="FG74" s="519">
        <v>36252</v>
      </c>
      <c r="FH74" s="408">
        <v>287895.84000000003</v>
      </c>
      <c r="FI74" s="128">
        <v>273629</v>
      </c>
      <c r="FJ74" s="128"/>
      <c r="FK74" s="98">
        <f>FM74/FL74</f>
        <v>7.9877641310249139</v>
      </c>
      <c r="FL74" s="410">
        <v>33154</v>
      </c>
      <c r="FM74" s="410">
        <v>264826.33199999999</v>
      </c>
      <c r="FN74" s="128">
        <v>322783</v>
      </c>
      <c r="FO74" s="128"/>
      <c r="FP74" s="98">
        <f>FR74/FQ74</f>
        <v>7.2019079768200385</v>
      </c>
      <c r="FQ74" s="410">
        <v>31579</v>
      </c>
      <c r="FR74" s="410">
        <v>227429.052</v>
      </c>
      <c r="FS74" s="128">
        <v>287535.09599999996</v>
      </c>
      <c r="FT74" s="128"/>
      <c r="FU74" s="98">
        <f>FW74/FV74</f>
        <v>9.5370960944085414</v>
      </c>
      <c r="FV74" s="410">
        <v>28472</v>
      </c>
      <c r="FW74" s="410">
        <v>271540.2</v>
      </c>
      <c r="FX74" s="56">
        <v>242088.03636363638</v>
      </c>
      <c r="FY74" s="128"/>
      <c r="FZ74" s="98">
        <f>GB74/GA74</f>
        <v>10.118064120953672</v>
      </c>
      <c r="GA74" s="410">
        <v>25795</v>
      </c>
      <c r="GB74" s="410">
        <v>260995.46399999998</v>
      </c>
      <c r="GC74" s="1582">
        <v>271540.2</v>
      </c>
      <c r="GD74" s="1580"/>
      <c r="GE74" s="98">
        <f>GG74/GF74</f>
        <v>5.3410318197007394</v>
      </c>
      <c r="GF74" s="58">
        <v>26933</v>
      </c>
      <c r="GG74" s="58">
        <v>143850.01</v>
      </c>
      <c r="GH74" s="1581">
        <v>368382.03600000002</v>
      </c>
      <c r="GI74" s="128"/>
      <c r="GJ74" s="98">
        <f>GL74/GK74</f>
        <v>8.5936439381057639</v>
      </c>
      <c r="GK74" s="58">
        <v>35286</v>
      </c>
      <c r="GL74" s="58">
        <v>303235.32</v>
      </c>
      <c r="GM74" s="56">
        <v>226622.84399999998</v>
      </c>
      <c r="GN74" s="128"/>
      <c r="GO74" s="98">
        <f>GQ74/GP74</f>
        <v>13.755335844994619</v>
      </c>
      <c r="GP74" s="410">
        <v>29728</v>
      </c>
      <c r="GQ74" s="410">
        <v>408918.62400000001</v>
      </c>
      <c r="GR74" s="1565">
        <v>311563.38</v>
      </c>
      <c r="GS74" s="128"/>
      <c r="GT74" s="98">
        <f>GV74/GU74</f>
        <v>10.482599943205123</v>
      </c>
      <c r="GU74" s="410">
        <v>31693</v>
      </c>
      <c r="GV74" s="410">
        <v>332225.03999999998</v>
      </c>
      <c r="GW74" s="56">
        <v>312377.05</v>
      </c>
      <c r="GX74" s="128"/>
      <c r="GY74" s="98">
        <f>HA74/GZ74</f>
        <v>5.5512121324209351</v>
      </c>
      <c r="GZ74" s="58">
        <v>32442</v>
      </c>
      <c r="HA74" s="58">
        <f>150077.02*1.2</f>
        <v>180092.42399999997</v>
      </c>
      <c r="HB74" s="56">
        <v>312377.05</v>
      </c>
      <c r="HC74" s="128"/>
      <c r="HD74" s="98">
        <f>HF74/HE74</f>
        <v>7.2623280162591612</v>
      </c>
      <c r="HE74" s="58">
        <v>32474</v>
      </c>
      <c r="HF74" s="58">
        <v>235836.84</v>
      </c>
      <c r="HG74" s="56">
        <v>169497.01</v>
      </c>
      <c r="HH74" s="128"/>
      <c r="HI74" s="98">
        <f>HK74/HJ74</f>
        <v>7.2240000000000002</v>
      </c>
      <c r="HJ74" s="58">
        <v>33502</v>
      </c>
      <c r="HK74" s="58">
        <v>242018.448</v>
      </c>
      <c r="HL74" s="56">
        <v>238592</v>
      </c>
      <c r="HM74" s="128"/>
      <c r="HN74" s="98">
        <f>HP74/HO74</f>
        <v>7.9415160542866605</v>
      </c>
      <c r="HO74" s="349">
        <v>36252</v>
      </c>
      <c r="HP74" s="56">
        <v>287895.84000000003</v>
      </c>
      <c r="HQ74" s="56">
        <v>273629</v>
      </c>
      <c r="HR74" s="128"/>
      <c r="HS74" s="98">
        <f>HU74/HT74</f>
        <v>7.9877641310249139</v>
      </c>
      <c r="HT74" s="58">
        <v>33154</v>
      </c>
      <c r="HU74" s="58">
        <v>264826.33199999999</v>
      </c>
      <c r="HV74" s="56">
        <v>322783</v>
      </c>
      <c r="HW74" s="128"/>
      <c r="HX74" s="98">
        <f>HZ74/HY74</f>
        <v>7.2019079768200385</v>
      </c>
      <c r="HY74" s="58">
        <v>31579</v>
      </c>
      <c r="HZ74" s="58">
        <v>227429.052</v>
      </c>
      <c r="IA74" s="56">
        <v>287535.09599999996</v>
      </c>
      <c r="IB74" s="128"/>
      <c r="IC74" s="98">
        <f>IE74/ID74</f>
        <v>9.5370960944085414</v>
      </c>
      <c r="ID74" s="58">
        <v>28472</v>
      </c>
      <c r="IE74" s="58">
        <v>271540.2</v>
      </c>
      <c r="IF74" s="56">
        <v>242088.03636363638</v>
      </c>
      <c r="IG74" s="128"/>
      <c r="IH74" s="98">
        <f>IJ74/II74</f>
        <v>5.3410318197007394</v>
      </c>
      <c r="II74" s="58">
        <v>26933</v>
      </c>
      <c r="IJ74" s="58">
        <v>143850.01</v>
      </c>
      <c r="IK74" s="56">
        <v>289344.82</v>
      </c>
      <c r="IL74" s="128"/>
      <c r="IM74" s="98">
        <f>IO74/IN74</f>
        <v>5.3410318197007394</v>
      </c>
      <c r="IN74" s="58">
        <v>26933</v>
      </c>
      <c r="IO74" s="58">
        <v>143850.01</v>
      </c>
      <c r="IP74" s="56"/>
      <c r="IQ74" s="128"/>
    </row>
    <row r="75" spans="1:251" ht="15" customHeight="1">
      <c r="A75" s="647"/>
      <c r="B75" s="256"/>
      <c r="C75" s="215"/>
      <c r="D75" s="45" t="s">
        <v>200</v>
      </c>
      <c r="E75" s="216" t="s">
        <v>15</v>
      </c>
      <c r="F75" s="22"/>
      <c r="G75" s="103"/>
      <c r="H75" s="128">
        <v>1</v>
      </c>
      <c r="I75" s="69">
        <v>1108</v>
      </c>
      <c r="J75" s="128"/>
      <c r="K75" s="136"/>
      <c r="L75" s="103"/>
      <c r="M75" s="128">
        <v>1</v>
      </c>
      <c r="N75" s="69" t="s">
        <v>186</v>
      </c>
      <c r="O75" s="128"/>
      <c r="P75" s="136"/>
      <c r="Q75" s="103"/>
      <c r="R75" s="128">
        <v>1</v>
      </c>
      <c r="S75" s="69" t="s">
        <v>206</v>
      </c>
      <c r="T75" s="128"/>
      <c r="U75" s="136"/>
      <c r="V75" s="120"/>
      <c r="W75" s="128">
        <v>1</v>
      </c>
      <c r="X75" s="69">
        <v>1454.4960000000001</v>
      </c>
      <c r="Y75" s="128"/>
      <c r="Z75" s="128"/>
      <c r="AA75" s="97"/>
      <c r="AB75" s="396">
        <v>1</v>
      </c>
      <c r="AC75" s="395" t="s">
        <v>186</v>
      </c>
      <c r="AD75" s="56"/>
      <c r="AE75" s="128"/>
      <c r="AF75" s="97"/>
      <c r="AG75" s="128">
        <v>1</v>
      </c>
      <c r="AH75" s="69" t="s">
        <v>236</v>
      </c>
      <c r="AI75" s="128"/>
      <c r="AJ75" s="128"/>
      <c r="AK75" s="97"/>
      <c r="AL75" s="56">
        <v>1</v>
      </c>
      <c r="AM75" s="410" t="s">
        <v>290</v>
      </c>
      <c r="AN75" s="128"/>
      <c r="AO75" s="128"/>
      <c r="AP75" s="97"/>
      <c r="AQ75" s="408">
        <v>1</v>
      </c>
      <c r="AR75" s="513">
        <v>1361.26</v>
      </c>
      <c r="AS75" s="408"/>
      <c r="AT75" s="128"/>
      <c r="AU75" s="97"/>
      <c r="AV75" s="408">
        <v>1</v>
      </c>
      <c r="AW75" s="410">
        <v>1662.31</v>
      </c>
      <c r="AX75" s="408"/>
      <c r="AY75" s="128"/>
      <c r="AZ75" s="97"/>
      <c r="BA75" s="408">
        <v>1</v>
      </c>
      <c r="BB75" s="410">
        <v>1533.29</v>
      </c>
      <c r="BC75" s="408"/>
      <c r="BD75" s="128"/>
      <c r="BE75" s="97"/>
      <c r="BF75" s="56">
        <v>1</v>
      </c>
      <c r="BG75" s="58" t="s">
        <v>186</v>
      </c>
      <c r="BH75" s="56"/>
      <c r="BI75" s="128"/>
      <c r="BJ75" s="97"/>
      <c r="BK75" s="544">
        <v>1</v>
      </c>
      <c r="BL75" s="545" t="s">
        <v>370</v>
      </c>
      <c r="BM75" s="408"/>
      <c r="BN75" s="128"/>
      <c r="BO75" s="97"/>
      <c r="BP75" s="408">
        <v>1</v>
      </c>
      <c r="BQ75" s="410" t="s">
        <v>382</v>
      </c>
      <c r="BR75" s="408"/>
      <c r="BS75" s="128"/>
      <c r="BT75" s="97"/>
      <c r="BU75" s="408">
        <v>1</v>
      </c>
      <c r="BV75" s="410">
        <v>1925.63</v>
      </c>
      <c r="BW75" s="56"/>
      <c r="BX75" s="128"/>
      <c r="BY75" s="97"/>
      <c r="BZ75" s="128">
        <v>1</v>
      </c>
      <c r="CA75" s="69">
        <v>1488.18</v>
      </c>
      <c r="CB75" s="128"/>
      <c r="CC75" s="128"/>
      <c r="CD75" s="97"/>
      <c r="CE75" s="128">
        <v>1</v>
      </c>
      <c r="CF75" s="69">
        <v>1525.94</v>
      </c>
      <c r="CG75" s="128"/>
      <c r="CH75" s="128"/>
      <c r="CI75" s="97"/>
      <c r="CJ75" s="128">
        <v>1</v>
      </c>
      <c r="CK75" s="69">
        <v>1190.0160000000001</v>
      </c>
      <c r="CL75" s="128"/>
      <c r="CM75" s="128"/>
      <c r="CN75" s="97"/>
      <c r="CO75" s="128">
        <v>1</v>
      </c>
      <c r="CP75" s="69">
        <v>1278.7</v>
      </c>
      <c r="CQ75" s="128"/>
      <c r="CR75" s="128"/>
      <c r="CS75" s="97"/>
      <c r="CT75" s="128">
        <v>1</v>
      </c>
      <c r="CU75" s="69">
        <v>1860.52</v>
      </c>
      <c r="CV75" s="128"/>
      <c r="CW75" s="128"/>
      <c r="CX75" s="97"/>
      <c r="CY75" s="56">
        <v>1</v>
      </c>
      <c r="CZ75" s="58" t="s">
        <v>186</v>
      </c>
      <c r="DA75" s="56"/>
      <c r="DB75" s="128"/>
      <c r="DC75" s="97"/>
      <c r="DD75" s="56">
        <v>1</v>
      </c>
      <c r="DE75" s="58" t="s">
        <v>186</v>
      </c>
      <c r="DF75" s="56"/>
      <c r="DG75" s="128"/>
      <c r="DH75" s="97"/>
      <c r="DI75" s="56">
        <v>1</v>
      </c>
      <c r="DJ75" s="58" t="s">
        <v>186</v>
      </c>
      <c r="DK75" s="56"/>
      <c r="DL75" s="128"/>
      <c r="DM75" s="97"/>
      <c r="DN75" s="56">
        <v>1</v>
      </c>
      <c r="DO75" s="58" t="s">
        <v>186</v>
      </c>
      <c r="DP75" s="56"/>
      <c r="DQ75" s="128"/>
      <c r="DR75" s="97"/>
      <c r="DS75" s="128">
        <v>1</v>
      </c>
      <c r="DT75" s="69">
        <v>1787.44</v>
      </c>
      <c r="DU75" s="128"/>
      <c r="DV75" s="128"/>
      <c r="DW75" s="97"/>
      <c r="DX75" s="56">
        <v>1</v>
      </c>
      <c r="DY75" s="58" t="s">
        <v>186</v>
      </c>
      <c r="DZ75" s="56"/>
      <c r="EA75" s="128"/>
      <c r="EB75" s="97"/>
      <c r="EC75" s="128">
        <v>1</v>
      </c>
      <c r="ED75" s="69">
        <v>5672.54</v>
      </c>
      <c r="EE75" s="128"/>
      <c r="EF75" s="128"/>
      <c r="EG75" s="97"/>
      <c r="EH75" s="128">
        <v>1</v>
      </c>
      <c r="EI75" s="69">
        <v>4718.1000000000004</v>
      </c>
      <c r="EJ75" s="128"/>
      <c r="EK75" s="128"/>
      <c r="EL75" s="97"/>
      <c r="EM75" s="56">
        <v>1</v>
      </c>
      <c r="EN75" s="58">
        <v>1525.94</v>
      </c>
      <c r="EO75" s="56"/>
      <c r="EP75" s="128"/>
      <c r="EQ75" s="97"/>
      <c r="ER75" s="56">
        <v>1</v>
      </c>
      <c r="ES75" s="58">
        <v>1190.0160000000001</v>
      </c>
      <c r="ET75" s="56"/>
      <c r="EU75" s="128"/>
      <c r="EV75" s="97"/>
      <c r="EW75" s="56">
        <v>1</v>
      </c>
      <c r="EX75" s="58">
        <v>1278.7</v>
      </c>
      <c r="EY75" s="56"/>
      <c r="EZ75" s="128"/>
      <c r="FA75" s="97"/>
      <c r="FB75" s="56">
        <v>1</v>
      </c>
      <c r="FC75" s="58">
        <v>1860.52</v>
      </c>
      <c r="FD75" s="56"/>
      <c r="FE75" s="128"/>
      <c r="FF75" s="97"/>
      <c r="FG75" s="56">
        <v>1</v>
      </c>
      <c r="FH75" s="58" t="s">
        <v>186</v>
      </c>
      <c r="FI75" s="128">
        <v>6067.5</v>
      </c>
      <c r="FJ75" s="128"/>
      <c r="FK75" s="97"/>
      <c r="FL75" s="56">
        <v>1</v>
      </c>
      <c r="FM75" s="58" t="s">
        <v>186</v>
      </c>
      <c r="FN75" s="56"/>
      <c r="FO75" s="128"/>
      <c r="FP75" s="97"/>
      <c r="FQ75" s="56">
        <v>1</v>
      </c>
      <c r="FR75" s="58" t="s">
        <v>186</v>
      </c>
      <c r="FS75" s="56"/>
      <c r="FT75" s="128"/>
      <c r="FU75" s="97"/>
      <c r="FV75" s="56">
        <v>1</v>
      </c>
      <c r="FW75" s="58" t="s">
        <v>186</v>
      </c>
      <c r="FX75" s="56"/>
      <c r="FY75" s="128"/>
      <c r="FZ75" s="97"/>
      <c r="GA75" s="56">
        <v>1</v>
      </c>
      <c r="GB75" s="58">
        <v>1787.44</v>
      </c>
      <c r="GC75" s="197"/>
      <c r="GD75" s="128"/>
      <c r="GE75" s="97"/>
      <c r="GF75" s="56">
        <v>1</v>
      </c>
      <c r="GG75" s="58" t="s">
        <v>186</v>
      </c>
      <c r="GH75" s="56"/>
      <c r="GI75" s="128"/>
      <c r="GJ75" s="97"/>
      <c r="GK75" s="56">
        <v>1</v>
      </c>
      <c r="GL75" s="58">
        <v>5672.54</v>
      </c>
      <c r="GM75" s="56"/>
      <c r="GN75" s="128"/>
      <c r="GO75" s="97"/>
      <c r="GP75" s="56">
        <v>1</v>
      </c>
      <c r="GQ75" s="58">
        <v>4718.1000000000004</v>
      </c>
      <c r="GR75" s="56"/>
      <c r="GS75" s="128"/>
      <c r="GT75" s="97"/>
      <c r="GU75" s="56">
        <v>1</v>
      </c>
      <c r="GV75" s="58">
        <v>1525.94</v>
      </c>
      <c r="GW75" s="56"/>
      <c r="GX75" s="128"/>
      <c r="GY75" s="97"/>
      <c r="GZ75" s="56">
        <v>1</v>
      </c>
      <c r="HA75" s="58">
        <v>1190.0160000000001</v>
      </c>
      <c r="HB75" s="56"/>
      <c r="HC75" s="128"/>
      <c r="HD75" s="97"/>
      <c r="HE75" s="56">
        <v>1</v>
      </c>
      <c r="HF75" s="58">
        <v>1278.7</v>
      </c>
      <c r="HG75" s="56"/>
      <c r="HH75" s="128"/>
      <c r="HI75" s="97"/>
      <c r="HJ75" s="56">
        <v>1</v>
      </c>
      <c r="HK75" s="58">
        <v>1860.52</v>
      </c>
      <c r="HL75" s="56"/>
      <c r="HM75" s="128"/>
      <c r="HN75" s="97"/>
      <c r="HO75" s="56">
        <v>1</v>
      </c>
      <c r="HP75" s="58" t="s">
        <v>186</v>
      </c>
      <c r="HQ75" s="56">
        <v>6067.5</v>
      </c>
      <c r="HR75" s="128"/>
      <c r="HS75" s="97"/>
      <c r="HT75" s="56">
        <v>1</v>
      </c>
      <c r="HU75" s="58" t="s">
        <v>186</v>
      </c>
      <c r="HV75" s="56"/>
      <c r="HW75" s="128"/>
      <c r="HX75" s="97"/>
      <c r="HY75" s="56">
        <v>1</v>
      </c>
      <c r="HZ75" s="58" t="s">
        <v>186</v>
      </c>
      <c r="IA75" s="56"/>
      <c r="IB75" s="128"/>
      <c r="IC75" s="97"/>
      <c r="ID75" s="56">
        <v>1</v>
      </c>
      <c r="IE75" s="58" t="s">
        <v>186</v>
      </c>
      <c r="IF75" s="56"/>
      <c r="IG75" s="128"/>
      <c r="IH75" s="97"/>
      <c r="II75" s="56">
        <v>1</v>
      </c>
      <c r="IJ75" s="58">
        <v>1787.44</v>
      </c>
      <c r="IK75" s="56"/>
      <c r="IL75" s="128"/>
      <c r="IM75" s="97"/>
      <c r="IN75" s="56">
        <v>1</v>
      </c>
      <c r="IO75" s="58" t="s">
        <v>186</v>
      </c>
      <c r="IP75" s="56"/>
      <c r="IQ75" s="128"/>
    </row>
    <row r="76" spans="1:251" s="264" customFormat="1" ht="15" customHeight="1" thickBot="1">
      <c r="A76" s="648"/>
      <c r="B76" s="257"/>
      <c r="C76" s="258">
        <v>16290738</v>
      </c>
      <c r="D76" s="20" t="s">
        <v>48</v>
      </c>
      <c r="E76" s="259" t="s">
        <v>17</v>
      </c>
      <c r="F76" s="23"/>
      <c r="G76" s="168">
        <f>I76/H76</f>
        <v>30.38</v>
      </c>
      <c r="H76" s="172">
        <f>I76/30.38</f>
        <v>115.60631994733377</v>
      </c>
      <c r="I76" s="172">
        <v>3512.12</v>
      </c>
      <c r="J76" s="172"/>
      <c r="K76" s="18"/>
      <c r="L76" s="168">
        <f>N76/M76</f>
        <v>31.062307692307691</v>
      </c>
      <c r="M76" s="172">
        <v>104</v>
      </c>
      <c r="N76" s="172">
        <v>3230.48</v>
      </c>
      <c r="O76" s="172"/>
      <c r="P76" s="18"/>
      <c r="Q76" s="168">
        <f>S76/R76</f>
        <v>30.38</v>
      </c>
      <c r="R76" s="172">
        <f>S76/30.38</f>
        <v>104.78472679394339</v>
      </c>
      <c r="S76" s="172">
        <v>3183.36</v>
      </c>
      <c r="T76" s="172"/>
      <c r="U76" s="18"/>
      <c r="V76" s="209">
        <f>X76/W76</f>
        <v>30.17508474576271</v>
      </c>
      <c r="W76" s="172">
        <v>118</v>
      </c>
      <c r="X76" s="172">
        <v>3560.66</v>
      </c>
      <c r="Y76" s="172"/>
      <c r="Z76" s="172"/>
      <c r="AA76" s="3">
        <f>AC76/AB76</f>
        <v>30.369504132231405</v>
      </c>
      <c r="AB76" s="172">
        <v>121</v>
      </c>
      <c r="AC76" s="172">
        <v>3674.71</v>
      </c>
      <c r="AD76" s="172"/>
      <c r="AE76" s="172"/>
      <c r="AF76" s="3">
        <f>AH76/AG76</f>
        <v>30.546307692307693</v>
      </c>
      <c r="AG76" s="172">
        <v>130</v>
      </c>
      <c r="AH76" s="172">
        <v>3971.02</v>
      </c>
      <c r="AI76" s="172"/>
      <c r="AJ76" s="172"/>
      <c r="AK76" s="3">
        <f>AM76/AL76</f>
        <v>30.380000000000003</v>
      </c>
      <c r="AL76" s="172">
        <f>AM76/30.38</f>
        <v>153.06714944042133</v>
      </c>
      <c r="AM76" s="172">
        <v>4650.18</v>
      </c>
      <c r="AN76" s="172"/>
      <c r="AO76" s="172"/>
      <c r="AP76" s="3">
        <f>AR76/AQ76</f>
        <v>31.503454545454545</v>
      </c>
      <c r="AQ76" s="172">
        <v>110</v>
      </c>
      <c r="AR76" s="172">
        <v>3465.38</v>
      </c>
      <c r="AS76" s="172"/>
      <c r="AT76" s="172"/>
      <c r="AU76" s="3">
        <f>AW76/AV76</f>
        <v>31.528608695652174</v>
      </c>
      <c r="AV76" s="172">
        <v>115</v>
      </c>
      <c r="AW76" s="172">
        <v>3625.79</v>
      </c>
      <c r="AX76" s="172"/>
      <c r="AY76" s="172"/>
      <c r="AZ76" s="3">
        <f>BB76/BA76</f>
        <v>30.38</v>
      </c>
      <c r="BA76" s="172">
        <f>BB76/30.38</f>
        <v>214.91310072416064</v>
      </c>
      <c r="BB76" s="172">
        <v>6529.06</v>
      </c>
      <c r="BC76" s="172"/>
      <c r="BD76" s="172"/>
      <c r="BE76" s="3">
        <f>BG76/BF76</f>
        <v>30.379999999999995</v>
      </c>
      <c r="BF76" s="172">
        <f>BG76/30.38</f>
        <v>136.38742593811719</v>
      </c>
      <c r="BG76" s="172">
        <v>4143.45</v>
      </c>
      <c r="BH76" s="172"/>
      <c r="BI76" s="172"/>
      <c r="BJ76" s="3">
        <f>BL76/BK76</f>
        <v>30.38</v>
      </c>
      <c r="BK76" s="172">
        <f>BL76/30.38</f>
        <v>166.07801184990126</v>
      </c>
      <c r="BL76" s="541">
        <v>5045.45</v>
      </c>
      <c r="BM76" s="542"/>
      <c r="BN76" s="172"/>
      <c r="BO76" s="3">
        <f>BQ76/BP76</f>
        <v>30.379350220264321</v>
      </c>
      <c r="BP76" s="172">
        <v>181.6</v>
      </c>
      <c r="BQ76" s="172">
        <v>5516.89</v>
      </c>
      <c r="BR76" s="172"/>
      <c r="BS76" s="172"/>
      <c r="BT76" s="3" t="e">
        <f>BV76/BU76</f>
        <v>#DIV/0!</v>
      </c>
      <c r="BU76" s="172">
        <v>0</v>
      </c>
      <c r="BV76" s="172">
        <v>0</v>
      </c>
      <c r="BW76" s="172"/>
      <c r="BX76" s="172"/>
      <c r="BY76" s="3">
        <f>CA76/BZ76</f>
        <v>31.751966666666668</v>
      </c>
      <c r="BZ76" s="172">
        <v>300</v>
      </c>
      <c r="CA76" s="172">
        <v>9525.59</v>
      </c>
      <c r="CB76" s="172"/>
      <c r="CC76" s="172"/>
      <c r="CD76" s="3">
        <f>CF76/CE76</f>
        <v>30.379999999999995</v>
      </c>
      <c r="CE76" s="172">
        <f>CF76/30.38</f>
        <v>152.92955892034234</v>
      </c>
      <c r="CF76" s="172">
        <v>4646</v>
      </c>
      <c r="CG76" s="172"/>
      <c r="CH76" s="172"/>
      <c r="CI76" s="3">
        <f>CK76/CJ76</f>
        <v>30.38</v>
      </c>
      <c r="CJ76" s="172">
        <f>CK76/30.38</f>
        <v>115.60631994733377</v>
      </c>
      <c r="CK76" s="172">
        <v>3512.12</v>
      </c>
      <c r="CL76" s="172"/>
      <c r="CM76" s="172"/>
      <c r="CN76" s="3">
        <f>CP76/CO76</f>
        <v>30.512866666666667</v>
      </c>
      <c r="CO76" s="172">
        <v>150</v>
      </c>
      <c r="CP76" s="172">
        <v>4576.93</v>
      </c>
      <c r="CQ76" s="172"/>
      <c r="CR76" s="172"/>
      <c r="CS76" s="3">
        <f>CU76/CT76</f>
        <v>45.762266666666669</v>
      </c>
      <c r="CT76" s="177">
        <v>150</v>
      </c>
      <c r="CU76" s="172">
        <v>6864.34</v>
      </c>
      <c r="CV76" s="172"/>
      <c r="CW76" s="172"/>
      <c r="CX76" s="3">
        <f>CZ76/CY76</f>
        <v>30.38</v>
      </c>
      <c r="CY76" s="177">
        <f>CZ76/30.38</f>
        <v>115.60631994733377</v>
      </c>
      <c r="CZ76" s="177">
        <v>3512.12</v>
      </c>
      <c r="DA76" s="177"/>
      <c r="DB76" s="172"/>
      <c r="DC76" s="3">
        <f>DE76/DD76</f>
        <v>30.38</v>
      </c>
      <c r="DD76" s="177">
        <f>DE76/30.38</f>
        <v>115.60631994733377</v>
      </c>
      <c r="DE76" s="177">
        <v>3512.12</v>
      </c>
      <c r="DF76" s="177"/>
      <c r="DG76" s="172"/>
      <c r="DH76" s="3">
        <f>DJ76/DI76</f>
        <v>30.38</v>
      </c>
      <c r="DI76" s="177">
        <f>DJ76/30.38</f>
        <v>115.60631994733377</v>
      </c>
      <c r="DJ76" s="177">
        <v>3512.12</v>
      </c>
      <c r="DK76" s="177"/>
      <c r="DL76" s="172"/>
      <c r="DM76" s="3">
        <f>DO76/DN76</f>
        <v>30.38</v>
      </c>
      <c r="DN76" s="177">
        <f>DO76/30.38</f>
        <v>115.60631994733377</v>
      </c>
      <c r="DO76" s="177">
        <v>3512.12</v>
      </c>
      <c r="DP76" s="177"/>
      <c r="DQ76" s="172"/>
      <c r="DR76" s="3">
        <f>DT76/DS76</f>
        <v>30.38</v>
      </c>
      <c r="DS76" s="177">
        <f>DT76/30.38</f>
        <v>115.60631994733377</v>
      </c>
      <c r="DT76" s="177">
        <v>3512.12</v>
      </c>
      <c r="DU76" s="177"/>
      <c r="DV76" s="172"/>
      <c r="DW76" s="3">
        <f>DY76/DX76</f>
        <v>30.38</v>
      </c>
      <c r="DX76" s="177">
        <f>DY76/30.38</f>
        <v>115.60631994733377</v>
      </c>
      <c r="DY76" s="177">
        <v>3512.12</v>
      </c>
      <c r="DZ76" s="177"/>
      <c r="EA76" s="172"/>
      <c r="EB76" s="3">
        <f>ED76/EC76</f>
        <v>49.860198019801985</v>
      </c>
      <c r="EC76" s="172">
        <v>101</v>
      </c>
      <c r="ED76" s="172">
        <v>5035.88</v>
      </c>
      <c r="EE76" s="172"/>
      <c r="EF76" s="172"/>
      <c r="EG76" s="3">
        <f>EI76/EH76</f>
        <v>31.751966666666668</v>
      </c>
      <c r="EH76" s="177">
        <v>300</v>
      </c>
      <c r="EI76" s="177">
        <v>9525.59</v>
      </c>
      <c r="EJ76" s="177"/>
      <c r="EK76" s="172"/>
      <c r="EL76" s="3">
        <f>EN76/EM76</f>
        <v>30.38</v>
      </c>
      <c r="EM76" s="177">
        <f>EN76/30.38</f>
        <v>196.52337063857803</v>
      </c>
      <c r="EN76" s="172">
        <v>5970.38</v>
      </c>
      <c r="EO76" s="172"/>
      <c r="EP76" s="172"/>
      <c r="EQ76" s="3">
        <f>ES76/ER76</f>
        <v>30.38</v>
      </c>
      <c r="ER76" s="177">
        <f>ES76/30.38</f>
        <v>219.89104674127717</v>
      </c>
      <c r="ES76" s="172">
        <v>6680.29</v>
      </c>
      <c r="ET76" s="172"/>
      <c r="EU76" s="172"/>
      <c r="EV76" s="3">
        <f>EX76/EW76</f>
        <v>30.512866666666667</v>
      </c>
      <c r="EW76" s="177">
        <v>150</v>
      </c>
      <c r="EX76" s="177">
        <v>4576.93</v>
      </c>
      <c r="EY76" s="177"/>
      <c r="EZ76" s="172"/>
      <c r="FA76" s="3">
        <f>FC76/FB76</f>
        <v>45.762266666666669</v>
      </c>
      <c r="FB76" s="177">
        <v>150</v>
      </c>
      <c r="FC76" s="177">
        <v>6864.34</v>
      </c>
      <c r="FD76" s="177"/>
      <c r="FE76" s="172"/>
      <c r="FF76" s="3">
        <f>FH76/FG76</f>
        <v>30.38</v>
      </c>
      <c r="FG76" s="177">
        <f>FH76/30.38</f>
        <v>115.60631994733377</v>
      </c>
      <c r="FH76" s="177">
        <v>3512.12</v>
      </c>
      <c r="FI76" s="177"/>
      <c r="FJ76" s="172"/>
      <c r="FK76" s="3">
        <f>FM76/FL76</f>
        <v>30.38</v>
      </c>
      <c r="FL76" s="177">
        <f>FM76/30.38</f>
        <v>115.60631994733377</v>
      </c>
      <c r="FM76" s="177">
        <v>3512.12</v>
      </c>
      <c r="FN76" s="177"/>
      <c r="FO76" s="172"/>
      <c r="FP76" s="3">
        <f>FR76/FQ76</f>
        <v>30.38</v>
      </c>
      <c r="FQ76" s="177">
        <f>FR76/30.38</f>
        <v>115.60631994733377</v>
      </c>
      <c r="FR76" s="177">
        <v>3512.12</v>
      </c>
      <c r="FS76" s="177"/>
      <c r="FT76" s="172"/>
      <c r="FU76" s="3">
        <f>FW76/FV76</f>
        <v>30.38</v>
      </c>
      <c r="FV76" s="177">
        <f>FW76/30.38</f>
        <v>115.60631994733377</v>
      </c>
      <c r="FW76" s="177">
        <v>3512.12</v>
      </c>
      <c r="FX76" s="177"/>
      <c r="FY76" s="172"/>
      <c r="FZ76" s="3">
        <f>GB76/GA76</f>
        <v>30.38</v>
      </c>
      <c r="GA76" s="177">
        <f>GB76/30.38</f>
        <v>115.60631994733377</v>
      </c>
      <c r="GB76" s="177">
        <v>3512.12</v>
      </c>
      <c r="GC76" s="177"/>
      <c r="GD76" s="172"/>
      <c r="GE76" s="3">
        <f>GG76/GF76</f>
        <v>30.38</v>
      </c>
      <c r="GF76" s="177">
        <f>GG76/30.38</f>
        <v>115.60631994733377</v>
      </c>
      <c r="GG76" s="177">
        <v>3512.12</v>
      </c>
      <c r="GH76" s="177"/>
      <c r="GI76" s="172"/>
      <c r="GJ76" s="285">
        <f>GL76/GK76</f>
        <v>49.860198019801985</v>
      </c>
      <c r="GK76" s="177">
        <v>101</v>
      </c>
      <c r="GL76" s="177">
        <v>5035.88</v>
      </c>
      <c r="GM76" s="177"/>
      <c r="GN76" s="172"/>
      <c r="GO76" s="3">
        <f>GQ76/GP76</f>
        <v>31.751966666666668</v>
      </c>
      <c r="GP76" s="177">
        <v>300</v>
      </c>
      <c r="GQ76" s="177">
        <v>9525.59</v>
      </c>
      <c r="GR76" s="177"/>
      <c r="GS76" s="172"/>
      <c r="GT76" s="3">
        <f>GV76/GU76</f>
        <v>30.38</v>
      </c>
      <c r="GU76" s="177">
        <f>GV76/30.38</f>
        <v>196.52337063857803</v>
      </c>
      <c r="GV76" s="177">
        <v>5970.38</v>
      </c>
      <c r="GW76" s="177"/>
      <c r="GX76" s="172"/>
      <c r="GY76" s="3">
        <f>HA76/GZ76</f>
        <v>30.38</v>
      </c>
      <c r="GZ76" s="177">
        <f>HA76/30.38</f>
        <v>219.89104674127717</v>
      </c>
      <c r="HA76" s="177">
        <v>6680.29</v>
      </c>
      <c r="HB76" s="177"/>
      <c r="HC76" s="172"/>
      <c r="HD76" s="3">
        <f>HF76/HE76</f>
        <v>30.512866666666667</v>
      </c>
      <c r="HE76" s="177">
        <v>150</v>
      </c>
      <c r="HF76" s="177">
        <v>4576.93</v>
      </c>
      <c r="HG76" s="177"/>
      <c r="HH76" s="172"/>
      <c r="HI76" s="3">
        <f>HK76/HJ76</f>
        <v>45.762266666666669</v>
      </c>
      <c r="HJ76" s="177">
        <v>150</v>
      </c>
      <c r="HK76" s="177">
        <v>6864.34</v>
      </c>
      <c r="HL76" s="177"/>
      <c r="HM76" s="172"/>
      <c r="HN76" s="3">
        <f>HP76/HO76</f>
        <v>30.38</v>
      </c>
      <c r="HO76" s="177">
        <f>HP76/30.38</f>
        <v>115.60631994733377</v>
      </c>
      <c r="HP76" s="177">
        <v>3512.12</v>
      </c>
      <c r="HQ76" s="177"/>
      <c r="HR76" s="172"/>
      <c r="HS76" s="3">
        <f>HU76/HT76</f>
        <v>30.38</v>
      </c>
      <c r="HT76" s="177">
        <f>HU76/30.38</f>
        <v>115.60631994733377</v>
      </c>
      <c r="HU76" s="177">
        <v>3512.12</v>
      </c>
      <c r="HV76" s="177"/>
      <c r="HW76" s="172"/>
      <c r="HX76" s="3">
        <f>HZ76/HY76</f>
        <v>30.38</v>
      </c>
      <c r="HY76" s="177">
        <f>HZ76/30.38</f>
        <v>115.60631994733377</v>
      </c>
      <c r="HZ76" s="177">
        <v>3512.12</v>
      </c>
      <c r="IA76" s="177"/>
      <c r="IB76" s="172"/>
      <c r="IC76" s="3">
        <f>IE76/ID76</f>
        <v>30.38</v>
      </c>
      <c r="ID76" s="177">
        <f>IE76/30.38</f>
        <v>115.60631994733377</v>
      </c>
      <c r="IE76" s="177">
        <v>3512.12</v>
      </c>
      <c r="IF76" s="177"/>
      <c r="IG76" s="172"/>
      <c r="IH76" s="3">
        <f>IJ76/II76</f>
        <v>30.38</v>
      </c>
      <c r="II76" s="177">
        <f>IJ76/30.38</f>
        <v>115.60631994733377</v>
      </c>
      <c r="IJ76" s="177">
        <v>3512.12</v>
      </c>
      <c r="IK76" s="177"/>
      <c r="IL76" s="172"/>
      <c r="IM76" s="3">
        <f>IO76/IN76</f>
        <v>30.38</v>
      </c>
      <c r="IN76" s="177">
        <f>IO76/30.38</f>
        <v>115.60631994733377</v>
      </c>
      <c r="IO76" s="177">
        <v>3512.12</v>
      </c>
      <c r="IP76" s="177"/>
      <c r="IQ76" s="172"/>
    </row>
    <row r="77" spans="1:251" s="249" customFormat="1" ht="15" customHeight="1">
      <c r="A77" s="665"/>
      <c r="B77" s="609" t="s">
        <v>304</v>
      </c>
      <c r="C77" s="5" t="s">
        <v>49</v>
      </c>
      <c r="D77" s="6" t="s">
        <v>25</v>
      </c>
      <c r="E77" s="7" t="s">
        <v>10</v>
      </c>
      <c r="F77" s="4"/>
      <c r="G77" s="196"/>
      <c r="H77" s="197"/>
      <c r="I77" s="197"/>
      <c r="J77" s="38"/>
      <c r="K77" s="206"/>
      <c r="L77" s="196"/>
      <c r="M77" s="197"/>
      <c r="N77" s="197"/>
      <c r="O77" s="38"/>
      <c r="P77" s="206"/>
      <c r="Q77" s="196"/>
      <c r="R77" s="197"/>
      <c r="S77" s="197"/>
      <c r="T77" s="38"/>
      <c r="U77" s="206"/>
      <c r="V77" s="207"/>
      <c r="W77" s="197"/>
      <c r="X77" s="204">
        <v>3289</v>
      </c>
      <c r="Y77" s="38"/>
      <c r="Z77" s="383">
        <f>SUM(X77:X79)*1.1</f>
        <v>123425.48900000002</v>
      </c>
      <c r="AA77" s="36"/>
      <c r="AB77" s="197"/>
      <c r="AC77" s="197"/>
      <c r="AD77" s="38"/>
      <c r="AE77" s="383">
        <f>SUM(AC77:AC79)*1.1</f>
        <v>108251.231</v>
      </c>
      <c r="AF77" s="36"/>
      <c r="AG77" s="197"/>
      <c r="AH77" s="204">
        <v>1771</v>
      </c>
      <c r="AI77" s="38"/>
      <c r="AJ77" s="383">
        <f>SUM(AH77:AH79)*1.1</f>
        <v>107204.24219999999</v>
      </c>
      <c r="AK77" s="36"/>
      <c r="AL77" s="197"/>
      <c r="AM77" s="204">
        <v>1771</v>
      </c>
      <c r="AN77" s="38"/>
      <c r="AO77" s="383">
        <f>AO78*1.2</f>
        <v>137687.74799999999</v>
      </c>
      <c r="AP77" s="36"/>
      <c r="AQ77" s="197"/>
      <c r="AR77" s="197"/>
      <c r="AS77" s="38"/>
      <c r="AT77" s="383">
        <f>SUM(AR77:AR79)*1.1</f>
        <v>146356.848</v>
      </c>
      <c r="AU77" s="36"/>
      <c r="AV77" s="197"/>
      <c r="AW77" s="197"/>
      <c r="AX77" s="38"/>
      <c r="AY77" s="383">
        <f>SUM(AW77:AW79)*1.1</f>
        <v>162764.57999999999</v>
      </c>
      <c r="AZ77" s="36"/>
      <c r="BA77" s="197"/>
      <c r="BB77" s="197"/>
      <c r="BC77" s="38"/>
      <c r="BD77" s="383">
        <f>SUM(BB77:BB79)*1.1</f>
        <v>149687.967</v>
      </c>
      <c r="BE77" s="36"/>
      <c r="BF77" s="197"/>
      <c r="BG77" s="197"/>
      <c r="BH77" s="38"/>
      <c r="BI77" s="383">
        <f>SUM(BG77:BG79)*1.1</f>
        <v>143502.9816</v>
      </c>
      <c r="BJ77" s="36"/>
      <c r="BK77" s="197"/>
      <c r="BL77" s="197"/>
      <c r="BM77" s="38"/>
      <c r="BN77" s="383">
        <f>SUM(BL77:BL79)*1.1</f>
        <v>151008.01100000003</v>
      </c>
      <c r="BO77" s="36"/>
      <c r="BP77" s="197"/>
      <c r="BQ77" s="197"/>
      <c r="BR77" s="38"/>
      <c r="BS77" s="383">
        <f>SUM(BQ77:BQ79)*1.1</f>
        <v>146654.44200000001</v>
      </c>
      <c r="BT77" s="36"/>
      <c r="BU77" s="197"/>
      <c r="BV77" s="197"/>
      <c r="BW77" s="38"/>
      <c r="BX77" s="383">
        <f>SUM(BV77:BV79)*1.1</f>
        <v>163767.16399999999</v>
      </c>
      <c r="BY77" s="36"/>
      <c r="BZ77" s="197"/>
      <c r="CA77" s="197"/>
      <c r="CB77" s="38"/>
      <c r="CC77" s="383">
        <f>SUM(CA77:CA79)*1.1</f>
        <v>143146.883</v>
      </c>
      <c r="CD77" s="36"/>
      <c r="CE77" s="197"/>
      <c r="CF77" s="197"/>
      <c r="CG77" s="38"/>
      <c r="CH77" s="383">
        <f>SUM(CF77:CF79)*1.1</f>
        <v>150037.49199999997</v>
      </c>
      <c r="CI77" s="36"/>
      <c r="CJ77" s="197"/>
      <c r="CK77" s="197"/>
      <c r="CL77" s="38"/>
      <c r="CM77" s="383">
        <f>SUM(CK77:CK79)*1.1</f>
        <v>123874.806</v>
      </c>
      <c r="CN77" s="36"/>
      <c r="CO77" s="197"/>
      <c r="CP77" s="197"/>
      <c r="CQ77" s="38"/>
      <c r="CR77" s="383">
        <f>SUM(CP77:CP79)*1.1</f>
        <v>124771.07500000001</v>
      </c>
      <c r="CS77" s="36"/>
      <c r="CT77" s="197"/>
      <c r="CU77" s="197"/>
      <c r="CV77" s="38"/>
      <c r="CW77" s="383">
        <f>SUM(CU77:CU79)*1.1</f>
        <v>95894.469000000012</v>
      </c>
      <c r="CX77" s="36"/>
      <c r="CY77" s="197"/>
      <c r="CZ77" s="197"/>
      <c r="DA77" s="38"/>
      <c r="DB77" s="383">
        <f>SUM(CZ77:CZ79)*1.1</f>
        <v>132975.73300000001</v>
      </c>
      <c r="DC77" s="36"/>
      <c r="DD77" s="197"/>
      <c r="DE77" s="197"/>
      <c r="DF77" s="38"/>
      <c r="DG77" s="383">
        <f>SUM(DE77:DE79)*1.1</f>
        <v>104056.8276</v>
      </c>
      <c r="DH77" s="36"/>
      <c r="DI77" s="197"/>
      <c r="DJ77" s="197"/>
      <c r="DK77" s="38"/>
      <c r="DL77" s="383">
        <f>SUM(DJ77:DJ79)*1.1</f>
        <v>188845.26100000003</v>
      </c>
      <c r="DM77" s="36"/>
      <c r="DN77" s="197"/>
      <c r="DO77" s="197"/>
      <c r="DP77" s="38"/>
      <c r="DQ77" s="383">
        <f>SUM(DO77:DO79)*1.1</f>
        <v>185776.83300000001</v>
      </c>
      <c r="DR77" s="36"/>
      <c r="DS77" s="197"/>
      <c r="DT77" s="197"/>
      <c r="DU77" s="38"/>
      <c r="DV77" s="383">
        <f>SUM(DT77:DT79)*1.1</f>
        <v>166871.177</v>
      </c>
      <c r="DW77" s="36"/>
      <c r="DX77" s="197"/>
      <c r="DY77" s="197"/>
      <c r="DZ77" s="38"/>
      <c r="EA77" s="383">
        <f>SUM(DY77:DY79)*1.1</f>
        <v>175750.465</v>
      </c>
      <c r="EB77" s="36"/>
      <c r="EC77" s="197"/>
      <c r="ED77" s="197"/>
      <c r="EE77" s="38"/>
      <c r="EF77" s="383">
        <f>SUM(ED77:ED79)*1.1</f>
        <v>196781.24400000001</v>
      </c>
      <c r="EG77" s="36"/>
      <c r="EH77" s="197"/>
      <c r="EI77" s="197"/>
      <c r="EJ77" s="38"/>
      <c r="EK77" s="383">
        <f>SUM(EI77:EI79)*1.1</f>
        <v>182068.19400000002</v>
      </c>
      <c r="EL77" s="36"/>
      <c r="EM77" s="197"/>
      <c r="EN77" s="197"/>
      <c r="EO77" s="38"/>
      <c r="EP77" s="383">
        <f>SUM(EN77:EN79)*1.1</f>
        <v>188227.65689200003</v>
      </c>
      <c r="EQ77" s="36"/>
      <c r="ER77" s="197"/>
      <c r="ES77" s="197"/>
      <c r="ET77" s="38"/>
      <c r="EU77" s="383">
        <f>SUM(ES77:ES79)*1.1</f>
        <v>195415.93500000003</v>
      </c>
      <c r="EV77" s="36"/>
      <c r="EW77" s="197"/>
      <c r="EX77" s="197"/>
      <c r="EY77" s="38"/>
      <c r="EZ77" s="383">
        <f>SUM(EX77:EX79)*1.1</f>
        <v>205412.29500000004</v>
      </c>
      <c r="FA77" s="36"/>
      <c r="FB77" s="197"/>
      <c r="FC77" s="197"/>
      <c r="FD77" s="38"/>
      <c r="FE77" s="383">
        <f>SUM(FC77:FC79)*1.1</f>
        <v>170450.12600000002</v>
      </c>
      <c r="FF77" s="36"/>
      <c r="FG77" s="197"/>
      <c r="FH77" s="197"/>
      <c r="FI77" s="38"/>
      <c r="FJ77" s="383">
        <f>SUM(FH77:FH79)*1.1</f>
        <v>158261.84</v>
      </c>
      <c r="FK77" s="36"/>
      <c r="FL77" s="197"/>
      <c r="FM77" s="197"/>
      <c r="FN77" s="38"/>
      <c r="FO77" s="383">
        <f>SUM(FM77:FM79)*1.1</f>
        <v>179415.52200000003</v>
      </c>
      <c r="FP77" s="36"/>
      <c r="FQ77" s="197"/>
      <c r="FR77" s="197"/>
      <c r="FS77" s="38"/>
      <c r="FT77" s="383">
        <f>SUM(FR77:FR79)*1.1</f>
        <v>193052.70600000003</v>
      </c>
      <c r="FU77" s="36"/>
      <c r="FV77" s="197"/>
      <c r="FW77" s="197"/>
      <c r="FX77" s="38"/>
      <c r="FY77" s="383">
        <f>SUM(FW77:FW79)*1.1</f>
        <v>215216.90300000002</v>
      </c>
      <c r="FZ77" s="36"/>
      <c r="GA77" s="197"/>
      <c r="GB77" s="197"/>
      <c r="GC77" s="38"/>
      <c r="GD77" s="383">
        <f>SUM(GB77:GB79)*1.1</f>
        <v>199178.11100000003</v>
      </c>
      <c r="GE77" s="36"/>
      <c r="GF77" s="197"/>
      <c r="GG77" s="197"/>
      <c r="GH77" s="38"/>
      <c r="GI77" s="383">
        <f>SUM(GG77:GG79)*1.1</f>
        <v>162147.52312</v>
      </c>
      <c r="GJ77" s="280"/>
      <c r="GK77" s="197"/>
      <c r="GL77" s="197"/>
      <c r="GM77" s="38"/>
      <c r="GN77" s="383">
        <f>SUM(GL77:GL79)*1.1</f>
        <v>231481.02563519997</v>
      </c>
      <c r="GO77" s="36"/>
      <c r="GP77" s="197"/>
      <c r="GQ77" s="197"/>
      <c r="GR77" s="38"/>
      <c r="GS77" s="383">
        <f>SUM(GQ77:GQ79)*1.1</f>
        <v>193960.70100000003</v>
      </c>
      <c r="GT77" s="36"/>
      <c r="GU77" s="197"/>
      <c r="GV77" s="197"/>
      <c r="GW77" s="38"/>
      <c r="GX77" s="383">
        <f>SUM(GV77:GV79)*1.1</f>
        <v>295841.85400000005</v>
      </c>
      <c r="GY77" s="36"/>
      <c r="GZ77" s="197"/>
      <c r="HA77" s="197"/>
      <c r="HB77" s="38"/>
      <c r="HC77" s="383">
        <f>SUM(HA77:HA79)*1.1</f>
        <v>195415.93500000003</v>
      </c>
      <c r="HD77" s="36"/>
      <c r="HE77" s="197"/>
      <c r="HF77" s="197"/>
      <c r="HG77" s="38"/>
      <c r="HH77" s="383">
        <f>SUM(HF77:HF79)*1.1</f>
        <v>205412.29500000004</v>
      </c>
      <c r="HI77" s="36"/>
      <c r="HJ77" s="197"/>
      <c r="HK77" s="197"/>
      <c r="HL77" s="38"/>
      <c r="HM77" s="383">
        <f>SUM(HK77:HK79)*1.1</f>
        <v>170450.12600000002</v>
      </c>
      <c r="HN77" s="36"/>
      <c r="HO77" s="197"/>
      <c r="HP77" s="197"/>
      <c r="HQ77" s="38"/>
      <c r="HR77" s="383">
        <f>SUM(HP77:HP79)*1.1</f>
        <v>158261.84</v>
      </c>
      <c r="HS77" s="36"/>
      <c r="HT77" s="197"/>
      <c r="HU77" s="197"/>
      <c r="HV77" s="38"/>
      <c r="HW77" s="383">
        <f>SUM(HU77:HU79)*1.1</f>
        <v>179415.52200000003</v>
      </c>
      <c r="HX77" s="36"/>
      <c r="HY77" s="197"/>
      <c r="HZ77" s="197"/>
      <c r="IA77" s="38"/>
      <c r="IB77" s="383">
        <f>SUM(HZ77:HZ79)*1.1</f>
        <v>193052.70600000003</v>
      </c>
      <c r="IC77" s="36"/>
      <c r="ID77" s="197"/>
      <c r="IE77" s="197"/>
      <c r="IF77" s="38"/>
      <c r="IG77" s="383">
        <f>SUM(IE77:IE79)*1.1</f>
        <v>215216.90300000002</v>
      </c>
      <c r="IH77" s="36"/>
      <c r="II77" s="197"/>
      <c r="IJ77" s="197"/>
      <c r="IK77" s="38"/>
      <c r="IL77" s="383">
        <f>SUM(IJ77:IJ79)*1.1</f>
        <v>99528.589600000007</v>
      </c>
      <c r="IM77" s="36"/>
      <c r="IN77" s="197"/>
      <c r="IO77" s="197"/>
      <c r="IP77" s="38"/>
      <c r="IQ77" s="383">
        <f>SUM(IO77:IO79)*1.1</f>
        <v>99528.589600000007</v>
      </c>
    </row>
    <row r="78" spans="1:251" ht="15" customHeight="1">
      <c r="A78" s="647"/>
      <c r="B78" s="256" t="s">
        <v>336</v>
      </c>
      <c r="C78" s="215">
        <v>32549465</v>
      </c>
      <c r="D78" s="45" t="s">
        <v>459</v>
      </c>
      <c r="E78" s="216" t="s">
        <v>13</v>
      </c>
      <c r="F78" s="22"/>
      <c r="G78" s="104">
        <f>I78/H78</f>
        <v>5.842319773656083</v>
      </c>
      <c r="H78" s="70">
        <v>15905</v>
      </c>
      <c r="I78" s="70">
        <f>1.2*(63460.95+13974.13)</f>
        <v>92922.096000000005</v>
      </c>
      <c r="J78" s="81"/>
      <c r="K78" s="88"/>
      <c r="L78" s="104">
        <f>N78/M78</f>
        <v>6.0346078479161589</v>
      </c>
      <c r="M78" s="70">
        <v>12309</v>
      </c>
      <c r="N78" s="70">
        <f>1.2*(12048.54+49851.45)</f>
        <v>74279.987999999998</v>
      </c>
      <c r="O78" s="81"/>
      <c r="P78" s="88"/>
      <c r="Q78" s="104">
        <f>S78/R78</f>
        <v>5.722607765822362</v>
      </c>
      <c r="R78" s="70">
        <v>14963</v>
      </c>
      <c r="S78" s="70">
        <v>85627.38</v>
      </c>
      <c r="T78" s="81"/>
      <c r="U78" s="88"/>
      <c r="V78" s="115">
        <f>X78/W78</f>
        <v>5.8906077036032984</v>
      </c>
      <c r="W78" s="70">
        <v>17706</v>
      </c>
      <c r="X78" s="70">
        <v>104299.1</v>
      </c>
      <c r="Y78" s="81"/>
      <c r="Z78" s="403">
        <f>SUM(X77:X79)*1</f>
        <v>112204.99</v>
      </c>
      <c r="AA78" s="92">
        <f>AC78/AB78</f>
        <v>5.4826078833172609</v>
      </c>
      <c r="AB78" s="70">
        <v>16592</v>
      </c>
      <c r="AC78" s="70">
        <v>90967.43</v>
      </c>
      <c r="AD78" s="81"/>
      <c r="AE78" s="403">
        <f>SUM(AC77:AC79)*1</f>
        <v>98410.209999999992</v>
      </c>
      <c r="AF78" s="92">
        <f>AH78/AG78</f>
        <v>5.446608051606737</v>
      </c>
      <c r="AG78" s="70">
        <v>16742</v>
      </c>
      <c r="AH78" s="70">
        <f>1.2*(59601.52+16387.74)</f>
        <v>91187.111999999994</v>
      </c>
      <c r="AI78" s="81"/>
      <c r="AJ78" s="403">
        <f>SUM(AH77:AH79)*1</f>
        <v>97458.401999999987</v>
      </c>
      <c r="AK78" s="92">
        <f>AM78/AL78</f>
        <v>5.940624161073826</v>
      </c>
      <c r="AL78" s="70">
        <v>17880</v>
      </c>
      <c r="AM78" s="70">
        <v>106218.36</v>
      </c>
      <c r="AN78" s="81"/>
      <c r="AO78" s="403">
        <f>SUM(AM77:AM79)*1</f>
        <v>114739.79000000001</v>
      </c>
      <c r="AP78" s="92">
        <f>AR78/AQ78</f>
        <v>6.864612115343232</v>
      </c>
      <c r="AQ78" s="70">
        <v>18588</v>
      </c>
      <c r="AR78" s="70">
        <v>127599.41</v>
      </c>
      <c r="AS78" s="81"/>
      <c r="AT78" s="403">
        <f>SUM(AR77:AR79)*1</f>
        <v>133051.68</v>
      </c>
      <c r="AU78" s="92">
        <f>AW78/AV78</f>
        <v>7.4406121916879595</v>
      </c>
      <c r="AV78" s="70">
        <v>19177</v>
      </c>
      <c r="AW78" s="70">
        <v>142688.62</v>
      </c>
      <c r="AX78" s="81"/>
      <c r="AY78" s="403">
        <f>SUM(AW77:AW79)*1</f>
        <v>147967.79999999999</v>
      </c>
      <c r="AZ78" s="92">
        <f>BB78/BA78</f>
        <v>7.4286119094148759</v>
      </c>
      <c r="BA78" s="70">
        <v>17398</v>
      </c>
      <c r="BB78" s="70">
        <v>129242.99</v>
      </c>
      <c r="BC78" s="81"/>
      <c r="BD78" s="403">
        <f>SUM(BB77:BB79)*1</f>
        <v>136079.97</v>
      </c>
      <c r="BE78" s="92">
        <f>BG78/BF78</f>
        <v>7.6086116878572261</v>
      </c>
      <c r="BF78" s="74">
        <v>17146</v>
      </c>
      <c r="BG78" s="74">
        <f>1.2*(83843.94+24870.44)</f>
        <v>130457.25599999999</v>
      </c>
      <c r="BH78" s="81"/>
      <c r="BI78" s="403">
        <f>SUM(BG77:BG79)*1</f>
        <v>130457.25599999999</v>
      </c>
      <c r="BJ78" s="92">
        <f>BL78/BK78</f>
        <v>7.8380158730158733</v>
      </c>
      <c r="BK78" s="70">
        <v>17514</v>
      </c>
      <c r="BL78" s="70">
        <v>137275.01</v>
      </c>
      <c r="BM78" s="81"/>
      <c r="BN78" s="403">
        <f>SUM(BL77:BL79)*1</f>
        <v>137280.01</v>
      </c>
      <c r="BO78" s="92">
        <f>BQ78/BP78</f>
        <v>7.2802924960826418</v>
      </c>
      <c r="BP78" s="70">
        <v>17231</v>
      </c>
      <c r="BQ78" s="70">
        <v>125446.72</v>
      </c>
      <c r="BR78" s="44"/>
      <c r="BS78" s="403">
        <f>SUM(BQ77:BQ79)*1</f>
        <v>133322.22</v>
      </c>
      <c r="BT78" s="92">
        <f>BV78/BU78</f>
        <v>7.6692004131108336</v>
      </c>
      <c r="BU78" s="70">
        <v>18397</v>
      </c>
      <c r="BV78" s="70">
        <v>141090.28</v>
      </c>
      <c r="BW78" s="81"/>
      <c r="BX78" s="403">
        <f>SUM(BV77:BV79)*1</f>
        <v>148879.24</v>
      </c>
      <c r="BY78" s="92">
        <f>CA78/BZ78</f>
        <v>7.7803679748822603</v>
      </c>
      <c r="BZ78" s="70">
        <v>15925</v>
      </c>
      <c r="CA78" s="70">
        <v>123902.36</v>
      </c>
      <c r="CB78" s="81"/>
      <c r="CC78" s="403">
        <f>SUM(CA77:CA79)*1</f>
        <v>130133.53</v>
      </c>
      <c r="CD78" s="92">
        <f>CF78/CE78</f>
        <v>7.4187117177097193</v>
      </c>
      <c r="CE78" s="70">
        <v>18024</v>
      </c>
      <c r="CF78" s="70">
        <v>133714.85999999999</v>
      </c>
      <c r="CG78" s="81"/>
      <c r="CH78" s="403">
        <f>SUM(CF77:CF79)*1</f>
        <v>136397.71999999997</v>
      </c>
      <c r="CI78" s="92">
        <f>CK78/CJ78</f>
        <v>6.2651403215582322</v>
      </c>
      <c r="CJ78" s="70">
        <v>17353</v>
      </c>
      <c r="CK78" s="70">
        <v>108718.98</v>
      </c>
      <c r="CL78" s="81"/>
      <c r="CM78" s="403">
        <f>SUM(CK77:CK79)*1</f>
        <v>112613.45999999999</v>
      </c>
      <c r="CN78" s="92">
        <f>CP78/CO78</f>
        <v>6.3423958273955421</v>
      </c>
      <c r="CO78" s="70">
        <v>17543</v>
      </c>
      <c r="CP78" s="70">
        <v>111264.65</v>
      </c>
      <c r="CQ78" s="81"/>
      <c r="CR78" s="403">
        <f>SUM(CP77:CP79)*1</f>
        <v>113428.25</v>
      </c>
      <c r="CS78" s="92">
        <f>CU78/CT78</f>
        <v>6.0462358597285073</v>
      </c>
      <c r="CT78" s="70">
        <v>14144</v>
      </c>
      <c r="CU78" s="70">
        <v>85517.96</v>
      </c>
      <c r="CV78" s="81"/>
      <c r="CW78" s="403">
        <f>SUM(CU77:CU79)*1</f>
        <v>87176.790000000008</v>
      </c>
      <c r="CX78" s="92">
        <f>CZ78/CY78</f>
        <v>7.952579759862779</v>
      </c>
      <c r="CY78" s="70">
        <v>14575</v>
      </c>
      <c r="CZ78" s="70">
        <v>115908.85</v>
      </c>
      <c r="DA78" s="81"/>
      <c r="DB78" s="403">
        <f>SUM(CZ77:CZ79)*1</f>
        <v>120887.03</v>
      </c>
      <c r="DC78" s="92">
        <f>DE78/DD78</f>
        <v>5.1223198777104679</v>
      </c>
      <c r="DD78" s="62">
        <v>17663</v>
      </c>
      <c r="DE78" s="62">
        <f>1.2*(59877.57+15518.71)</f>
        <v>90475.535999999993</v>
      </c>
      <c r="DF78" s="44"/>
      <c r="DG78" s="403">
        <f>SUM(DE77:DE79)*1</f>
        <v>94597.115999999995</v>
      </c>
      <c r="DH78" s="92">
        <f>DJ78/DI78</f>
        <v>9.9383406580353952</v>
      </c>
      <c r="DI78" s="70">
        <v>16838</v>
      </c>
      <c r="DJ78" s="70">
        <v>167341.78</v>
      </c>
      <c r="DK78" s="81"/>
      <c r="DL78" s="403">
        <f>SUM(DJ77:DJ79)*1</f>
        <v>171677.51</v>
      </c>
      <c r="DM78" s="92">
        <f>DO78/DN78</f>
        <v>9.6583084223013049</v>
      </c>
      <c r="DN78" s="70">
        <v>16860</v>
      </c>
      <c r="DO78" s="70">
        <v>162839.07999999999</v>
      </c>
      <c r="DP78" s="81"/>
      <c r="DQ78" s="403">
        <f>SUM(DO77:DO79)*1</f>
        <v>168888.03</v>
      </c>
      <c r="DR78" s="92">
        <f>DT78/DS78</f>
        <v>9.3308396256857034</v>
      </c>
      <c r="DS78" s="70">
        <v>15495</v>
      </c>
      <c r="DT78" s="70">
        <v>144581.35999999999</v>
      </c>
      <c r="DU78" s="81"/>
      <c r="DV78" s="403">
        <f>SUM(DT77:DT79)*1</f>
        <v>151701.06999999998</v>
      </c>
      <c r="DW78" s="92">
        <f>DY78/DX78</f>
        <v>9.4815000612519906</v>
      </c>
      <c r="DX78" s="70">
        <v>16326</v>
      </c>
      <c r="DY78" s="70">
        <v>154794.97</v>
      </c>
      <c r="DZ78" s="81"/>
      <c r="EA78" s="403">
        <f>SUM(DY77:DY79)*1</f>
        <v>159773.15</v>
      </c>
      <c r="EB78" s="92">
        <f>ED78/EC78</f>
        <v>9.9601317221235881</v>
      </c>
      <c r="EC78" s="70">
        <v>17461</v>
      </c>
      <c r="ED78" s="70">
        <v>173913.86</v>
      </c>
      <c r="EE78" s="81"/>
      <c r="EF78" s="403">
        <f>SUM(ED77:ED79)*1</f>
        <v>178892.03999999998</v>
      </c>
      <c r="EG78" s="92">
        <f>EI78/EH78</f>
        <v>9.8732641170272117</v>
      </c>
      <c r="EH78" s="70">
        <v>16133</v>
      </c>
      <c r="EI78" s="70">
        <v>159285.37</v>
      </c>
      <c r="EJ78" s="81"/>
      <c r="EK78" s="403">
        <f>SUM(EI77:EI79)*1</f>
        <v>165516.54</v>
      </c>
      <c r="EL78" s="92">
        <f>EN78/EM78</f>
        <v>10.339668000000001</v>
      </c>
      <c r="EM78" s="70">
        <v>16290</v>
      </c>
      <c r="EN78" s="70">
        <v>168433.19172000003</v>
      </c>
      <c r="EO78" s="44"/>
      <c r="EP78" s="403">
        <f>SUM(EN77:EN79)*1</f>
        <v>171116.05172000002</v>
      </c>
      <c r="EQ78" s="92">
        <f>ES78/ER78</f>
        <v>10.308971774193548</v>
      </c>
      <c r="ER78" s="70">
        <v>16864</v>
      </c>
      <c r="ES78" s="70">
        <v>173850.5</v>
      </c>
      <c r="ET78" s="81"/>
      <c r="EU78" s="403">
        <f>SUM(ES77:ES79)*1</f>
        <v>177650.85</v>
      </c>
      <c r="EV78" s="92">
        <f>EX78/EW78</f>
        <v>10.216968165740274</v>
      </c>
      <c r="EW78" s="70">
        <v>17811</v>
      </c>
      <c r="EX78" s="70">
        <v>181974.42</v>
      </c>
      <c r="EY78" s="81"/>
      <c r="EZ78" s="403">
        <f>SUM(EX77:EX79)*1</f>
        <v>186738.45</v>
      </c>
      <c r="FA78" s="92">
        <f>FC78/FB78</f>
        <v>8.9245076677127138</v>
      </c>
      <c r="FB78" s="70">
        <v>16889</v>
      </c>
      <c r="FC78" s="70">
        <v>150726.01</v>
      </c>
      <c r="FD78" s="81"/>
      <c r="FE78" s="403">
        <f>SUM(FC77:FC79)*1</f>
        <v>154954.66</v>
      </c>
      <c r="FF78" s="92">
        <f>FH78/FG78</f>
        <v>7.5929882737932912</v>
      </c>
      <c r="FG78" s="70">
        <v>18335</v>
      </c>
      <c r="FH78" s="70">
        <v>139217.44</v>
      </c>
      <c r="FI78" s="81"/>
      <c r="FJ78" s="403">
        <f>SUM(FH77:FH79)*1</f>
        <v>143874.4</v>
      </c>
      <c r="FK78" s="92">
        <f>FM78/FL78</f>
        <v>8.3209204933088436</v>
      </c>
      <c r="FL78" s="70">
        <v>19055</v>
      </c>
      <c r="FM78" s="70">
        <v>158555.14000000001</v>
      </c>
      <c r="FN78" s="81"/>
      <c r="FO78" s="403">
        <f>SUM(FM77:FM79)*1</f>
        <v>163105.02000000002</v>
      </c>
      <c r="FP78" s="92">
        <f>FR78/FQ78</f>
        <v>9.5174519556861856</v>
      </c>
      <c r="FQ78" s="70">
        <v>17692</v>
      </c>
      <c r="FR78" s="70">
        <v>168382.76</v>
      </c>
      <c r="FS78" s="81"/>
      <c r="FT78" s="403">
        <f>SUM(FR77:FR79)*1</f>
        <v>175502.46000000002</v>
      </c>
      <c r="FU78" s="92">
        <f>FW78/FV78</f>
        <v>10.218419832929129</v>
      </c>
      <c r="FV78" s="70">
        <v>18555</v>
      </c>
      <c r="FW78" s="70">
        <v>189602.78</v>
      </c>
      <c r="FX78" s="81"/>
      <c r="FY78" s="403">
        <f>SUM(FW77:FW79)*1</f>
        <v>195651.73</v>
      </c>
      <c r="FZ78" s="92">
        <f>GB78/GA78</f>
        <v>10.659720357941834</v>
      </c>
      <c r="GA78" s="70">
        <v>16986</v>
      </c>
      <c r="GB78" s="70">
        <v>181066.01</v>
      </c>
      <c r="GC78" s="81"/>
      <c r="GD78" s="403">
        <f>SUM(GB77:GB79)*1</f>
        <v>181071.01</v>
      </c>
      <c r="GE78" s="92">
        <f>GG78/GF78</f>
        <v>9.5715479999999999</v>
      </c>
      <c r="GF78" s="62">
        <v>15400</v>
      </c>
      <c r="GG78" s="1609">
        <v>147401.83919999999</v>
      </c>
      <c r="GH78" s="44"/>
      <c r="GI78" s="403">
        <f>SUM(GG77:GG79)*1</f>
        <v>147406.83919999999</v>
      </c>
      <c r="GJ78" s="98">
        <f>GL78/GK78</f>
        <v>12.197471393240699</v>
      </c>
      <c r="GK78" s="70">
        <v>16481</v>
      </c>
      <c r="GL78" s="70">
        <v>201026.52603199997</v>
      </c>
      <c r="GM78" s="44"/>
      <c r="GN78" s="403">
        <f>SUM(GL77:GL79)*1</f>
        <v>210437.29603199995</v>
      </c>
      <c r="GO78" s="92">
        <f>GQ78/GP78</f>
        <v>13.117704358616411</v>
      </c>
      <c r="GP78" s="70">
        <v>12894</v>
      </c>
      <c r="GQ78" s="70">
        <v>169139.68</v>
      </c>
      <c r="GR78" s="81"/>
      <c r="GS78" s="403">
        <f>SUM(GQ77:GQ79)*1</f>
        <v>176327.91</v>
      </c>
      <c r="GT78" s="92">
        <f>GV78/GU78</f>
        <v>14.33787621689237</v>
      </c>
      <c r="GU78" s="70">
        <v>18387</v>
      </c>
      <c r="GV78" s="70">
        <v>263630.53000000003</v>
      </c>
      <c r="GW78" s="81"/>
      <c r="GX78" s="403">
        <f>SUM(GV77:GV79)*1</f>
        <v>268947.14</v>
      </c>
      <c r="GY78" s="92">
        <f>HA78/GZ78</f>
        <v>10.308971774193548</v>
      </c>
      <c r="GZ78" s="62">
        <v>16864</v>
      </c>
      <c r="HA78" s="62">
        <v>173850.5</v>
      </c>
      <c r="HB78" s="44"/>
      <c r="HC78" s="403">
        <f>SUM(HA77:HA79)*1</f>
        <v>177650.85</v>
      </c>
      <c r="HD78" s="92">
        <f>HF78/HE78</f>
        <v>10.216968165740274</v>
      </c>
      <c r="HE78" s="62">
        <v>17811</v>
      </c>
      <c r="HF78" s="62">
        <v>181974.42</v>
      </c>
      <c r="HG78" s="44"/>
      <c r="HH78" s="403">
        <f>SUM(HF77:HF79)*1</f>
        <v>186738.45</v>
      </c>
      <c r="HI78" s="92">
        <f>HK78/HJ78</f>
        <v>8.9245076677127138</v>
      </c>
      <c r="HJ78" s="62">
        <v>16889</v>
      </c>
      <c r="HK78" s="62">
        <v>150726.01</v>
      </c>
      <c r="HL78" s="44"/>
      <c r="HM78" s="403">
        <f>SUM(HK77:HK79)*1</f>
        <v>154954.66</v>
      </c>
      <c r="HN78" s="92">
        <f>HP78/HO78</f>
        <v>7.5929882737932912</v>
      </c>
      <c r="HO78" s="62">
        <v>18335</v>
      </c>
      <c r="HP78" s="62">
        <v>139217.44</v>
      </c>
      <c r="HQ78" s="44"/>
      <c r="HR78" s="403">
        <f>SUM(HP77:HP79)*1</f>
        <v>143874.4</v>
      </c>
      <c r="HS78" s="92">
        <f>HU78/HT78</f>
        <v>8.3209204933088436</v>
      </c>
      <c r="HT78" s="62">
        <v>19055</v>
      </c>
      <c r="HU78" s="62">
        <v>158555.14000000001</v>
      </c>
      <c r="HV78" s="44"/>
      <c r="HW78" s="403">
        <f>SUM(HU77:HU79)*1</f>
        <v>163105.02000000002</v>
      </c>
      <c r="HX78" s="92">
        <f>HZ78/HY78</f>
        <v>9.5174519556861856</v>
      </c>
      <c r="HY78" s="62">
        <v>17692</v>
      </c>
      <c r="HZ78" s="62">
        <v>168382.76</v>
      </c>
      <c r="IA78" s="44"/>
      <c r="IB78" s="403">
        <f>SUM(HZ77:HZ79)*1</f>
        <v>175502.46000000002</v>
      </c>
      <c r="IC78" s="92">
        <f>IE78/ID78</f>
        <v>10.218419832929129</v>
      </c>
      <c r="ID78" s="62">
        <v>18555</v>
      </c>
      <c r="IE78" s="62">
        <v>189602.78</v>
      </c>
      <c r="IF78" s="44"/>
      <c r="IG78" s="403">
        <f>SUM(IE77:IE79)*1</f>
        <v>195651.73</v>
      </c>
      <c r="IH78" s="92">
        <f>IJ78/II78</f>
        <v>5.1223198777104679</v>
      </c>
      <c r="II78" s="62">
        <v>17663</v>
      </c>
      <c r="IJ78" s="62">
        <f>1.2*(59877.57+15518.71)</f>
        <v>90475.535999999993</v>
      </c>
      <c r="IK78" s="44"/>
      <c r="IL78" s="403">
        <f>SUM(IJ77:IJ79)*1</f>
        <v>90480.535999999993</v>
      </c>
      <c r="IM78" s="92">
        <f>IO78/IN78</f>
        <v>5.1223198777104679</v>
      </c>
      <c r="IN78" s="62">
        <v>17663</v>
      </c>
      <c r="IO78" s="62">
        <f>1.2*(59877.57+15518.71)</f>
        <v>90475.535999999993</v>
      </c>
      <c r="IP78" s="44"/>
      <c r="IQ78" s="403">
        <f>SUM(IO77:IO79)*1</f>
        <v>90480.535999999993</v>
      </c>
    </row>
    <row r="79" spans="1:251" s="264" customFormat="1" ht="15" customHeight="1" thickBot="1">
      <c r="A79" s="648"/>
      <c r="B79" s="257"/>
      <c r="C79" s="258">
        <v>30687118</v>
      </c>
      <c r="D79" s="20" t="s">
        <v>202</v>
      </c>
      <c r="E79" s="259" t="s">
        <v>17</v>
      </c>
      <c r="F79" s="23"/>
      <c r="G79" s="168">
        <f>I79/H79</f>
        <v>62.387941176470591</v>
      </c>
      <c r="H79" s="170">
        <v>68</v>
      </c>
      <c r="I79" s="170">
        <v>4242.38</v>
      </c>
      <c r="J79" s="179"/>
      <c r="K79" s="182"/>
      <c r="L79" s="168">
        <f>N79/M79</f>
        <v>62.388000000000005</v>
      </c>
      <c r="M79" s="170">
        <v>55</v>
      </c>
      <c r="N79" s="170">
        <v>3431.34</v>
      </c>
      <c r="O79" s="179"/>
      <c r="P79" s="182"/>
      <c r="Q79" s="168"/>
      <c r="R79" s="170">
        <v>31</v>
      </c>
      <c r="S79" s="170">
        <v>4616.8900000000003</v>
      </c>
      <c r="T79" s="179"/>
      <c r="U79" s="182"/>
      <c r="V79" s="209">
        <f>X79/W79</f>
        <v>74.465967741935486</v>
      </c>
      <c r="W79" s="170">
        <v>62</v>
      </c>
      <c r="X79" s="170">
        <v>4616.8900000000003</v>
      </c>
      <c r="Y79" s="179"/>
      <c r="Z79" s="179"/>
      <c r="AA79" s="3">
        <f>AC79/AB79</f>
        <v>86.543953488372097</v>
      </c>
      <c r="AB79" s="170">
        <v>86</v>
      </c>
      <c r="AC79" s="170">
        <v>7442.78</v>
      </c>
      <c r="AD79" s="179"/>
      <c r="AE79" s="179"/>
      <c r="AF79" s="3">
        <f>AH79/AG79</f>
        <v>86.544038461538463</v>
      </c>
      <c r="AG79" s="170">
        <v>52</v>
      </c>
      <c r="AH79" s="170">
        <v>4500.29</v>
      </c>
      <c r="AI79" s="179"/>
      <c r="AJ79" s="179"/>
      <c r="AK79" s="3">
        <f>AM79/AL79</f>
        <v>86.543974358974367</v>
      </c>
      <c r="AL79" s="170">
        <v>78</v>
      </c>
      <c r="AM79" s="170">
        <v>6750.43</v>
      </c>
      <c r="AN79" s="179"/>
      <c r="AO79" s="179"/>
      <c r="AP79" s="3">
        <f>AR79/AQ79</f>
        <v>86.543968253968259</v>
      </c>
      <c r="AQ79" s="170">
        <v>63</v>
      </c>
      <c r="AR79" s="170">
        <v>5452.27</v>
      </c>
      <c r="AS79" s="179"/>
      <c r="AT79" s="179"/>
      <c r="AU79" s="3">
        <f>AW79/AV79</f>
        <v>86.543934426229512</v>
      </c>
      <c r="AV79" s="170">
        <v>61</v>
      </c>
      <c r="AW79" s="170">
        <v>5279.18</v>
      </c>
      <c r="AX79" s="179"/>
      <c r="AY79" s="179"/>
      <c r="AZ79" s="3">
        <f>BB79/BA79</f>
        <v>86.544050632911393</v>
      </c>
      <c r="BA79" s="170">
        <v>79</v>
      </c>
      <c r="BB79" s="170">
        <v>6836.98</v>
      </c>
      <c r="BC79" s="179"/>
      <c r="BD79" s="179"/>
      <c r="BE79" s="3" t="e">
        <f>BG79/BF79</f>
        <v>#VALUE!</v>
      </c>
      <c r="BF79" s="170">
        <v>80</v>
      </c>
      <c r="BG79" s="506" t="s">
        <v>374</v>
      </c>
      <c r="BH79" s="179"/>
      <c r="BI79" s="179"/>
      <c r="BJ79" s="3">
        <f>BL79/BK79</f>
        <v>0.11627906976744186</v>
      </c>
      <c r="BK79" s="169">
        <v>43</v>
      </c>
      <c r="BL79" s="169">
        <v>5</v>
      </c>
      <c r="BM79" s="48"/>
      <c r="BN79" s="179"/>
      <c r="BO79" s="3">
        <f>BQ79/BP79</f>
        <v>86.543956043956044</v>
      </c>
      <c r="BP79" s="170">
        <v>91</v>
      </c>
      <c r="BQ79" s="170">
        <v>7875.5</v>
      </c>
      <c r="BR79" s="179"/>
      <c r="BS79" s="179"/>
      <c r="BT79" s="3">
        <f>BV79/BU79</f>
        <v>86.543999999999997</v>
      </c>
      <c r="BU79" s="170">
        <v>90</v>
      </c>
      <c r="BV79" s="170">
        <v>7788.96</v>
      </c>
      <c r="BW79" s="179"/>
      <c r="BX79" s="179"/>
      <c r="BY79" s="3">
        <f>CA79/BZ79</f>
        <v>86.544027777777785</v>
      </c>
      <c r="BZ79" s="170">
        <v>72</v>
      </c>
      <c r="CA79" s="170">
        <v>6231.17</v>
      </c>
      <c r="CB79" s="179"/>
      <c r="CC79" s="179"/>
      <c r="CD79" s="3">
        <f>CF79/CE79</f>
        <v>72.509729729729727</v>
      </c>
      <c r="CE79" s="170">
        <v>37</v>
      </c>
      <c r="CF79" s="170">
        <v>2682.86</v>
      </c>
      <c r="CG79" s="179"/>
      <c r="CH79" s="179"/>
      <c r="CI79" s="3">
        <f>CK79/CJ79</f>
        <v>86.543999999999997</v>
      </c>
      <c r="CJ79" s="170">
        <v>45</v>
      </c>
      <c r="CK79" s="170">
        <v>3894.48</v>
      </c>
      <c r="CL79" s="179"/>
      <c r="CM79" s="179"/>
      <c r="CN79" s="3">
        <f>CP79/CO79</f>
        <v>58.475675675675674</v>
      </c>
      <c r="CO79" s="170">
        <v>37</v>
      </c>
      <c r="CP79" s="170">
        <v>2163.6</v>
      </c>
      <c r="CQ79" s="179"/>
      <c r="CR79" s="179"/>
      <c r="CS79" s="3">
        <f>CU79/CT79</f>
        <v>103.676875</v>
      </c>
      <c r="CT79" s="170">
        <v>16</v>
      </c>
      <c r="CU79" s="170">
        <v>1658.83</v>
      </c>
      <c r="CV79" s="179"/>
      <c r="CW79" s="179"/>
      <c r="CX79" s="3">
        <f>CZ79/CY79</f>
        <v>108.22130434782609</v>
      </c>
      <c r="CY79" s="170">
        <v>46</v>
      </c>
      <c r="CZ79" s="170">
        <v>4978.18</v>
      </c>
      <c r="DA79" s="179"/>
      <c r="DB79" s="179"/>
      <c r="DC79" s="3">
        <f>DE79/DD79</f>
        <v>108.46263157894737</v>
      </c>
      <c r="DD79" s="170">
        <v>38</v>
      </c>
      <c r="DE79" s="170">
        <v>4121.58</v>
      </c>
      <c r="DF79" s="179"/>
      <c r="DG79" s="179"/>
      <c r="DH79" s="3">
        <f>DJ79/DI79</f>
        <v>108.39324999999999</v>
      </c>
      <c r="DI79" s="170">
        <v>40</v>
      </c>
      <c r="DJ79" s="170">
        <v>4335.7299999999996</v>
      </c>
      <c r="DK79" s="179"/>
      <c r="DL79" s="179"/>
      <c r="DM79" s="3">
        <f>DO79/DN79</f>
        <v>108.01696428571428</v>
      </c>
      <c r="DN79" s="170">
        <v>56</v>
      </c>
      <c r="DO79" s="170">
        <v>6048.95</v>
      </c>
      <c r="DP79" s="179"/>
      <c r="DQ79" s="179"/>
      <c r="DR79" s="3">
        <f>DT79/DS79</f>
        <v>107.87439393939394</v>
      </c>
      <c r="DS79" s="170">
        <v>66</v>
      </c>
      <c r="DT79" s="170">
        <v>7119.71</v>
      </c>
      <c r="DU79" s="179"/>
      <c r="DV79" s="179"/>
      <c r="DW79" s="3">
        <f>DY79/DX79</f>
        <v>108.22130434782609</v>
      </c>
      <c r="DX79" s="170">
        <v>46</v>
      </c>
      <c r="DY79" s="170">
        <v>4978.18</v>
      </c>
      <c r="DZ79" s="179"/>
      <c r="EA79" s="179"/>
      <c r="EB79" s="3">
        <f>ED79/EC79</f>
        <v>108.22130434782609</v>
      </c>
      <c r="EC79" s="170">
        <v>46</v>
      </c>
      <c r="ED79" s="170">
        <v>4978.18</v>
      </c>
      <c r="EE79" s="179"/>
      <c r="EF79" s="179"/>
      <c r="EG79" s="3">
        <f>EI79/EH79</f>
        <v>86.544027777777785</v>
      </c>
      <c r="EH79" s="169">
        <v>72</v>
      </c>
      <c r="EI79" s="169">
        <v>6231.17</v>
      </c>
      <c r="EJ79" s="48"/>
      <c r="EK79" s="179"/>
      <c r="EL79" s="3">
        <f>EN79/EM79</f>
        <v>72.509729729729727</v>
      </c>
      <c r="EM79" s="169">
        <v>37</v>
      </c>
      <c r="EN79" s="169">
        <v>2682.86</v>
      </c>
      <c r="EO79" s="48"/>
      <c r="EP79" s="179"/>
      <c r="EQ79" s="3">
        <f>ES79/ER79</f>
        <v>108.58142857142857</v>
      </c>
      <c r="ER79" s="170">
        <v>35</v>
      </c>
      <c r="ES79" s="170">
        <v>3800.35</v>
      </c>
      <c r="ET79" s="179"/>
      <c r="EU79" s="179"/>
      <c r="EV79" s="3">
        <f>EX79/EW79</f>
        <v>108.27340909090908</v>
      </c>
      <c r="EW79" s="170">
        <v>44</v>
      </c>
      <c r="EX79" s="170">
        <v>4764.03</v>
      </c>
      <c r="EY79" s="179"/>
      <c r="EZ79" s="179"/>
      <c r="FA79" s="3">
        <f>FC79/FB79</f>
        <v>108.42692307692307</v>
      </c>
      <c r="FB79" s="170">
        <v>39</v>
      </c>
      <c r="FC79" s="506">
        <v>4228.6499999999996</v>
      </c>
      <c r="FD79" s="179"/>
      <c r="FE79" s="179"/>
      <c r="FF79" s="3">
        <f>FH79/FG79</f>
        <v>108.3013953488372</v>
      </c>
      <c r="FG79" s="170">
        <v>43</v>
      </c>
      <c r="FH79" s="506">
        <v>4656.96</v>
      </c>
      <c r="FI79" s="179"/>
      <c r="FJ79" s="179"/>
      <c r="FK79" s="3">
        <f>FM79/FL79</f>
        <v>108.33047619047619</v>
      </c>
      <c r="FL79" s="170">
        <v>42</v>
      </c>
      <c r="FM79" s="170">
        <v>4549.88</v>
      </c>
      <c r="FN79" s="179"/>
      <c r="FO79" s="179"/>
      <c r="FP79" s="3">
        <f>FR79/FQ79</f>
        <v>107.87424242424242</v>
      </c>
      <c r="FQ79" s="170">
        <v>66</v>
      </c>
      <c r="FR79" s="170">
        <v>7119.7</v>
      </c>
      <c r="FS79" s="179"/>
      <c r="FT79" s="179"/>
      <c r="FU79" s="3">
        <f>FW79/FV79</f>
        <v>108.01696428571428</v>
      </c>
      <c r="FV79" s="169">
        <v>56</v>
      </c>
      <c r="FW79" s="169">
        <v>6048.95</v>
      </c>
      <c r="FX79" s="48"/>
      <c r="FY79" s="179"/>
      <c r="FZ79" s="3">
        <f>GB79/GA79</f>
        <v>0.11627906976744186</v>
      </c>
      <c r="GA79" s="169">
        <v>43</v>
      </c>
      <c r="GB79" s="169">
        <v>5</v>
      </c>
      <c r="GC79" s="48"/>
      <c r="GD79" s="179"/>
      <c r="GE79" s="3">
        <f>GG79/GF79</f>
        <v>0.11627906976744186</v>
      </c>
      <c r="GF79" s="169">
        <v>43</v>
      </c>
      <c r="GG79" s="169">
        <v>5</v>
      </c>
      <c r="GH79" s="48"/>
      <c r="GI79" s="179"/>
      <c r="GJ79" s="285">
        <f>GL79/GK79</f>
        <v>117.634625</v>
      </c>
      <c r="GK79" s="169">
        <v>80</v>
      </c>
      <c r="GL79" s="169">
        <v>9410.77</v>
      </c>
      <c r="GM79" s="48"/>
      <c r="GN79" s="179"/>
      <c r="GO79" s="3">
        <f>GQ79/GP79</f>
        <v>117.83983606557376</v>
      </c>
      <c r="GP79" s="170">
        <v>61</v>
      </c>
      <c r="GQ79" s="170">
        <v>7188.23</v>
      </c>
      <c r="GR79" s="179"/>
      <c r="GS79" s="179"/>
      <c r="GT79" s="3">
        <f>GV79/GU79</f>
        <v>118.14688888888888</v>
      </c>
      <c r="GU79" s="170">
        <v>45</v>
      </c>
      <c r="GV79" s="170">
        <v>5316.61</v>
      </c>
      <c r="GW79" s="179"/>
      <c r="GX79" s="179"/>
      <c r="GY79" s="3">
        <f>HA79/GZ79</f>
        <v>108.58142857142857</v>
      </c>
      <c r="GZ79" s="169">
        <v>35</v>
      </c>
      <c r="HA79" s="169">
        <v>3800.35</v>
      </c>
      <c r="HB79" s="48"/>
      <c r="HC79" s="179"/>
      <c r="HD79" s="3">
        <f>HF79/HE79</f>
        <v>108.27340909090908</v>
      </c>
      <c r="HE79" s="169">
        <v>44</v>
      </c>
      <c r="HF79" s="169">
        <v>4764.03</v>
      </c>
      <c r="HG79" s="48"/>
      <c r="HH79" s="179"/>
      <c r="HI79" s="3">
        <f>HK79/HJ79</f>
        <v>108.42692307692307</v>
      </c>
      <c r="HJ79" s="169">
        <v>39</v>
      </c>
      <c r="HK79" s="737">
        <v>4228.6499999999996</v>
      </c>
      <c r="HL79" s="48"/>
      <c r="HM79" s="179"/>
      <c r="HN79" s="3">
        <f>HP79/HO79</f>
        <v>108.3013953488372</v>
      </c>
      <c r="HO79" s="169">
        <v>43</v>
      </c>
      <c r="HP79" s="737">
        <v>4656.96</v>
      </c>
      <c r="HQ79" s="48"/>
      <c r="HR79" s="179"/>
      <c r="HS79" s="3">
        <f>HU79/HT79</f>
        <v>108.33047619047619</v>
      </c>
      <c r="HT79" s="169">
        <v>42</v>
      </c>
      <c r="HU79" s="169">
        <v>4549.88</v>
      </c>
      <c r="HV79" s="48"/>
      <c r="HW79" s="179"/>
      <c r="HX79" s="3">
        <f>HZ79/HY79</f>
        <v>107.87424242424242</v>
      </c>
      <c r="HY79" s="169">
        <v>66</v>
      </c>
      <c r="HZ79" s="169">
        <v>7119.7</v>
      </c>
      <c r="IA79" s="48"/>
      <c r="IB79" s="179"/>
      <c r="IC79" s="3">
        <f>IE79/ID79</f>
        <v>108.01696428571428</v>
      </c>
      <c r="ID79" s="169">
        <v>56</v>
      </c>
      <c r="IE79" s="169">
        <v>6048.95</v>
      </c>
      <c r="IF79" s="48"/>
      <c r="IG79" s="179"/>
      <c r="IH79" s="3">
        <f>IJ79/II79</f>
        <v>0.11627906976744186</v>
      </c>
      <c r="II79" s="169">
        <v>43</v>
      </c>
      <c r="IJ79" s="169">
        <v>5</v>
      </c>
      <c r="IK79" s="48"/>
      <c r="IL79" s="179"/>
      <c r="IM79" s="3">
        <f>IO79/IN79</f>
        <v>0.11627906976744186</v>
      </c>
      <c r="IN79" s="169">
        <v>43</v>
      </c>
      <c r="IO79" s="169">
        <v>5</v>
      </c>
      <c r="IP79" s="48"/>
      <c r="IQ79" s="179"/>
    </row>
    <row r="80" spans="1:251" s="249" customFormat="1" ht="15" customHeight="1">
      <c r="A80" s="649"/>
      <c r="B80" s="265" t="s">
        <v>305</v>
      </c>
      <c r="C80" s="5" t="s">
        <v>51</v>
      </c>
      <c r="D80" s="6" t="s">
        <v>19</v>
      </c>
      <c r="E80" s="7" t="s">
        <v>10</v>
      </c>
      <c r="F80" s="4"/>
      <c r="G80" s="196"/>
      <c r="H80" s="197"/>
      <c r="I80" s="197"/>
      <c r="J80" s="38"/>
      <c r="K80" s="206"/>
      <c r="L80" s="196"/>
      <c r="M80" s="197"/>
      <c r="N80" s="197"/>
      <c r="O80" s="38"/>
      <c r="P80" s="206"/>
      <c r="Q80" s="196"/>
      <c r="R80" s="197"/>
      <c r="S80" s="197"/>
      <c r="T80" s="38"/>
      <c r="U80" s="206"/>
      <c r="V80" s="207"/>
      <c r="W80" s="197"/>
      <c r="X80" s="204">
        <v>2211</v>
      </c>
      <c r="Y80" s="38"/>
      <c r="Z80" s="383">
        <f>SUM(X80:X84)*1.1</f>
        <v>113247.20000000001</v>
      </c>
      <c r="AA80" s="36"/>
      <c r="AB80" s="197"/>
      <c r="AC80" s="197"/>
      <c r="AD80" s="38"/>
      <c r="AE80" s="383">
        <f>SUM(AC80:AC84)*1.1</f>
        <v>112196.018</v>
      </c>
      <c r="AF80" s="36"/>
      <c r="AG80" s="197"/>
      <c r="AH80" s="204">
        <v>2211</v>
      </c>
      <c r="AI80" s="38"/>
      <c r="AJ80" s="383">
        <f>SUM(AH80:AH84)*1.1</f>
        <v>107102.40200000002</v>
      </c>
      <c r="AK80" s="36"/>
      <c r="AL80" s="197"/>
      <c r="AM80" s="204">
        <v>1769</v>
      </c>
      <c r="AN80" s="38"/>
      <c r="AO80" s="383">
        <f>AO81*1.2</f>
        <v>133473.35999999999</v>
      </c>
      <c r="AP80" s="36"/>
      <c r="AQ80" s="197"/>
      <c r="AR80" s="204">
        <v>1769</v>
      </c>
      <c r="AS80" s="38"/>
      <c r="AT80" s="383">
        <f>SUM(AR80:AR84)*1.1</f>
        <v>142492.46</v>
      </c>
      <c r="AU80" s="36"/>
      <c r="AV80" s="197"/>
      <c r="AW80" s="197"/>
      <c r="AX80" s="38"/>
      <c r="AY80" s="383">
        <f>SUM(AW80:AW84)*1.1</f>
        <v>163428.595</v>
      </c>
      <c r="AZ80" s="36"/>
      <c r="BA80" s="197"/>
      <c r="BB80" s="197"/>
      <c r="BC80" s="38"/>
      <c r="BD80" s="383">
        <f>SUM(BB80:BB84)*1.1</f>
        <v>161806.139</v>
      </c>
      <c r="BE80" s="36"/>
      <c r="BF80" s="197"/>
      <c r="BG80" s="197"/>
      <c r="BH80" s="38"/>
      <c r="BI80" s="383">
        <f>SUM(BG80:BG84)*1.1</f>
        <v>147748.41399999999</v>
      </c>
      <c r="BJ80" s="36"/>
      <c r="BK80" s="197"/>
      <c r="BL80" s="197"/>
      <c r="BM80" s="38"/>
      <c r="BN80" s="383">
        <f>SUM(BL80:BL84)*1.1</f>
        <v>157973.55200000003</v>
      </c>
      <c r="BO80" s="36"/>
      <c r="BP80" s="197"/>
      <c r="BQ80" s="197"/>
      <c r="BR80" s="38"/>
      <c r="BS80" s="383">
        <f>SUM(BQ80:BQ84)*1.1</f>
        <v>167296.38200000001</v>
      </c>
      <c r="BT80" s="36"/>
      <c r="BU80" s="197"/>
      <c r="BV80" s="197"/>
      <c r="BW80" s="38"/>
      <c r="BX80" s="383">
        <f>SUM(BV80:BV84)*1.1</f>
        <v>178834.65600000002</v>
      </c>
      <c r="BY80" s="36"/>
      <c r="BZ80" s="197"/>
      <c r="CA80" s="197"/>
      <c r="CB80" s="38"/>
      <c r="CC80" s="383">
        <f>SUM(CA80:CA84)*1.1</f>
        <v>146745.66500000001</v>
      </c>
      <c r="CD80" s="36"/>
      <c r="CE80" s="197"/>
      <c r="CF80" s="197"/>
      <c r="CG80" s="38"/>
      <c r="CH80" s="383">
        <f>SUM(CF80:CF84)*1.1</f>
        <v>150132.136</v>
      </c>
      <c r="CI80" s="36"/>
      <c r="CJ80" s="197"/>
      <c r="CK80" s="197"/>
      <c r="CL80" s="38"/>
      <c r="CM80" s="383">
        <f>SUM(CK80:CK84)*1.1</f>
        <v>115202.74700000002</v>
      </c>
      <c r="CN80" s="36"/>
      <c r="CO80" s="197"/>
      <c r="CP80" s="197"/>
      <c r="CQ80" s="38"/>
      <c r="CR80" s="383">
        <f>SUM(CP80:CP84)*1.1</f>
        <v>145659.56899999999</v>
      </c>
      <c r="CS80" s="36"/>
      <c r="CT80" s="197"/>
      <c r="CU80" s="197"/>
      <c r="CV80" s="38"/>
      <c r="CW80" s="383">
        <f>SUM(CU80:CU84)*1.1</f>
        <v>157611.32199999996</v>
      </c>
      <c r="CX80" s="36"/>
      <c r="CY80" s="197"/>
      <c r="CZ80" s="197"/>
      <c r="DA80" s="38"/>
      <c r="DB80" s="383">
        <f>SUM(CZ80:CZ84)*1.1</f>
        <v>178710.86200000002</v>
      </c>
      <c r="DC80" s="36"/>
      <c r="DD80" s="197"/>
      <c r="DE80" s="197"/>
      <c r="DF80" s="38"/>
      <c r="DG80" s="383">
        <f>SUM(DE80:DE84)*1.1</f>
        <v>75968.321000000011</v>
      </c>
      <c r="DH80" s="36"/>
      <c r="DI80" s="197"/>
      <c r="DJ80" s="197"/>
      <c r="DK80" s="38"/>
      <c r="DL80" s="383">
        <f>SUM(DJ80:DJ84)*1.1</f>
        <v>185346.13900000002</v>
      </c>
      <c r="DM80" s="36"/>
      <c r="DN80" s="197"/>
      <c r="DO80" s="197"/>
      <c r="DP80" s="38"/>
      <c r="DQ80" s="383">
        <f>SUM(DO80:DO84)*1.1</f>
        <v>185666.62400000001</v>
      </c>
      <c r="DR80" s="36"/>
      <c r="DS80" s="197"/>
      <c r="DT80" s="197"/>
      <c r="DU80" s="38"/>
      <c r="DV80" s="383">
        <f>SUM(DT80:DT84)*1.1</f>
        <v>181758.86300000004</v>
      </c>
      <c r="DW80" s="36"/>
      <c r="DX80" s="197"/>
      <c r="DY80" s="197"/>
      <c r="DZ80" s="38"/>
      <c r="EA80" s="383">
        <f>SUM(DY80:DY84)*1.1</f>
        <v>173479.02000000002</v>
      </c>
      <c r="EB80" s="36"/>
      <c r="EC80" s="197"/>
      <c r="ED80" s="197"/>
      <c r="EE80" s="38"/>
      <c r="EF80" s="383">
        <f>SUM(ED80:ED84)*1.1</f>
        <v>195081.16100000002</v>
      </c>
      <c r="EG80" s="36"/>
      <c r="EH80" s="197"/>
      <c r="EI80" s="197"/>
      <c r="EJ80" s="38"/>
      <c r="EK80" s="383">
        <f>SUM(EI80:EI84)*1.1</f>
        <v>146745.66500000001</v>
      </c>
      <c r="EL80" s="36"/>
      <c r="EM80" s="197"/>
      <c r="EN80" s="197"/>
      <c r="EO80" s="38"/>
      <c r="EP80" s="383">
        <f>SUM(EN80:EN84)*1.1</f>
        <v>184161.16400000002</v>
      </c>
      <c r="EQ80" s="36"/>
      <c r="ER80" s="197"/>
      <c r="ES80" s="197"/>
      <c r="ET80" s="38"/>
      <c r="EU80" s="383">
        <f>SUM(ES80:ES84)*1.1</f>
        <v>115202.74700000002</v>
      </c>
      <c r="EV80" s="36"/>
      <c r="EW80" s="197"/>
      <c r="EX80" s="197"/>
      <c r="EY80" s="38"/>
      <c r="EZ80" s="383">
        <f>SUM(EX80:EX84)*1.1</f>
        <v>150646.122</v>
      </c>
      <c r="FA80" s="36"/>
      <c r="FB80" s="197"/>
      <c r="FC80" s="197"/>
      <c r="FD80" s="38"/>
      <c r="FE80" s="383">
        <f>SUM(FC80:FC84)*1.1</f>
        <v>167893.81400000001</v>
      </c>
      <c r="FF80" s="36"/>
      <c r="FG80" s="197"/>
      <c r="FH80" s="197"/>
      <c r="FI80" s="38"/>
      <c r="FJ80" s="383">
        <f>SUM(FH80:FH84)*1.1</f>
        <v>214443.03100000002</v>
      </c>
      <c r="FK80" s="36"/>
      <c r="FL80" s="197"/>
      <c r="FM80" s="197"/>
      <c r="FN80" s="38"/>
      <c r="FO80" s="383">
        <f>SUM(FM80:FM84)*1.1</f>
        <v>220204.47899999999</v>
      </c>
      <c r="FP80" s="36"/>
      <c r="FQ80" s="197"/>
      <c r="FR80" s="197"/>
      <c r="FS80" s="38"/>
      <c r="FT80" s="383">
        <f>SUM(FR80:FR84)*1.1</f>
        <v>172663.06200000003</v>
      </c>
      <c r="FU80" s="36"/>
      <c r="FV80" s="197"/>
      <c r="FW80" s="197"/>
      <c r="FX80" s="38"/>
      <c r="FY80" s="383">
        <f>SUM(FW80:FW84)*1.1</f>
        <v>199239.56800000003</v>
      </c>
      <c r="FZ80" s="36"/>
      <c r="GA80" s="197"/>
      <c r="GB80" s="197"/>
      <c r="GC80" s="38"/>
      <c r="GD80" s="383">
        <f>SUM(GB80:GB84)*1.1</f>
        <v>178214.58600000001</v>
      </c>
      <c r="GE80" s="36"/>
      <c r="GF80" s="197"/>
      <c r="GG80" s="197"/>
      <c r="GH80" s="38"/>
      <c r="GI80" s="383">
        <f>SUM(GG80:GG84)*1.1</f>
        <v>75968.321000000011</v>
      </c>
      <c r="GJ80" s="280"/>
      <c r="GK80" s="197"/>
      <c r="GL80" s="197"/>
      <c r="GM80" s="38"/>
      <c r="GN80" s="383">
        <f>SUM(GL80:GL84)*1.1</f>
        <v>197195.80100000001</v>
      </c>
      <c r="GO80" s="36"/>
      <c r="GP80" s="197"/>
      <c r="GQ80" s="197"/>
      <c r="GR80" s="38"/>
      <c r="GS80" s="383">
        <f>SUM(GQ80:GQ84)*1.1</f>
        <v>197538.891</v>
      </c>
      <c r="GT80" s="36"/>
      <c r="GU80" s="197"/>
      <c r="GV80" s="197"/>
      <c r="GW80" s="38"/>
      <c r="GX80" s="383">
        <f>SUM(GV80:GV84)*1.1</f>
        <v>244080.52900000001</v>
      </c>
      <c r="GY80" s="36"/>
      <c r="GZ80" s="197"/>
      <c r="HA80" s="197"/>
      <c r="HB80" s="38"/>
      <c r="HC80" s="383">
        <f>SUM(HA80:HA84)*1.1</f>
        <v>115202.74700000002</v>
      </c>
      <c r="HD80" s="36"/>
      <c r="HE80" s="197"/>
      <c r="HF80" s="197"/>
      <c r="HG80" s="38"/>
      <c r="HH80" s="383">
        <f>SUM(HF80:HF84)*1.1</f>
        <v>150646.122</v>
      </c>
      <c r="HI80" s="36"/>
      <c r="HJ80" s="197"/>
      <c r="HK80" s="197"/>
      <c r="HL80" s="38"/>
      <c r="HM80" s="383">
        <f>SUM(HK80:HK84)*1.1</f>
        <v>167893.81400000001</v>
      </c>
      <c r="HN80" s="36"/>
      <c r="HO80" s="197"/>
      <c r="HP80" s="197"/>
      <c r="HQ80" s="38"/>
      <c r="HR80" s="383">
        <f>SUM(HP80:HP84)*1.1</f>
        <v>214443.03100000002</v>
      </c>
      <c r="HS80" s="36"/>
      <c r="HT80" s="197"/>
      <c r="HU80" s="197"/>
      <c r="HV80" s="38"/>
      <c r="HW80" s="383">
        <f>SUM(HU80:HU84)*1.1</f>
        <v>220204.47899999999</v>
      </c>
      <c r="HX80" s="36"/>
      <c r="HY80" s="197"/>
      <c r="HZ80" s="197"/>
      <c r="IA80" s="38"/>
      <c r="IB80" s="383">
        <f>SUM(HZ80:HZ84)*1.1</f>
        <v>172663.06200000003</v>
      </c>
      <c r="IC80" s="36"/>
      <c r="ID80" s="197"/>
      <c r="IE80" s="197"/>
      <c r="IF80" s="38"/>
      <c r="IG80" s="383">
        <f>SUM(IE80:IE84)*1.1</f>
        <v>185666.62400000001</v>
      </c>
      <c r="IH80" s="36"/>
      <c r="II80" s="197"/>
      <c r="IJ80" s="197"/>
      <c r="IK80" s="38"/>
      <c r="IL80" s="383">
        <f>SUM(IJ80:IJ84)*1.1</f>
        <v>75968.321000000011</v>
      </c>
      <c r="IM80" s="36"/>
      <c r="IN80" s="197"/>
      <c r="IO80" s="197"/>
      <c r="IP80" s="38"/>
      <c r="IQ80" s="383">
        <f>SUM(IO80:IO84)*1.1</f>
        <v>75968.321000000011</v>
      </c>
    </row>
    <row r="81" spans="1:251" ht="15" customHeight="1">
      <c r="A81" s="647"/>
      <c r="B81" s="256" t="s">
        <v>443</v>
      </c>
      <c r="C81" s="215">
        <v>41305755</v>
      </c>
      <c r="D81" s="45" t="s">
        <v>52</v>
      </c>
      <c r="E81" s="216" t="s">
        <v>11</v>
      </c>
      <c r="F81" s="22"/>
      <c r="G81" s="103">
        <f>I81/H81</f>
        <v>9.1199968384445143</v>
      </c>
      <c r="H81" s="69">
        <v>632.6</v>
      </c>
      <c r="I81" s="70">
        <v>5769.31</v>
      </c>
      <c r="J81" s="81"/>
      <c r="K81" s="88"/>
      <c r="L81" s="103">
        <f>N81/M81</f>
        <v>9.1600063231109701</v>
      </c>
      <c r="M81" s="69">
        <v>632.6</v>
      </c>
      <c r="N81" s="70">
        <v>5794.62</v>
      </c>
      <c r="O81" s="81"/>
      <c r="P81" s="88"/>
      <c r="Q81" s="103">
        <f>S81/R81</f>
        <v>9.0100063231109697</v>
      </c>
      <c r="R81" s="69">
        <v>632.6</v>
      </c>
      <c r="S81" s="70">
        <v>5699.73</v>
      </c>
      <c r="T81" s="81"/>
      <c r="U81" s="88"/>
      <c r="V81" s="47">
        <f>X81/W81</f>
        <v>9.1199968384445143</v>
      </c>
      <c r="W81" s="69">
        <v>632.6</v>
      </c>
      <c r="X81" s="70">
        <v>5769.31</v>
      </c>
      <c r="Y81" s="81"/>
      <c r="Z81" s="403">
        <f>SUM(X80:X84)*1</f>
        <v>102952</v>
      </c>
      <c r="AA81" s="46">
        <f>AC81/AB81</f>
        <v>9.419996838444515</v>
      </c>
      <c r="AB81" s="69">
        <v>632.6</v>
      </c>
      <c r="AC81" s="70">
        <v>5959.09</v>
      </c>
      <c r="AD81" s="81"/>
      <c r="AE81" s="403">
        <f>SUM(AC80:AC84)*1</f>
        <v>101996.37999999999</v>
      </c>
      <c r="AF81" s="46">
        <f>AH81/AG81</f>
        <v>9.2899936768890292</v>
      </c>
      <c r="AG81" s="69">
        <v>632.6</v>
      </c>
      <c r="AH81" s="70">
        <v>5876.85</v>
      </c>
      <c r="AI81" s="81"/>
      <c r="AJ81" s="403">
        <f>SUM(AH80:AH84)*1</f>
        <v>97365.82</v>
      </c>
      <c r="AK81" s="46">
        <f>AM81/AL81</f>
        <v>9.25</v>
      </c>
      <c r="AL81" s="69">
        <v>632.6</v>
      </c>
      <c r="AM81" s="70">
        <v>5851.55</v>
      </c>
      <c r="AN81" s="81"/>
      <c r="AO81" s="403">
        <f>SUM(AM80:AM84)*1</f>
        <v>111227.8</v>
      </c>
      <c r="AP81" s="46">
        <f>AR81/AQ81</f>
        <v>9.419996838444515</v>
      </c>
      <c r="AQ81" s="69">
        <v>632.6</v>
      </c>
      <c r="AR81" s="70">
        <v>5959.09</v>
      </c>
      <c r="AS81" s="81"/>
      <c r="AT81" s="403">
        <f>SUM(AR80:AR84)*1</f>
        <v>129538.59999999999</v>
      </c>
      <c r="AU81" s="46">
        <f>AW81/AV81</f>
        <v>8.830003161555485</v>
      </c>
      <c r="AV81" s="69">
        <v>632.6</v>
      </c>
      <c r="AW81" s="70">
        <v>5585.86</v>
      </c>
      <c r="AX81" s="81"/>
      <c r="AY81" s="403">
        <f>SUM(AW80:AW84)*1</f>
        <v>148571.44999999998</v>
      </c>
      <c r="AZ81" s="46">
        <f>BB81/BA81</f>
        <v>9.1100063231109694</v>
      </c>
      <c r="BA81" s="69">
        <v>632.6</v>
      </c>
      <c r="BB81" s="70">
        <v>5762.99</v>
      </c>
      <c r="BC81" s="81"/>
      <c r="BD81" s="403">
        <f>SUM(BB80:BB84)*1</f>
        <v>147096.49</v>
      </c>
      <c r="BE81" s="46">
        <f>BG81/BF81</f>
        <v>9.9699968384445157</v>
      </c>
      <c r="BF81" s="69">
        <v>632.6</v>
      </c>
      <c r="BG81" s="70">
        <v>6307.02</v>
      </c>
      <c r="BH81" s="81"/>
      <c r="BI81" s="403">
        <f>SUM(BG80:BG84)*1</f>
        <v>134316.74</v>
      </c>
      <c r="BJ81" s="46">
        <f>BL81/BK81</f>
        <v>10.01000632311097</v>
      </c>
      <c r="BK81" s="69">
        <v>632.6</v>
      </c>
      <c r="BL81" s="70">
        <v>6332.33</v>
      </c>
      <c r="BM81" s="81"/>
      <c r="BN81" s="403">
        <f>SUM(BL80:BL84)*1</f>
        <v>143612.32</v>
      </c>
      <c r="BO81" s="46">
        <f>BQ81/BP81</f>
        <v>10.139993676889029</v>
      </c>
      <c r="BP81" s="69">
        <v>632.6</v>
      </c>
      <c r="BQ81" s="70">
        <v>6414.56</v>
      </c>
      <c r="BR81" s="81"/>
      <c r="BS81" s="403">
        <f>SUM(BQ80:BQ84)*1</f>
        <v>152087.62</v>
      </c>
      <c r="BT81" s="46">
        <f>BV81/BU81</f>
        <v>10.06000632311097</v>
      </c>
      <c r="BU81" s="69">
        <v>632.6</v>
      </c>
      <c r="BV81" s="70">
        <v>6363.96</v>
      </c>
      <c r="BW81" s="81"/>
      <c r="BX81" s="403">
        <f>SUM(BV80:BV84)*1</f>
        <v>162576.95999999999</v>
      </c>
      <c r="BY81" s="46">
        <f>CA81/BZ81</f>
        <v>10.16000632311097</v>
      </c>
      <c r="BZ81" s="69">
        <v>632.6</v>
      </c>
      <c r="CA81" s="70">
        <v>6427.22</v>
      </c>
      <c r="CB81" s="81"/>
      <c r="CC81" s="403">
        <f>SUM(CA80:CA84)*1</f>
        <v>133405.15</v>
      </c>
      <c r="CD81" s="46">
        <f>CF81/CE81</f>
        <v>10.780003161555486</v>
      </c>
      <c r="CE81" s="69">
        <v>632.6</v>
      </c>
      <c r="CF81" s="70">
        <v>6819.43</v>
      </c>
      <c r="CG81" s="81"/>
      <c r="CH81" s="403">
        <f>SUM(CF80:CF84)*1</f>
        <v>136483.75999999998</v>
      </c>
      <c r="CI81" s="46">
        <f>CK81/CJ81</f>
        <v>11.089993676889028</v>
      </c>
      <c r="CJ81" s="69">
        <v>632.6</v>
      </c>
      <c r="CK81" s="70">
        <v>7015.53</v>
      </c>
      <c r="CL81" s="81"/>
      <c r="CM81" s="403">
        <f>SUM(CK80:CK84)*1</f>
        <v>104729.77</v>
      </c>
      <c r="CN81" s="46">
        <f>CP81/CO81</f>
        <v>10.819996838444514</v>
      </c>
      <c r="CO81" s="69">
        <v>632.6</v>
      </c>
      <c r="CP81" s="70">
        <v>6844.73</v>
      </c>
      <c r="CQ81" s="81"/>
      <c r="CR81" s="403">
        <f>SUM(CP80:CP84)*1</f>
        <v>132417.78999999998</v>
      </c>
      <c r="CS81" s="46">
        <f>CU81/CT81</f>
        <v>10.569996838444514</v>
      </c>
      <c r="CT81" s="69">
        <v>632.6</v>
      </c>
      <c r="CU81" s="70">
        <v>6686.58</v>
      </c>
      <c r="CV81" s="81"/>
      <c r="CW81" s="403">
        <f>SUM(CU80:CU84)*1</f>
        <v>143283.01999999996</v>
      </c>
      <c r="CX81" s="46">
        <f>CZ81/CY81</f>
        <v>10.55</v>
      </c>
      <c r="CY81" s="69">
        <v>632.6</v>
      </c>
      <c r="CZ81" s="70">
        <v>6673.93</v>
      </c>
      <c r="DA81" s="81"/>
      <c r="DB81" s="403">
        <f>SUM(CZ80:CZ84)*1</f>
        <v>162464.42000000001</v>
      </c>
      <c r="DC81" s="46">
        <f>DE81/DD81</f>
        <v>9.1199968384445143</v>
      </c>
      <c r="DD81" s="58">
        <v>632.6</v>
      </c>
      <c r="DE81" s="70">
        <v>5769.31</v>
      </c>
      <c r="DF81" s="44"/>
      <c r="DG81" s="403">
        <f>SUM(DE80:DE84)*1</f>
        <v>69062.11</v>
      </c>
      <c r="DH81" s="46">
        <f>DJ81/DI81</f>
        <v>11.16000632311097</v>
      </c>
      <c r="DI81" s="69">
        <v>632.6</v>
      </c>
      <c r="DJ81" s="70">
        <v>7059.82</v>
      </c>
      <c r="DK81" s="81"/>
      <c r="DL81" s="403">
        <f>SUM(DJ80:DJ84)*1</f>
        <v>168496.49000000002</v>
      </c>
      <c r="DM81" s="46">
        <f>DO81/DN81</f>
        <v>11.269996838444515</v>
      </c>
      <c r="DN81" s="69">
        <v>632.6</v>
      </c>
      <c r="DO81" s="70">
        <v>7129.4</v>
      </c>
      <c r="DP81" s="81"/>
      <c r="DQ81" s="403">
        <f>SUM(DO80:DO84)*1</f>
        <v>168787.84</v>
      </c>
      <c r="DR81" s="46">
        <f>DT81/DS81</f>
        <v>11.119996838444514</v>
      </c>
      <c r="DS81" s="69">
        <v>632.6</v>
      </c>
      <c r="DT81" s="70">
        <v>7034.51</v>
      </c>
      <c r="DU81" s="81"/>
      <c r="DV81" s="403">
        <f>SUM(DT80:DT84)*1</f>
        <v>165235.33000000002</v>
      </c>
      <c r="DW81" s="46">
        <f>DY81/DX81</f>
        <v>10.739993676889029</v>
      </c>
      <c r="DX81" s="69">
        <v>632.6</v>
      </c>
      <c r="DY81" s="70">
        <v>6794.12</v>
      </c>
      <c r="DZ81" s="81"/>
      <c r="EA81" s="403">
        <f>SUM(DY80:DY84)*1</f>
        <v>157708.20000000001</v>
      </c>
      <c r="EB81" s="46">
        <f>ED81/EC81</f>
        <v>10.119996838444514</v>
      </c>
      <c r="EC81" s="69">
        <v>632.6</v>
      </c>
      <c r="ED81" s="70">
        <v>6401.91</v>
      </c>
      <c r="EE81" s="81"/>
      <c r="EF81" s="403">
        <f>SUM(ED80:ED84)*1</f>
        <v>177346.51</v>
      </c>
      <c r="EG81" s="46">
        <f>EI81/EH81</f>
        <v>10.16000632311097</v>
      </c>
      <c r="EH81" s="58">
        <v>632.6</v>
      </c>
      <c r="EI81" s="62">
        <v>6427.22</v>
      </c>
      <c r="EJ81" s="44"/>
      <c r="EK81" s="403">
        <f>SUM(EI80:EI84)*1</f>
        <v>133405.15</v>
      </c>
      <c r="EL81" s="46">
        <f>EN81/EM81</f>
        <v>9.7199968384445139</v>
      </c>
      <c r="EM81" s="69">
        <v>632.6</v>
      </c>
      <c r="EN81" s="70">
        <v>6148.87</v>
      </c>
      <c r="EO81" s="81"/>
      <c r="EP81" s="403">
        <f>SUM(EN80:EN84)*1</f>
        <v>167419.24</v>
      </c>
      <c r="EQ81" s="46">
        <f>ES81/ER81</f>
        <v>11.089993676889028</v>
      </c>
      <c r="ER81" s="58">
        <v>632.6</v>
      </c>
      <c r="ES81" s="62">
        <v>7015.53</v>
      </c>
      <c r="ET81" s="44"/>
      <c r="EU81" s="403">
        <f>SUM(ES80:ES84)*1</f>
        <v>104729.77</v>
      </c>
      <c r="EV81" s="46">
        <f>EX81/EW81</f>
        <v>10.819996838444514</v>
      </c>
      <c r="EW81" s="58">
        <v>632.6</v>
      </c>
      <c r="EX81" s="62">
        <v>6844.73</v>
      </c>
      <c r="EY81" s="44"/>
      <c r="EZ81" s="403">
        <f>SUM(EX80:EX84)*1</f>
        <v>136951.01999999999</v>
      </c>
      <c r="FA81" s="46">
        <f>FC81/FB81</f>
        <v>10.649984192222574</v>
      </c>
      <c r="FB81" s="69">
        <v>632.6</v>
      </c>
      <c r="FC81" s="70">
        <v>6737.18</v>
      </c>
      <c r="FD81" s="81"/>
      <c r="FE81" s="403">
        <f>SUM(FC80:FC84)*1</f>
        <v>152630.74</v>
      </c>
      <c r="FF81" s="46">
        <f>FH81/FG81</f>
        <v>10.889993676889029</v>
      </c>
      <c r="FG81" s="69">
        <v>632.6</v>
      </c>
      <c r="FH81" s="70">
        <v>6889.01</v>
      </c>
      <c r="FI81" s="81"/>
      <c r="FJ81" s="403">
        <f>SUM(FH80:FH84)*1</f>
        <v>194948.21</v>
      </c>
      <c r="FK81" s="46">
        <f>FM81/FL81</f>
        <v>10.649999999999999</v>
      </c>
      <c r="FL81" s="69">
        <v>632.6</v>
      </c>
      <c r="FM81" s="70">
        <v>6737.19</v>
      </c>
      <c r="FN81" s="81"/>
      <c r="FO81" s="403">
        <f>SUM(FM80:FM84)*1</f>
        <v>200185.88999999998</v>
      </c>
      <c r="FP81" s="46">
        <f>FR81/FQ81</f>
        <v>10.969996838444514</v>
      </c>
      <c r="FQ81" s="69">
        <v>632.6</v>
      </c>
      <c r="FR81" s="70">
        <v>6939.62</v>
      </c>
      <c r="FS81" s="81"/>
      <c r="FT81" s="403">
        <f>SUM(FR80:FR84)*1</f>
        <v>156966.42000000001</v>
      </c>
      <c r="FU81" s="46">
        <f>FW81/FV81</f>
        <v>11.069996838444515</v>
      </c>
      <c r="FV81" s="69">
        <v>632.6</v>
      </c>
      <c r="FW81" s="70">
        <v>7002.88</v>
      </c>
      <c r="FX81" s="81"/>
      <c r="FY81" s="403">
        <f>SUM(FW80:FW84)*1</f>
        <v>181126.88</v>
      </c>
      <c r="FZ81" s="46">
        <f>GB81/GA81</f>
        <v>11.33999367688903</v>
      </c>
      <c r="GA81" s="69">
        <v>632.6</v>
      </c>
      <c r="GB81" s="70">
        <v>7173.68</v>
      </c>
      <c r="GC81" s="81"/>
      <c r="GD81" s="403">
        <f>SUM(GB80:GB84)*1</f>
        <v>162013.26</v>
      </c>
      <c r="GE81" s="46">
        <f>GG81/GF81</f>
        <v>9.1199968384445143</v>
      </c>
      <c r="GF81" s="58">
        <v>632.6</v>
      </c>
      <c r="GG81" s="62">
        <v>5769.31</v>
      </c>
      <c r="GH81" s="44"/>
      <c r="GI81" s="403">
        <f>SUM(GG80:GG84)*1</f>
        <v>69062.11</v>
      </c>
      <c r="GJ81" s="97">
        <f>GL81/GK81</f>
        <v>10.119996838444514</v>
      </c>
      <c r="GK81" s="58">
        <v>632.6</v>
      </c>
      <c r="GL81" s="62">
        <v>6401.91</v>
      </c>
      <c r="GM81" s="44"/>
      <c r="GN81" s="403">
        <f>SUM(GL80:GL84)*1</f>
        <v>179268.91</v>
      </c>
      <c r="GO81" s="46">
        <f>GQ81/GP81</f>
        <v>12.469996838444516</v>
      </c>
      <c r="GP81" s="69">
        <v>632.6</v>
      </c>
      <c r="GQ81" s="70">
        <v>7888.52</v>
      </c>
      <c r="GR81" s="81"/>
      <c r="GS81" s="403">
        <f>SUM(GQ80:GQ84)*1</f>
        <v>179580.81</v>
      </c>
      <c r="GT81" s="46">
        <f>GV81/GU81</f>
        <v>12.1</v>
      </c>
      <c r="GU81" s="69">
        <v>632.6</v>
      </c>
      <c r="GV81" s="70">
        <v>7654.46</v>
      </c>
      <c r="GW81" s="81"/>
      <c r="GX81" s="403">
        <f>SUM(GV80:GV84)*1</f>
        <v>221891.38999999998</v>
      </c>
      <c r="GY81" s="46">
        <f>HA81/GZ81</f>
        <v>11.089993676889028</v>
      </c>
      <c r="GZ81" s="58">
        <v>632.6</v>
      </c>
      <c r="HA81" s="62">
        <v>7015.53</v>
      </c>
      <c r="HB81" s="44"/>
      <c r="HC81" s="403">
        <f>SUM(HA80:HA84)*1</f>
        <v>104729.77</v>
      </c>
      <c r="HD81" s="46">
        <f>HF81/HE81</f>
        <v>10.819996838444514</v>
      </c>
      <c r="HE81" s="58">
        <v>632.6</v>
      </c>
      <c r="HF81" s="62">
        <v>6844.73</v>
      </c>
      <c r="HG81" s="44"/>
      <c r="HH81" s="403">
        <f>SUM(HF80:HF84)*1</f>
        <v>136951.01999999999</v>
      </c>
      <c r="HI81" s="46">
        <f>HK81/HJ81</f>
        <v>10.649984192222574</v>
      </c>
      <c r="HJ81" s="58">
        <v>632.6</v>
      </c>
      <c r="HK81" s="62">
        <v>6737.18</v>
      </c>
      <c r="HL81" s="44"/>
      <c r="HM81" s="403">
        <f>SUM(HK80:HK84)*1</f>
        <v>152630.74</v>
      </c>
      <c r="HN81" s="46">
        <f>HP81/HO81</f>
        <v>10.889993676889029</v>
      </c>
      <c r="HO81" s="58">
        <v>632.6</v>
      </c>
      <c r="HP81" s="62">
        <v>6889.01</v>
      </c>
      <c r="HQ81" s="44"/>
      <c r="HR81" s="403">
        <f>SUM(HP80:HP84)*1</f>
        <v>194948.21</v>
      </c>
      <c r="HS81" s="46">
        <f>HU81/HT81</f>
        <v>10.649999999999999</v>
      </c>
      <c r="HT81" s="58">
        <v>632.6</v>
      </c>
      <c r="HU81" s="62">
        <v>6737.19</v>
      </c>
      <c r="HV81" s="44"/>
      <c r="HW81" s="403">
        <f>SUM(HU80:HU84)*1</f>
        <v>200185.88999999998</v>
      </c>
      <c r="HX81" s="46">
        <f>HZ81/HY81</f>
        <v>10.969996838444514</v>
      </c>
      <c r="HY81" s="58">
        <v>632.6</v>
      </c>
      <c r="HZ81" s="62">
        <v>6939.62</v>
      </c>
      <c r="IA81" s="44"/>
      <c r="IB81" s="403">
        <f>SUM(HZ80:HZ84)*1</f>
        <v>156966.42000000001</v>
      </c>
      <c r="IC81" s="46">
        <f>IE81/ID81</f>
        <v>11.269996838444515</v>
      </c>
      <c r="ID81" s="58">
        <v>632.6</v>
      </c>
      <c r="IE81" s="62">
        <v>7129.4</v>
      </c>
      <c r="IF81" s="44"/>
      <c r="IG81" s="403">
        <f>SUM(IE80:IE84)*1</f>
        <v>168787.84</v>
      </c>
      <c r="IH81" s="46">
        <f>IJ81/II81</f>
        <v>9.1199968384445143</v>
      </c>
      <c r="II81" s="58">
        <v>632.6</v>
      </c>
      <c r="IJ81" s="62">
        <v>5769.31</v>
      </c>
      <c r="IK81" s="44"/>
      <c r="IL81" s="403">
        <f>SUM(IJ80:IJ84)*1</f>
        <v>69062.11</v>
      </c>
      <c r="IM81" s="46">
        <f>IO81/IN81</f>
        <v>9.1199968384445143</v>
      </c>
      <c r="IN81" s="58">
        <v>632.6</v>
      </c>
      <c r="IO81" s="62">
        <v>5769.31</v>
      </c>
      <c r="IP81" s="44"/>
      <c r="IQ81" s="403">
        <f>SUM(IO80:IO84)*1</f>
        <v>69062.11</v>
      </c>
    </row>
    <row r="82" spans="1:251" ht="15" customHeight="1">
      <c r="A82" s="647"/>
      <c r="B82" s="256"/>
      <c r="C82" s="215"/>
      <c r="D82" s="45" t="s">
        <v>52</v>
      </c>
      <c r="E82" s="216" t="s">
        <v>53</v>
      </c>
      <c r="F82" s="22"/>
      <c r="G82" s="103"/>
      <c r="H82" s="56">
        <v>0</v>
      </c>
      <c r="I82" s="56">
        <v>0</v>
      </c>
      <c r="J82" s="44"/>
      <c r="K82" s="86"/>
      <c r="L82" s="103"/>
      <c r="M82" s="56">
        <v>0</v>
      </c>
      <c r="N82" s="56">
        <v>0</v>
      </c>
      <c r="O82" s="44"/>
      <c r="P82" s="86"/>
      <c r="Q82" s="103"/>
      <c r="R82" s="56">
        <v>0</v>
      </c>
      <c r="S82" s="56">
        <v>0</v>
      </c>
      <c r="T82" s="44"/>
      <c r="U82" s="86"/>
      <c r="V82" s="47"/>
      <c r="W82" s="56">
        <v>1</v>
      </c>
      <c r="X82" s="56">
        <v>0</v>
      </c>
      <c r="Y82" s="44"/>
      <c r="Z82" s="44"/>
      <c r="AA82" s="46"/>
      <c r="AB82" s="56">
        <v>1</v>
      </c>
      <c r="AC82" s="56">
        <v>0</v>
      </c>
      <c r="AD82" s="44"/>
      <c r="AE82" s="44"/>
      <c r="AF82" s="46"/>
      <c r="AG82" s="56">
        <v>1</v>
      </c>
      <c r="AH82" s="56">
        <v>0</v>
      </c>
      <c r="AI82" s="44"/>
      <c r="AJ82" s="44"/>
      <c r="AK82" s="46"/>
      <c r="AL82" s="128">
        <v>1</v>
      </c>
      <c r="AM82" s="128">
        <v>0</v>
      </c>
      <c r="AN82" s="81"/>
      <c r="AO82" s="81"/>
      <c r="AP82" s="46"/>
      <c r="AQ82" s="128">
        <v>0</v>
      </c>
      <c r="AR82" s="128">
        <v>0</v>
      </c>
      <c r="AS82" s="81"/>
      <c r="AT82" s="44"/>
      <c r="AU82" s="46"/>
      <c r="AV82" s="128">
        <v>0</v>
      </c>
      <c r="AW82" s="128">
        <v>0</v>
      </c>
      <c r="AX82" s="81"/>
      <c r="AY82" s="44"/>
      <c r="AZ82" s="46"/>
      <c r="BA82" s="56">
        <v>1</v>
      </c>
      <c r="BB82" s="56">
        <v>0</v>
      </c>
      <c r="BC82" s="44"/>
      <c r="BD82" s="44"/>
      <c r="BE82" s="46"/>
      <c r="BF82" s="128">
        <v>1</v>
      </c>
      <c r="BG82" s="128">
        <v>0</v>
      </c>
      <c r="BH82" s="81"/>
      <c r="BI82" s="44"/>
      <c r="BJ82" s="46"/>
      <c r="BK82" s="128">
        <v>1</v>
      </c>
      <c r="BL82" s="128">
        <v>0</v>
      </c>
      <c r="BM82" s="81"/>
      <c r="BN82" s="44"/>
      <c r="BO82" s="46"/>
      <c r="BP82" s="128">
        <v>1</v>
      </c>
      <c r="BQ82" s="128">
        <v>0</v>
      </c>
      <c r="BR82" s="81"/>
      <c r="BS82" s="44"/>
      <c r="BT82" s="46"/>
      <c r="BU82" s="128">
        <v>1</v>
      </c>
      <c r="BV82" s="128">
        <v>0</v>
      </c>
      <c r="BW82" s="81"/>
      <c r="BX82" s="44"/>
      <c r="BY82" s="46"/>
      <c r="BZ82" s="128">
        <v>1</v>
      </c>
      <c r="CA82" s="128">
        <v>0</v>
      </c>
      <c r="CB82" s="81"/>
      <c r="CC82" s="81"/>
      <c r="CD82" s="46"/>
      <c r="CE82" s="128">
        <v>1</v>
      </c>
      <c r="CF82" s="128">
        <v>0</v>
      </c>
      <c r="CG82" s="81"/>
      <c r="CH82" s="81"/>
      <c r="CI82" s="46"/>
      <c r="CJ82" s="128">
        <v>1</v>
      </c>
      <c r="CK82" s="128">
        <v>0</v>
      </c>
      <c r="CL82" s="81"/>
      <c r="CM82" s="44"/>
      <c r="CN82" s="46"/>
      <c r="CO82" s="128">
        <v>1</v>
      </c>
      <c r="CP82" s="128">
        <v>0</v>
      </c>
      <c r="CQ82" s="81"/>
      <c r="CR82" s="44"/>
      <c r="CS82" s="46"/>
      <c r="CT82" s="128">
        <v>1</v>
      </c>
      <c r="CU82" s="128">
        <v>0</v>
      </c>
      <c r="CV82" s="81"/>
      <c r="CW82" s="44"/>
      <c r="CX82" s="46"/>
      <c r="CY82" s="128">
        <v>1</v>
      </c>
      <c r="CZ82" s="128">
        <v>0</v>
      </c>
      <c r="DA82" s="81"/>
      <c r="DB82" s="44"/>
      <c r="DC82" s="46"/>
      <c r="DD82" s="56">
        <v>1</v>
      </c>
      <c r="DE82" s="128">
        <v>0</v>
      </c>
      <c r="DF82" s="44"/>
      <c r="DG82" s="44"/>
      <c r="DH82" s="46"/>
      <c r="DI82" s="128">
        <v>1</v>
      </c>
      <c r="DJ82" s="128">
        <v>0</v>
      </c>
      <c r="DK82" s="81"/>
      <c r="DL82" s="44"/>
      <c r="DM82" s="46"/>
      <c r="DN82" s="128">
        <v>1</v>
      </c>
      <c r="DO82" s="128">
        <v>0</v>
      </c>
      <c r="DP82" s="81"/>
      <c r="DQ82" s="44"/>
      <c r="DR82" s="46"/>
      <c r="DS82" s="128">
        <v>1</v>
      </c>
      <c r="DT82" s="128">
        <v>0</v>
      </c>
      <c r="DU82" s="81"/>
      <c r="DV82" s="44"/>
      <c r="DW82" s="46"/>
      <c r="DX82" s="128">
        <v>1</v>
      </c>
      <c r="DY82" s="128">
        <v>0</v>
      </c>
      <c r="DZ82" s="81"/>
      <c r="EA82" s="44"/>
      <c r="EB82" s="46"/>
      <c r="EC82" s="128">
        <v>1</v>
      </c>
      <c r="ED82" s="128">
        <v>0</v>
      </c>
      <c r="EE82" s="81"/>
      <c r="EF82" s="44"/>
      <c r="EG82" s="46"/>
      <c r="EH82" s="56">
        <v>1</v>
      </c>
      <c r="EI82" s="56">
        <v>0</v>
      </c>
      <c r="EJ82" s="44"/>
      <c r="EK82" s="81"/>
      <c r="EL82" s="46"/>
      <c r="EM82" s="56">
        <v>1</v>
      </c>
      <c r="EN82" s="56">
        <v>0</v>
      </c>
      <c r="EO82" s="44"/>
      <c r="EP82" s="81"/>
      <c r="EQ82" s="46"/>
      <c r="ER82" s="56">
        <v>1</v>
      </c>
      <c r="ES82" s="56">
        <v>0</v>
      </c>
      <c r="ET82" s="44"/>
      <c r="EU82" s="44"/>
      <c r="EV82" s="46"/>
      <c r="EW82" s="56">
        <v>1</v>
      </c>
      <c r="EX82" s="56">
        <v>0</v>
      </c>
      <c r="EY82" s="44"/>
      <c r="EZ82" s="44"/>
      <c r="FA82" s="46"/>
      <c r="FB82" s="56">
        <v>1</v>
      </c>
      <c r="FC82" s="56">
        <v>0</v>
      </c>
      <c r="FD82" s="44"/>
      <c r="FE82" s="44"/>
      <c r="FF82" s="46"/>
      <c r="FG82" s="56">
        <v>1</v>
      </c>
      <c r="FH82" s="56">
        <v>0</v>
      </c>
      <c r="FI82" s="44"/>
      <c r="FJ82" s="44"/>
      <c r="FK82" s="46"/>
      <c r="FL82" s="56">
        <v>1</v>
      </c>
      <c r="FM82" s="56">
        <v>0</v>
      </c>
      <c r="FN82" s="44"/>
      <c r="FO82" s="44"/>
      <c r="FP82" s="46"/>
      <c r="FQ82" s="56">
        <v>1</v>
      </c>
      <c r="FR82" s="56">
        <v>0</v>
      </c>
      <c r="FS82" s="44"/>
      <c r="FT82" s="44"/>
      <c r="FU82" s="46"/>
      <c r="FV82" s="56">
        <v>1</v>
      </c>
      <c r="FW82" s="56">
        <v>0</v>
      </c>
      <c r="FX82" s="44"/>
      <c r="FY82" s="44"/>
      <c r="FZ82" s="46"/>
      <c r="GA82" s="56">
        <v>1</v>
      </c>
      <c r="GB82" s="56">
        <v>0</v>
      </c>
      <c r="GC82" s="44"/>
      <c r="GD82" s="44"/>
      <c r="GE82" s="46"/>
      <c r="GF82" s="56">
        <v>1</v>
      </c>
      <c r="GG82" s="56">
        <v>0</v>
      </c>
      <c r="GH82" s="44"/>
      <c r="GI82" s="44"/>
      <c r="GJ82" s="97"/>
      <c r="GK82" s="56">
        <v>1</v>
      </c>
      <c r="GL82" s="56">
        <v>0</v>
      </c>
      <c r="GM82" s="44"/>
      <c r="GN82" s="44"/>
      <c r="GO82" s="46"/>
      <c r="GP82" s="56">
        <v>1</v>
      </c>
      <c r="GQ82" s="56">
        <v>0</v>
      </c>
      <c r="GR82" s="44"/>
      <c r="GS82" s="81"/>
      <c r="GT82" s="46"/>
      <c r="GU82" s="56">
        <v>1</v>
      </c>
      <c r="GV82" s="56">
        <v>0</v>
      </c>
      <c r="GW82" s="44"/>
      <c r="GX82" s="81"/>
      <c r="GY82" s="46"/>
      <c r="GZ82" s="56">
        <v>1</v>
      </c>
      <c r="HA82" s="56">
        <v>0</v>
      </c>
      <c r="HB82" s="44"/>
      <c r="HC82" s="44"/>
      <c r="HD82" s="46"/>
      <c r="HE82" s="56">
        <v>1</v>
      </c>
      <c r="HF82" s="56">
        <v>0</v>
      </c>
      <c r="HG82" s="44"/>
      <c r="HH82" s="44"/>
      <c r="HI82" s="46"/>
      <c r="HJ82" s="56">
        <v>1</v>
      </c>
      <c r="HK82" s="56">
        <v>0</v>
      </c>
      <c r="HL82" s="44"/>
      <c r="HM82" s="44"/>
      <c r="HN82" s="46"/>
      <c r="HO82" s="56">
        <v>1</v>
      </c>
      <c r="HP82" s="56">
        <v>0</v>
      </c>
      <c r="HQ82" s="44"/>
      <c r="HR82" s="44"/>
      <c r="HS82" s="46"/>
      <c r="HT82" s="56">
        <v>1</v>
      </c>
      <c r="HU82" s="56">
        <v>0</v>
      </c>
      <c r="HV82" s="44"/>
      <c r="HW82" s="44"/>
      <c r="HX82" s="46"/>
      <c r="HY82" s="56">
        <v>1</v>
      </c>
      <c r="HZ82" s="56">
        <v>0</v>
      </c>
      <c r="IA82" s="44"/>
      <c r="IB82" s="44"/>
      <c r="IC82" s="46"/>
      <c r="ID82" s="56">
        <v>1</v>
      </c>
      <c r="IE82" s="56">
        <v>0</v>
      </c>
      <c r="IF82" s="44"/>
      <c r="IG82" s="44"/>
      <c r="IH82" s="46"/>
      <c r="II82" s="56">
        <v>1</v>
      </c>
      <c r="IJ82" s="56">
        <v>0</v>
      </c>
      <c r="IK82" s="44"/>
      <c r="IL82" s="44"/>
      <c r="IM82" s="46"/>
      <c r="IN82" s="56">
        <v>1</v>
      </c>
      <c r="IO82" s="56">
        <v>0</v>
      </c>
      <c r="IP82" s="44"/>
      <c r="IQ82" s="44"/>
    </row>
    <row r="83" spans="1:251" ht="15" customHeight="1">
      <c r="A83" s="647"/>
      <c r="B83" s="256"/>
      <c r="C83" s="215"/>
      <c r="D83" s="45" t="s">
        <v>52</v>
      </c>
      <c r="E83" s="216" t="s">
        <v>13</v>
      </c>
      <c r="F83" s="22"/>
      <c r="G83" s="104">
        <f>I83/H83</f>
        <v>5.345604015230184</v>
      </c>
      <c r="H83" s="69">
        <v>11556</v>
      </c>
      <c r="I83" s="70">
        <v>61773.8</v>
      </c>
      <c r="J83" s="81"/>
      <c r="K83" s="88"/>
      <c r="L83" s="104">
        <f>N83/M83</f>
        <v>5.4421201582105834</v>
      </c>
      <c r="M83" s="69">
        <v>14664</v>
      </c>
      <c r="N83" s="70">
        <v>79803.25</v>
      </c>
      <c r="O83" s="81"/>
      <c r="P83" s="88"/>
      <c r="Q83" s="104">
        <f>S83/R83</f>
        <v>5.4227758924082456</v>
      </c>
      <c r="R83" s="69">
        <v>15912</v>
      </c>
      <c r="S83" s="70">
        <v>86287.21</v>
      </c>
      <c r="T83" s="81"/>
      <c r="U83" s="88"/>
      <c r="V83" s="115">
        <f>X83/W83</f>
        <v>5.3173320659062107</v>
      </c>
      <c r="W83" s="69">
        <v>17358</v>
      </c>
      <c r="X83" s="70">
        <v>92298.25</v>
      </c>
      <c r="Y83" s="81"/>
      <c r="Z83" s="81"/>
      <c r="AA83" s="92">
        <f>AC83/AB83</f>
        <v>5.1471121731487584</v>
      </c>
      <c r="AB83" s="69">
        <v>18204</v>
      </c>
      <c r="AC83" s="70">
        <v>93698.03</v>
      </c>
      <c r="AD83" s="81"/>
      <c r="AE83" s="81"/>
      <c r="AF83" s="92">
        <f>AH83/AG83</f>
        <v>4.9689001488606435</v>
      </c>
      <c r="AG83" s="69">
        <v>17466</v>
      </c>
      <c r="AH83" s="70">
        <v>86786.81</v>
      </c>
      <c r="AI83" s="81"/>
      <c r="AJ83" s="81"/>
      <c r="AK83" s="92">
        <f>AM83/AL83</f>
        <v>5.354195859872612</v>
      </c>
      <c r="AL83" s="69">
        <v>18840</v>
      </c>
      <c r="AM83" s="70">
        <v>100873.05</v>
      </c>
      <c r="AN83" s="81"/>
      <c r="AO83" s="81"/>
      <c r="AP83" s="92">
        <f>AR83/AQ83</f>
        <v>5.80934378969999</v>
      </c>
      <c r="AQ83" s="69">
        <v>20466</v>
      </c>
      <c r="AR83" s="70">
        <v>118894.03</v>
      </c>
      <c r="AS83" s="81"/>
      <c r="AT83" s="81"/>
      <c r="AU83" s="92">
        <f>AW83/AV83</f>
        <v>6.5771759259259257</v>
      </c>
      <c r="AV83" s="69">
        <v>21384</v>
      </c>
      <c r="AW83" s="70">
        <v>140646.32999999999</v>
      </c>
      <c r="AX83" s="81"/>
      <c r="AY83" s="81"/>
      <c r="AZ83" s="92">
        <f>BB83/BA83</f>
        <v>6.615647777141767</v>
      </c>
      <c r="BA83" s="69">
        <v>20964</v>
      </c>
      <c r="BB83" s="70">
        <v>138690.44</v>
      </c>
      <c r="BC83" s="81"/>
      <c r="BD83" s="81"/>
      <c r="BE83" s="92">
        <f>BG83/BF83</f>
        <v>6.8845677391114029</v>
      </c>
      <c r="BF83" s="69">
        <v>18276</v>
      </c>
      <c r="BG83" s="70">
        <v>125822.36</v>
      </c>
      <c r="BH83" s="81"/>
      <c r="BI83" s="81"/>
      <c r="BJ83" s="92">
        <f>BL83/BK83</f>
        <v>7.0311478578892377</v>
      </c>
      <c r="BK83" s="69">
        <v>19140</v>
      </c>
      <c r="BL83" s="70">
        <v>134576.17000000001</v>
      </c>
      <c r="BM83" s="81"/>
      <c r="BN83" s="81"/>
      <c r="BO83" s="92">
        <f>BQ83/BP83</f>
        <v>7.1635918244664865</v>
      </c>
      <c r="BP83" s="69">
        <v>19962</v>
      </c>
      <c r="BQ83" s="70">
        <v>142999.62</v>
      </c>
      <c r="BR83" s="81"/>
      <c r="BS83" s="81"/>
      <c r="BT83" s="92">
        <f>BV83/BU83</f>
        <v>6.3568918245264205</v>
      </c>
      <c r="BU83" s="69">
        <v>24072</v>
      </c>
      <c r="BV83" s="70">
        <v>153023.1</v>
      </c>
      <c r="BW83" s="81"/>
      <c r="BX83" s="81"/>
      <c r="BY83" s="92">
        <f>CA83/BZ83</f>
        <v>6.0125517808749516</v>
      </c>
      <c r="BZ83" s="69">
        <v>20664</v>
      </c>
      <c r="CA83" s="70">
        <v>124243.37</v>
      </c>
      <c r="CB83" s="81"/>
      <c r="CC83" s="81"/>
      <c r="CD83" s="92">
        <f>CF83/CE83</f>
        <v>5.6476081357136509</v>
      </c>
      <c r="CE83" s="69">
        <v>22518</v>
      </c>
      <c r="CF83" s="70">
        <v>127172.84</v>
      </c>
      <c r="CG83" s="81"/>
      <c r="CH83" s="81"/>
      <c r="CI83" s="92">
        <f>CK83/CJ83</f>
        <v>5.2682627865961198</v>
      </c>
      <c r="CJ83" s="69">
        <v>18144</v>
      </c>
      <c r="CK83" s="70">
        <v>95587.36</v>
      </c>
      <c r="CL83" s="81"/>
      <c r="CM83" s="81"/>
      <c r="CN83" s="92">
        <f>CP83/CO83</f>
        <v>6.7330322334748987</v>
      </c>
      <c r="CO83" s="69">
        <v>18366</v>
      </c>
      <c r="CP83" s="70">
        <v>123658.87</v>
      </c>
      <c r="CQ83" s="81"/>
      <c r="CR83" s="81"/>
      <c r="CS83" s="92">
        <f>CU83/CT83</f>
        <v>7.8754437419505905</v>
      </c>
      <c r="CT83" s="69">
        <v>17082</v>
      </c>
      <c r="CU83" s="70">
        <v>134528.32999999999</v>
      </c>
      <c r="CV83" s="81"/>
      <c r="CW83" s="81"/>
      <c r="CX83" s="92">
        <f>CZ83/CY83</f>
        <v>8.8754402734329751</v>
      </c>
      <c r="CY83" s="69">
        <v>17262</v>
      </c>
      <c r="CZ83" s="70">
        <v>153207.85</v>
      </c>
      <c r="DA83" s="81"/>
      <c r="DB83" s="81"/>
      <c r="DC83" s="92">
        <f>DE83/DD83</f>
        <v>5.345604015230184</v>
      </c>
      <c r="DD83" s="58">
        <v>11556</v>
      </c>
      <c r="DE83" s="70">
        <v>61773.8</v>
      </c>
      <c r="DF83" s="44"/>
      <c r="DG83" s="81"/>
      <c r="DH83" s="92">
        <f>DJ83/DI83</f>
        <v>8.6819761433597193</v>
      </c>
      <c r="DI83" s="69">
        <v>18192</v>
      </c>
      <c r="DJ83" s="70">
        <v>157942.51</v>
      </c>
      <c r="DK83" s="81"/>
      <c r="DL83" s="81"/>
      <c r="DM83" s="92">
        <f>DO83/DN83</f>
        <v>8.408063951638562</v>
      </c>
      <c r="DN83" s="69">
        <v>18858</v>
      </c>
      <c r="DO83" s="70">
        <v>158559.26999999999</v>
      </c>
      <c r="DP83" s="81"/>
      <c r="DQ83" s="81"/>
      <c r="DR83" s="92">
        <f>DT83/DS83</f>
        <v>9.0899651162790693</v>
      </c>
      <c r="DS83" s="69">
        <v>17200</v>
      </c>
      <c r="DT83" s="70">
        <v>156347.4</v>
      </c>
      <c r="DU83" s="81"/>
      <c r="DV83" s="81"/>
      <c r="DW83" s="92">
        <f>DY83/DX83</f>
        <v>9.3542883120140452</v>
      </c>
      <c r="DX83" s="69">
        <v>15948</v>
      </c>
      <c r="DY83" s="70">
        <v>149182.19</v>
      </c>
      <c r="DZ83" s="81"/>
      <c r="EA83" s="81"/>
      <c r="EB83" s="92">
        <f>ED83/EC83</f>
        <v>9.1875122428991194</v>
      </c>
      <c r="EC83" s="69">
        <v>18378</v>
      </c>
      <c r="ED83" s="70">
        <v>168848.1</v>
      </c>
      <c r="EE83" s="81"/>
      <c r="EF83" s="81"/>
      <c r="EG83" s="92">
        <f>EI83/EH83</f>
        <v>6.0125517808749516</v>
      </c>
      <c r="EH83" s="58">
        <v>20664</v>
      </c>
      <c r="EI83" s="62">
        <v>124243.37</v>
      </c>
      <c r="EJ83" s="44"/>
      <c r="EK83" s="81"/>
      <c r="EL83" s="92">
        <f>EN83/EM83</f>
        <v>8.6634601981923112</v>
      </c>
      <c r="EM83" s="69">
        <v>18366</v>
      </c>
      <c r="EN83" s="70">
        <v>159113.10999999999</v>
      </c>
      <c r="EO83" s="81"/>
      <c r="EP83" s="81"/>
      <c r="EQ83" s="92">
        <f>ES83/ER83</f>
        <v>5.2682627865961198</v>
      </c>
      <c r="ER83" s="58">
        <v>18144</v>
      </c>
      <c r="ES83" s="62">
        <v>95587.36</v>
      </c>
      <c r="ET83" s="44"/>
      <c r="EU83" s="81"/>
      <c r="EV83" s="92">
        <f>EX83/EW83</f>
        <v>6.7330322334748987</v>
      </c>
      <c r="EW83" s="58">
        <v>18366</v>
      </c>
      <c r="EX83" s="62">
        <v>123658.87</v>
      </c>
      <c r="EY83" s="44"/>
      <c r="EZ83" s="81"/>
      <c r="FA83" s="92">
        <f>FC83/FB83</f>
        <v>7.8883438294111139</v>
      </c>
      <c r="FB83" s="69">
        <v>18102</v>
      </c>
      <c r="FC83" s="70">
        <v>142794.79999999999</v>
      </c>
      <c r="FD83" s="81"/>
      <c r="FE83" s="81"/>
      <c r="FF83" s="92">
        <f>FH83/FG83</f>
        <v>8.3631598915989152</v>
      </c>
      <c r="FG83" s="69">
        <v>22140</v>
      </c>
      <c r="FH83" s="70">
        <v>185160.36</v>
      </c>
      <c r="FI83" s="81"/>
      <c r="FJ83" s="81"/>
      <c r="FK83" s="92">
        <f>FM83/FL83</f>
        <v>8.9258881394041598</v>
      </c>
      <c r="FL83" s="69">
        <v>21348</v>
      </c>
      <c r="FM83" s="70">
        <v>190549.86</v>
      </c>
      <c r="FN83" s="81"/>
      <c r="FO83" s="81"/>
      <c r="FP83" s="92">
        <f>FR83/FQ83</f>
        <v>7.453691854560228</v>
      </c>
      <c r="FQ83" s="69">
        <v>19692</v>
      </c>
      <c r="FR83" s="70">
        <v>146778.1</v>
      </c>
      <c r="FS83" s="81"/>
      <c r="FT83" s="81"/>
      <c r="FU83" s="92">
        <f>FW83/FV83</f>
        <v>10.399199805423811</v>
      </c>
      <c r="FV83" s="69">
        <v>16446</v>
      </c>
      <c r="FW83" s="70">
        <v>171025.24</v>
      </c>
      <c r="FX83" s="81"/>
      <c r="FY83" s="81"/>
      <c r="FZ83" s="92">
        <f>GB83/GA83</f>
        <v>11.089699765670767</v>
      </c>
      <c r="GA83" s="69">
        <v>13656</v>
      </c>
      <c r="GB83" s="70">
        <v>151440.94</v>
      </c>
      <c r="GC83" s="81"/>
      <c r="GD83" s="81"/>
      <c r="GE83" s="92">
        <f>GG83/GF83</f>
        <v>5.345604015230184</v>
      </c>
      <c r="GF83" s="58">
        <v>11556</v>
      </c>
      <c r="GG83" s="62">
        <v>61773.8</v>
      </c>
      <c r="GH83" s="44"/>
      <c r="GI83" s="81"/>
      <c r="GJ83" s="98">
        <f>GL83/GK83</f>
        <v>9.1875122428991194</v>
      </c>
      <c r="GK83" s="58">
        <v>18378</v>
      </c>
      <c r="GL83" s="62">
        <v>168848.1</v>
      </c>
      <c r="GM83" s="44"/>
      <c r="GN83" s="81"/>
      <c r="GO83" s="92">
        <f>GQ83/GP83</f>
        <v>15.290000000000001</v>
      </c>
      <c r="GP83" s="69">
        <v>11058</v>
      </c>
      <c r="GQ83" s="70">
        <v>169076.82</v>
      </c>
      <c r="GR83" s="81"/>
      <c r="GS83" s="81"/>
      <c r="GT83" s="92">
        <f>GV83/GU83</f>
        <v>12.768399902284109</v>
      </c>
      <c r="GU83" s="69">
        <v>16374</v>
      </c>
      <c r="GV83" s="70">
        <v>209069.78</v>
      </c>
      <c r="GW83" s="81"/>
      <c r="GX83" s="81"/>
      <c r="GY83" s="92">
        <f>HA83/GZ83</f>
        <v>5.2682627865961198</v>
      </c>
      <c r="GZ83" s="58">
        <v>18144</v>
      </c>
      <c r="HA83" s="62">
        <v>95587.36</v>
      </c>
      <c r="HB83" s="44"/>
      <c r="HC83" s="81"/>
      <c r="HD83" s="92">
        <f>HF83/HE83</f>
        <v>6.7330322334748987</v>
      </c>
      <c r="HE83" s="58">
        <v>18366</v>
      </c>
      <c r="HF83" s="62">
        <v>123658.87</v>
      </c>
      <c r="HG83" s="44"/>
      <c r="HH83" s="81"/>
      <c r="HI83" s="92">
        <f>HK83/HJ83</f>
        <v>7.8883438294111139</v>
      </c>
      <c r="HJ83" s="58">
        <v>18102</v>
      </c>
      <c r="HK83" s="62">
        <v>142794.79999999999</v>
      </c>
      <c r="HL83" s="44"/>
      <c r="HM83" s="81"/>
      <c r="HN83" s="92">
        <f>HP83/HO83</f>
        <v>8.3631598915989152</v>
      </c>
      <c r="HO83" s="58">
        <v>22140</v>
      </c>
      <c r="HP83" s="62">
        <v>185160.36</v>
      </c>
      <c r="HQ83" s="44"/>
      <c r="HR83" s="81"/>
      <c r="HS83" s="92">
        <f>HU83/HT83</f>
        <v>8.9258881394041598</v>
      </c>
      <c r="HT83" s="58">
        <v>21348</v>
      </c>
      <c r="HU83" s="62">
        <v>190549.86</v>
      </c>
      <c r="HV83" s="44"/>
      <c r="HW83" s="81"/>
      <c r="HX83" s="92">
        <f>HZ83/HY83</f>
        <v>7.453691854560228</v>
      </c>
      <c r="HY83" s="58">
        <v>19692</v>
      </c>
      <c r="HZ83" s="62">
        <v>146778.1</v>
      </c>
      <c r="IA83" s="44"/>
      <c r="IB83" s="81"/>
      <c r="IC83" s="92">
        <f>IE83/ID83</f>
        <v>8.408063951638562</v>
      </c>
      <c r="ID83" s="58">
        <v>18858</v>
      </c>
      <c r="IE83" s="62">
        <v>158559.26999999999</v>
      </c>
      <c r="IF83" s="44"/>
      <c r="IG83" s="81"/>
      <c r="IH83" s="92">
        <f>IJ83/II83</f>
        <v>5.345604015230184</v>
      </c>
      <c r="II83" s="58">
        <v>11556</v>
      </c>
      <c r="IJ83" s="62">
        <v>61773.8</v>
      </c>
      <c r="IK83" s="44"/>
      <c r="IL83" s="81"/>
      <c r="IM83" s="92">
        <f>IO83/IN83</f>
        <v>5.345604015230184</v>
      </c>
      <c r="IN83" s="58">
        <v>11556</v>
      </c>
      <c r="IO83" s="62">
        <v>61773.8</v>
      </c>
      <c r="IP83" s="44"/>
      <c r="IQ83" s="81"/>
    </row>
    <row r="84" spans="1:251" s="264" customFormat="1" ht="15" customHeight="1" thickBot="1">
      <c r="A84" s="648"/>
      <c r="B84" s="257"/>
      <c r="C84" s="258"/>
      <c r="D84" s="20" t="s">
        <v>52</v>
      </c>
      <c r="E84" s="259" t="s">
        <v>17</v>
      </c>
      <c r="F84" s="23"/>
      <c r="G84" s="168">
        <f>I84/H84</f>
        <v>30.38</v>
      </c>
      <c r="H84" s="172">
        <v>50</v>
      </c>
      <c r="I84" s="170">
        <v>1519</v>
      </c>
      <c r="J84" s="179"/>
      <c r="K84" s="182"/>
      <c r="L84" s="168">
        <f>N84/M84</f>
        <v>30.379999999999995</v>
      </c>
      <c r="M84" s="172">
        <v>69</v>
      </c>
      <c r="N84" s="170">
        <f>1115.04+981.18</f>
        <v>2096.2199999999998</v>
      </c>
      <c r="O84" s="179"/>
      <c r="P84" s="182"/>
      <c r="Q84" s="168">
        <f>S84/R84</f>
        <v>30.38</v>
      </c>
      <c r="R84" s="172">
        <v>67</v>
      </c>
      <c r="S84" s="170">
        <f>1082.72+952.74</f>
        <v>2035.46</v>
      </c>
      <c r="T84" s="179"/>
      <c r="U84" s="182"/>
      <c r="V84" s="209">
        <f>X84/W84</f>
        <v>30.38</v>
      </c>
      <c r="W84" s="172">
        <v>88</v>
      </c>
      <c r="X84" s="170">
        <v>2673.44</v>
      </c>
      <c r="Y84" s="179"/>
      <c r="Z84" s="179"/>
      <c r="AA84" s="3">
        <f>AC84/AB84</f>
        <v>30.380000000000003</v>
      </c>
      <c r="AB84" s="172">
        <v>77</v>
      </c>
      <c r="AC84" s="170">
        <f>1244.32+1094.94</f>
        <v>2339.2600000000002</v>
      </c>
      <c r="AD84" s="179"/>
      <c r="AE84" s="179"/>
      <c r="AF84" s="3">
        <f>AH84/AG84</f>
        <v>30.38</v>
      </c>
      <c r="AG84" s="172">
        <v>82</v>
      </c>
      <c r="AH84" s="170">
        <f>1325.12+1166.04</f>
        <v>2491.16</v>
      </c>
      <c r="AI84" s="179"/>
      <c r="AJ84" s="179"/>
      <c r="AK84" s="3">
        <f>AM84/AL84</f>
        <v>30.38</v>
      </c>
      <c r="AL84" s="172">
        <v>90</v>
      </c>
      <c r="AM84" s="170">
        <f>1454.4+1279.8</f>
        <v>2734.2</v>
      </c>
      <c r="AN84" s="179"/>
      <c r="AO84" s="179"/>
      <c r="AP84" s="3">
        <f>AR84/AQ84</f>
        <v>30.379999999999995</v>
      </c>
      <c r="AQ84" s="172">
        <v>96</v>
      </c>
      <c r="AR84" s="170">
        <f>1551.36+1365.12</f>
        <v>2916.4799999999996</v>
      </c>
      <c r="AS84" s="179"/>
      <c r="AT84" s="179"/>
      <c r="AU84" s="3">
        <f>AW84/AV84</f>
        <v>30.380000000000003</v>
      </c>
      <c r="AV84" s="172">
        <v>77</v>
      </c>
      <c r="AW84" s="170">
        <f>(1244.32+1094.94)</f>
        <v>2339.2600000000002</v>
      </c>
      <c r="AX84" s="179"/>
      <c r="AY84" s="179"/>
      <c r="AZ84" s="3">
        <f>BB84/BA84</f>
        <v>30.380000000000006</v>
      </c>
      <c r="BA84" s="172">
        <v>87</v>
      </c>
      <c r="BB84" s="170">
        <f>1405.92+1237.14</f>
        <v>2643.0600000000004</v>
      </c>
      <c r="BC84" s="179"/>
      <c r="BD84" s="179"/>
      <c r="BE84" s="3">
        <f>BG84/BF84</f>
        <v>30.380000000000003</v>
      </c>
      <c r="BF84" s="172">
        <v>72</v>
      </c>
      <c r="BG84" s="170">
        <f>1163.52+1023.84</f>
        <v>2187.36</v>
      </c>
      <c r="BH84" s="179"/>
      <c r="BI84" s="179"/>
      <c r="BJ84" s="3">
        <f>BL84/BK84</f>
        <v>30.379999999999995</v>
      </c>
      <c r="BK84" s="172">
        <v>89</v>
      </c>
      <c r="BL84" s="170">
        <f>1438.24+1265.58</f>
        <v>2703.8199999999997</v>
      </c>
      <c r="BM84" s="179"/>
      <c r="BN84" s="179"/>
      <c r="BO84" s="3">
        <f>BQ84/BP84</f>
        <v>30.379999999999995</v>
      </c>
      <c r="BP84" s="172">
        <v>88</v>
      </c>
      <c r="BQ84" s="170">
        <f>1422.08+1251.36</f>
        <v>2673.4399999999996</v>
      </c>
      <c r="BR84" s="179"/>
      <c r="BS84" s="179"/>
      <c r="BT84" s="3">
        <f>BV84/BU84</f>
        <v>30.379999999999995</v>
      </c>
      <c r="BU84" s="172">
        <v>105</v>
      </c>
      <c r="BV84" s="170">
        <f>1696.8+1493.1</f>
        <v>3189.8999999999996</v>
      </c>
      <c r="BW84" s="179"/>
      <c r="BX84" s="179"/>
      <c r="BY84" s="3">
        <f>CA84/BZ84</f>
        <v>30.384</v>
      </c>
      <c r="BZ84" s="172">
        <v>90</v>
      </c>
      <c r="CA84" s="170">
        <v>2734.56</v>
      </c>
      <c r="CB84" s="179"/>
      <c r="CC84" s="179"/>
      <c r="CD84" s="3">
        <f>CF84/CE84</f>
        <v>30.384024390243901</v>
      </c>
      <c r="CE84" s="172">
        <v>82</v>
      </c>
      <c r="CF84" s="170">
        <f>1325.12+1166.37</f>
        <v>2491.4899999999998</v>
      </c>
      <c r="CG84" s="179"/>
      <c r="CH84" s="179"/>
      <c r="CI84" s="3">
        <f>CK84/CJ84</f>
        <v>30.384</v>
      </c>
      <c r="CJ84" s="172">
        <v>70</v>
      </c>
      <c r="CK84" s="170">
        <f>1131.48+995.4</f>
        <v>2126.88</v>
      </c>
      <c r="CL84" s="179"/>
      <c r="CM84" s="179"/>
      <c r="CN84" s="3">
        <f>CP84/CO84</f>
        <v>30.383968253968256</v>
      </c>
      <c r="CO84" s="172">
        <v>63</v>
      </c>
      <c r="CP84" s="170">
        <f>1018.33+895.86</f>
        <v>1914.19</v>
      </c>
      <c r="CQ84" s="179"/>
      <c r="CR84" s="179"/>
      <c r="CS84" s="3">
        <f>CU84/CT84</f>
        <v>30.413382352941177</v>
      </c>
      <c r="CT84" s="172">
        <v>68</v>
      </c>
      <c r="CU84" s="170">
        <v>2068.11</v>
      </c>
      <c r="CV84" s="179"/>
      <c r="CW84" s="179"/>
      <c r="CX84" s="3">
        <f>CZ84/CY84</f>
        <v>30.383999999999997</v>
      </c>
      <c r="CY84" s="172">
        <v>85</v>
      </c>
      <c r="CZ84" s="170">
        <f>1373.6+1209.04</f>
        <v>2582.64</v>
      </c>
      <c r="DA84" s="179"/>
      <c r="DB84" s="179"/>
      <c r="DC84" s="3">
        <f>DE84/DD84</f>
        <v>30.38</v>
      </c>
      <c r="DD84" s="177">
        <v>50</v>
      </c>
      <c r="DE84" s="170">
        <v>1519</v>
      </c>
      <c r="DF84" s="48"/>
      <c r="DG84" s="179"/>
      <c r="DH84" s="3">
        <f>DJ84/DI84</f>
        <v>30.384</v>
      </c>
      <c r="DI84" s="172">
        <v>115</v>
      </c>
      <c r="DJ84" s="170">
        <f>1858.86+1635.3</f>
        <v>3494.16</v>
      </c>
      <c r="DK84" s="179"/>
      <c r="DL84" s="179"/>
      <c r="DM84" s="3">
        <f>DO84/DN84</f>
        <v>30.38401960784314</v>
      </c>
      <c r="DN84" s="172">
        <v>102</v>
      </c>
      <c r="DO84" s="170">
        <f>1648.73+1450.44</f>
        <v>3099.17</v>
      </c>
      <c r="DP84" s="179"/>
      <c r="DQ84" s="179"/>
      <c r="DR84" s="3">
        <f>DT84/DS84</f>
        <v>30.383934426229509</v>
      </c>
      <c r="DS84" s="172">
        <v>61</v>
      </c>
      <c r="DT84" s="170">
        <f>986+867.42</f>
        <v>1853.42</v>
      </c>
      <c r="DU84" s="179"/>
      <c r="DV84" s="179"/>
      <c r="DW84" s="3">
        <f>DY84/DX84</f>
        <v>30.384035087719301</v>
      </c>
      <c r="DX84" s="172">
        <v>57</v>
      </c>
      <c r="DY84" s="170">
        <v>1731.89</v>
      </c>
      <c r="DZ84" s="179"/>
      <c r="EA84" s="179"/>
      <c r="EB84" s="3">
        <f>ED84/EC84</f>
        <v>30.384057971014492</v>
      </c>
      <c r="EC84" s="172">
        <v>69</v>
      </c>
      <c r="ED84" s="170">
        <v>2096.5</v>
      </c>
      <c r="EE84" s="179"/>
      <c r="EF84" s="179"/>
      <c r="EG84" s="3">
        <f>EI84/EH84</f>
        <v>30.384</v>
      </c>
      <c r="EH84" s="177">
        <v>90</v>
      </c>
      <c r="EI84" s="169">
        <v>2734.56</v>
      </c>
      <c r="EJ84" s="48"/>
      <c r="EK84" s="179"/>
      <c r="EL84" s="3">
        <f>EN84/EM84</f>
        <v>30.383943661971834</v>
      </c>
      <c r="EM84" s="172">
        <v>71</v>
      </c>
      <c r="EN84" s="170">
        <f>1147.64+1009.62</f>
        <v>2157.2600000000002</v>
      </c>
      <c r="EO84" s="179"/>
      <c r="EP84" s="179"/>
      <c r="EQ84" s="3">
        <f>ES84/ER84</f>
        <v>30.384</v>
      </c>
      <c r="ER84" s="177">
        <v>70</v>
      </c>
      <c r="ES84" s="169">
        <f>1131.48+995.4</f>
        <v>2126.88</v>
      </c>
      <c r="ET84" s="48"/>
      <c r="EU84" s="179"/>
      <c r="EV84" s="3">
        <f>EX84/EW84</f>
        <v>49.980000000000004</v>
      </c>
      <c r="EW84" s="177">
        <v>129</v>
      </c>
      <c r="EX84" s="169">
        <v>6447.42</v>
      </c>
      <c r="EY84" s="48"/>
      <c r="EZ84" s="179"/>
      <c r="FA84" s="3">
        <f>FC84/FB84</f>
        <v>45.57</v>
      </c>
      <c r="FB84" s="172">
        <v>68</v>
      </c>
      <c r="FC84" s="170">
        <f>1701.28+1397.48</f>
        <v>3098.76</v>
      </c>
      <c r="FD84" s="179"/>
      <c r="FE84" s="179"/>
      <c r="FF84" s="3">
        <f>FH84/FG84</f>
        <v>49.980000000000004</v>
      </c>
      <c r="FG84" s="172">
        <v>58</v>
      </c>
      <c r="FH84" s="170">
        <f>1591.52+1307.32</f>
        <v>2898.84</v>
      </c>
      <c r="FI84" s="179"/>
      <c r="FJ84" s="179"/>
      <c r="FK84" s="3">
        <f>FM84/FL84</f>
        <v>49.980000000000004</v>
      </c>
      <c r="FL84" s="172">
        <v>58</v>
      </c>
      <c r="FM84" s="170">
        <v>2898.84</v>
      </c>
      <c r="FN84" s="179"/>
      <c r="FO84" s="179"/>
      <c r="FP84" s="3">
        <f>FR84/FQ84</f>
        <v>49.98</v>
      </c>
      <c r="FQ84" s="172">
        <v>65</v>
      </c>
      <c r="FR84" s="170">
        <f>1783.6+1465.1</f>
        <v>3248.7</v>
      </c>
      <c r="FS84" s="179"/>
      <c r="FT84" s="179"/>
      <c r="FU84" s="3">
        <f>FW84/FV84</f>
        <v>49.980000000000004</v>
      </c>
      <c r="FV84" s="172">
        <v>62</v>
      </c>
      <c r="FW84" s="170">
        <f>1701.28+1397.48</f>
        <v>3098.76</v>
      </c>
      <c r="FX84" s="179"/>
      <c r="FY84" s="179"/>
      <c r="FZ84" s="3">
        <f>GB84/GA84</f>
        <v>49.980000000000004</v>
      </c>
      <c r="GA84" s="172">
        <v>68</v>
      </c>
      <c r="GB84" s="170">
        <f>1865.92+1532.72</f>
        <v>3398.6400000000003</v>
      </c>
      <c r="GC84" s="179"/>
      <c r="GD84" s="179"/>
      <c r="GE84" s="3">
        <f>GG84/GF84</f>
        <v>30.38</v>
      </c>
      <c r="GF84" s="177">
        <v>50</v>
      </c>
      <c r="GG84" s="169">
        <v>1519</v>
      </c>
      <c r="GH84" s="48"/>
      <c r="GI84" s="179"/>
      <c r="GJ84" s="285">
        <f>GL84/GK84</f>
        <v>63.792063492063484</v>
      </c>
      <c r="GK84" s="172">
        <v>63</v>
      </c>
      <c r="GL84" s="170">
        <f>1697.22+2321.68</f>
        <v>4018.8999999999996</v>
      </c>
      <c r="GM84" s="48"/>
      <c r="GN84" s="179"/>
      <c r="GO84" s="3">
        <f>GQ84/GP84</f>
        <v>63.7919512195122</v>
      </c>
      <c r="GP84" s="172">
        <v>41</v>
      </c>
      <c r="GQ84" s="170">
        <f>1510.93+1104.54</f>
        <v>2615.4700000000003</v>
      </c>
      <c r="GR84" s="179"/>
      <c r="GS84" s="179"/>
      <c r="GT84" s="3">
        <f>GV84/GU84</f>
        <v>63.791975308641973</v>
      </c>
      <c r="GU84" s="172">
        <v>81</v>
      </c>
      <c r="GV84" s="170">
        <f>2984.95+2182.2</f>
        <v>5167.1499999999996</v>
      </c>
      <c r="GW84" s="179"/>
      <c r="GX84" s="179"/>
      <c r="GY84" s="3">
        <f>HA84/GZ84</f>
        <v>30.384</v>
      </c>
      <c r="GZ84" s="177">
        <v>70</v>
      </c>
      <c r="HA84" s="169">
        <f>1131.48+995.4</f>
        <v>2126.88</v>
      </c>
      <c r="HB84" s="48"/>
      <c r="HC84" s="179"/>
      <c r="HD84" s="3">
        <f>HF84/HE84</f>
        <v>49.980000000000004</v>
      </c>
      <c r="HE84" s="177">
        <v>129</v>
      </c>
      <c r="HF84" s="169">
        <v>6447.42</v>
      </c>
      <c r="HG84" s="48"/>
      <c r="HH84" s="179"/>
      <c r="HI84" s="3">
        <f>HK84/HJ84</f>
        <v>45.57</v>
      </c>
      <c r="HJ84" s="177">
        <v>68</v>
      </c>
      <c r="HK84" s="169">
        <f>1701.28+1397.48</f>
        <v>3098.76</v>
      </c>
      <c r="HL84" s="48"/>
      <c r="HM84" s="179"/>
      <c r="HN84" s="3">
        <f>HP84/HO84</f>
        <v>49.980000000000004</v>
      </c>
      <c r="HO84" s="177">
        <v>58</v>
      </c>
      <c r="HP84" s="169">
        <f>1591.52+1307.32</f>
        <v>2898.84</v>
      </c>
      <c r="HQ84" s="48"/>
      <c r="HR84" s="179"/>
      <c r="HS84" s="3">
        <f>HU84/HT84</f>
        <v>49.980000000000004</v>
      </c>
      <c r="HT84" s="177">
        <v>58</v>
      </c>
      <c r="HU84" s="169">
        <v>2898.84</v>
      </c>
      <c r="HV84" s="48"/>
      <c r="HW84" s="179"/>
      <c r="HX84" s="3">
        <f>HZ84/HY84</f>
        <v>49.98</v>
      </c>
      <c r="HY84" s="177">
        <v>65</v>
      </c>
      <c r="HZ84" s="169">
        <f>1783.6+1465.1</f>
        <v>3248.7</v>
      </c>
      <c r="IA84" s="48"/>
      <c r="IB84" s="179"/>
      <c r="IC84" s="3">
        <f>IE84/ID84</f>
        <v>30.38401960784314</v>
      </c>
      <c r="ID84" s="177">
        <v>102</v>
      </c>
      <c r="IE84" s="169">
        <f>1648.73+1450.44</f>
        <v>3099.17</v>
      </c>
      <c r="IF84" s="48"/>
      <c r="IG84" s="179"/>
      <c r="IH84" s="3">
        <f>IJ84/II84</f>
        <v>30.38</v>
      </c>
      <c r="II84" s="177">
        <v>50</v>
      </c>
      <c r="IJ84" s="169">
        <v>1519</v>
      </c>
      <c r="IK84" s="48"/>
      <c r="IL84" s="179"/>
      <c r="IM84" s="3">
        <f>IO84/IN84</f>
        <v>30.38</v>
      </c>
      <c r="IN84" s="177">
        <v>50</v>
      </c>
      <c r="IO84" s="169">
        <v>1519</v>
      </c>
      <c r="IP84" s="48"/>
      <c r="IQ84" s="179"/>
    </row>
    <row r="85" spans="1:251" s="249" customFormat="1" ht="15" customHeight="1" thickBot="1">
      <c r="A85" s="649"/>
      <c r="B85" s="265"/>
      <c r="C85" s="5" t="s">
        <v>54</v>
      </c>
      <c r="D85" s="6" t="s">
        <v>19</v>
      </c>
      <c r="E85" s="7" t="s">
        <v>10</v>
      </c>
      <c r="F85" s="4"/>
      <c r="G85" s="196"/>
      <c r="H85" s="197"/>
      <c r="I85" s="197"/>
      <c r="J85" s="38"/>
      <c r="K85" s="206"/>
      <c r="L85" s="196"/>
      <c r="M85" s="197"/>
      <c r="N85" s="197"/>
      <c r="O85" s="38"/>
      <c r="P85" s="206"/>
      <c r="Q85" s="196"/>
      <c r="R85" s="197"/>
      <c r="S85" s="197"/>
      <c r="T85" s="38"/>
      <c r="U85" s="206"/>
      <c r="V85" s="207"/>
      <c r="W85" s="197"/>
      <c r="X85" s="204">
        <v>2211</v>
      </c>
      <c r="Y85" s="38"/>
      <c r="Z85" s="384">
        <f>SUM(X85:X89)*1.1</f>
        <v>210001.924</v>
      </c>
      <c r="AA85" s="36"/>
      <c r="AB85" s="197"/>
      <c r="AC85" s="204">
        <v>1769</v>
      </c>
      <c r="AD85" s="38"/>
      <c r="AE85" s="384">
        <f>SUM(AC85:AC89)*1.1</f>
        <v>89267.510200000019</v>
      </c>
      <c r="AF85" s="36"/>
      <c r="AG85" s="197"/>
      <c r="AH85" s="204">
        <v>1769</v>
      </c>
      <c r="AI85" s="38"/>
      <c r="AJ85" s="384">
        <f>AJ86*1.1</f>
        <v>192016.27499999999</v>
      </c>
      <c r="AK85" s="36"/>
      <c r="AL85" s="197"/>
      <c r="AM85" s="204">
        <v>1769</v>
      </c>
      <c r="AN85" s="38"/>
      <c r="AO85" s="384">
        <f>AO86*1.2</f>
        <v>352684.47120000003</v>
      </c>
      <c r="AP85" s="36"/>
      <c r="AQ85" s="197"/>
      <c r="AR85" s="204">
        <v>2211</v>
      </c>
      <c r="AS85" s="38"/>
      <c r="AT85" s="384">
        <f>SUM(AR85:AR89)*1.1</f>
        <v>234785.4388</v>
      </c>
      <c r="AU85" s="36"/>
      <c r="AV85" s="197"/>
      <c r="AW85" s="197"/>
      <c r="AX85" s="38"/>
      <c r="AY85" s="384">
        <f>SUM(AW85:AW89)*1.1</f>
        <v>270527.25700000004</v>
      </c>
      <c r="AZ85" s="36"/>
      <c r="BA85" s="197"/>
      <c r="BB85" s="197"/>
      <c r="BC85" s="38"/>
      <c r="BD85" s="384">
        <f>SUM(BB85:BB89)*1.1</f>
        <v>243299.25619999997</v>
      </c>
      <c r="BE85" s="36"/>
      <c r="BF85" s="197"/>
      <c r="BG85" s="197"/>
      <c r="BH85" s="38"/>
      <c r="BI85" s="384">
        <f>SUM(BG85:BG89)*1.1</f>
        <v>255604.02120000005</v>
      </c>
      <c r="BJ85" s="36"/>
      <c r="BK85" s="197"/>
      <c r="BL85" s="197"/>
      <c r="BM85" s="38"/>
      <c r="BN85" s="384">
        <f>SUM(BL85:BL89)*1.1</f>
        <v>294671.5662</v>
      </c>
      <c r="BO85" s="36"/>
      <c r="BP85" s="197"/>
      <c r="BQ85" s="197"/>
      <c r="BR85" s="38"/>
      <c r="BS85" s="384">
        <f>SUM(BQ85:BQ89)*1.1</f>
        <v>311357.82039999997</v>
      </c>
      <c r="BT85" s="36"/>
      <c r="BU85" s="197"/>
      <c r="BV85" s="197"/>
      <c r="BW85" s="38"/>
      <c r="BX85" s="384">
        <f>SUM(BV85:BV89)*1.1</f>
        <v>277606.68319999997</v>
      </c>
      <c r="BY85" s="36"/>
      <c r="BZ85" s="197"/>
      <c r="CA85" s="197"/>
      <c r="CB85" s="38"/>
      <c r="CC85" s="384">
        <f>SUM(CA85:CA89)*1.1</f>
        <v>220263.51380000004</v>
      </c>
      <c r="CD85" s="36"/>
      <c r="CE85" s="197"/>
      <c r="CF85" s="197"/>
      <c r="CG85" s="38"/>
      <c r="CH85" s="384">
        <f>SUM(CF85:CF89)*1.1</f>
        <v>238333.20940000005</v>
      </c>
      <c r="CI85" s="36"/>
      <c r="CJ85" s="197"/>
      <c r="CK85" s="197"/>
      <c r="CL85" s="38"/>
      <c r="CM85" s="384">
        <f>SUM(CK85:CK89)*1.1</f>
        <v>197189.0778</v>
      </c>
      <c r="CN85" s="36"/>
      <c r="CO85" s="197"/>
      <c r="CP85" s="197"/>
      <c r="CQ85" s="38"/>
      <c r="CR85" s="384">
        <f>SUM(CP85:CP89)*1.1</f>
        <v>227888.12420000005</v>
      </c>
      <c r="CS85" s="36"/>
      <c r="CT85" s="197"/>
      <c r="CU85" s="197"/>
      <c r="CV85" s="38"/>
      <c r="CW85" s="384">
        <f>SUM(CU85:CU89)*1.1</f>
        <v>244552.86240000001</v>
      </c>
      <c r="CX85" s="36"/>
      <c r="CY85" s="197"/>
      <c r="CZ85" s="197"/>
      <c r="DA85" s="38"/>
      <c r="DB85" s="384">
        <f>SUM(CZ85:CZ89)*1.1</f>
        <v>252527.04400000002</v>
      </c>
      <c r="DC85" s="36"/>
      <c r="DD85" s="197"/>
      <c r="DE85" s="197"/>
      <c r="DF85" s="38"/>
      <c r="DG85" s="384">
        <f>SUM(DE85:DE89)*1.1</f>
        <v>139423.58980000002</v>
      </c>
      <c r="DH85" s="36"/>
      <c r="DI85" s="197"/>
      <c r="DJ85" s="197"/>
      <c r="DK85" s="38"/>
      <c r="DL85" s="384">
        <f>SUM(DJ85:DJ89)*1.1</f>
        <v>151841.3578</v>
      </c>
      <c r="DM85" s="36"/>
      <c r="DN85" s="197"/>
      <c r="DO85" s="197"/>
      <c r="DP85" s="38"/>
      <c r="DQ85" s="384">
        <f>SUM(DO85:DO89)*1.1</f>
        <v>192249.47500000001</v>
      </c>
      <c r="DR85" s="36"/>
      <c r="DS85" s="197"/>
      <c r="DT85" s="197"/>
      <c r="DU85" s="38"/>
      <c r="DV85" s="384">
        <f>SUM(DT85:DT89)*1.1</f>
        <v>300224.14400000003</v>
      </c>
      <c r="DW85" s="36"/>
      <c r="DX85" s="197"/>
      <c r="DY85" s="197"/>
      <c r="DZ85" s="38"/>
      <c r="EA85" s="384">
        <f>SUM(DY85:DY89)*1.1</f>
        <v>351468.53719999996</v>
      </c>
      <c r="EB85" s="36"/>
      <c r="EC85" s="197"/>
      <c r="ED85" s="197"/>
      <c r="EE85" s="38"/>
      <c r="EF85" s="384">
        <f>SUM(ED85:ED89)*1.1</f>
        <v>374757.91319999995</v>
      </c>
      <c r="EG85" s="36"/>
      <c r="EH85" s="197"/>
      <c r="EI85" s="197"/>
      <c r="EJ85" s="38"/>
      <c r="EK85" s="384">
        <f>SUM(EI85:EI89)*1.1</f>
        <v>321526.51079999993</v>
      </c>
      <c r="EL85" s="36"/>
      <c r="EM85" s="197"/>
      <c r="EN85" s="197"/>
      <c r="EO85" s="38"/>
      <c r="EP85" s="384">
        <f>SUM(EN85:EN89)*1.1</f>
        <v>279845.98180000001</v>
      </c>
      <c r="EQ85" s="36"/>
      <c r="ER85" s="197"/>
      <c r="ES85" s="197"/>
      <c r="ET85" s="38"/>
      <c r="EU85" s="384">
        <f>SUM(ES85:ES89)*1.1</f>
        <v>202955.54619999998</v>
      </c>
      <c r="EV85" s="36"/>
      <c r="EW85" s="197"/>
      <c r="EX85" s="197"/>
      <c r="EY85" s="38"/>
      <c r="EZ85" s="384">
        <f>SUM(EX85:EX89)*1.1</f>
        <v>275718.3198</v>
      </c>
      <c r="FA85" s="36"/>
      <c r="FB85" s="197"/>
      <c r="FC85" s="197"/>
      <c r="FD85" s="38"/>
      <c r="FE85" s="384">
        <f>SUM(FC85:FC89)*1.1</f>
        <v>272658.02519999997</v>
      </c>
      <c r="FF85" s="36"/>
      <c r="FG85" s="197"/>
      <c r="FH85" s="197"/>
      <c r="FI85" s="38"/>
      <c r="FJ85" s="384">
        <f>SUM(FH85:FH89)*1.1</f>
        <v>306624.05619999993</v>
      </c>
      <c r="FK85" s="36"/>
      <c r="FL85" s="197"/>
      <c r="FM85" s="197"/>
      <c r="FN85" s="38"/>
      <c r="FO85" s="384">
        <f>SUM(FM85:FM89)*1.1</f>
        <v>318938.07219999994</v>
      </c>
      <c r="FP85" s="36"/>
      <c r="FQ85" s="197"/>
      <c r="FR85" s="197"/>
      <c r="FS85" s="38"/>
      <c r="FT85" s="384">
        <f>SUM(FR85:FR89)*1.1</f>
        <v>283114.11700000003</v>
      </c>
      <c r="FU85" s="36"/>
      <c r="FV85" s="197"/>
      <c r="FW85" s="197"/>
      <c r="FX85" s="38"/>
      <c r="FY85" s="384">
        <f>SUM(FW85:FW89)*1.1</f>
        <v>343537.69779999991</v>
      </c>
      <c r="FZ85" s="36"/>
      <c r="GA85" s="197"/>
      <c r="GB85" s="197"/>
      <c r="GC85" s="1468"/>
      <c r="GD85" s="384">
        <f>SUM(GB85:GB89)*1.1</f>
        <v>292323.98359999998</v>
      </c>
      <c r="GE85" s="36"/>
      <c r="GF85" s="197"/>
      <c r="GG85" s="197"/>
      <c r="GH85" s="1468"/>
      <c r="GI85" s="384">
        <f>SUM(GG85:GG89)*1.1</f>
        <v>143555.20080000002</v>
      </c>
      <c r="GJ85" s="280"/>
      <c r="GK85" s="197"/>
      <c r="GL85" s="197"/>
      <c r="GM85" s="38"/>
      <c r="GN85" s="384">
        <f>SUM(GL85:GL89)*1.1</f>
        <v>374757.91319999995</v>
      </c>
      <c r="GO85" s="36"/>
      <c r="GP85" s="197"/>
      <c r="GQ85" s="197"/>
      <c r="GR85" s="38"/>
      <c r="GS85" s="384">
        <f>SUM(GQ85:GQ89)*1.1</f>
        <v>402415.29239999992</v>
      </c>
      <c r="GT85" s="36"/>
      <c r="GU85" s="197"/>
      <c r="GV85" s="197"/>
      <c r="GW85" s="38"/>
      <c r="GX85" s="384">
        <f>SUM(GV85:GV89)*1.1</f>
        <v>349626.15820000001</v>
      </c>
      <c r="GY85" s="36"/>
      <c r="GZ85" s="197"/>
      <c r="HA85" s="197"/>
      <c r="HB85" s="38"/>
      <c r="HC85" s="384">
        <f>SUM(HA85:HA89)*1.1</f>
        <v>202955.54619999998</v>
      </c>
      <c r="HD85" s="36"/>
      <c r="HE85" s="197"/>
      <c r="HF85" s="197"/>
      <c r="HG85" s="38"/>
      <c r="HH85" s="384">
        <f>SUM(HF85:HF89)*1.1</f>
        <v>275718.3198</v>
      </c>
      <c r="HI85" s="36"/>
      <c r="HJ85" s="197"/>
      <c r="HK85" s="197"/>
      <c r="HL85" s="38"/>
      <c r="HM85" s="384">
        <f>SUM(HK85:HK89)*1.1</f>
        <v>272658.02519999997</v>
      </c>
      <c r="HN85" s="36"/>
      <c r="HO85" s="197"/>
      <c r="HP85" s="197"/>
      <c r="HQ85" s="38"/>
      <c r="HR85" s="384">
        <f>SUM(HP85:HP89)*1.1</f>
        <v>306624.05619999993</v>
      </c>
      <c r="HS85" s="36"/>
      <c r="HT85" s="197"/>
      <c r="HU85" s="197"/>
      <c r="HV85" s="38"/>
      <c r="HW85" s="384">
        <f>SUM(HU85:HU89)*1.1</f>
        <v>318938.07219999994</v>
      </c>
      <c r="HX85" s="36"/>
      <c r="HY85" s="197"/>
      <c r="HZ85" s="197"/>
      <c r="IA85" s="38"/>
      <c r="IB85" s="384">
        <f>SUM(HZ85:HZ89)*1.1</f>
        <v>283114.11700000003</v>
      </c>
      <c r="IC85" s="36"/>
      <c r="ID85" s="197"/>
      <c r="IE85" s="197"/>
      <c r="IF85" s="38"/>
      <c r="IG85" s="384">
        <f>SUM(IE85:IE89)*1.1</f>
        <v>343537.69779999991</v>
      </c>
      <c r="IH85" s="36"/>
      <c r="II85" s="197"/>
      <c r="IJ85" s="197"/>
      <c r="IK85" s="38"/>
      <c r="IL85" s="384">
        <f>SUM(IJ85:IJ89)*1.1</f>
        <v>140639.36480000001</v>
      </c>
      <c r="IM85" s="36"/>
      <c r="IN85" s="197"/>
      <c r="IO85" s="197"/>
      <c r="IP85" s="38"/>
      <c r="IQ85" s="384">
        <f>SUM(IO85:IO89)*1.1</f>
        <v>139423.58980000002</v>
      </c>
    </row>
    <row r="86" spans="1:251" ht="15" customHeight="1" thickBot="1">
      <c r="A86" s="647"/>
      <c r="B86" s="256" t="s">
        <v>306</v>
      </c>
      <c r="C86" s="215">
        <v>45179093</v>
      </c>
      <c r="D86" s="45" t="s">
        <v>453</v>
      </c>
      <c r="E86" s="216" t="s">
        <v>13</v>
      </c>
      <c r="F86" s="22"/>
      <c r="G86" s="104">
        <f>I86/H86</f>
        <v>5.3077198860202053</v>
      </c>
      <c r="H86" s="69">
        <v>23162</v>
      </c>
      <c r="I86" s="140">
        <v>122937.408</v>
      </c>
      <c r="J86" s="81">
        <v>85373.2</v>
      </c>
      <c r="K86" s="88"/>
      <c r="L86" s="104">
        <f>N86/M86</f>
        <v>5.3685481007596954</v>
      </c>
      <c r="M86" s="69">
        <v>25010</v>
      </c>
      <c r="N86" s="140">
        <v>134267.38799999998</v>
      </c>
      <c r="O86" s="81">
        <v>134267.38</v>
      </c>
      <c r="P86" s="88"/>
      <c r="Q86" s="104">
        <f>S86/R86</f>
        <v>4.9663921490086116</v>
      </c>
      <c r="R86" s="69">
        <v>29958</v>
      </c>
      <c r="S86" s="140">
        <v>148783.17599999998</v>
      </c>
      <c r="T86" s="81">
        <v>148783.17599999998</v>
      </c>
      <c r="U86" s="88"/>
      <c r="V86" s="115">
        <f>X86/W86</f>
        <v>5.2077237774030358</v>
      </c>
      <c r="W86" s="69">
        <v>35580</v>
      </c>
      <c r="X86" s="140">
        <v>185290.81200000001</v>
      </c>
      <c r="Y86" s="81">
        <v>185290.81200000001</v>
      </c>
      <c r="Z86" s="403">
        <f>SUM(X85:X89)*1</f>
        <v>190910.84</v>
      </c>
      <c r="AA86" s="92">
        <f>AC86/AB86</f>
        <v>4.6829521818656907</v>
      </c>
      <c r="AB86" s="69">
        <v>15308</v>
      </c>
      <c r="AC86" s="140">
        <v>71686.631999999998</v>
      </c>
      <c r="AD86" s="81">
        <v>71686.631999999998</v>
      </c>
      <c r="AE86" s="403">
        <f>SUM(AC85:AC89)*1</f>
        <v>81152.282000000007</v>
      </c>
      <c r="AF86" s="92">
        <f>AH86/AG86</f>
        <v>4.819944266448104</v>
      </c>
      <c r="AG86" s="410">
        <v>26842</v>
      </c>
      <c r="AH86" s="412">
        <v>129376.944</v>
      </c>
      <c r="AI86" s="81">
        <f>37729.81+132524.86</f>
        <v>170254.66999999998</v>
      </c>
      <c r="AJ86" s="403">
        <f>SUM(AH87:AH89)+AI86+AH85*1</f>
        <v>174560.24999999997</v>
      </c>
      <c r="AK86" s="92">
        <f>AM86/AL86</f>
        <v>4.9792202232115637</v>
      </c>
      <c r="AL86" s="410">
        <v>32794</v>
      </c>
      <c r="AM86" s="412">
        <v>163288.54800000001</v>
      </c>
      <c r="AN86" s="81">
        <f>118200.47+171215.376</f>
        <v>289415.84600000002</v>
      </c>
      <c r="AO86" s="403">
        <f>SUM(AM87:AM89)+AN86+AM85*1</f>
        <v>293903.72600000002</v>
      </c>
      <c r="AP86" s="92">
        <f>AR86/AQ86</f>
        <v>5.9466958976722744</v>
      </c>
      <c r="AQ86" s="410">
        <v>34712</v>
      </c>
      <c r="AR86" s="412">
        <v>206421.70799999998</v>
      </c>
      <c r="AS86" s="81">
        <v>232786.03199999998</v>
      </c>
      <c r="AT86" s="403">
        <f>SUM(AR85:AR89)*1</f>
        <v>213441.30799999999</v>
      </c>
      <c r="AU86" s="92">
        <f>AW86/AV86</f>
        <v>6.6107650977274597</v>
      </c>
      <c r="AV86" s="410">
        <v>36479</v>
      </c>
      <c r="AW86" s="412">
        <v>241154.1</v>
      </c>
      <c r="AX86" s="44">
        <v>85373.2</v>
      </c>
      <c r="AY86" s="403">
        <f>SUM(AW85:AW89)*1</f>
        <v>245933.87</v>
      </c>
      <c r="AZ86" s="92">
        <f>BB86/BA86</f>
        <v>6.3494519083969454</v>
      </c>
      <c r="BA86" s="410">
        <v>34060</v>
      </c>
      <c r="BB86" s="412">
        <v>216262.33199999997</v>
      </c>
      <c r="BC86" s="81" t="s">
        <v>350</v>
      </c>
      <c r="BD86" s="403">
        <f>SUM(BB85:BB89)*1</f>
        <v>221181.14199999996</v>
      </c>
      <c r="BE86" s="92">
        <f>BG86/BF86</f>
        <v>6.2037238069266438</v>
      </c>
      <c r="BF86" s="410">
        <v>36670</v>
      </c>
      <c r="BG86" s="412">
        <v>227490.55200000003</v>
      </c>
      <c r="BH86" s="81">
        <v>180096.68700000001</v>
      </c>
      <c r="BI86" s="403">
        <f>SUM(BG85:BG89)*1</f>
        <v>232367.29200000002</v>
      </c>
      <c r="BJ86" s="92">
        <f>BL86/BK86</f>
        <v>6.6640677915410116</v>
      </c>
      <c r="BK86" s="410">
        <v>40123</v>
      </c>
      <c r="BL86" s="412">
        <v>267382.39199999999</v>
      </c>
      <c r="BM86" s="81" t="s">
        <v>392</v>
      </c>
      <c r="BN86" s="403">
        <f>SUM(BL85:BL89)*1</f>
        <v>267883.24199999997</v>
      </c>
      <c r="BO86" s="92">
        <f>BQ86/BP86</f>
        <v>6.2992920218628399</v>
      </c>
      <c r="BP86" s="410">
        <v>44459</v>
      </c>
      <c r="BQ86" s="412">
        <v>280060.22399999999</v>
      </c>
      <c r="BR86" s="44">
        <v>85373.2</v>
      </c>
      <c r="BS86" s="403">
        <f>SUM(BQ85:BQ89)*1</f>
        <v>283052.56399999995</v>
      </c>
      <c r="BT86" s="92">
        <f>BV86/BU86</f>
        <v>5.8837799040778824</v>
      </c>
      <c r="BU86" s="410">
        <v>41909</v>
      </c>
      <c r="BV86" s="412">
        <v>246583.33199999997</v>
      </c>
      <c r="BW86" s="81">
        <v>284207.71000000002</v>
      </c>
      <c r="BX86" s="403">
        <f>SUM(BV85:BV89)*1</f>
        <v>252369.71199999997</v>
      </c>
      <c r="BY86" s="92">
        <f>CA86/BZ86</f>
        <v>5.4543119245639904</v>
      </c>
      <c r="BZ86" s="410">
        <v>35951</v>
      </c>
      <c r="CA86" s="412">
        <v>196087.96800000002</v>
      </c>
      <c r="CB86" s="81" t="s">
        <v>440</v>
      </c>
      <c r="CC86" s="403">
        <f>SUM(CA85:CA89)*1</f>
        <v>200239.55800000002</v>
      </c>
      <c r="CD86" s="92">
        <f>CF86/CE86</f>
        <v>5.4543119586728013</v>
      </c>
      <c r="CE86" s="410">
        <f>18547+20362</f>
        <v>38909</v>
      </c>
      <c r="CF86" s="412">
        <f>(92550.58+84300.94)*1.2</f>
        <v>212221.82400000002</v>
      </c>
      <c r="CG86" s="81">
        <v>130037.88235294117</v>
      </c>
      <c r="CH86" s="403">
        <f>SUM(CF85:CF89)*1</f>
        <v>216666.55400000003</v>
      </c>
      <c r="CI86" s="92">
        <f>CK86/CJ86</f>
        <v>5.3760118837619526</v>
      </c>
      <c r="CJ86" s="410">
        <f>19295+13018</f>
        <v>32313</v>
      </c>
      <c r="CK86" s="412">
        <v>173715.07199999999</v>
      </c>
      <c r="CL86" s="44">
        <v>85373.2</v>
      </c>
      <c r="CM86" s="403">
        <f>SUM(CK85:CK89)*1</f>
        <v>179262.79799999998</v>
      </c>
      <c r="CN86" s="92">
        <f>CP86/CO86</f>
        <v>6.3987238397965678</v>
      </c>
      <c r="CO86" s="410">
        <v>31460</v>
      </c>
      <c r="CP86" s="412">
        <v>201303.85200000001</v>
      </c>
      <c r="CQ86" s="81">
        <v>163502.45000000001</v>
      </c>
      <c r="CR86" s="403">
        <f>SUM(CP85:CP89)*1</f>
        <v>207171.02200000003</v>
      </c>
      <c r="CS86" s="92">
        <f>CU86/CT86</f>
        <v>7.3788838940981796</v>
      </c>
      <c r="CT86" s="410">
        <v>29008</v>
      </c>
      <c r="CU86" s="412">
        <v>214046.66399999999</v>
      </c>
      <c r="CV86" s="81">
        <v>254720.4</v>
      </c>
      <c r="CW86" s="403">
        <f>SUM(CU85:CU89)*1</f>
        <v>222320.78399999999</v>
      </c>
      <c r="CX86" s="92">
        <f>CZ86/CY86</f>
        <v>7.9171920042083119</v>
      </c>
      <c r="CY86" s="410">
        <v>28515</v>
      </c>
      <c r="CZ86" s="412">
        <v>225758.73</v>
      </c>
      <c r="DA86" s="81">
        <v>255656.19599999997</v>
      </c>
      <c r="DB86" s="403">
        <f>SUM(CZ85:CZ89)*1</f>
        <v>229570.04</v>
      </c>
      <c r="DC86" s="92">
        <f>DE86/DD86</f>
        <v>5.3077198860202053</v>
      </c>
      <c r="DD86" s="58">
        <v>23162</v>
      </c>
      <c r="DE86" s="68">
        <v>122937.408</v>
      </c>
      <c r="DF86" s="81">
        <v>239951.35</v>
      </c>
      <c r="DG86" s="403">
        <f>SUM(DE85:DE89)*1</f>
        <v>126748.71800000001</v>
      </c>
      <c r="DH86" s="92">
        <f>DJ86/DI86</f>
        <v>5.3077198860202053</v>
      </c>
      <c r="DI86" s="58">
        <v>23162</v>
      </c>
      <c r="DJ86" s="68">
        <v>122937.408</v>
      </c>
      <c r="DK86" s="81">
        <v>217825.05</v>
      </c>
      <c r="DL86" s="403">
        <f>SUM(DJ85:DJ89)*1</f>
        <v>138037.598</v>
      </c>
      <c r="DM86" s="92">
        <f>DO86/DN86</f>
        <v>7.8609959536509102</v>
      </c>
      <c r="DN86" s="410">
        <v>21748</v>
      </c>
      <c r="DO86" s="412">
        <v>170960.94</v>
      </c>
      <c r="DP86" s="81">
        <v>227995.41818181815</v>
      </c>
      <c r="DQ86" s="403">
        <f>SUM(DO85:DO89)*1</f>
        <v>174772.25</v>
      </c>
      <c r="DR86" s="92">
        <f>DT86/DS86</f>
        <v>7.9954201843620414</v>
      </c>
      <c r="DS86" s="410">
        <v>33521</v>
      </c>
      <c r="DT86" s="412">
        <v>268014.48</v>
      </c>
      <c r="DU86" s="81">
        <v>305779.64</v>
      </c>
      <c r="DV86" s="403">
        <f>SUM(DT85:DT89)*1</f>
        <v>272931.03999999998</v>
      </c>
      <c r="DW86" s="92">
        <f>DY86/DX86</f>
        <v>8.6392079569001243</v>
      </c>
      <c r="DX86" s="410">
        <v>36195</v>
      </c>
      <c r="DY86" s="412">
        <v>312696.13199999998</v>
      </c>
      <c r="DZ86" s="81">
        <v>217761.92899999997</v>
      </c>
      <c r="EA86" s="403">
        <f>SUM(DY85:DY89)*1</f>
        <v>319516.85199999996</v>
      </c>
      <c r="EB86" s="92">
        <f>ED86/EC86</f>
        <v>8.6841001741700516</v>
      </c>
      <c r="EC86" s="410">
        <v>37894</v>
      </c>
      <c r="ED86" s="412">
        <v>329075.29199999996</v>
      </c>
      <c r="EE86" s="81">
        <v>321482.39999999997</v>
      </c>
      <c r="EF86" s="403">
        <f>SUM(ED85:ED89)*1</f>
        <v>340689.01199999993</v>
      </c>
      <c r="EG86" s="92">
        <f>EI86/EH86</f>
        <v>8.9181479099678445</v>
      </c>
      <c r="EH86" s="410">
        <v>31722</v>
      </c>
      <c r="EI86" s="412">
        <f>1.2*235751.24</f>
        <v>282901.48799999995</v>
      </c>
      <c r="EJ86" s="1465">
        <v>329075.29199999996</v>
      </c>
      <c r="EK86" s="403">
        <f>SUM(EI85:EI89)*1</f>
        <v>292296.82799999992</v>
      </c>
      <c r="EL86" s="92">
        <f>EN86/EM86</f>
        <v>7.9376037368625916</v>
      </c>
      <c r="EM86" s="410">
        <v>30828</v>
      </c>
      <c r="EN86" s="412">
        <v>244700.44799999997</v>
      </c>
      <c r="EO86" s="81">
        <v>282910.40000000002</v>
      </c>
      <c r="EP86" s="403">
        <f>SUM(EN85:EN89)*1</f>
        <v>254405.43799999997</v>
      </c>
      <c r="EQ86" s="92">
        <f>ES86/ER86</f>
        <v>5.3760118837619526</v>
      </c>
      <c r="ER86" s="58">
        <f>19295+13018</f>
        <v>32313</v>
      </c>
      <c r="ES86" s="68">
        <v>173715.07199999999</v>
      </c>
      <c r="ET86" s="81">
        <v>282910.40000000002</v>
      </c>
      <c r="EU86" s="403">
        <f>SUM(ES85:ES89)*1</f>
        <v>184505.04199999996</v>
      </c>
      <c r="EV86" s="92">
        <f>EX86/EW86</f>
        <v>6.9611040859966469</v>
      </c>
      <c r="EW86" s="410">
        <v>34606</v>
      </c>
      <c r="EX86" s="412">
        <v>240895.96799999996</v>
      </c>
      <c r="EY86" s="44">
        <v>163502.45000000001</v>
      </c>
      <c r="EZ86" s="403">
        <f>SUM(EX85:EX89)*1</f>
        <v>250653.01799999998</v>
      </c>
      <c r="FA86" s="92">
        <f>FC86/FB86</f>
        <v>7.0298040665434378</v>
      </c>
      <c r="FB86" s="410">
        <v>34083</v>
      </c>
      <c r="FC86" s="412">
        <v>239596.81199999998</v>
      </c>
      <c r="FD86" s="81">
        <v>240896</v>
      </c>
      <c r="FE86" s="403">
        <f>SUM(FC85:FC89)*1</f>
        <v>247870.93199999997</v>
      </c>
      <c r="FF86" s="92">
        <f>FH86/FG86</f>
        <v>7.8105119740916447</v>
      </c>
      <c r="FG86" s="410">
        <v>35201</v>
      </c>
      <c r="FH86" s="412">
        <v>274937.83199999999</v>
      </c>
      <c r="FI86" s="81">
        <v>239597</v>
      </c>
      <c r="FJ86" s="403">
        <f>SUM(FH85:FH89)*1</f>
        <v>278749.14199999993</v>
      </c>
      <c r="FK86" s="92">
        <f>FM86/FL86</f>
        <v>7.7341440155692505</v>
      </c>
      <c r="FL86" s="410">
        <v>36996</v>
      </c>
      <c r="FM86" s="412">
        <v>286132.39199999999</v>
      </c>
      <c r="FN86" s="81">
        <v>274938</v>
      </c>
      <c r="FO86" s="403">
        <f>SUM(FM85:FM89)*1</f>
        <v>289943.70199999993</v>
      </c>
      <c r="FP86" s="92">
        <f>FR86/FQ86</f>
        <v>6.8887199317600238</v>
      </c>
      <c r="FQ86" s="410">
        <v>35170</v>
      </c>
      <c r="FR86" s="412">
        <v>242276.28000000003</v>
      </c>
      <c r="FS86" s="81">
        <v>290033.39999999997</v>
      </c>
      <c r="FT86" s="403">
        <f>SUM(FR85:FR89)*1</f>
        <v>257376.47000000003</v>
      </c>
      <c r="FU86" s="92">
        <f>FW86/FV86</f>
        <v>9.0881039328325226</v>
      </c>
      <c r="FV86" s="410">
        <v>33945</v>
      </c>
      <c r="FW86" s="412">
        <v>308495.68799999997</v>
      </c>
      <c r="FX86" s="44">
        <v>227995.41818181815</v>
      </c>
      <c r="FY86" s="403">
        <f>SUM(FW85:FW89)*1</f>
        <v>312306.99799999991</v>
      </c>
      <c r="FZ86" s="92">
        <f>GB86/GA86</f>
        <v>9.6898921167991663</v>
      </c>
      <c r="GA86" s="410">
        <v>26918</v>
      </c>
      <c r="GB86" s="412">
        <v>260832.51599999997</v>
      </c>
      <c r="GC86" s="1582">
        <v>308495.68799999997</v>
      </c>
      <c r="GD86" s="1467">
        <f>SUM(GB85:GB89)*1</f>
        <v>265749.07599999994</v>
      </c>
      <c r="GE86" s="92">
        <f>GG86/GF86</f>
        <v>5.3077198860202053</v>
      </c>
      <c r="GF86" s="58">
        <v>23162</v>
      </c>
      <c r="GG86" s="68">
        <v>122937.408</v>
      </c>
      <c r="GH86" s="1582">
        <v>359698.47600000002</v>
      </c>
      <c r="GI86" s="1467">
        <f>SUM(GG85:GG89)*1</f>
        <v>130504.728</v>
      </c>
      <c r="GJ86" s="98">
        <f>GL86/GK86</f>
        <v>8.6841001741700516</v>
      </c>
      <c r="GK86" s="58">
        <v>37894</v>
      </c>
      <c r="GL86" s="68">
        <v>329075.29199999996</v>
      </c>
      <c r="GM86" s="44">
        <v>321482.39999999997</v>
      </c>
      <c r="GN86" s="403">
        <f>SUM(GL85:GL89)*1</f>
        <v>340689.01199999993</v>
      </c>
      <c r="GO86" s="92">
        <f>GQ86/GP86</f>
        <v>14.200079990225225</v>
      </c>
      <c r="GP86" s="410">
        <v>24553</v>
      </c>
      <c r="GQ86" s="412">
        <v>348654.56399999995</v>
      </c>
      <c r="GR86" s="1565">
        <v>329075.29199999996</v>
      </c>
      <c r="GS86" s="403">
        <f>SUM(GQ85:GQ89)*1</f>
        <v>365832.08399999992</v>
      </c>
      <c r="GT86" s="92">
        <f>GV86/GU86</f>
        <v>10.537787854916601</v>
      </c>
      <c r="GU86" s="410">
        <v>29197</v>
      </c>
      <c r="GV86" s="1619">
        <v>307671.79200000002</v>
      </c>
      <c r="GW86" s="44">
        <v>282910.40000000002</v>
      </c>
      <c r="GX86" s="403">
        <f>SUM(GV85:GV89)*1</f>
        <v>317841.962</v>
      </c>
      <c r="GY86" s="92">
        <f>HA86/GZ86</f>
        <v>5.3760118837619526</v>
      </c>
      <c r="GZ86" s="58">
        <f>19295+13018</f>
        <v>32313</v>
      </c>
      <c r="HA86" s="68">
        <v>173715.07199999999</v>
      </c>
      <c r="HB86" s="44">
        <v>282910.40000000002</v>
      </c>
      <c r="HC86" s="403">
        <f>SUM(HA85:HA89)*1</f>
        <v>184505.04199999996</v>
      </c>
      <c r="HD86" s="92">
        <f>HF86/HE86</f>
        <v>6.9611040859966469</v>
      </c>
      <c r="HE86" s="58">
        <v>34606</v>
      </c>
      <c r="HF86" s="68">
        <v>240895.96799999996</v>
      </c>
      <c r="HG86" s="44">
        <v>163502.45000000001</v>
      </c>
      <c r="HH86" s="403">
        <f>SUM(HF85:HF89)*1</f>
        <v>250653.01799999998</v>
      </c>
      <c r="HI86" s="92">
        <f>HK86/HJ86</f>
        <v>7.0298040665434378</v>
      </c>
      <c r="HJ86" s="58">
        <v>34083</v>
      </c>
      <c r="HK86" s="68">
        <v>239596.81199999998</v>
      </c>
      <c r="HL86" s="44">
        <v>240896</v>
      </c>
      <c r="HM86" s="403">
        <f>SUM(HK85:HK89)*1</f>
        <v>247870.93199999997</v>
      </c>
      <c r="HN86" s="92">
        <f>HP86/HO86</f>
        <v>7.8105119740916447</v>
      </c>
      <c r="HO86" s="58">
        <v>35201</v>
      </c>
      <c r="HP86" s="68">
        <v>274937.83199999999</v>
      </c>
      <c r="HQ86" s="44">
        <v>239597</v>
      </c>
      <c r="HR86" s="403">
        <f>SUM(HP85:HP89)*1</f>
        <v>278749.14199999993</v>
      </c>
      <c r="HS86" s="92">
        <f>HU86/HT86</f>
        <v>7.7341440155692505</v>
      </c>
      <c r="HT86" s="58">
        <v>36996</v>
      </c>
      <c r="HU86" s="68">
        <v>286132.39199999999</v>
      </c>
      <c r="HV86" s="44">
        <v>274938</v>
      </c>
      <c r="HW86" s="403">
        <f>SUM(HU85:HU89)*1</f>
        <v>289943.70199999993</v>
      </c>
      <c r="HX86" s="92">
        <f>HZ86/HY86</f>
        <v>6.8887199317600238</v>
      </c>
      <c r="HY86" s="58">
        <v>35170</v>
      </c>
      <c r="HZ86" s="68">
        <v>242276.28000000003</v>
      </c>
      <c r="IA86" s="44">
        <v>290033.39999999997</v>
      </c>
      <c r="IB86" s="403">
        <f>SUM(HZ85:HZ89)*1</f>
        <v>257376.47000000003</v>
      </c>
      <c r="IC86" s="92">
        <f>IE86/ID86</f>
        <v>9.0881039328325226</v>
      </c>
      <c r="ID86" s="58">
        <v>33945</v>
      </c>
      <c r="IE86" s="68">
        <v>308495.68799999997</v>
      </c>
      <c r="IF86" s="44">
        <v>227995.41818181815</v>
      </c>
      <c r="IG86" s="403">
        <f>SUM(IE85:IE89)*1</f>
        <v>312306.99799999991</v>
      </c>
      <c r="IH86" s="92">
        <f>IJ86/II86</f>
        <v>5.3077198860202053</v>
      </c>
      <c r="II86" s="58">
        <v>23162</v>
      </c>
      <c r="IJ86" s="68">
        <v>122937.408</v>
      </c>
      <c r="IK86" s="44">
        <v>305779.64</v>
      </c>
      <c r="IL86" s="403">
        <f>SUM(IJ85:IJ89)*1</f>
        <v>127853.96800000001</v>
      </c>
      <c r="IM86" s="92">
        <f>IO86/IN86</f>
        <v>5.3077198860202053</v>
      </c>
      <c r="IN86" s="58">
        <v>23162</v>
      </c>
      <c r="IO86" s="68">
        <v>122937.408</v>
      </c>
      <c r="IP86" s="44">
        <v>85373.2</v>
      </c>
      <c r="IQ86" s="403">
        <f>SUM(IO85:IO89)*1</f>
        <v>126748.71800000001</v>
      </c>
    </row>
    <row r="87" spans="1:251" ht="15" customHeight="1">
      <c r="A87" s="647"/>
      <c r="B87" s="256"/>
      <c r="C87" s="215">
        <v>41946011</v>
      </c>
      <c r="D87" s="45" t="s">
        <v>200</v>
      </c>
      <c r="E87" s="216" t="s">
        <v>15</v>
      </c>
      <c r="F87" s="22"/>
      <c r="G87" s="103"/>
      <c r="H87" s="128"/>
      <c r="I87" s="69">
        <v>818.97</v>
      </c>
      <c r="J87" s="81"/>
      <c r="K87" s="88"/>
      <c r="L87" s="103"/>
      <c r="M87" s="128"/>
      <c r="N87" s="69">
        <v>1142.6600000000001</v>
      </c>
      <c r="O87" s="81"/>
      <c r="P87" s="88"/>
      <c r="Q87" s="103"/>
      <c r="R87" s="128"/>
      <c r="S87" s="69" t="s">
        <v>210</v>
      </c>
      <c r="T87" s="81"/>
      <c r="U87" s="88"/>
      <c r="V87" s="47"/>
      <c r="W87" s="128"/>
      <c r="X87" s="69">
        <v>416.68799999999999</v>
      </c>
      <c r="Y87" s="81"/>
      <c r="Z87" s="81"/>
      <c r="AA87" s="97"/>
      <c r="AB87" s="56"/>
      <c r="AC87" s="69">
        <v>2790.12</v>
      </c>
      <c r="AD87" s="81"/>
      <c r="AE87" s="81"/>
      <c r="AF87" s="97"/>
      <c r="AG87" s="128"/>
      <c r="AH87" s="69" t="s">
        <v>237</v>
      </c>
      <c r="AI87" s="81"/>
      <c r="AJ87" s="81"/>
      <c r="AK87" s="97"/>
      <c r="AL87" s="56"/>
      <c r="AM87" s="410" t="s">
        <v>287</v>
      </c>
      <c r="AN87" s="44"/>
      <c r="AO87" s="81"/>
      <c r="AP87" s="97"/>
      <c r="AQ87" s="408"/>
      <c r="AR87" s="410">
        <v>1968.18</v>
      </c>
      <c r="AS87" s="44"/>
      <c r="AT87" s="44"/>
      <c r="AU87" s="97"/>
      <c r="AV87" s="408"/>
      <c r="AW87" s="410">
        <v>2273.58</v>
      </c>
      <c r="AX87" s="511"/>
      <c r="AY87" s="81"/>
      <c r="AZ87" s="97"/>
      <c r="BA87" s="408">
        <v>1</v>
      </c>
      <c r="BB87" s="522">
        <v>2412.62</v>
      </c>
      <c r="BC87" s="511"/>
      <c r="BD87" s="81"/>
      <c r="BE87" s="97"/>
      <c r="BF87" s="408"/>
      <c r="BG87" s="410">
        <v>2157.86</v>
      </c>
      <c r="BH87" s="511"/>
      <c r="BI87" s="81"/>
      <c r="BJ87" s="97"/>
      <c r="BK87" s="408"/>
      <c r="BL87" s="410" t="s">
        <v>368</v>
      </c>
      <c r="BM87" s="511"/>
      <c r="BN87" s="81"/>
      <c r="BO87" s="556"/>
      <c r="BP87" s="408"/>
      <c r="BQ87" s="410" t="s">
        <v>384</v>
      </c>
      <c r="BR87" s="511"/>
      <c r="BS87" s="81"/>
      <c r="BT87" s="97"/>
      <c r="BU87" s="408"/>
      <c r="BV87" s="410">
        <v>1944.26</v>
      </c>
      <c r="BW87" s="44"/>
      <c r="BX87" s="81"/>
      <c r="BY87" s="97"/>
      <c r="BZ87" s="128"/>
      <c r="CA87" s="69">
        <v>1660.1</v>
      </c>
      <c r="CB87" s="81"/>
      <c r="CC87" s="81"/>
      <c r="CD87" s="97"/>
      <c r="CE87" s="128"/>
      <c r="CF87" s="69">
        <v>1558.25</v>
      </c>
      <c r="CG87" s="81"/>
      <c r="CH87" s="81"/>
      <c r="CI87" s="97"/>
      <c r="CJ87" s="128">
        <v>1</v>
      </c>
      <c r="CK87" s="69">
        <v>1462.5360000000001</v>
      </c>
      <c r="CL87" s="81"/>
      <c r="CM87" s="81"/>
      <c r="CN87" s="97"/>
      <c r="CO87" s="128"/>
      <c r="CP87" s="69">
        <v>1613.41</v>
      </c>
      <c r="CQ87" s="81"/>
      <c r="CR87" s="81"/>
      <c r="CS87" s="97"/>
      <c r="CT87" s="128"/>
      <c r="CU87" s="69">
        <v>2290.4899999999998</v>
      </c>
      <c r="CV87" s="81"/>
      <c r="CW87" s="81"/>
      <c r="CX87" s="97"/>
      <c r="CY87" s="56"/>
      <c r="CZ87" s="58">
        <v>818.97</v>
      </c>
      <c r="DA87" s="44"/>
      <c r="DB87" s="81"/>
      <c r="DC87" s="97"/>
      <c r="DD87" s="56"/>
      <c r="DE87" s="58">
        <v>818.97</v>
      </c>
      <c r="DF87" s="44"/>
      <c r="DG87" s="81"/>
      <c r="DH87" s="97"/>
      <c r="DI87" s="56"/>
      <c r="DJ87" s="58">
        <v>818.97</v>
      </c>
      <c r="DK87" s="44"/>
      <c r="DL87" s="81"/>
      <c r="DM87" s="97"/>
      <c r="DN87" s="56"/>
      <c r="DO87" s="58">
        <v>818.97</v>
      </c>
      <c r="DP87" s="44"/>
      <c r="DQ87" s="81"/>
      <c r="DR87" s="97"/>
      <c r="DS87" s="128">
        <v>1</v>
      </c>
      <c r="DT87" s="69">
        <v>1728.02</v>
      </c>
      <c r="DU87" s="81"/>
      <c r="DV87" s="81"/>
      <c r="DW87" s="97"/>
      <c r="DX87" s="56"/>
      <c r="DY87" s="58">
        <v>818.97</v>
      </c>
      <c r="DZ87" s="44"/>
      <c r="EA87" s="81"/>
      <c r="EB87" s="97"/>
      <c r="EC87" s="128"/>
      <c r="ED87" s="69">
        <v>1905.6</v>
      </c>
      <c r="EE87" s="81"/>
      <c r="EF87" s="81"/>
      <c r="EG87" s="97"/>
      <c r="EH87" s="128"/>
      <c r="EI87" s="69">
        <v>1548.48</v>
      </c>
      <c r="EJ87" s="81"/>
      <c r="EK87" s="81"/>
      <c r="EL87" s="97"/>
      <c r="EM87" s="56"/>
      <c r="EN87" s="58">
        <v>1558.25</v>
      </c>
      <c r="EO87" s="44"/>
      <c r="EP87" s="81"/>
      <c r="EQ87" s="97"/>
      <c r="ER87" s="128">
        <v>1</v>
      </c>
      <c r="ES87" s="69">
        <v>2090.3000000000002</v>
      </c>
      <c r="ET87" s="81"/>
      <c r="EU87" s="81"/>
      <c r="EV87" s="97"/>
      <c r="EW87" s="56"/>
      <c r="EX87" s="58">
        <v>1613.41</v>
      </c>
      <c r="EY87" s="44"/>
      <c r="EZ87" s="81"/>
      <c r="FA87" s="97"/>
      <c r="FB87" s="56"/>
      <c r="FC87" s="58">
        <v>2290.4899999999998</v>
      </c>
      <c r="FD87" s="44"/>
      <c r="FE87" s="81"/>
      <c r="FF87" s="97"/>
      <c r="FG87" s="56"/>
      <c r="FH87" s="58">
        <v>818.97</v>
      </c>
      <c r="FI87" s="81">
        <v>2436.14</v>
      </c>
      <c r="FJ87" s="81"/>
      <c r="FK87" s="97"/>
      <c r="FL87" s="56"/>
      <c r="FM87" s="58">
        <v>818.97</v>
      </c>
      <c r="FN87" s="44"/>
      <c r="FO87" s="81"/>
      <c r="FP87" s="97"/>
      <c r="FQ87" s="56"/>
      <c r="FR87" s="58">
        <v>818.97</v>
      </c>
      <c r="FS87" s="44"/>
      <c r="FT87" s="81"/>
      <c r="FU87" s="97"/>
      <c r="FV87" s="56"/>
      <c r="FW87" s="58">
        <v>818.97</v>
      </c>
      <c r="FX87" s="44"/>
      <c r="FY87" s="81"/>
      <c r="FZ87" s="97"/>
      <c r="GA87" s="56">
        <v>1</v>
      </c>
      <c r="GB87" s="58">
        <v>1728.02</v>
      </c>
      <c r="GC87" s="38"/>
      <c r="GD87" s="81"/>
      <c r="GE87" s="97"/>
      <c r="GF87" s="56"/>
      <c r="GG87" s="58">
        <v>818.97</v>
      </c>
      <c r="GH87" s="38"/>
      <c r="GI87" s="81"/>
      <c r="GJ87" s="97"/>
      <c r="GK87" s="56"/>
      <c r="GL87" s="58">
        <v>1905.6</v>
      </c>
      <c r="GM87" s="44"/>
      <c r="GN87" s="81"/>
      <c r="GO87" s="97"/>
      <c r="GP87" s="56"/>
      <c r="GQ87" s="58">
        <v>1548.48</v>
      </c>
      <c r="GR87" s="44"/>
      <c r="GS87" s="81"/>
      <c r="GT87" s="97"/>
      <c r="GU87" s="56"/>
      <c r="GV87" s="58">
        <v>1558.25</v>
      </c>
      <c r="GW87" s="44"/>
      <c r="GX87" s="81"/>
      <c r="GY87" s="97"/>
      <c r="GZ87" s="56">
        <v>1</v>
      </c>
      <c r="HA87" s="58">
        <v>2090.3000000000002</v>
      </c>
      <c r="HB87" s="44"/>
      <c r="HC87" s="81"/>
      <c r="HD87" s="97"/>
      <c r="HE87" s="56"/>
      <c r="HF87" s="58">
        <v>1613.41</v>
      </c>
      <c r="HG87" s="44"/>
      <c r="HH87" s="81"/>
      <c r="HI87" s="97"/>
      <c r="HJ87" s="56"/>
      <c r="HK87" s="58">
        <v>2290.4899999999998</v>
      </c>
      <c r="HL87" s="44"/>
      <c r="HM87" s="81"/>
      <c r="HN87" s="97"/>
      <c r="HO87" s="56"/>
      <c r="HP87" s="58">
        <v>818.97</v>
      </c>
      <c r="HQ87" s="44">
        <v>2436.14</v>
      </c>
      <c r="HR87" s="81"/>
      <c r="HS87" s="97"/>
      <c r="HT87" s="56"/>
      <c r="HU87" s="58">
        <v>818.97</v>
      </c>
      <c r="HV87" s="44"/>
      <c r="HW87" s="81"/>
      <c r="HX87" s="97"/>
      <c r="HY87" s="56"/>
      <c r="HZ87" s="58">
        <v>818.97</v>
      </c>
      <c r="IA87" s="44"/>
      <c r="IB87" s="81"/>
      <c r="IC87" s="97"/>
      <c r="ID87" s="56"/>
      <c r="IE87" s="58">
        <v>818.97</v>
      </c>
      <c r="IF87" s="44"/>
      <c r="IG87" s="81"/>
      <c r="IH87" s="97"/>
      <c r="II87" s="56">
        <v>1</v>
      </c>
      <c r="IJ87" s="58">
        <v>1728.02</v>
      </c>
      <c r="IK87" s="44"/>
      <c r="IL87" s="81"/>
      <c r="IM87" s="97"/>
      <c r="IN87" s="56"/>
      <c r="IO87" s="58">
        <v>818.97</v>
      </c>
      <c r="IP87" s="44"/>
      <c r="IQ87" s="81"/>
    </row>
    <row r="88" spans="1:251" ht="15" customHeight="1">
      <c r="A88" s="647"/>
      <c r="B88" s="256" t="s">
        <v>539</v>
      </c>
      <c r="C88" s="215">
        <v>26112340</v>
      </c>
      <c r="D88" s="45" t="s">
        <v>177</v>
      </c>
      <c r="E88" s="216" t="s">
        <v>55</v>
      </c>
      <c r="F88" s="22"/>
      <c r="G88" s="103"/>
      <c r="H88" s="128">
        <v>1</v>
      </c>
      <c r="I88" s="74">
        <f>500.85</f>
        <v>500.85</v>
      </c>
      <c r="J88" s="81"/>
      <c r="K88" s="88"/>
      <c r="L88" s="103"/>
      <c r="M88" s="128">
        <v>1</v>
      </c>
      <c r="N88" s="74">
        <f>500.85</f>
        <v>500.85</v>
      </c>
      <c r="O88" s="81"/>
      <c r="P88" s="88"/>
      <c r="Q88" s="103"/>
      <c r="R88" s="128">
        <v>1</v>
      </c>
      <c r="S88" s="74">
        <f>500.85</f>
        <v>500.85</v>
      </c>
      <c r="T88" s="81"/>
      <c r="U88" s="88"/>
      <c r="V88" s="47"/>
      <c r="W88" s="128">
        <v>1</v>
      </c>
      <c r="X88" s="74">
        <f>500.85</f>
        <v>500.85</v>
      </c>
      <c r="Y88" s="81"/>
      <c r="Z88" s="81"/>
      <c r="AA88" s="97"/>
      <c r="AB88" s="128">
        <v>1</v>
      </c>
      <c r="AC88" s="74">
        <f>500.85</f>
        <v>500.85</v>
      </c>
      <c r="AD88" s="81"/>
      <c r="AE88" s="81"/>
      <c r="AF88" s="97"/>
      <c r="AG88" s="128">
        <v>1</v>
      </c>
      <c r="AH88" s="74">
        <f>500.85</f>
        <v>500.85</v>
      </c>
      <c r="AI88" s="81"/>
      <c r="AJ88" s="81"/>
      <c r="AK88" s="97"/>
      <c r="AL88" s="128">
        <v>1</v>
      </c>
      <c r="AM88" s="74">
        <f>500.85</f>
        <v>500.85</v>
      </c>
      <c r="AN88" s="81"/>
      <c r="AO88" s="81"/>
      <c r="AP88" s="97"/>
      <c r="AQ88" s="128">
        <v>1</v>
      </c>
      <c r="AR88" s="74">
        <f>500.85</f>
        <v>500.85</v>
      </c>
      <c r="AS88" s="81"/>
      <c r="AT88" s="81"/>
      <c r="AU88" s="97"/>
      <c r="AV88" s="128">
        <v>1</v>
      </c>
      <c r="AW88" s="74">
        <f>500.85</f>
        <v>500.85</v>
      </c>
      <c r="AX88" s="81"/>
      <c r="AY88" s="81"/>
      <c r="AZ88" s="97"/>
      <c r="BA88" s="128">
        <v>1</v>
      </c>
      <c r="BB88" s="74">
        <f>500.85</f>
        <v>500.85</v>
      </c>
      <c r="BC88" s="81"/>
      <c r="BD88" s="81"/>
      <c r="BE88" s="97"/>
      <c r="BF88" s="128">
        <v>1</v>
      </c>
      <c r="BG88" s="74">
        <f>500.85</f>
        <v>500.85</v>
      </c>
      <c r="BH88" s="81"/>
      <c r="BI88" s="81"/>
      <c r="BJ88" s="97"/>
      <c r="BK88" s="128">
        <v>1</v>
      </c>
      <c r="BL88" s="74">
        <f>500.85</f>
        <v>500.85</v>
      </c>
      <c r="BM88" s="81"/>
      <c r="BN88" s="81"/>
      <c r="BO88" s="97"/>
      <c r="BP88" s="128">
        <v>1</v>
      </c>
      <c r="BQ88" s="74">
        <f>500.85</f>
        <v>500.85</v>
      </c>
      <c r="BR88" s="81"/>
      <c r="BS88" s="81"/>
      <c r="BT88" s="97"/>
      <c r="BU88" s="128">
        <v>1</v>
      </c>
      <c r="BV88" s="74">
        <v>1502.55</v>
      </c>
      <c r="BW88" s="81"/>
      <c r="BX88" s="81"/>
      <c r="BY88" s="97"/>
      <c r="BZ88" s="128">
        <v>1</v>
      </c>
      <c r="CA88" s="74">
        <v>0</v>
      </c>
      <c r="CB88" s="81"/>
      <c r="CC88" s="81"/>
      <c r="CD88" s="56"/>
      <c r="CE88" s="128">
        <v>1</v>
      </c>
      <c r="CF88" s="74">
        <v>0</v>
      </c>
      <c r="CG88" s="81"/>
      <c r="CH88" s="81"/>
      <c r="CI88" s="97"/>
      <c r="CJ88" s="128">
        <v>1</v>
      </c>
      <c r="CK88" s="134">
        <v>1502.55</v>
      </c>
      <c r="CL88" s="81"/>
      <c r="CM88" s="81"/>
      <c r="CN88" s="406"/>
      <c r="CO88" s="128">
        <v>1</v>
      </c>
      <c r="CP88" s="74">
        <v>0</v>
      </c>
      <c r="CQ88" s="81"/>
      <c r="CR88" s="81"/>
      <c r="CS88" s="97"/>
      <c r="CT88" s="128">
        <v>1</v>
      </c>
      <c r="CU88" s="74">
        <v>0</v>
      </c>
      <c r="CV88" s="81"/>
      <c r="CW88" s="81"/>
      <c r="CX88" s="97"/>
      <c r="CY88" s="56">
        <v>1</v>
      </c>
      <c r="CZ88" s="57">
        <f>500.85</f>
        <v>500.85</v>
      </c>
      <c r="DA88" s="44"/>
      <c r="DB88" s="81"/>
      <c r="DC88" s="97"/>
      <c r="DD88" s="56">
        <v>1</v>
      </c>
      <c r="DE88" s="57">
        <f>500.85</f>
        <v>500.85</v>
      </c>
      <c r="DF88" s="44"/>
      <c r="DG88" s="81"/>
      <c r="DH88" s="97"/>
      <c r="DI88" s="56">
        <v>1</v>
      </c>
      <c r="DJ88" s="57">
        <f>500.85</f>
        <v>500.85</v>
      </c>
      <c r="DK88" s="44"/>
      <c r="DL88" s="81"/>
      <c r="DM88" s="97"/>
      <c r="DN88" s="56">
        <v>1</v>
      </c>
      <c r="DO88" s="57">
        <f>500.85</f>
        <v>500.85</v>
      </c>
      <c r="DP88" s="44"/>
      <c r="DQ88" s="81"/>
      <c r="DR88" s="97"/>
      <c r="DS88" s="56">
        <v>1</v>
      </c>
      <c r="DT88" s="57">
        <f>500.85</f>
        <v>500.85</v>
      </c>
      <c r="DU88" s="44"/>
      <c r="DV88" s="81"/>
      <c r="DW88" s="97"/>
      <c r="DX88" s="56">
        <v>1</v>
      </c>
      <c r="DY88" s="57">
        <f>500.85</f>
        <v>500.85</v>
      </c>
      <c r="DZ88" s="44"/>
      <c r="EA88" s="81"/>
      <c r="EB88" s="97"/>
      <c r="EC88" s="56">
        <v>1</v>
      </c>
      <c r="ED88" s="74">
        <v>1502.55</v>
      </c>
      <c r="EE88" s="81"/>
      <c r="EF88" s="81"/>
      <c r="EG88" s="97"/>
      <c r="EH88" s="128">
        <v>1</v>
      </c>
      <c r="EI88" s="74">
        <v>0</v>
      </c>
      <c r="EJ88" s="81"/>
      <c r="EK88" s="81"/>
      <c r="EL88" s="56"/>
      <c r="EM88" s="128">
        <v>1</v>
      </c>
      <c r="EN88" s="74">
        <v>0</v>
      </c>
      <c r="EO88" s="81"/>
      <c r="EP88" s="81"/>
      <c r="EQ88" s="97"/>
      <c r="ER88" s="56">
        <v>1</v>
      </c>
      <c r="ES88" s="72">
        <v>1502.55</v>
      </c>
      <c r="ET88" s="44"/>
      <c r="EU88" s="81"/>
      <c r="EV88" s="406"/>
      <c r="EW88" s="56">
        <v>1</v>
      </c>
      <c r="EX88" s="57">
        <v>0</v>
      </c>
      <c r="EY88" s="44"/>
      <c r="EZ88" s="81"/>
      <c r="FA88" s="97"/>
      <c r="FB88" s="56">
        <v>1</v>
      </c>
      <c r="FC88" s="57">
        <v>0</v>
      </c>
      <c r="FD88" s="44"/>
      <c r="FE88" s="81"/>
      <c r="FF88" s="97"/>
      <c r="FG88" s="56">
        <v>1</v>
      </c>
      <c r="FH88" s="57">
        <f>500.85</f>
        <v>500.85</v>
      </c>
      <c r="FI88" s="44"/>
      <c r="FJ88" s="81"/>
      <c r="FK88" s="97"/>
      <c r="FL88" s="56">
        <v>1</v>
      </c>
      <c r="FM88" s="57">
        <f>500.85</f>
        <v>500.85</v>
      </c>
      <c r="FN88" s="44"/>
      <c r="FO88" s="81"/>
      <c r="FP88" s="97"/>
      <c r="FQ88" s="56">
        <v>1</v>
      </c>
      <c r="FR88" s="57">
        <f>500.85</f>
        <v>500.85</v>
      </c>
      <c r="FS88" s="44"/>
      <c r="FT88" s="81"/>
      <c r="FU88" s="97"/>
      <c r="FV88" s="56">
        <v>1</v>
      </c>
      <c r="FW88" s="57">
        <f>500.85</f>
        <v>500.85</v>
      </c>
      <c r="FX88" s="44"/>
      <c r="FY88" s="81"/>
      <c r="FZ88" s="97"/>
      <c r="GA88" s="56">
        <v>1</v>
      </c>
      <c r="GB88" s="57">
        <f>500.85</f>
        <v>500.85</v>
      </c>
      <c r="GC88" s="44"/>
      <c r="GD88" s="81"/>
      <c r="GE88" s="97"/>
      <c r="GF88" s="56">
        <v>1</v>
      </c>
      <c r="GG88" s="57">
        <f>500.85</f>
        <v>500.85</v>
      </c>
      <c r="GH88" s="44"/>
      <c r="GI88" s="81"/>
      <c r="GJ88" s="97"/>
      <c r="GK88" s="56">
        <v>1</v>
      </c>
      <c r="GL88" s="57">
        <v>1502.55</v>
      </c>
      <c r="GM88" s="44"/>
      <c r="GN88" s="81"/>
      <c r="GO88" s="97"/>
      <c r="GP88" s="56">
        <v>1</v>
      </c>
      <c r="GQ88" s="57">
        <v>0</v>
      </c>
      <c r="GR88" s="44"/>
      <c r="GS88" s="81"/>
      <c r="GT88" s="56"/>
      <c r="GU88" s="56">
        <v>1</v>
      </c>
      <c r="GV88" s="57">
        <v>0</v>
      </c>
      <c r="GW88" s="44"/>
      <c r="GX88" s="81"/>
      <c r="GY88" s="97"/>
      <c r="GZ88" s="56">
        <v>1</v>
      </c>
      <c r="HA88" s="72">
        <v>1502.55</v>
      </c>
      <c r="HB88" s="44"/>
      <c r="HC88" s="81"/>
      <c r="HD88" s="406"/>
      <c r="HE88" s="56">
        <v>1</v>
      </c>
      <c r="HF88" s="57">
        <v>0</v>
      </c>
      <c r="HG88" s="44"/>
      <c r="HH88" s="81"/>
      <c r="HI88" s="97"/>
      <c r="HJ88" s="56">
        <v>1</v>
      </c>
      <c r="HK88" s="57">
        <v>0</v>
      </c>
      <c r="HL88" s="44"/>
      <c r="HM88" s="81"/>
      <c r="HN88" s="97"/>
      <c r="HO88" s="56">
        <v>1</v>
      </c>
      <c r="HP88" s="57">
        <f>500.85</f>
        <v>500.85</v>
      </c>
      <c r="HQ88" s="44"/>
      <c r="HR88" s="81"/>
      <c r="HS88" s="97"/>
      <c r="HT88" s="56">
        <v>1</v>
      </c>
      <c r="HU88" s="57">
        <f>500.85</f>
        <v>500.85</v>
      </c>
      <c r="HV88" s="44"/>
      <c r="HW88" s="81"/>
      <c r="HX88" s="97"/>
      <c r="HY88" s="56">
        <v>1</v>
      </c>
      <c r="HZ88" s="57">
        <f>500.85</f>
        <v>500.85</v>
      </c>
      <c r="IA88" s="44"/>
      <c r="IB88" s="81"/>
      <c r="IC88" s="97"/>
      <c r="ID88" s="56">
        <v>1</v>
      </c>
      <c r="IE88" s="57">
        <f>500.85</f>
        <v>500.85</v>
      </c>
      <c r="IF88" s="44"/>
      <c r="IG88" s="81"/>
      <c r="IH88" s="97"/>
      <c r="II88" s="56">
        <v>1</v>
      </c>
      <c r="IJ88" s="57">
        <f>500.85</f>
        <v>500.85</v>
      </c>
      <c r="IK88" s="44"/>
      <c r="IL88" s="81"/>
      <c r="IM88" s="97"/>
      <c r="IN88" s="56">
        <v>1</v>
      </c>
      <c r="IO88" s="57">
        <f>500.85</f>
        <v>500.85</v>
      </c>
      <c r="IP88" s="44"/>
      <c r="IQ88" s="81"/>
    </row>
    <row r="89" spans="1:251" s="264" customFormat="1" ht="15" customHeight="1" thickBot="1">
      <c r="A89" s="648"/>
      <c r="B89" s="257" t="s">
        <v>538</v>
      </c>
      <c r="C89" s="365" t="s">
        <v>219</v>
      </c>
      <c r="D89" s="20" t="s">
        <v>177</v>
      </c>
      <c r="E89" s="259" t="s">
        <v>17</v>
      </c>
      <c r="F89" s="23"/>
      <c r="G89" s="168">
        <f>I89/H89</f>
        <v>32.607195121951221</v>
      </c>
      <c r="H89" s="183">
        <v>82</v>
      </c>
      <c r="I89" s="181">
        <v>2673.79</v>
      </c>
      <c r="J89" s="179"/>
      <c r="K89" s="182"/>
      <c r="L89" s="168">
        <f>N89/M89</f>
        <v>30.384024390243901</v>
      </c>
      <c r="M89" s="183">
        <v>82</v>
      </c>
      <c r="N89" s="180">
        <v>2491.4899999999998</v>
      </c>
      <c r="O89" s="179"/>
      <c r="P89" s="182"/>
      <c r="Q89" s="168">
        <f>S89/R89</f>
        <v>30.384024390243901</v>
      </c>
      <c r="R89" s="185">
        <v>82</v>
      </c>
      <c r="S89" s="277">
        <v>2491.4899999999998</v>
      </c>
      <c r="T89" s="48"/>
      <c r="U89" s="49"/>
      <c r="V89" s="209">
        <f>X89/W89</f>
        <v>30.384024390243901</v>
      </c>
      <c r="W89" s="183">
        <v>82</v>
      </c>
      <c r="X89" s="180">
        <v>2491.4899999999998</v>
      </c>
      <c r="Y89" s="179"/>
      <c r="Z89" s="179"/>
      <c r="AA89" s="285">
        <f>AC89/AB89</f>
        <v>30.384</v>
      </c>
      <c r="AB89" s="183">
        <v>145</v>
      </c>
      <c r="AC89" s="181">
        <v>4405.68</v>
      </c>
      <c r="AD89" s="179"/>
      <c r="AE89" s="179"/>
      <c r="AF89" s="285">
        <f>AH89/AG89</f>
        <v>30.38402985074627</v>
      </c>
      <c r="AG89" s="183">
        <v>67</v>
      </c>
      <c r="AH89" s="181">
        <v>2035.73</v>
      </c>
      <c r="AI89" s="179"/>
      <c r="AJ89" s="179"/>
      <c r="AK89" s="285">
        <f>AM89/AL89</f>
        <v>30.383972602739728</v>
      </c>
      <c r="AL89" s="183">
        <v>73</v>
      </c>
      <c r="AM89" s="181">
        <v>2218.0300000000002</v>
      </c>
      <c r="AN89" s="179"/>
      <c r="AO89" s="179"/>
      <c r="AP89" s="285">
        <f>AR89/AQ89</f>
        <v>30.384025974025977</v>
      </c>
      <c r="AQ89" s="183">
        <v>77</v>
      </c>
      <c r="AR89" s="181">
        <v>2339.5700000000002</v>
      </c>
      <c r="AS89" s="179"/>
      <c r="AT89" s="179"/>
      <c r="AU89" s="285">
        <f>AW89/AV89</f>
        <v>30.383939393939393</v>
      </c>
      <c r="AV89" s="183">
        <v>66</v>
      </c>
      <c r="AW89" s="181">
        <v>2005.34</v>
      </c>
      <c r="AX89" s="179"/>
      <c r="AY89" s="179"/>
      <c r="AZ89" s="285">
        <f>BB89/BA89</f>
        <v>30.383939393939393</v>
      </c>
      <c r="BA89" s="183">
        <v>66</v>
      </c>
      <c r="BB89" s="180">
        <v>2005.34</v>
      </c>
      <c r="BC89" s="179" t="s">
        <v>356</v>
      </c>
      <c r="BD89" s="179"/>
      <c r="BE89" s="285">
        <f>BG89/BF89</f>
        <v>30.383972602739728</v>
      </c>
      <c r="BF89" s="183">
        <v>73</v>
      </c>
      <c r="BG89" s="181">
        <v>2218.0300000000002</v>
      </c>
      <c r="BH89" s="179"/>
      <c r="BI89" s="179"/>
      <c r="BJ89" s="285" t="e">
        <f>BL89/BK89</f>
        <v>#VALUE!</v>
      </c>
      <c r="BK89" s="183">
        <v>147</v>
      </c>
      <c r="BL89" s="180" t="s">
        <v>375</v>
      </c>
      <c r="BM89" s="179"/>
      <c r="BN89" s="179"/>
      <c r="BO89" s="285">
        <f>BQ89/BP89</f>
        <v>33.66878378378378</v>
      </c>
      <c r="BP89" s="183">
        <v>74</v>
      </c>
      <c r="BQ89" s="277">
        <v>2491.4899999999998</v>
      </c>
      <c r="BR89" s="48"/>
      <c r="BS89" s="179"/>
      <c r="BT89" s="285">
        <f>BV89/BU89</f>
        <v>30.384025974025977</v>
      </c>
      <c r="BU89" s="183">
        <v>77</v>
      </c>
      <c r="BV89" s="506">
        <v>2339.5700000000002</v>
      </c>
      <c r="BW89" s="179"/>
      <c r="BX89" s="179"/>
      <c r="BY89" s="285">
        <f>CA89/BZ89</f>
        <v>30.384024390243901</v>
      </c>
      <c r="BZ89" s="183">
        <v>82</v>
      </c>
      <c r="CA89" s="181">
        <v>2491.4899999999998</v>
      </c>
      <c r="CB89" s="179"/>
      <c r="CC89" s="179"/>
      <c r="CD89" s="285">
        <f>CF89/CE89</f>
        <v>30.384</v>
      </c>
      <c r="CE89" s="183">
        <v>95</v>
      </c>
      <c r="CF89" s="181">
        <v>2886.48</v>
      </c>
      <c r="CG89" s="179"/>
      <c r="CH89" s="179"/>
      <c r="CI89" s="285">
        <f>CK89/CJ89</f>
        <v>30.383999999999997</v>
      </c>
      <c r="CJ89" s="183">
        <v>85</v>
      </c>
      <c r="CK89" s="181">
        <v>2582.64</v>
      </c>
      <c r="CL89" s="179"/>
      <c r="CM89" s="179"/>
      <c r="CN89" s="285">
        <f>CP89/CO89</f>
        <v>30.384</v>
      </c>
      <c r="CO89" s="183">
        <v>140</v>
      </c>
      <c r="CP89" s="180">
        <v>4253.76</v>
      </c>
      <c r="CQ89" s="179"/>
      <c r="CR89" s="179"/>
      <c r="CS89" s="285">
        <f>CU89/CT89</f>
        <v>40.98376712328767</v>
      </c>
      <c r="CT89" s="183">
        <v>146</v>
      </c>
      <c r="CU89" s="180">
        <v>5983.63</v>
      </c>
      <c r="CV89" s="179"/>
      <c r="CW89" s="179"/>
      <c r="CX89" s="285">
        <f>CZ89/CY89</f>
        <v>30.384024390243901</v>
      </c>
      <c r="CY89" s="185">
        <v>82</v>
      </c>
      <c r="CZ89" s="277">
        <v>2491.4899999999998</v>
      </c>
      <c r="DA89" s="48"/>
      <c r="DB89" s="179"/>
      <c r="DC89" s="285">
        <f>DE89/DD89</f>
        <v>30.384024390243901</v>
      </c>
      <c r="DD89" s="185">
        <v>82</v>
      </c>
      <c r="DE89" s="277">
        <v>2491.4899999999998</v>
      </c>
      <c r="DF89" s="48"/>
      <c r="DG89" s="179"/>
      <c r="DH89" s="285">
        <f>DJ89/DI89</f>
        <v>46.872006802721089</v>
      </c>
      <c r="DI89" s="183">
        <v>294</v>
      </c>
      <c r="DJ89" s="180">
        <v>13780.37</v>
      </c>
      <c r="DK89" s="179"/>
      <c r="DL89" s="179"/>
      <c r="DM89" s="285">
        <f>DO89/DN89</f>
        <v>30.384024390243901</v>
      </c>
      <c r="DN89" s="185">
        <v>82</v>
      </c>
      <c r="DO89" s="277">
        <v>2491.4899999999998</v>
      </c>
      <c r="DP89" s="48"/>
      <c r="DQ89" s="179"/>
      <c r="DR89" s="285">
        <f>DT89/DS89</f>
        <v>59.726444444444446</v>
      </c>
      <c r="DS89" s="183">
        <v>45</v>
      </c>
      <c r="DT89" s="180">
        <v>2687.69</v>
      </c>
      <c r="DU89" s="179"/>
      <c r="DV89" s="179"/>
      <c r="DW89" s="285">
        <f>DY89/DX89</f>
        <v>46.872017723244717</v>
      </c>
      <c r="DX89" s="183">
        <v>117.36</v>
      </c>
      <c r="DY89" s="180">
        <v>5500.9</v>
      </c>
      <c r="DZ89" s="179"/>
      <c r="EA89" s="179"/>
      <c r="EB89" s="285">
        <f>ED89/EC89</f>
        <v>45.841173184357537</v>
      </c>
      <c r="EC89" s="183">
        <v>179</v>
      </c>
      <c r="ED89" s="506">
        <v>8205.57</v>
      </c>
      <c r="EE89" s="179"/>
      <c r="EF89" s="179"/>
      <c r="EG89" s="285">
        <f>EI89/EH89</f>
        <v>49.98</v>
      </c>
      <c r="EH89" s="183">
        <v>157</v>
      </c>
      <c r="EI89" s="181">
        <v>7846.86</v>
      </c>
      <c r="EJ89" s="179"/>
      <c r="EK89" s="179"/>
      <c r="EL89" s="285">
        <f>EN89/EM89</f>
        <v>50.600869565217387</v>
      </c>
      <c r="EM89" s="183">
        <v>161</v>
      </c>
      <c r="EN89" s="181">
        <v>8146.74</v>
      </c>
      <c r="EO89" s="179"/>
      <c r="EP89" s="179"/>
      <c r="EQ89" s="285">
        <f>ES89/ER89</f>
        <v>49.98</v>
      </c>
      <c r="ER89" s="183">
        <v>144</v>
      </c>
      <c r="ES89" s="181">
        <v>7197.12</v>
      </c>
      <c r="ET89" s="179"/>
      <c r="EU89" s="179"/>
      <c r="EV89" s="285">
        <f>EX89/EW89</f>
        <v>63.128992248062019</v>
      </c>
      <c r="EW89" s="183">
        <v>129</v>
      </c>
      <c r="EX89" s="180">
        <v>8143.64</v>
      </c>
      <c r="EY89" s="179"/>
      <c r="EZ89" s="179"/>
      <c r="FA89" s="285">
        <f>FC89/FB89</f>
        <v>40.98376712328767</v>
      </c>
      <c r="FB89" s="185">
        <v>146</v>
      </c>
      <c r="FC89" s="277">
        <v>5983.63</v>
      </c>
      <c r="FD89" s="48"/>
      <c r="FE89" s="179"/>
      <c r="FF89" s="285">
        <f>FH89/FG89</f>
        <v>30.384024390243901</v>
      </c>
      <c r="FG89" s="185">
        <v>82</v>
      </c>
      <c r="FH89" s="277">
        <v>2491.4899999999998</v>
      </c>
      <c r="FI89" s="48"/>
      <c r="FJ89" s="179"/>
      <c r="FK89" s="285">
        <f>FM89/FL89</f>
        <v>30.384024390243901</v>
      </c>
      <c r="FL89" s="185">
        <v>82</v>
      </c>
      <c r="FM89" s="277">
        <v>2491.4899999999998</v>
      </c>
      <c r="FN89" s="48"/>
      <c r="FO89" s="179"/>
      <c r="FP89" s="285">
        <f>FR89/FQ89</f>
        <v>46.872006802721089</v>
      </c>
      <c r="FQ89" s="185">
        <v>294</v>
      </c>
      <c r="FR89" s="277">
        <v>13780.37</v>
      </c>
      <c r="FS89" s="48"/>
      <c r="FT89" s="179"/>
      <c r="FU89" s="285">
        <f>FW89/FV89</f>
        <v>30.384024390243901</v>
      </c>
      <c r="FV89" s="185">
        <v>82</v>
      </c>
      <c r="FW89" s="277">
        <v>2491.4899999999998</v>
      </c>
      <c r="FX89" s="48"/>
      <c r="FY89" s="179"/>
      <c r="FZ89" s="285">
        <f>GB89/GA89</f>
        <v>59.726444444444446</v>
      </c>
      <c r="GA89" s="185">
        <v>45</v>
      </c>
      <c r="GB89" s="277">
        <v>2687.69</v>
      </c>
      <c r="GC89" s="48"/>
      <c r="GD89" s="179"/>
      <c r="GE89" s="285">
        <f>GG89/GF89</f>
        <v>49.98</v>
      </c>
      <c r="GF89" s="183">
        <v>125</v>
      </c>
      <c r="GG89" s="180">
        <v>6247.5</v>
      </c>
      <c r="GH89" s="179"/>
      <c r="GI89" s="179"/>
      <c r="GJ89" s="285">
        <f>GL89/GK89</f>
        <v>45.841173184357537</v>
      </c>
      <c r="GK89" s="185">
        <v>179</v>
      </c>
      <c r="GL89" s="737">
        <v>8205.57</v>
      </c>
      <c r="GM89" s="48"/>
      <c r="GN89" s="179"/>
      <c r="GO89" s="285">
        <f>GQ89/GP89</f>
        <v>63.792000000000002</v>
      </c>
      <c r="GP89" s="183">
        <v>245</v>
      </c>
      <c r="GQ89" s="181">
        <v>15629.04</v>
      </c>
      <c r="GR89" s="179"/>
      <c r="GS89" s="179"/>
      <c r="GT89" s="285">
        <f>GV89/GU89</f>
        <v>63.792000000000002</v>
      </c>
      <c r="GU89" s="183">
        <v>135</v>
      </c>
      <c r="GV89" s="181">
        <v>8611.92</v>
      </c>
      <c r="GW89" s="179"/>
      <c r="GX89" s="179"/>
      <c r="GY89" s="285">
        <f>HA89/GZ89</f>
        <v>49.98</v>
      </c>
      <c r="GZ89" s="185">
        <v>144</v>
      </c>
      <c r="HA89" s="286">
        <v>7197.12</v>
      </c>
      <c r="HB89" s="48"/>
      <c r="HC89" s="179"/>
      <c r="HD89" s="285">
        <f>HF89/HE89</f>
        <v>63.128992248062019</v>
      </c>
      <c r="HE89" s="185">
        <v>129</v>
      </c>
      <c r="HF89" s="277">
        <v>8143.64</v>
      </c>
      <c r="HG89" s="48"/>
      <c r="HH89" s="179"/>
      <c r="HI89" s="285">
        <f>HK89/HJ89</f>
        <v>40.98376712328767</v>
      </c>
      <c r="HJ89" s="185">
        <v>146</v>
      </c>
      <c r="HK89" s="277">
        <v>5983.63</v>
      </c>
      <c r="HL89" s="48"/>
      <c r="HM89" s="179"/>
      <c r="HN89" s="285">
        <f>HP89/HO89</f>
        <v>30.384024390243901</v>
      </c>
      <c r="HO89" s="185">
        <v>82</v>
      </c>
      <c r="HP89" s="277">
        <v>2491.4899999999998</v>
      </c>
      <c r="HQ89" s="48"/>
      <c r="HR89" s="179"/>
      <c r="HS89" s="285">
        <f>HU89/HT89</f>
        <v>30.384024390243901</v>
      </c>
      <c r="HT89" s="185">
        <v>82</v>
      </c>
      <c r="HU89" s="277">
        <v>2491.4899999999998</v>
      </c>
      <c r="HV89" s="48"/>
      <c r="HW89" s="179"/>
      <c r="HX89" s="285">
        <f>HZ89/HY89</f>
        <v>46.872006802721089</v>
      </c>
      <c r="HY89" s="185">
        <v>294</v>
      </c>
      <c r="HZ89" s="277">
        <v>13780.37</v>
      </c>
      <c r="IA89" s="48"/>
      <c r="IB89" s="179"/>
      <c r="IC89" s="285">
        <f>IE89/ID89</f>
        <v>30.384024390243901</v>
      </c>
      <c r="ID89" s="185">
        <v>82</v>
      </c>
      <c r="IE89" s="277">
        <v>2491.4899999999998</v>
      </c>
      <c r="IF89" s="48"/>
      <c r="IG89" s="179"/>
      <c r="IH89" s="285">
        <f>IJ89/II89</f>
        <v>59.726444444444446</v>
      </c>
      <c r="II89" s="185">
        <v>45</v>
      </c>
      <c r="IJ89" s="277">
        <v>2687.69</v>
      </c>
      <c r="IK89" s="48"/>
      <c r="IL89" s="179"/>
      <c r="IM89" s="285">
        <f>IO89/IN89</f>
        <v>30.384024390243901</v>
      </c>
      <c r="IN89" s="185">
        <v>82</v>
      </c>
      <c r="IO89" s="277">
        <v>2491.4899999999998</v>
      </c>
      <c r="IP89" s="48"/>
      <c r="IQ89" s="179"/>
    </row>
    <row r="90" spans="1:251" s="711" customFormat="1" ht="15" customHeight="1" thickBot="1">
      <c r="A90" s="710"/>
      <c r="B90" s="740"/>
      <c r="C90" s="755" t="s">
        <v>546</v>
      </c>
      <c r="D90" s="742" t="s">
        <v>544</v>
      </c>
      <c r="E90" s="743" t="s">
        <v>545</v>
      </c>
      <c r="F90" s="743"/>
      <c r="G90" s="744"/>
      <c r="H90" s="745"/>
      <c r="I90" s="756"/>
      <c r="J90" s="746"/>
      <c r="K90" s="747"/>
      <c r="L90" s="744"/>
      <c r="M90" s="748"/>
      <c r="N90" s="757"/>
      <c r="O90" s="749"/>
      <c r="P90" s="750"/>
      <c r="Q90" s="744"/>
      <c r="R90" s="754"/>
      <c r="S90" s="758"/>
      <c r="T90" s="746"/>
      <c r="U90" s="747"/>
      <c r="V90" s="751"/>
      <c r="W90" s="748"/>
      <c r="X90" s="757"/>
      <c r="Y90" s="749"/>
      <c r="Z90" s="749"/>
      <c r="AA90" s="753"/>
      <c r="AB90" s="748"/>
      <c r="AC90" s="759"/>
      <c r="AD90" s="749"/>
      <c r="AE90" s="749"/>
      <c r="AF90" s="753"/>
      <c r="AG90" s="748"/>
      <c r="AH90" s="759"/>
      <c r="AI90" s="749"/>
      <c r="AJ90" s="749"/>
      <c r="AK90" s="753"/>
      <c r="AL90" s="748"/>
      <c r="AM90" s="759"/>
      <c r="AN90" s="749"/>
      <c r="AO90" s="749"/>
      <c r="AP90" s="753"/>
      <c r="AQ90" s="748"/>
      <c r="AR90" s="759"/>
      <c r="AS90" s="749"/>
      <c r="AT90" s="749"/>
      <c r="AU90" s="753"/>
      <c r="AV90" s="748"/>
      <c r="AW90" s="759"/>
      <c r="AX90" s="749"/>
      <c r="AY90" s="749"/>
      <c r="AZ90" s="753"/>
      <c r="BA90" s="748"/>
      <c r="BB90" s="757"/>
      <c r="BC90" s="749"/>
      <c r="BD90" s="749"/>
      <c r="BE90" s="753"/>
      <c r="BF90" s="748"/>
      <c r="BG90" s="759"/>
      <c r="BH90" s="749"/>
      <c r="BI90" s="749"/>
      <c r="BJ90" s="753"/>
      <c r="BK90" s="748"/>
      <c r="BL90" s="757"/>
      <c r="BM90" s="749"/>
      <c r="BN90" s="749"/>
      <c r="BO90" s="753"/>
      <c r="BP90" s="748"/>
      <c r="BQ90" s="758"/>
      <c r="BR90" s="746"/>
      <c r="BS90" s="749"/>
      <c r="BT90" s="753"/>
      <c r="BU90" s="748"/>
      <c r="BV90" s="760"/>
      <c r="BW90" s="749"/>
      <c r="BX90" s="749"/>
      <c r="BY90" s="753"/>
      <c r="BZ90" s="748"/>
      <c r="CA90" s="759"/>
      <c r="CB90" s="749"/>
      <c r="CC90" s="749"/>
      <c r="CD90" s="753"/>
      <c r="CE90" s="748"/>
      <c r="CF90" s="759"/>
      <c r="CG90" s="749"/>
      <c r="CH90" s="749"/>
      <c r="CI90" s="753"/>
      <c r="CJ90" s="748"/>
      <c r="CK90" s="759"/>
      <c r="CL90" s="749"/>
      <c r="CM90" s="749"/>
      <c r="CN90" s="753"/>
      <c r="CO90" s="748"/>
      <c r="CP90" s="757"/>
      <c r="CQ90" s="749"/>
      <c r="CR90" s="749"/>
      <c r="CS90" s="753"/>
      <c r="CT90" s="748"/>
      <c r="CU90" s="757"/>
      <c r="CV90" s="749"/>
      <c r="CW90" s="749"/>
      <c r="CX90" s="753"/>
      <c r="CY90" s="754"/>
      <c r="CZ90" s="758"/>
      <c r="DA90" s="746"/>
      <c r="DB90" s="749"/>
      <c r="DC90" s="753"/>
      <c r="DD90" s="754"/>
      <c r="DE90" s="758"/>
      <c r="DF90" s="746"/>
      <c r="DG90" s="749"/>
      <c r="DH90" s="753"/>
      <c r="DI90" s="754"/>
      <c r="DJ90" s="758"/>
      <c r="DK90" s="746"/>
      <c r="DL90" s="749"/>
      <c r="DM90" s="753"/>
      <c r="DN90" s="754"/>
      <c r="DO90" s="758"/>
      <c r="DP90" s="746"/>
      <c r="DQ90" s="749"/>
      <c r="DR90" s="753"/>
      <c r="DS90" s="754"/>
      <c r="DT90" s="758"/>
      <c r="DU90" s="746"/>
      <c r="DV90" s="749"/>
      <c r="DW90" s="753"/>
      <c r="DX90" s="754"/>
      <c r="DY90" s="758"/>
      <c r="DZ90" s="746"/>
      <c r="EA90" s="749"/>
      <c r="EB90" s="753"/>
      <c r="EC90" s="754"/>
      <c r="ED90" s="1419"/>
      <c r="EE90" s="746"/>
      <c r="EF90" s="749"/>
      <c r="EG90" s="753"/>
      <c r="EH90" s="754"/>
      <c r="EI90" s="1448"/>
      <c r="EJ90" s="746"/>
      <c r="EK90" s="749"/>
      <c r="EL90" s="753"/>
      <c r="EM90" s="754"/>
      <c r="EN90" s="1448"/>
      <c r="EO90" s="746"/>
      <c r="EP90" s="749"/>
      <c r="EQ90" s="753"/>
      <c r="ER90" s="754"/>
      <c r="ES90" s="1448"/>
      <c r="ET90" s="746"/>
      <c r="EU90" s="749"/>
      <c r="EV90" s="753"/>
      <c r="EW90" s="754"/>
      <c r="EX90" s="758"/>
      <c r="EY90" s="746"/>
      <c r="EZ90" s="749"/>
      <c r="FA90" s="753"/>
      <c r="FB90" s="754"/>
      <c r="FC90" s="758"/>
      <c r="FD90" s="746"/>
      <c r="FE90" s="749"/>
      <c r="FF90" s="753"/>
      <c r="FG90" s="754"/>
      <c r="FH90" s="758"/>
      <c r="FI90" s="746"/>
      <c r="FJ90" s="749"/>
      <c r="FK90" s="753"/>
      <c r="FL90" s="754"/>
      <c r="FM90" s="758"/>
      <c r="FN90" s="746"/>
      <c r="FO90" s="749"/>
      <c r="FP90" s="753"/>
      <c r="FQ90" s="754"/>
      <c r="FR90" s="758"/>
      <c r="FS90" s="746"/>
      <c r="FT90" s="749"/>
      <c r="FU90" s="753"/>
      <c r="FV90" s="754"/>
      <c r="FW90" s="758"/>
      <c r="FX90" s="746"/>
      <c r="FY90" s="749"/>
      <c r="FZ90" s="753"/>
      <c r="GA90" s="754"/>
      <c r="GB90" s="758"/>
      <c r="GC90" s="746"/>
      <c r="GD90" s="749"/>
      <c r="GE90" s="753"/>
      <c r="GF90" s="754"/>
      <c r="GG90" s="758"/>
      <c r="GH90" s="746"/>
      <c r="GI90" s="749"/>
      <c r="GJ90" s="753"/>
      <c r="GK90" s="754"/>
      <c r="GL90" s="1419"/>
      <c r="GM90" s="746"/>
      <c r="GN90" s="749"/>
      <c r="GO90" s="753"/>
      <c r="GP90" s="754"/>
      <c r="GQ90" s="1448"/>
      <c r="GR90" s="746"/>
      <c r="GS90" s="749"/>
      <c r="GT90" s="753"/>
      <c r="GU90" s="754"/>
      <c r="GV90" s="1448"/>
      <c r="GW90" s="746"/>
      <c r="GX90" s="749"/>
      <c r="GY90" s="753"/>
      <c r="GZ90" s="754"/>
      <c r="HA90" s="1448"/>
      <c r="HB90" s="746"/>
      <c r="HC90" s="749"/>
      <c r="HD90" s="753"/>
      <c r="HE90" s="754"/>
      <c r="HF90" s="758"/>
      <c r="HG90" s="746"/>
      <c r="HH90" s="749"/>
      <c r="HI90" s="753"/>
      <c r="HJ90" s="754"/>
      <c r="HK90" s="758"/>
      <c r="HL90" s="746"/>
      <c r="HM90" s="749"/>
      <c r="HN90" s="753"/>
      <c r="HO90" s="754"/>
      <c r="HP90" s="758"/>
      <c r="HQ90" s="746"/>
      <c r="HR90" s="749"/>
      <c r="HS90" s="753"/>
      <c r="HT90" s="754"/>
      <c r="HU90" s="758"/>
      <c r="HV90" s="746"/>
      <c r="HW90" s="749"/>
      <c r="HX90" s="753"/>
      <c r="HY90" s="754"/>
      <c r="HZ90" s="758"/>
      <c r="IA90" s="746"/>
      <c r="IB90" s="749"/>
      <c r="IC90" s="753"/>
      <c r="ID90" s="754"/>
      <c r="IE90" s="758"/>
      <c r="IF90" s="746"/>
      <c r="IG90" s="749"/>
      <c r="IH90" s="753"/>
      <c r="II90" s="754"/>
      <c r="IJ90" s="758"/>
      <c r="IK90" s="746"/>
      <c r="IL90" s="749"/>
      <c r="IM90" s="753"/>
      <c r="IN90" s="754"/>
      <c r="IO90" s="758"/>
      <c r="IP90" s="746"/>
      <c r="IQ90" s="749"/>
    </row>
    <row r="91" spans="1:251" s="249" customFormat="1" ht="15" customHeight="1">
      <c r="A91" s="649"/>
      <c r="B91" s="265" t="s">
        <v>307</v>
      </c>
      <c r="C91" s="5" t="s">
        <v>56</v>
      </c>
      <c r="D91" s="6" t="s">
        <v>19</v>
      </c>
      <c r="E91" s="7" t="s">
        <v>10</v>
      </c>
      <c r="F91" s="4"/>
      <c r="G91" s="196"/>
      <c r="H91" s="197"/>
      <c r="I91" s="197"/>
      <c r="J91" s="38"/>
      <c r="K91" s="206"/>
      <c r="L91" s="196"/>
      <c r="M91" s="197"/>
      <c r="N91" s="197"/>
      <c r="O91" s="38"/>
      <c r="P91" s="206"/>
      <c r="Q91" s="196"/>
      <c r="R91" s="197"/>
      <c r="S91" s="197"/>
      <c r="T91" s="38"/>
      <c r="U91" s="206"/>
      <c r="V91" s="207"/>
      <c r="W91" s="197"/>
      <c r="X91" s="204">
        <v>1106</v>
      </c>
      <c r="Y91" s="38"/>
      <c r="Z91" s="384">
        <f>SUM(X91:X95)*1.1</f>
        <v>72387.145600000003</v>
      </c>
      <c r="AA91" s="36"/>
      <c r="AB91" s="197"/>
      <c r="AC91" s="204">
        <v>442</v>
      </c>
      <c r="AD91" s="38"/>
      <c r="AE91" s="384">
        <f>SUM(AC91:AC95)*1.1</f>
        <v>65922.881200000003</v>
      </c>
      <c r="AF91" s="36"/>
      <c r="AG91" s="197"/>
      <c r="AH91" s="204">
        <v>1327</v>
      </c>
      <c r="AI91" s="38"/>
      <c r="AJ91" s="384">
        <f>SUM(AH91:AH95)*1.1</f>
        <v>74654.929799999998</v>
      </c>
      <c r="AK91" s="36"/>
      <c r="AL91" s="197"/>
      <c r="AM91" s="204">
        <v>442</v>
      </c>
      <c r="AN91" s="38"/>
      <c r="AO91" s="384">
        <f>AO92*1.2</f>
        <v>88780.732799999983</v>
      </c>
      <c r="AP91" s="36"/>
      <c r="AQ91" s="197"/>
      <c r="AR91" s="204">
        <v>663</v>
      </c>
      <c r="AS91" s="427"/>
      <c r="AT91" s="384">
        <f>SUM(AR91:AR95)*1.1</f>
        <v>88698.849800000011</v>
      </c>
      <c r="AU91" s="36"/>
      <c r="AV91" s="197"/>
      <c r="AW91" s="197"/>
      <c r="AX91" s="38"/>
      <c r="AY91" s="384">
        <f>SUM(AW91:AW95)*1.1</f>
        <v>114018.46720000001</v>
      </c>
      <c r="AZ91" s="36"/>
      <c r="BA91" s="197"/>
      <c r="BB91" s="197"/>
      <c r="BC91" s="38"/>
      <c r="BD91" s="384">
        <f>SUM(BB91:BB95)*1.1</f>
        <v>104214.11000000002</v>
      </c>
      <c r="BE91" s="36"/>
      <c r="BF91" s="197"/>
      <c r="BG91" s="197"/>
      <c r="BH91" s="38"/>
      <c r="BI91" s="384">
        <f>SUM(BG91:BG95)*1.1</f>
        <v>98438.538</v>
      </c>
      <c r="BJ91" s="36"/>
      <c r="BK91" s="197"/>
      <c r="BL91" s="197"/>
      <c r="BM91" s="38"/>
      <c r="BN91" s="384">
        <f>SUM(BL91:BL95)*1.1</f>
        <v>106565.7032</v>
      </c>
      <c r="BO91" s="36"/>
      <c r="BP91" s="197"/>
      <c r="BQ91" s="197"/>
      <c r="BR91" s="38"/>
      <c r="BS91" s="384">
        <f>SUM(BQ91:BQ95)*1.1</f>
        <v>101917.94360000001</v>
      </c>
      <c r="BT91" s="36"/>
      <c r="BU91" s="197"/>
      <c r="BV91" s="197"/>
      <c r="BW91" s="38"/>
      <c r="BX91" s="384">
        <f>SUM(BV91:BV95)*1.1</f>
        <v>121155.61040000002</v>
      </c>
      <c r="BY91" s="36"/>
      <c r="BZ91" s="197"/>
      <c r="CA91" s="197"/>
      <c r="CB91" s="38"/>
      <c r="CC91" s="384">
        <f>SUM(CA91:CA95)*1.1</f>
        <v>79174.59</v>
      </c>
      <c r="CD91" s="36"/>
      <c r="CE91" s="197"/>
      <c r="CF91" s="197"/>
      <c r="CG91" s="38"/>
      <c r="CH91" s="384">
        <f>SUM(CF91:CF95)*1.1</f>
        <v>78035.650000000009</v>
      </c>
      <c r="CI91" s="36"/>
      <c r="CJ91" s="197"/>
      <c r="CK91" s="197"/>
      <c r="CL91" s="38"/>
      <c r="CM91" s="384">
        <f>SUM(CK91:CK95)*1.1</f>
        <v>73546.215599999996</v>
      </c>
      <c r="CN91" s="36"/>
      <c r="CO91" s="197"/>
      <c r="CP91" s="197"/>
      <c r="CQ91" s="38"/>
      <c r="CR91" s="384">
        <f>SUM(CP91:CP95)*1.1</f>
        <v>111614.459</v>
      </c>
      <c r="CS91" s="36"/>
      <c r="CT91" s="197"/>
      <c r="CU91" s="197"/>
      <c r="CV91" s="38"/>
      <c r="CW91" s="384">
        <f>SUM(CU91:CU95)*1.1</f>
        <v>106705.86960000001</v>
      </c>
      <c r="CX91" s="36"/>
      <c r="CY91" s="197"/>
      <c r="CZ91" s="197"/>
      <c r="DA91" s="38"/>
      <c r="DB91" s="384">
        <f>SUM(CZ91:CZ95)*1.1</f>
        <v>120763.76840000002</v>
      </c>
      <c r="DC91" s="36"/>
      <c r="DD91" s="197"/>
      <c r="DE91" s="197"/>
      <c r="DF91" s="38"/>
      <c r="DG91" s="384">
        <f>SUM(DE91:DE95)*1.1</f>
        <v>50789.457399999999</v>
      </c>
      <c r="DH91" s="36"/>
      <c r="DI91" s="197"/>
      <c r="DJ91" s="197"/>
      <c r="DK91" s="38"/>
      <c r="DL91" s="384">
        <f>SUM(DJ91:DJ95)*1.1</f>
        <v>50789.457399999999</v>
      </c>
      <c r="DM91" s="36"/>
      <c r="DN91" s="197"/>
      <c r="DO91" s="197"/>
      <c r="DP91" s="38"/>
      <c r="DQ91" s="384">
        <f>SUM(DO91:DO95)*1.1</f>
        <v>86271.640400000004</v>
      </c>
      <c r="DR91" s="36"/>
      <c r="DS91" s="197"/>
      <c r="DT91" s="197"/>
      <c r="DU91" s="38"/>
      <c r="DV91" s="384">
        <f>SUM(DT91:DT95)*1.1</f>
        <v>212362.51740000001</v>
      </c>
      <c r="DW91" s="36"/>
      <c r="DX91" s="197"/>
      <c r="DY91" s="197"/>
      <c r="DZ91" s="38"/>
      <c r="EA91" s="384">
        <f>SUM(DY91:DY95)*1.1</f>
        <v>147685.13760000002</v>
      </c>
      <c r="EB91" s="36"/>
      <c r="EC91" s="197"/>
      <c r="ED91" s="197"/>
      <c r="EE91" s="38"/>
      <c r="EF91" s="384">
        <f>SUM(ED91:ED95)*1.1</f>
        <v>140689.64360000001</v>
      </c>
      <c r="EG91" s="36"/>
      <c r="EH91" s="197"/>
      <c r="EI91" s="197"/>
      <c r="EJ91" s="38"/>
      <c r="EK91" s="384">
        <f>SUM(EI91:EI95)*1.1</f>
        <v>79174.59</v>
      </c>
      <c r="EL91" s="36"/>
      <c r="EM91" s="197"/>
      <c r="EN91" s="197"/>
      <c r="EO91" s="38"/>
      <c r="EP91" s="384">
        <f>SUM(EN91:EN95)*1.1</f>
        <v>78035.650000000009</v>
      </c>
      <c r="EQ91" s="36"/>
      <c r="ER91" s="197"/>
      <c r="ES91" s="197"/>
      <c r="ET91" s="38"/>
      <c r="EU91" s="384">
        <f>SUM(ES91:ES95)*1.1</f>
        <v>73546.215599999996</v>
      </c>
      <c r="EV91" s="36"/>
      <c r="EW91" s="197"/>
      <c r="EX91" s="197"/>
      <c r="EY91" s="38"/>
      <c r="EZ91" s="384">
        <f>SUM(EX91:EX95)*1.1</f>
        <v>114079.33899999999</v>
      </c>
      <c r="FA91" s="36"/>
      <c r="FB91" s="197"/>
      <c r="FC91" s="197"/>
      <c r="FD91" s="38"/>
      <c r="FE91" s="384">
        <f>SUM(FC91:FC95)*1.1</f>
        <v>106705.86960000001</v>
      </c>
      <c r="FF91" s="36"/>
      <c r="FG91" s="197"/>
      <c r="FH91" s="197"/>
      <c r="FI91" s="38"/>
      <c r="FJ91" s="384">
        <f>SUM(FH91:FH95)*1.1</f>
        <v>120763.76840000002</v>
      </c>
      <c r="FK91" s="36"/>
      <c r="FL91" s="197"/>
      <c r="FM91" s="197"/>
      <c r="FN91" s="38"/>
      <c r="FO91" s="384">
        <f>SUM(FM91:FM95)*1.1</f>
        <v>131705.58499999999</v>
      </c>
      <c r="FP91" s="36"/>
      <c r="FQ91" s="197"/>
      <c r="FR91" s="197"/>
      <c r="FS91" s="38"/>
      <c r="FT91" s="384">
        <f>SUM(FR91:FR95)*1.1</f>
        <v>50789.457399999999</v>
      </c>
      <c r="FU91" s="36"/>
      <c r="FV91" s="197"/>
      <c r="FW91" s="197"/>
      <c r="FX91" s="38"/>
      <c r="FY91" s="384">
        <f>SUM(FW91:FW95)*1.1</f>
        <v>184849.7464</v>
      </c>
      <c r="FZ91" s="36"/>
      <c r="GA91" s="197"/>
      <c r="GB91" s="197"/>
      <c r="GC91" s="38"/>
      <c r="GD91" s="384">
        <f>SUM(GB91:GB95)*1.1</f>
        <v>50789.457399999999</v>
      </c>
      <c r="GE91" s="36"/>
      <c r="GF91" s="197"/>
      <c r="GG91" s="197"/>
      <c r="GH91" s="38"/>
      <c r="GI91" s="384">
        <f>SUM(GG91:GG95)*1.1</f>
        <v>50789.457399999999</v>
      </c>
      <c r="GJ91" s="280"/>
      <c r="GK91" s="197"/>
      <c r="GL91" s="197"/>
      <c r="GM91" s="38"/>
      <c r="GN91" s="384">
        <f>SUM(GL91:GL95)*1.1</f>
        <v>140689.64360000001</v>
      </c>
      <c r="GO91" s="36"/>
      <c r="GP91" s="197"/>
      <c r="GQ91" s="197"/>
      <c r="GR91" s="38"/>
      <c r="GS91" s="384">
        <f>SUM(GQ91:GQ95)*1.1</f>
        <v>130090.57160000002</v>
      </c>
      <c r="GT91" s="36"/>
      <c r="GU91" s="197"/>
      <c r="GV91" s="197"/>
      <c r="GW91" s="38"/>
      <c r="GX91" s="384">
        <f>SUM(GV91:GV95)*1.1</f>
        <v>154048.91700000002</v>
      </c>
      <c r="GY91" s="36"/>
      <c r="GZ91" s="197"/>
      <c r="HA91" s="197"/>
      <c r="HB91" s="38"/>
      <c r="HC91" s="384">
        <f>SUM(HA91:HA95)*1.1</f>
        <v>73546.215599999996</v>
      </c>
      <c r="HD91" s="36"/>
      <c r="HE91" s="197"/>
      <c r="HF91" s="197"/>
      <c r="HG91" s="38"/>
      <c r="HH91" s="384">
        <f>SUM(HF91:HF95)*1.1</f>
        <v>114079.33899999999</v>
      </c>
      <c r="HI91" s="36"/>
      <c r="HJ91" s="197"/>
      <c r="HK91" s="197"/>
      <c r="HL91" s="38"/>
      <c r="HM91" s="384">
        <f>SUM(HK91:HK95)*1.1</f>
        <v>106705.86960000001</v>
      </c>
      <c r="HN91" s="36"/>
      <c r="HO91" s="197"/>
      <c r="HP91" s="197"/>
      <c r="HQ91" s="38"/>
      <c r="HR91" s="384">
        <f>SUM(HP91:HP95)*1.1</f>
        <v>120763.76840000002</v>
      </c>
      <c r="HS91" s="36"/>
      <c r="HT91" s="197"/>
      <c r="HU91" s="197"/>
      <c r="HV91" s="38"/>
      <c r="HW91" s="384">
        <f>SUM(HU91:HU95)*1.1</f>
        <v>131705.58499999999</v>
      </c>
      <c r="HX91" s="36"/>
      <c r="HY91" s="197"/>
      <c r="HZ91" s="197"/>
      <c r="IA91" s="38"/>
      <c r="IB91" s="384">
        <f>SUM(HZ91:HZ95)*1.1</f>
        <v>50789.457399999999</v>
      </c>
      <c r="IC91" s="36"/>
      <c r="ID91" s="197"/>
      <c r="IE91" s="197"/>
      <c r="IF91" s="38"/>
      <c r="IG91" s="384">
        <f>SUM(IE91:IE95)*1.1</f>
        <v>184849.7464</v>
      </c>
      <c r="IH91" s="36"/>
      <c r="II91" s="197"/>
      <c r="IJ91" s="197"/>
      <c r="IK91" s="38"/>
      <c r="IL91" s="384">
        <f>SUM(IJ91:IJ95)*1.1</f>
        <v>50789.457399999999</v>
      </c>
      <c r="IM91" s="36"/>
      <c r="IN91" s="197"/>
      <c r="IO91" s="197"/>
      <c r="IP91" s="38"/>
      <c r="IQ91" s="384">
        <f>SUM(IO91:IO95)*1.1</f>
        <v>50789.457399999999</v>
      </c>
    </row>
    <row r="92" spans="1:251" ht="15" customHeight="1">
      <c r="A92" s="647"/>
      <c r="B92" s="256"/>
      <c r="C92" s="215">
        <v>37985767</v>
      </c>
      <c r="D92" s="45" t="s">
        <v>57</v>
      </c>
      <c r="E92" s="216" t="s">
        <v>11</v>
      </c>
      <c r="F92" s="22"/>
      <c r="G92" s="103"/>
      <c r="H92" s="69">
        <v>1</v>
      </c>
      <c r="I92" s="131">
        <v>4720</v>
      </c>
      <c r="J92" s="81"/>
      <c r="K92" s="88"/>
      <c r="L92" s="338"/>
      <c r="M92" s="69">
        <v>1</v>
      </c>
      <c r="N92" s="131">
        <f>3933.33*1.2</f>
        <v>4719.9960000000001</v>
      </c>
      <c r="O92" s="81"/>
      <c r="P92" s="88"/>
      <c r="Q92" s="103"/>
      <c r="R92" s="69">
        <v>1</v>
      </c>
      <c r="S92" s="131">
        <f>1.2*3933.33</f>
        <v>4719.9960000000001</v>
      </c>
      <c r="T92" s="81"/>
      <c r="U92" s="88"/>
      <c r="V92" s="47"/>
      <c r="W92" s="69">
        <v>1</v>
      </c>
      <c r="X92" s="131">
        <f>3933.33*1.2</f>
        <v>4719.9960000000001</v>
      </c>
      <c r="Y92" s="81"/>
      <c r="Z92" s="403">
        <f>SUM(X91:X95)*1</f>
        <v>65806.495999999999</v>
      </c>
      <c r="AA92" s="46"/>
      <c r="AB92" s="69">
        <v>1</v>
      </c>
      <c r="AC92" s="131">
        <f>1.2*3933.33</f>
        <v>4719.9960000000001</v>
      </c>
      <c r="AD92" s="81"/>
      <c r="AE92" s="403">
        <f>SUM(AC91:AC95)*1</f>
        <v>59929.892</v>
      </c>
      <c r="AF92" s="46"/>
      <c r="AG92" s="69">
        <v>1</v>
      </c>
      <c r="AH92" s="131">
        <f>1.2*3933.33</f>
        <v>4719.9960000000001</v>
      </c>
      <c r="AI92" s="81"/>
      <c r="AJ92" s="403">
        <f>SUM(AH91:AH95)*1</f>
        <v>67868.117999999988</v>
      </c>
      <c r="AK92" s="46"/>
      <c r="AL92" s="69">
        <v>1</v>
      </c>
      <c r="AM92" s="131">
        <f>1.2*3933.33</f>
        <v>4719.9960000000001</v>
      </c>
      <c r="AN92" s="81"/>
      <c r="AO92" s="403">
        <f>SUM(AM91:AM95)*1</f>
        <v>73983.943999999989</v>
      </c>
      <c r="AP92" s="46"/>
      <c r="AQ92" s="69">
        <v>1</v>
      </c>
      <c r="AR92" s="131">
        <f>1.2*3933.33</f>
        <v>4719.9960000000001</v>
      </c>
      <c r="AS92" s="81"/>
      <c r="AT92" s="403">
        <f>SUM(AR91:AR95)*1</f>
        <v>80635.317999999999</v>
      </c>
      <c r="AU92" s="46"/>
      <c r="AV92" s="69">
        <v>1</v>
      </c>
      <c r="AW92" s="131">
        <f>1.2*4070.54</f>
        <v>4884.6480000000001</v>
      </c>
      <c r="AX92" s="81"/>
      <c r="AY92" s="403">
        <f>SUM(AW91:AW95)*1</f>
        <v>103653.152</v>
      </c>
      <c r="AZ92" s="46"/>
      <c r="BA92" s="69">
        <v>1</v>
      </c>
      <c r="BB92" s="131">
        <f>1.2*3933.33</f>
        <v>4719.9960000000001</v>
      </c>
      <c r="BC92" s="81"/>
      <c r="BD92" s="403">
        <f>SUM(BB91:BB95)*1</f>
        <v>94740.1</v>
      </c>
      <c r="BE92" s="46"/>
      <c r="BF92" s="69">
        <v>1</v>
      </c>
      <c r="BG92" s="131">
        <f>1.2*3933.33</f>
        <v>4719.9960000000001</v>
      </c>
      <c r="BH92" s="81"/>
      <c r="BI92" s="403">
        <f>SUM(BG91:BG95)*1</f>
        <v>89489.579999999987</v>
      </c>
      <c r="BJ92" s="46"/>
      <c r="BK92" s="69">
        <v>1</v>
      </c>
      <c r="BL92" s="131">
        <f>1.2*(3933.33+88.27+341.88+68.87)</f>
        <v>5318.8199999999988</v>
      </c>
      <c r="BM92" s="81"/>
      <c r="BN92" s="403">
        <f>SUM(BL91:BL95)*1</f>
        <v>96877.911999999997</v>
      </c>
      <c r="BO92" s="46"/>
      <c r="BP92" s="69">
        <v>1</v>
      </c>
      <c r="BQ92" s="131">
        <f>1.2*(3933.33+108.83)</f>
        <v>4850.5919999999996</v>
      </c>
      <c r="BR92" s="81"/>
      <c r="BS92" s="403">
        <f>SUM(BQ91:BQ95)*1</f>
        <v>92652.676000000007</v>
      </c>
      <c r="BT92" s="46"/>
      <c r="BU92" s="69">
        <v>1</v>
      </c>
      <c r="BV92" s="131">
        <f>1.2*(3933.33+108.83)</f>
        <v>4850.5919999999996</v>
      </c>
      <c r="BW92" s="81"/>
      <c r="BX92" s="403">
        <f>SUM(BV91:BV95)*1</f>
        <v>110141.46400000001</v>
      </c>
      <c r="BY92" s="46"/>
      <c r="BZ92" s="69">
        <v>1</v>
      </c>
      <c r="CA92" s="131">
        <f>1.2*(3933.33+107.6+83.93)</f>
        <v>4949.8319999999994</v>
      </c>
      <c r="CB92" s="81"/>
      <c r="CC92" s="403">
        <f>SUM(CA91:CA95)*1</f>
        <v>71976.899999999994</v>
      </c>
      <c r="CD92" s="46"/>
      <c r="CE92" s="69">
        <v>1</v>
      </c>
      <c r="CF92" s="131">
        <v>5152.96</v>
      </c>
      <c r="CG92" s="81"/>
      <c r="CH92" s="403">
        <f>SUM(CF91:CF95)*1</f>
        <v>70941.5</v>
      </c>
      <c r="CI92" s="46"/>
      <c r="CJ92" s="69">
        <v>1</v>
      </c>
      <c r="CK92" s="131">
        <f>3933.33*1.2</f>
        <v>4719.9960000000001</v>
      </c>
      <c r="CL92" s="81"/>
      <c r="CM92" s="403">
        <f>SUM(CK91:CK95)*1</f>
        <v>66860.195999999996</v>
      </c>
      <c r="CN92" s="46"/>
      <c r="CO92" s="69">
        <v>1</v>
      </c>
      <c r="CP92" s="131">
        <v>5252.09</v>
      </c>
      <c r="CQ92" s="81"/>
      <c r="CR92" s="403">
        <f>SUM(CP91:CP95)*1</f>
        <v>101467.68999999999</v>
      </c>
      <c r="CS92" s="46"/>
      <c r="CT92" s="69">
        <v>1</v>
      </c>
      <c r="CU92" s="131">
        <v>5516.84</v>
      </c>
      <c r="CV92" s="81"/>
      <c r="CW92" s="403">
        <f>SUM(CU91:CU95)*1</f>
        <v>97005.335999999996</v>
      </c>
      <c r="CX92" s="46"/>
      <c r="CY92" s="58">
        <v>1</v>
      </c>
      <c r="CZ92" s="63">
        <v>4720</v>
      </c>
      <c r="DA92" s="44"/>
      <c r="DB92" s="403">
        <f>SUM(CZ91:CZ95)*1</f>
        <v>109785.24400000001</v>
      </c>
      <c r="DC92" s="46"/>
      <c r="DD92" s="58">
        <v>1</v>
      </c>
      <c r="DE92" s="63">
        <v>4720</v>
      </c>
      <c r="DF92" s="44"/>
      <c r="DG92" s="403">
        <f>SUM(DE91:DE95)*1</f>
        <v>46172.233999999997</v>
      </c>
      <c r="DH92" s="46"/>
      <c r="DI92" s="58">
        <v>1</v>
      </c>
      <c r="DJ92" s="63">
        <v>4720</v>
      </c>
      <c r="DK92" s="44"/>
      <c r="DL92" s="403">
        <f>SUM(DJ91:DJ95)*1</f>
        <v>46172.233999999997</v>
      </c>
      <c r="DM92" s="46"/>
      <c r="DN92" s="69">
        <v>1</v>
      </c>
      <c r="DO92" s="131">
        <v>5561.79</v>
      </c>
      <c r="DP92" s="81"/>
      <c r="DQ92" s="403">
        <f>SUM(DO91:DO95)*1</f>
        <v>78428.763999999996</v>
      </c>
      <c r="DR92" s="46"/>
      <c r="DS92" s="69">
        <v>1</v>
      </c>
      <c r="DT92" s="131">
        <v>5395.6</v>
      </c>
      <c r="DU92" s="81"/>
      <c r="DV92" s="403">
        <f>SUM(DT91:DT95)*1</f>
        <v>193056.834</v>
      </c>
      <c r="DW92" s="46"/>
      <c r="DX92" s="69">
        <v>1</v>
      </c>
      <c r="DY92" s="131">
        <f>1.2*3933.33</f>
        <v>4719.9960000000001</v>
      </c>
      <c r="DZ92" s="81"/>
      <c r="EA92" s="403">
        <f>SUM(DY91:DY95)*1</f>
        <v>134259.21600000001</v>
      </c>
      <c r="EB92" s="46"/>
      <c r="EC92" s="69">
        <v>1</v>
      </c>
      <c r="ED92" s="131">
        <f>1.2*(3933.33)</f>
        <v>4719.9960000000001</v>
      </c>
      <c r="EE92" s="81"/>
      <c r="EF92" s="403">
        <f>SUM(ED91:ED95)*1</f>
        <v>127899.67600000001</v>
      </c>
      <c r="EG92" s="46"/>
      <c r="EH92" s="58">
        <v>1</v>
      </c>
      <c r="EI92" s="63">
        <f>1.2*(3933.33+107.6+83.93)</f>
        <v>4949.8319999999994</v>
      </c>
      <c r="EJ92" s="44"/>
      <c r="EK92" s="403">
        <f>SUM(EI91:EI95)*1</f>
        <v>71976.899999999994</v>
      </c>
      <c r="EL92" s="46"/>
      <c r="EM92" s="58">
        <v>1</v>
      </c>
      <c r="EN92" s="63">
        <v>5152.96</v>
      </c>
      <c r="EO92" s="44"/>
      <c r="EP92" s="403">
        <f>SUM(EN91:EN95)*1</f>
        <v>70941.5</v>
      </c>
      <c r="EQ92" s="46"/>
      <c r="ER92" s="58">
        <v>1</v>
      </c>
      <c r="ES92" s="63">
        <f>3933.33*1.2</f>
        <v>4719.9960000000001</v>
      </c>
      <c r="ET92" s="44"/>
      <c r="EU92" s="403">
        <f>SUM(ES91:ES95)*1</f>
        <v>66860.195999999996</v>
      </c>
      <c r="EV92" s="46"/>
      <c r="EW92" s="69">
        <v>1</v>
      </c>
      <c r="EX92" s="131">
        <v>5514.28</v>
      </c>
      <c r="EY92" s="81"/>
      <c r="EZ92" s="403">
        <f>SUM(EX91:EX95)*1</f>
        <v>103708.48999999999</v>
      </c>
      <c r="FA92" s="46"/>
      <c r="FB92" s="58">
        <v>1</v>
      </c>
      <c r="FC92" s="63">
        <v>5516.84</v>
      </c>
      <c r="FD92" s="44"/>
      <c r="FE92" s="403">
        <f>SUM(FC91:FC95)*1</f>
        <v>97005.335999999996</v>
      </c>
      <c r="FF92" s="46"/>
      <c r="FG92" s="58">
        <v>1</v>
      </c>
      <c r="FH92" s="63">
        <v>4720</v>
      </c>
      <c r="FI92" s="44"/>
      <c r="FJ92" s="403">
        <f>SUM(FH91:FH95)*1</f>
        <v>109785.24400000001</v>
      </c>
      <c r="FK92" s="46"/>
      <c r="FL92" s="69">
        <v>1</v>
      </c>
      <c r="FM92" s="131">
        <v>5290.69</v>
      </c>
      <c r="FN92" s="44"/>
      <c r="FO92" s="403">
        <f>SUM(FM91:FM95)*1</f>
        <v>119732.34999999999</v>
      </c>
      <c r="FP92" s="46"/>
      <c r="FQ92" s="58">
        <v>1</v>
      </c>
      <c r="FR92" s="63">
        <v>4720</v>
      </c>
      <c r="FS92" s="44"/>
      <c r="FT92" s="403">
        <f>SUM(FR91:FR95)*1</f>
        <v>46172.233999999997</v>
      </c>
      <c r="FU92" s="46"/>
      <c r="FV92" s="58">
        <v>1</v>
      </c>
      <c r="FW92" s="63">
        <v>4720</v>
      </c>
      <c r="FX92" s="44"/>
      <c r="FY92" s="403">
        <f>SUM(FW91:FW95)*1</f>
        <v>168045.22399999999</v>
      </c>
      <c r="FZ92" s="46"/>
      <c r="GA92" s="58">
        <v>1</v>
      </c>
      <c r="GB92" s="63">
        <v>4720</v>
      </c>
      <c r="GC92" s="44"/>
      <c r="GD92" s="403">
        <f>SUM(GB91:GB95)*1</f>
        <v>46172.233999999997</v>
      </c>
      <c r="GE92" s="46"/>
      <c r="GF92" s="58">
        <v>1</v>
      </c>
      <c r="GG92" s="63">
        <v>4720</v>
      </c>
      <c r="GH92" s="44"/>
      <c r="GI92" s="403">
        <f>SUM(GG91:GG95)*1</f>
        <v>46172.233999999997</v>
      </c>
      <c r="GJ92" s="97"/>
      <c r="GK92" s="58">
        <v>1</v>
      </c>
      <c r="GL92" s="63">
        <f>1.2*(3933.33)</f>
        <v>4719.9960000000001</v>
      </c>
      <c r="GM92" s="44"/>
      <c r="GN92" s="403">
        <f>SUM(GL91:GL95)*1</f>
        <v>127899.67600000001</v>
      </c>
      <c r="GO92" s="46"/>
      <c r="GP92" s="69">
        <v>1</v>
      </c>
      <c r="GQ92" s="131">
        <v>5473.74</v>
      </c>
      <c r="GR92" s="81"/>
      <c r="GS92" s="403">
        <f>SUM(GQ91:GQ95)*1</f>
        <v>118264.15600000002</v>
      </c>
      <c r="GT92" s="46"/>
      <c r="GU92" s="69">
        <v>1</v>
      </c>
      <c r="GV92" s="131">
        <v>5259.47</v>
      </c>
      <c r="GW92" s="81"/>
      <c r="GX92" s="403">
        <f>SUM(GV91:GV95)*1</f>
        <v>140044.47</v>
      </c>
      <c r="GY92" s="46"/>
      <c r="GZ92" s="58">
        <v>1</v>
      </c>
      <c r="HA92" s="63">
        <f>3933.33*1.2</f>
        <v>4719.9960000000001</v>
      </c>
      <c r="HB92" s="44"/>
      <c r="HC92" s="403">
        <f>SUM(HA91:HA95)*1</f>
        <v>66860.195999999996</v>
      </c>
      <c r="HD92" s="46"/>
      <c r="HE92" s="58">
        <v>1</v>
      </c>
      <c r="HF92" s="63">
        <v>5514.28</v>
      </c>
      <c r="HG92" s="44"/>
      <c r="HH92" s="403">
        <f>SUM(HF91:HF95)*1</f>
        <v>103708.48999999999</v>
      </c>
      <c r="HI92" s="46"/>
      <c r="HJ92" s="58">
        <v>1</v>
      </c>
      <c r="HK92" s="63">
        <v>5516.84</v>
      </c>
      <c r="HL92" s="44"/>
      <c r="HM92" s="403">
        <f>SUM(HK91:HK95)*1</f>
        <v>97005.335999999996</v>
      </c>
      <c r="HN92" s="46"/>
      <c r="HO92" s="58">
        <v>1</v>
      </c>
      <c r="HP92" s="63">
        <v>4720</v>
      </c>
      <c r="HQ92" s="44"/>
      <c r="HR92" s="403">
        <f>SUM(HP91:HP95)*1</f>
        <v>109785.24400000001</v>
      </c>
      <c r="HS92" s="46"/>
      <c r="HT92" s="58">
        <v>1</v>
      </c>
      <c r="HU92" s="63">
        <v>5290.69</v>
      </c>
      <c r="HV92" s="44"/>
      <c r="HW92" s="403">
        <f>SUM(HU91:HU95)*1</f>
        <v>119732.34999999999</v>
      </c>
      <c r="HX92" s="46"/>
      <c r="HY92" s="58">
        <v>1</v>
      </c>
      <c r="HZ92" s="63">
        <v>4720</v>
      </c>
      <c r="IA92" s="44"/>
      <c r="IB92" s="403">
        <f>SUM(HZ91:HZ95)*1</f>
        <v>46172.233999999997</v>
      </c>
      <c r="IC92" s="46"/>
      <c r="ID92" s="58">
        <v>1</v>
      </c>
      <c r="IE92" s="63">
        <v>4720</v>
      </c>
      <c r="IF92" s="44"/>
      <c r="IG92" s="403">
        <f>SUM(IE91:IE95)*1</f>
        <v>168045.22399999999</v>
      </c>
      <c r="IH92" s="46"/>
      <c r="II92" s="58">
        <v>1</v>
      </c>
      <c r="IJ92" s="63">
        <v>4720</v>
      </c>
      <c r="IK92" s="44"/>
      <c r="IL92" s="403">
        <f>SUM(IJ91:IJ95)*1</f>
        <v>46172.233999999997</v>
      </c>
      <c r="IM92" s="46"/>
      <c r="IN92" s="58">
        <v>1</v>
      </c>
      <c r="IO92" s="63">
        <v>4720</v>
      </c>
      <c r="IP92" s="44"/>
      <c r="IQ92" s="403">
        <f>SUM(IO91:IO95)*1</f>
        <v>46172.233999999997</v>
      </c>
    </row>
    <row r="93" spans="1:251" ht="15" customHeight="1">
      <c r="A93" s="647"/>
      <c r="B93" s="256" t="s">
        <v>443</v>
      </c>
      <c r="C93" s="520"/>
      <c r="D93" s="45"/>
      <c r="E93" s="216" t="s">
        <v>13</v>
      </c>
      <c r="F93" s="22"/>
      <c r="G93" s="104">
        <f>I93/H93</f>
        <v>5.2053481575603557</v>
      </c>
      <c r="H93" s="70">
        <v>7870</v>
      </c>
      <c r="I93" s="131">
        <v>40966.089999999997</v>
      </c>
      <c r="J93" s="81"/>
      <c r="K93" s="88"/>
      <c r="L93" s="339">
        <f>N93/M93</f>
        <v>5.3685476190476189</v>
      </c>
      <c r="M93" s="70">
        <v>10080</v>
      </c>
      <c r="N93" s="131">
        <v>54114.96</v>
      </c>
      <c r="O93" s="81"/>
      <c r="P93" s="88"/>
      <c r="Q93" s="104">
        <f>S93/R93</f>
        <v>4.9663919172932331</v>
      </c>
      <c r="R93" s="70">
        <v>10640</v>
      </c>
      <c r="S93" s="131">
        <v>52842.41</v>
      </c>
      <c r="T93" s="81"/>
      <c r="U93" s="88"/>
      <c r="V93" s="115">
        <f>X93/W93</f>
        <v>5.1477604166666664</v>
      </c>
      <c r="W93" s="70">
        <v>11520</v>
      </c>
      <c r="X93" s="131">
        <v>59302.2</v>
      </c>
      <c r="Y93" s="81"/>
      <c r="Z93" s="81"/>
      <c r="AA93" s="92">
        <f>AC93/AB93</f>
        <v>4.6829526606772633</v>
      </c>
      <c r="AB93" s="70">
        <v>11576</v>
      </c>
      <c r="AC93" s="131">
        <v>54209.86</v>
      </c>
      <c r="AD93" s="81"/>
      <c r="AE93" s="81"/>
      <c r="AF93" s="92">
        <f>AH93/AG93</f>
        <v>4.8199440063091483</v>
      </c>
      <c r="AG93" s="70">
        <v>12680</v>
      </c>
      <c r="AH93" s="131">
        <v>61116.89</v>
      </c>
      <c r="AI93" s="81"/>
      <c r="AJ93" s="81"/>
      <c r="AK93" s="92">
        <f>AM93/AL93</f>
        <v>4.979220116618075</v>
      </c>
      <c r="AL93" s="70">
        <v>13720</v>
      </c>
      <c r="AM93" s="131">
        <v>68314.899999999994</v>
      </c>
      <c r="AN93" s="81"/>
      <c r="AO93" s="81"/>
      <c r="AP93" s="92">
        <f>AR93/AQ93</f>
        <v>5.9466958598726114</v>
      </c>
      <c r="AQ93" s="70">
        <v>12560</v>
      </c>
      <c r="AR93" s="131">
        <v>74690.5</v>
      </c>
      <c r="AS93" s="81"/>
      <c r="AT93" s="81"/>
      <c r="AU93" s="92">
        <f>AW93/AV93</f>
        <v>6.6107642713230357</v>
      </c>
      <c r="AV93" s="70">
        <v>14890</v>
      </c>
      <c r="AW93" s="131">
        <v>98434.28</v>
      </c>
      <c r="AX93" s="81"/>
      <c r="AY93" s="81"/>
      <c r="AZ93" s="92">
        <f>BB93/BA93</f>
        <v>6.3350523338048088</v>
      </c>
      <c r="BA93" s="70">
        <v>14140</v>
      </c>
      <c r="BB93" s="131">
        <v>89577.64</v>
      </c>
      <c r="BC93" s="81"/>
      <c r="BD93" s="81"/>
      <c r="BE93" s="92">
        <f>BG93/BF93</f>
        <v>6.4589278603155149</v>
      </c>
      <c r="BF93" s="70">
        <v>13058</v>
      </c>
      <c r="BG93" s="131">
        <v>84340.68</v>
      </c>
      <c r="BH93" s="81"/>
      <c r="BI93" s="81"/>
      <c r="BJ93" s="92">
        <f>BL93/BK93</f>
        <v>6.8756885776673444</v>
      </c>
      <c r="BK93" s="70">
        <v>13281</v>
      </c>
      <c r="BL93" s="131">
        <v>91316.02</v>
      </c>
      <c r="BM93" s="81"/>
      <c r="BN93" s="81"/>
      <c r="BO93" s="92">
        <f>BQ93/BP93</f>
        <v>6.4709521343493375</v>
      </c>
      <c r="BP93" s="70">
        <v>13517</v>
      </c>
      <c r="BQ93" s="131">
        <v>87467.86</v>
      </c>
      <c r="BR93" s="81"/>
      <c r="BS93" s="81"/>
      <c r="BT93" s="92">
        <f>BV93/BU93</f>
        <v>6.1145401629802096</v>
      </c>
      <c r="BU93" s="70">
        <v>17180</v>
      </c>
      <c r="BV93" s="131">
        <v>105047.8</v>
      </c>
      <c r="BW93" s="81"/>
      <c r="BX93" s="44"/>
      <c r="BY93" s="92">
        <f>CA93/BZ93</f>
        <v>5.5651197999166317</v>
      </c>
      <c r="BZ93" s="70">
        <v>11995</v>
      </c>
      <c r="CA93" s="131">
        <f>55628.01*1.2</f>
        <v>66753.611999999994</v>
      </c>
      <c r="CB93" s="81"/>
      <c r="CC93" s="81"/>
      <c r="CD93" s="92">
        <f>CF93/CE93</f>
        <v>5.9762301659675359</v>
      </c>
      <c r="CE93" s="70">
        <v>10966</v>
      </c>
      <c r="CF93" s="131">
        <v>65535.34</v>
      </c>
      <c r="CG93" s="81"/>
      <c r="CH93" s="81"/>
      <c r="CI93" s="92">
        <f>CK93/CJ93</f>
        <v>7.844186785260483</v>
      </c>
      <c r="CJ93" s="62">
        <v>7870</v>
      </c>
      <c r="CK93" s="63">
        <v>61733.75</v>
      </c>
      <c r="CL93" s="44"/>
      <c r="CM93" s="81"/>
      <c r="CN93" s="92">
        <f>CP93/CO93</f>
        <v>6.6614640922350326</v>
      </c>
      <c r="CO93" s="70">
        <v>14398</v>
      </c>
      <c r="CP93" s="131">
        <v>95911.76</v>
      </c>
      <c r="CQ93" s="81"/>
      <c r="CR93" s="81"/>
      <c r="CS93" s="92">
        <f>CU93/CT93</f>
        <v>7.6231451072386056</v>
      </c>
      <c r="CT93" s="70">
        <v>11936</v>
      </c>
      <c r="CU93" s="131">
        <v>90989.86</v>
      </c>
      <c r="CV93" s="81"/>
      <c r="CW93" s="81"/>
      <c r="CX93" s="92">
        <f>CZ93/CY93</f>
        <v>8.2736629746835444</v>
      </c>
      <c r="CY93" s="70">
        <v>12640</v>
      </c>
      <c r="CZ93" s="131">
        <v>104579.1</v>
      </c>
      <c r="DA93" s="81"/>
      <c r="DB93" s="81"/>
      <c r="DC93" s="92">
        <f>DE93/DD93</f>
        <v>5.2053481575603557</v>
      </c>
      <c r="DD93" s="62">
        <v>7870</v>
      </c>
      <c r="DE93" s="63">
        <v>40966.089999999997</v>
      </c>
      <c r="DF93" s="44"/>
      <c r="DG93" s="81"/>
      <c r="DH93" s="92">
        <f>DJ93/DI93</f>
        <v>5.5128636791818053</v>
      </c>
      <c r="DI93" s="62">
        <v>7431</v>
      </c>
      <c r="DJ93" s="63">
        <v>40966.089999999997</v>
      </c>
      <c r="DK93" s="44"/>
      <c r="DL93" s="81"/>
      <c r="DM93" s="92" t="e">
        <f>DO93/DN93</f>
        <v>#DIV/0!</v>
      </c>
      <c r="DN93" s="70">
        <v>0</v>
      </c>
      <c r="DO93" s="131">
        <v>72380.83</v>
      </c>
      <c r="DP93" s="81"/>
      <c r="DQ93" s="81"/>
      <c r="DR93" s="92" t="e">
        <f>DT93/DS93</f>
        <v>#DIV/0!</v>
      </c>
      <c r="DS93" s="70">
        <v>0</v>
      </c>
      <c r="DT93" s="131">
        <v>187175.09</v>
      </c>
      <c r="DU93" s="81"/>
      <c r="DV93" s="81"/>
      <c r="DW93" s="92">
        <f>DY93/DX93</f>
        <v>9.0760436619718323</v>
      </c>
      <c r="DX93" s="70">
        <v>14200</v>
      </c>
      <c r="DY93" s="131">
        <v>128879.82</v>
      </c>
      <c r="DZ93" s="81"/>
      <c r="EA93" s="81"/>
      <c r="EB93" s="92">
        <f>ED93/EC93</f>
        <v>9.0368762917035728</v>
      </c>
      <c r="EC93" s="70">
        <v>13548</v>
      </c>
      <c r="ED93" s="131">
        <v>122431.6</v>
      </c>
      <c r="EE93" s="81"/>
      <c r="EF93" s="44"/>
      <c r="EG93" s="92">
        <f>EI93/EH93</f>
        <v>5.5651197999166317</v>
      </c>
      <c r="EH93" s="62">
        <v>11995</v>
      </c>
      <c r="EI93" s="63">
        <f>55628.01*1.2</f>
        <v>66753.611999999994</v>
      </c>
      <c r="EJ93" s="44"/>
      <c r="EK93" s="81"/>
      <c r="EL93" s="92">
        <f>EN93/EM93</f>
        <v>5.9762301659675359</v>
      </c>
      <c r="EM93" s="62">
        <v>10966</v>
      </c>
      <c r="EN93" s="63">
        <v>65535.34</v>
      </c>
      <c r="EO93" s="44"/>
      <c r="EP93" s="81"/>
      <c r="EQ93" s="92">
        <f>ES93/ER93</f>
        <v>7.844186785260483</v>
      </c>
      <c r="ER93" s="62">
        <v>7870</v>
      </c>
      <c r="ES93" s="63">
        <v>61733.75</v>
      </c>
      <c r="ET93" s="44"/>
      <c r="EU93" s="81"/>
      <c r="EV93" s="92">
        <f>EX93/EW93</f>
        <v>7.3739644880997357</v>
      </c>
      <c r="EW93" s="70">
        <v>13235</v>
      </c>
      <c r="EX93" s="131">
        <v>97594.42</v>
      </c>
      <c r="EY93" s="81"/>
      <c r="EZ93" s="81"/>
      <c r="FA93" s="92">
        <f>FC93/FB93</f>
        <v>7.6231451072386056</v>
      </c>
      <c r="FB93" s="62">
        <v>11936</v>
      </c>
      <c r="FC93" s="63">
        <v>90989.86</v>
      </c>
      <c r="FD93" s="44"/>
      <c r="FE93" s="81"/>
      <c r="FF93" s="92">
        <f>FH93/FG93</f>
        <v>8.2736629746835444</v>
      </c>
      <c r="FG93" s="62">
        <v>12640</v>
      </c>
      <c r="FH93" s="63">
        <v>104579.1</v>
      </c>
      <c r="FI93" s="44"/>
      <c r="FJ93" s="81"/>
      <c r="FK93" s="92">
        <f>FM93/FL93</f>
        <v>8.1130202394526787</v>
      </c>
      <c r="FL93" s="70">
        <v>14032</v>
      </c>
      <c r="FM93" s="131">
        <v>113841.9</v>
      </c>
      <c r="FN93" s="44"/>
      <c r="FO93" s="81"/>
      <c r="FP93" s="92">
        <f>FR93/FQ93</f>
        <v>5.5128636791818053</v>
      </c>
      <c r="FQ93" s="62">
        <v>7431</v>
      </c>
      <c r="FR93" s="63">
        <v>40966.089999999997</v>
      </c>
      <c r="FS93" s="44"/>
      <c r="FT93" s="81"/>
      <c r="FU93" s="92">
        <f>FW93/FV93</f>
        <v>9.6583084223013049</v>
      </c>
      <c r="FV93" s="62">
        <v>16860</v>
      </c>
      <c r="FW93" s="63">
        <v>162839.07999999999</v>
      </c>
      <c r="FX93" s="44"/>
      <c r="FY93" s="81"/>
      <c r="FZ93" s="92">
        <f>GB93/GA93</f>
        <v>5.2053481575603557</v>
      </c>
      <c r="GA93" s="62">
        <v>7870</v>
      </c>
      <c r="GB93" s="63">
        <v>40966.089999999997</v>
      </c>
      <c r="GC93" s="44"/>
      <c r="GD93" s="81"/>
      <c r="GE93" s="92">
        <f>GG93/GF93</f>
        <v>5.2053481575603557</v>
      </c>
      <c r="GF93" s="62">
        <v>7870</v>
      </c>
      <c r="GG93" s="63">
        <v>40966.089999999997</v>
      </c>
      <c r="GH93" s="44"/>
      <c r="GI93" s="81"/>
      <c r="GJ93" s="98">
        <f>GL93/GK93</f>
        <v>9.0368762917035728</v>
      </c>
      <c r="GK93" s="62">
        <v>13548</v>
      </c>
      <c r="GL93" s="63">
        <v>122431.6</v>
      </c>
      <c r="GM93" s="44"/>
      <c r="GN93" s="44"/>
      <c r="GO93" s="92">
        <f>GQ93/GP93</f>
        <v>14.226445821216336</v>
      </c>
      <c r="GP93" s="70">
        <v>7909</v>
      </c>
      <c r="GQ93" s="131">
        <v>112516.96</v>
      </c>
      <c r="GR93" s="81"/>
      <c r="GS93" s="81"/>
      <c r="GT93" s="92">
        <f>GV93/GU93</f>
        <v>10.665276676708418</v>
      </c>
      <c r="GU93" s="70">
        <v>12614</v>
      </c>
      <c r="GV93" s="131">
        <v>134531.79999999999</v>
      </c>
      <c r="GW93" s="81"/>
      <c r="GX93" s="81"/>
      <c r="GY93" s="92">
        <f>HA93/GZ93</f>
        <v>7.844186785260483</v>
      </c>
      <c r="GZ93" s="62">
        <v>7870</v>
      </c>
      <c r="HA93" s="63">
        <v>61733.75</v>
      </c>
      <c r="HB93" s="44"/>
      <c r="HC93" s="81"/>
      <c r="HD93" s="92">
        <f>HF93/HE93</f>
        <v>7.3739644880997357</v>
      </c>
      <c r="HE93" s="62">
        <v>13235</v>
      </c>
      <c r="HF93" s="63">
        <v>97594.42</v>
      </c>
      <c r="HG93" s="44"/>
      <c r="HH93" s="81"/>
      <c r="HI93" s="92">
        <f>HK93/HJ93</f>
        <v>7.6231451072386056</v>
      </c>
      <c r="HJ93" s="62">
        <v>11936</v>
      </c>
      <c r="HK93" s="63">
        <v>90989.86</v>
      </c>
      <c r="HL93" s="44"/>
      <c r="HM93" s="81"/>
      <c r="HN93" s="92">
        <f>HP93/HO93</f>
        <v>8.2736629746835444</v>
      </c>
      <c r="HO93" s="62">
        <v>12640</v>
      </c>
      <c r="HP93" s="63">
        <v>104579.1</v>
      </c>
      <c r="HQ93" s="44"/>
      <c r="HR93" s="81"/>
      <c r="HS93" s="92">
        <f>HU93/HT93</f>
        <v>8.1130202394526787</v>
      </c>
      <c r="HT93" s="62">
        <v>14032</v>
      </c>
      <c r="HU93" s="63">
        <v>113841.9</v>
      </c>
      <c r="HV93" s="44"/>
      <c r="HW93" s="81"/>
      <c r="HX93" s="92">
        <f>HZ93/HY93</f>
        <v>5.5128636791818053</v>
      </c>
      <c r="HY93" s="62">
        <v>7431</v>
      </c>
      <c r="HZ93" s="63">
        <v>40966.089999999997</v>
      </c>
      <c r="IA93" s="44"/>
      <c r="IB93" s="81"/>
      <c r="IC93" s="92">
        <f>IE93/ID93</f>
        <v>9.6583084223013049</v>
      </c>
      <c r="ID93" s="62">
        <v>16860</v>
      </c>
      <c r="IE93" s="63">
        <v>162839.07999999999</v>
      </c>
      <c r="IF93" s="44"/>
      <c r="IG93" s="81"/>
      <c r="IH93" s="92">
        <f>IJ93/II93</f>
        <v>5.2053481575603557</v>
      </c>
      <c r="II93" s="62">
        <v>7870</v>
      </c>
      <c r="IJ93" s="63">
        <v>40966.089999999997</v>
      </c>
      <c r="IK93" s="44"/>
      <c r="IL93" s="81"/>
      <c r="IM93" s="92">
        <f>IO93/IN93</f>
        <v>5.2053481575603557</v>
      </c>
      <c r="IN93" s="62">
        <v>7870</v>
      </c>
      <c r="IO93" s="63">
        <v>40966.089999999997</v>
      </c>
      <c r="IP93" s="44"/>
      <c r="IQ93" s="81"/>
    </row>
    <row r="94" spans="1:251" ht="15" customHeight="1">
      <c r="A94" s="647"/>
      <c r="B94" s="256"/>
      <c r="C94" s="215"/>
      <c r="D94" s="45"/>
      <c r="E94" s="216" t="s">
        <v>55</v>
      </c>
      <c r="F94" s="22"/>
      <c r="G94" s="103"/>
      <c r="H94" s="57"/>
      <c r="I94" s="57">
        <v>0</v>
      </c>
      <c r="J94" s="44"/>
      <c r="K94" s="86"/>
      <c r="L94" s="103"/>
      <c r="M94" s="57"/>
      <c r="N94" s="57">
        <v>0</v>
      </c>
      <c r="O94" s="44"/>
      <c r="P94" s="86"/>
      <c r="Q94" s="103"/>
      <c r="R94" s="57"/>
      <c r="S94" s="74">
        <f>1.2*166.94</f>
        <v>200.328</v>
      </c>
      <c r="T94" s="81"/>
      <c r="U94" s="88"/>
      <c r="V94" s="47"/>
      <c r="W94" s="57"/>
      <c r="X94" s="57">
        <f>1.2*160.13</f>
        <v>192.15599999999998</v>
      </c>
      <c r="Y94" s="44"/>
      <c r="Z94" s="44"/>
      <c r="AA94" s="46"/>
      <c r="AB94" s="57"/>
      <c r="AC94" s="74">
        <f>1.2*110.55</f>
        <v>132.66</v>
      </c>
      <c r="AD94" s="81"/>
      <c r="AE94" s="44"/>
      <c r="AF94" s="46"/>
      <c r="AG94" s="74"/>
      <c r="AH94" s="74">
        <f>1.2*(116.31+90.75)</f>
        <v>248.47199999999998</v>
      </c>
      <c r="AI94" s="81"/>
      <c r="AJ94" s="81"/>
      <c r="AK94" s="46"/>
      <c r="AL94" s="74"/>
      <c r="AM94" s="74">
        <f>1.2*118.7</f>
        <v>142.44</v>
      </c>
      <c r="AN94" s="81"/>
      <c r="AO94" s="81"/>
      <c r="AP94" s="46"/>
      <c r="AQ94" s="74"/>
      <c r="AR94" s="74">
        <f>1.2*130.41+101.73</f>
        <v>258.22199999999998</v>
      </c>
      <c r="AS94" s="81"/>
      <c r="AT94" s="44"/>
      <c r="AU94" s="46"/>
      <c r="AV94" s="74"/>
      <c r="AW94" s="74">
        <v>0</v>
      </c>
      <c r="AX94" s="81"/>
      <c r="AY94" s="81"/>
      <c r="AZ94" s="46"/>
      <c r="BA94" s="74"/>
      <c r="BB94" s="74">
        <f>1.2*90.2</f>
        <v>108.24</v>
      </c>
      <c r="BC94" s="81"/>
      <c r="BD94" s="81"/>
      <c r="BE94" s="46"/>
      <c r="BF94" s="74"/>
      <c r="BG94" s="74">
        <v>0</v>
      </c>
      <c r="BH94" s="81"/>
      <c r="BI94" s="44"/>
      <c r="BJ94" s="46"/>
      <c r="BK94" s="74"/>
      <c r="BL94" s="74">
        <v>0</v>
      </c>
      <c r="BM94" s="81"/>
      <c r="BN94" s="81"/>
      <c r="BO94" s="46"/>
      <c r="BP94" s="74"/>
      <c r="BQ94" s="74">
        <v>0</v>
      </c>
      <c r="BR94" s="81"/>
      <c r="BS94" s="44"/>
      <c r="BT94" s="46"/>
      <c r="BU94" s="74"/>
      <c r="BV94" s="74">
        <v>0</v>
      </c>
      <c r="BW94" s="81"/>
      <c r="BX94" s="44"/>
      <c r="BY94" s="46"/>
      <c r="BZ94" s="57"/>
      <c r="CA94" s="57">
        <v>0</v>
      </c>
      <c r="CB94" s="44"/>
      <c r="CC94" s="44"/>
      <c r="CD94" s="46"/>
      <c r="CE94" s="57"/>
      <c r="CF94" s="57">
        <v>0</v>
      </c>
      <c r="CG94" s="44"/>
      <c r="CH94" s="44"/>
      <c r="CI94" s="46"/>
      <c r="CJ94" s="57"/>
      <c r="CK94" s="57">
        <v>0</v>
      </c>
      <c r="CL94" s="44"/>
      <c r="CM94" s="44"/>
      <c r="CN94" s="46"/>
      <c r="CO94" s="57"/>
      <c r="CP94" s="57">
        <v>0</v>
      </c>
      <c r="CQ94" s="44"/>
      <c r="CR94" s="44"/>
      <c r="CS94" s="46"/>
      <c r="CT94" s="57"/>
      <c r="CU94" s="57">
        <v>0</v>
      </c>
      <c r="CV94" s="44"/>
      <c r="CW94" s="44"/>
      <c r="CX94" s="46"/>
      <c r="CY94" s="57"/>
      <c r="CZ94" s="57">
        <v>0</v>
      </c>
      <c r="DA94" s="44"/>
      <c r="DB94" s="44"/>
      <c r="DC94" s="46"/>
      <c r="DD94" s="57"/>
      <c r="DE94" s="57">
        <v>0</v>
      </c>
      <c r="DF94" s="44"/>
      <c r="DG94" s="44"/>
      <c r="DH94" s="46"/>
      <c r="DI94" s="57"/>
      <c r="DJ94" s="57">
        <v>0</v>
      </c>
      <c r="DK94" s="44"/>
      <c r="DL94" s="44"/>
      <c r="DM94" s="46"/>
      <c r="DN94" s="57"/>
      <c r="DO94" s="57">
        <v>0</v>
      </c>
      <c r="DP94" s="44"/>
      <c r="DQ94" s="44"/>
      <c r="DR94" s="46"/>
      <c r="DS94" s="57"/>
      <c r="DT94" s="57">
        <v>0</v>
      </c>
      <c r="DU94" s="44"/>
      <c r="DV94" s="44"/>
      <c r="DW94" s="46"/>
      <c r="DX94" s="57"/>
      <c r="DY94" s="57">
        <v>0</v>
      </c>
      <c r="DZ94" s="44"/>
      <c r="EA94" s="44"/>
      <c r="EB94" s="46"/>
      <c r="EC94" s="74"/>
      <c r="ED94" s="74">
        <f>1.2*135.9</f>
        <v>163.08000000000001</v>
      </c>
      <c r="EE94" s="81"/>
      <c r="EF94" s="44"/>
      <c r="EG94" s="46"/>
      <c r="EH94" s="57"/>
      <c r="EI94" s="57">
        <v>0</v>
      </c>
      <c r="EJ94" s="44"/>
      <c r="EK94" s="44"/>
      <c r="EL94" s="46"/>
      <c r="EM94" s="57"/>
      <c r="EN94" s="57">
        <v>0</v>
      </c>
      <c r="EO94" s="44"/>
      <c r="EP94" s="44"/>
      <c r="EQ94" s="46"/>
      <c r="ER94" s="57"/>
      <c r="ES94" s="57">
        <v>0</v>
      </c>
      <c r="ET94" s="44"/>
      <c r="EU94" s="44"/>
      <c r="EV94" s="46"/>
      <c r="EW94" s="57"/>
      <c r="EX94" s="57">
        <v>0</v>
      </c>
      <c r="EY94" s="44"/>
      <c r="EZ94" s="44"/>
      <c r="FA94" s="46"/>
      <c r="FB94" s="57"/>
      <c r="FC94" s="57">
        <v>0</v>
      </c>
      <c r="FD94" s="44"/>
      <c r="FE94" s="44"/>
      <c r="FF94" s="46"/>
      <c r="FG94" s="57"/>
      <c r="FH94" s="57">
        <v>0</v>
      </c>
      <c r="FI94" s="44"/>
      <c r="FJ94" s="44"/>
      <c r="FK94" s="46"/>
      <c r="FL94" s="57"/>
      <c r="FM94" s="57">
        <v>0</v>
      </c>
      <c r="FN94" s="44"/>
      <c r="FO94" s="44"/>
      <c r="FP94" s="46"/>
      <c r="FQ94" s="57"/>
      <c r="FR94" s="57">
        <v>0</v>
      </c>
      <c r="FS94" s="44"/>
      <c r="FT94" s="44"/>
      <c r="FU94" s="46"/>
      <c r="FV94" s="57"/>
      <c r="FW94" s="57">
        <v>0</v>
      </c>
      <c r="FX94" s="44"/>
      <c r="FY94" s="44"/>
      <c r="FZ94" s="46"/>
      <c r="GA94" s="57"/>
      <c r="GB94" s="57">
        <v>0</v>
      </c>
      <c r="GC94" s="44"/>
      <c r="GD94" s="44"/>
      <c r="GE94" s="46"/>
      <c r="GF94" s="57"/>
      <c r="GG94" s="57">
        <v>0</v>
      </c>
      <c r="GH94" s="44"/>
      <c r="GI94" s="44"/>
      <c r="GJ94" s="97"/>
      <c r="GK94" s="57"/>
      <c r="GL94" s="57">
        <f>1.2*135.9</f>
        <v>163.08000000000001</v>
      </c>
      <c r="GM94" s="44"/>
      <c r="GN94" s="44"/>
      <c r="GO94" s="46"/>
      <c r="GP94" s="57"/>
      <c r="GQ94" s="57">
        <v>0</v>
      </c>
      <c r="GR94" s="44"/>
      <c r="GS94" s="44"/>
      <c r="GT94" s="46"/>
      <c r="GU94" s="57"/>
      <c r="GV94" s="57">
        <v>0</v>
      </c>
      <c r="GW94" s="44"/>
      <c r="GX94" s="44"/>
      <c r="GY94" s="46"/>
      <c r="GZ94" s="57"/>
      <c r="HA94" s="57">
        <v>0</v>
      </c>
      <c r="HB94" s="44"/>
      <c r="HC94" s="44"/>
      <c r="HD94" s="46"/>
      <c r="HE94" s="57"/>
      <c r="HF94" s="57">
        <v>0</v>
      </c>
      <c r="HG94" s="44"/>
      <c r="HH94" s="44"/>
      <c r="HI94" s="46"/>
      <c r="HJ94" s="57"/>
      <c r="HK94" s="57">
        <v>0</v>
      </c>
      <c r="HL94" s="44"/>
      <c r="HM94" s="44"/>
      <c r="HN94" s="46"/>
      <c r="HO94" s="57"/>
      <c r="HP94" s="57">
        <v>0</v>
      </c>
      <c r="HQ94" s="44"/>
      <c r="HR94" s="44"/>
      <c r="HS94" s="46"/>
      <c r="HT94" s="57"/>
      <c r="HU94" s="57">
        <v>0</v>
      </c>
      <c r="HV94" s="44"/>
      <c r="HW94" s="44"/>
      <c r="HX94" s="46"/>
      <c r="HY94" s="57"/>
      <c r="HZ94" s="57">
        <v>0</v>
      </c>
      <c r="IA94" s="44"/>
      <c r="IB94" s="44"/>
      <c r="IC94" s="46"/>
      <c r="ID94" s="57"/>
      <c r="IE94" s="57">
        <v>0</v>
      </c>
      <c r="IF94" s="44"/>
      <c r="IG94" s="44"/>
      <c r="IH94" s="46"/>
      <c r="II94" s="57"/>
      <c r="IJ94" s="57">
        <v>0</v>
      </c>
      <c r="IK94" s="44"/>
      <c r="IL94" s="44"/>
      <c r="IM94" s="46"/>
      <c r="IN94" s="57"/>
      <c r="IO94" s="57">
        <v>0</v>
      </c>
      <c r="IP94" s="44"/>
      <c r="IQ94" s="44"/>
    </row>
    <row r="95" spans="1:251" s="264" customFormat="1" ht="15" customHeight="1" thickBot="1">
      <c r="A95" s="648"/>
      <c r="B95" s="257"/>
      <c r="C95" s="258"/>
      <c r="D95" s="20"/>
      <c r="E95" s="259" t="s">
        <v>17</v>
      </c>
      <c r="F95" s="23"/>
      <c r="G95" s="168">
        <f>I95/H95</f>
        <v>38.89152</v>
      </c>
      <c r="H95" s="169">
        <v>12.5</v>
      </c>
      <c r="I95" s="169">
        <f>1.2*405.12</f>
        <v>486.14400000000001</v>
      </c>
      <c r="J95" s="48"/>
      <c r="K95" s="49"/>
      <c r="L95" s="168">
        <f>N95/M95</f>
        <v>36.169714285714285</v>
      </c>
      <c r="M95" s="170">
        <v>14</v>
      </c>
      <c r="N95" s="170">
        <f>1.2*(278.52+143.46)</f>
        <v>506.37599999999998</v>
      </c>
      <c r="O95" s="179"/>
      <c r="P95" s="182"/>
      <c r="Q95" s="168">
        <f>S95/R95</f>
        <v>35.908363636363639</v>
      </c>
      <c r="R95" s="170">
        <v>11</v>
      </c>
      <c r="S95" s="170">
        <f>1.2*329.16</f>
        <v>394.99200000000002</v>
      </c>
      <c r="T95" s="179"/>
      <c r="U95" s="182"/>
      <c r="V95" s="209">
        <f>X95/W95</f>
        <v>38.89152</v>
      </c>
      <c r="W95" s="170">
        <v>12.5</v>
      </c>
      <c r="X95" s="170">
        <f>1.2*405.12</f>
        <v>486.14400000000001</v>
      </c>
      <c r="Y95" s="179"/>
      <c r="Z95" s="179"/>
      <c r="AA95" s="3">
        <f>AC95/AB95</f>
        <v>34.030080000000005</v>
      </c>
      <c r="AB95" s="170">
        <v>12.5</v>
      </c>
      <c r="AC95" s="170">
        <f>1.2*354.48</f>
        <v>425.37600000000003</v>
      </c>
      <c r="AD95" s="179"/>
      <c r="AE95" s="179"/>
      <c r="AF95" s="3">
        <f>AH95/AG95</f>
        <v>41.43272727272727</v>
      </c>
      <c r="AG95" s="170">
        <v>11</v>
      </c>
      <c r="AH95" s="170">
        <f>1.2*379.8</f>
        <v>455.76</v>
      </c>
      <c r="AI95" s="179"/>
      <c r="AJ95" s="179"/>
      <c r="AK95" s="3">
        <f>AM95/AL95</f>
        <v>30.383999999999997</v>
      </c>
      <c r="AL95" s="170">
        <v>12</v>
      </c>
      <c r="AM95" s="170">
        <f>1.2*303.84</f>
        <v>364.60799999999995</v>
      </c>
      <c r="AN95" s="179"/>
      <c r="AO95" s="179"/>
      <c r="AP95" s="3">
        <f>AR95/AQ95</f>
        <v>30.359999999999996</v>
      </c>
      <c r="AQ95" s="170">
        <v>10</v>
      </c>
      <c r="AR95" s="170">
        <f>1.2*253</f>
        <v>303.59999999999997</v>
      </c>
      <c r="AS95" s="179"/>
      <c r="AT95" s="179"/>
      <c r="AU95" s="3">
        <f>AW95/AV95</f>
        <v>30.384</v>
      </c>
      <c r="AV95" s="170">
        <v>11</v>
      </c>
      <c r="AW95" s="170">
        <f>1.2*278.52</f>
        <v>334.22399999999999</v>
      </c>
      <c r="AX95" s="179"/>
      <c r="AY95" s="179"/>
      <c r="AZ95" s="3">
        <f>BB95/BA95</f>
        <v>30.384</v>
      </c>
      <c r="BA95" s="170">
        <v>11</v>
      </c>
      <c r="BB95" s="170">
        <f>1.2*278.52</f>
        <v>334.22399999999999</v>
      </c>
      <c r="BC95" s="179"/>
      <c r="BD95" s="179"/>
      <c r="BE95" s="3">
        <f>BG95/BF95</f>
        <v>34.31232</v>
      </c>
      <c r="BF95" s="170">
        <v>12.5</v>
      </c>
      <c r="BG95" s="170">
        <f>1.2*278.52+94.68</f>
        <v>428.904</v>
      </c>
      <c r="BH95" s="179"/>
      <c r="BI95" s="179"/>
      <c r="BJ95" s="3">
        <f>BL95/BK95</f>
        <v>41.908965517241384</v>
      </c>
      <c r="BK95" s="170">
        <v>5.8</v>
      </c>
      <c r="BL95" s="170">
        <f>1.2*202.56</f>
        <v>243.072</v>
      </c>
      <c r="BM95" s="179"/>
      <c r="BN95" s="179"/>
      <c r="BO95" s="3">
        <f>BQ95/BP95</f>
        <v>26.737919999999999</v>
      </c>
      <c r="BP95" s="170">
        <v>12.5</v>
      </c>
      <c r="BQ95" s="170">
        <f>1.2*(278.52)</f>
        <v>334.22399999999999</v>
      </c>
      <c r="BR95" s="179"/>
      <c r="BS95" s="179"/>
      <c r="BT95" s="3">
        <f>BV95/BU95</f>
        <v>30.384</v>
      </c>
      <c r="BU95" s="170">
        <v>8</v>
      </c>
      <c r="BV95" s="170">
        <f>1.2*202.56</f>
        <v>243.072</v>
      </c>
      <c r="BW95" s="179"/>
      <c r="BX95" s="48"/>
      <c r="BY95" s="3">
        <f>CA95/BZ95</f>
        <v>34.181999999999995</v>
      </c>
      <c r="BZ95" s="170">
        <v>8</v>
      </c>
      <c r="CA95" s="170">
        <f>1.2*227.88</f>
        <v>273.45599999999996</v>
      </c>
      <c r="CB95" s="179"/>
      <c r="CC95" s="179"/>
      <c r="CD95" s="3">
        <f>CF95/CE95</f>
        <v>35.166666666666664</v>
      </c>
      <c r="CE95" s="169">
        <v>7.2</v>
      </c>
      <c r="CF95" s="169">
        <v>253.2</v>
      </c>
      <c r="CG95" s="48"/>
      <c r="CH95" s="179"/>
      <c r="CI95" s="3">
        <f>CK95/CJ95</f>
        <v>32.515999999999998</v>
      </c>
      <c r="CJ95" s="170">
        <v>12.5</v>
      </c>
      <c r="CK95" s="170">
        <f>278.52+127.93</f>
        <v>406.45</v>
      </c>
      <c r="CL95" s="179"/>
      <c r="CM95" s="179"/>
      <c r="CN95" s="3">
        <f>CP95/CO95</f>
        <v>32.670967741935478</v>
      </c>
      <c r="CO95" s="170">
        <v>9.3000000000000007</v>
      </c>
      <c r="CP95" s="170">
        <v>303.83999999999997</v>
      </c>
      <c r="CQ95" s="179"/>
      <c r="CR95" s="179"/>
      <c r="CS95" s="3">
        <f>CU95/CT95</f>
        <v>35.616857142857143</v>
      </c>
      <c r="CT95" s="170">
        <v>14</v>
      </c>
      <c r="CU95" s="369">
        <f>1.2*415.53</f>
        <v>498.63599999999997</v>
      </c>
      <c r="CV95" s="179"/>
      <c r="CW95" s="179"/>
      <c r="CX95" s="3">
        <f>CZ95/CY95</f>
        <v>38.89152</v>
      </c>
      <c r="CY95" s="169">
        <v>12.5</v>
      </c>
      <c r="CZ95" s="169">
        <f>1.2*405.12</f>
        <v>486.14400000000001</v>
      </c>
      <c r="DA95" s="48"/>
      <c r="DB95" s="179"/>
      <c r="DC95" s="3">
        <f>DE95/DD95</f>
        <v>38.89152</v>
      </c>
      <c r="DD95" s="169">
        <v>12.5</v>
      </c>
      <c r="DE95" s="169">
        <f>1.2*405.12</f>
        <v>486.14400000000001</v>
      </c>
      <c r="DF95" s="48"/>
      <c r="DG95" s="179"/>
      <c r="DH95" s="3">
        <f>DJ95/DI95</f>
        <v>38.89152</v>
      </c>
      <c r="DI95" s="169">
        <v>12.5</v>
      </c>
      <c r="DJ95" s="169">
        <f>1.2*405.12</f>
        <v>486.14400000000001</v>
      </c>
      <c r="DK95" s="48"/>
      <c r="DL95" s="179"/>
      <c r="DM95" s="3">
        <f>DO95/DN95</f>
        <v>38.89152</v>
      </c>
      <c r="DN95" s="169">
        <v>12.5</v>
      </c>
      <c r="DO95" s="169">
        <f>1.2*405.12</f>
        <v>486.14400000000001</v>
      </c>
      <c r="DP95" s="48"/>
      <c r="DQ95" s="179"/>
      <c r="DR95" s="3">
        <f>DT95/DS95</f>
        <v>38.89152</v>
      </c>
      <c r="DS95" s="169">
        <v>12.5</v>
      </c>
      <c r="DT95" s="169">
        <f>1.2*405.12</f>
        <v>486.14400000000001</v>
      </c>
      <c r="DU95" s="48"/>
      <c r="DV95" s="179"/>
      <c r="DW95" s="3">
        <f>DY95/DX95</f>
        <v>59.945454545454545</v>
      </c>
      <c r="DX95" s="170">
        <v>11</v>
      </c>
      <c r="DY95" s="170">
        <f>1.2*(429.66+119.84)</f>
        <v>659.4</v>
      </c>
      <c r="DZ95" s="179"/>
      <c r="EA95" s="179"/>
      <c r="EB95" s="3">
        <f>ED95/EC95</f>
        <v>48.75</v>
      </c>
      <c r="EC95" s="170">
        <v>12</v>
      </c>
      <c r="ED95" s="170">
        <f>1.2*487.5</f>
        <v>585</v>
      </c>
      <c r="EE95" s="179"/>
      <c r="EF95" s="48"/>
      <c r="EG95" s="3">
        <f>EI95/EH95</f>
        <v>34.181999999999995</v>
      </c>
      <c r="EH95" s="169">
        <v>8</v>
      </c>
      <c r="EI95" s="169">
        <f>1.2*227.88</f>
        <v>273.45599999999996</v>
      </c>
      <c r="EJ95" s="48"/>
      <c r="EK95" s="179"/>
      <c r="EL95" s="3">
        <f>EN95/EM95</f>
        <v>35.166666666666664</v>
      </c>
      <c r="EM95" s="169">
        <v>7.2</v>
      </c>
      <c r="EN95" s="169">
        <v>253.2</v>
      </c>
      <c r="EO95" s="48"/>
      <c r="EP95" s="179"/>
      <c r="EQ95" s="3">
        <f>ES95/ER95</f>
        <v>32.515999999999998</v>
      </c>
      <c r="ER95" s="169">
        <v>12.5</v>
      </c>
      <c r="ES95" s="169">
        <f>278.52+127.93</f>
        <v>406.45</v>
      </c>
      <c r="ET95" s="48"/>
      <c r="EU95" s="179"/>
      <c r="EV95" s="3">
        <f>EX95/EW95</f>
        <v>49.982499999999995</v>
      </c>
      <c r="EW95" s="170">
        <v>12</v>
      </c>
      <c r="EX95" s="170">
        <v>599.79</v>
      </c>
      <c r="EY95" s="179"/>
      <c r="EZ95" s="179"/>
      <c r="FA95" s="3">
        <f>FC95/FB95</f>
        <v>35.616857142857143</v>
      </c>
      <c r="FB95" s="169">
        <v>14</v>
      </c>
      <c r="FC95" s="775">
        <f>1.2*415.53</f>
        <v>498.63599999999997</v>
      </c>
      <c r="FD95" s="48"/>
      <c r="FE95" s="179"/>
      <c r="FF95" s="3">
        <f>FH95/FG95</f>
        <v>38.89152</v>
      </c>
      <c r="FG95" s="169">
        <v>12.5</v>
      </c>
      <c r="FH95" s="169">
        <f>1.2*405.12</f>
        <v>486.14400000000001</v>
      </c>
      <c r="FI95" s="48"/>
      <c r="FJ95" s="179"/>
      <c r="FK95" s="3">
        <f>FM95/FL95</f>
        <v>49.98</v>
      </c>
      <c r="FL95" s="170">
        <v>12</v>
      </c>
      <c r="FM95" s="170">
        <v>599.76</v>
      </c>
      <c r="FN95" s="179"/>
      <c r="FO95" s="179"/>
      <c r="FP95" s="3">
        <f>FR95/FQ95</f>
        <v>38.89152</v>
      </c>
      <c r="FQ95" s="169">
        <v>12.5</v>
      </c>
      <c r="FR95" s="169">
        <f>1.2*405.12</f>
        <v>486.14400000000001</v>
      </c>
      <c r="FS95" s="48"/>
      <c r="FT95" s="179"/>
      <c r="FU95" s="3">
        <f>FW95/FV95</f>
        <v>38.89152</v>
      </c>
      <c r="FV95" s="169">
        <v>12.5</v>
      </c>
      <c r="FW95" s="169">
        <f>1.2*405.12</f>
        <v>486.14400000000001</v>
      </c>
      <c r="FX95" s="48"/>
      <c r="FY95" s="179"/>
      <c r="FZ95" s="3">
        <f>GB95/GA95</f>
        <v>38.89152</v>
      </c>
      <c r="GA95" s="169">
        <v>12.5</v>
      </c>
      <c r="GB95" s="169">
        <f>1.2*405.12</f>
        <v>486.14400000000001</v>
      </c>
      <c r="GC95" s="48"/>
      <c r="GD95" s="179"/>
      <c r="GE95" s="3">
        <f>GG95/GF95</f>
        <v>38.89152</v>
      </c>
      <c r="GF95" s="169">
        <v>12.5</v>
      </c>
      <c r="GG95" s="169">
        <f>1.2*405.12</f>
        <v>486.14400000000001</v>
      </c>
      <c r="GH95" s="48"/>
      <c r="GI95" s="179"/>
      <c r="GJ95" s="285">
        <f>GL95/GK95</f>
        <v>48.75</v>
      </c>
      <c r="GK95" s="169">
        <v>12</v>
      </c>
      <c r="GL95" s="169">
        <f>1.2*487.5</f>
        <v>585</v>
      </c>
      <c r="GM95" s="48"/>
      <c r="GN95" s="48"/>
      <c r="GO95" s="3">
        <f>GQ95/GP95</f>
        <v>34.181999999999995</v>
      </c>
      <c r="GP95" s="169">
        <v>8</v>
      </c>
      <c r="GQ95" s="169">
        <f>1.2*227.88</f>
        <v>273.45599999999996</v>
      </c>
      <c r="GR95" s="48"/>
      <c r="GS95" s="179"/>
      <c r="GT95" s="3">
        <f>GV95/GU95</f>
        <v>35.166666666666664</v>
      </c>
      <c r="GU95" s="169">
        <v>7.2</v>
      </c>
      <c r="GV95" s="169">
        <v>253.2</v>
      </c>
      <c r="GW95" s="48"/>
      <c r="GX95" s="179"/>
      <c r="GY95" s="3">
        <f>HA95/GZ95</f>
        <v>32.515999999999998</v>
      </c>
      <c r="GZ95" s="169">
        <v>12.5</v>
      </c>
      <c r="HA95" s="169">
        <f>278.52+127.93</f>
        <v>406.45</v>
      </c>
      <c r="HB95" s="48"/>
      <c r="HC95" s="179"/>
      <c r="HD95" s="3">
        <f>HF95/HE95</f>
        <v>49.982499999999995</v>
      </c>
      <c r="HE95" s="169">
        <v>12</v>
      </c>
      <c r="HF95" s="169">
        <v>599.79</v>
      </c>
      <c r="HG95" s="48"/>
      <c r="HH95" s="179"/>
      <c r="HI95" s="3">
        <f>HK95/HJ95</f>
        <v>35.616857142857143</v>
      </c>
      <c r="HJ95" s="169">
        <v>14</v>
      </c>
      <c r="HK95" s="775">
        <f>1.2*415.53</f>
        <v>498.63599999999997</v>
      </c>
      <c r="HL95" s="48"/>
      <c r="HM95" s="179"/>
      <c r="HN95" s="3">
        <f>HP95/HO95</f>
        <v>38.89152</v>
      </c>
      <c r="HO95" s="169">
        <v>12.5</v>
      </c>
      <c r="HP95" s="169">
        <f>1.2*405.12</f>
        <v>486.14400000000001</v>
      </c>
      <c r="HQ95" s="48"/>
      <c r="HR95" s="179"/>
      <c r="HS95" s="3">
        <f>HU95/HT95</f>
        <v>49.98</v>
      </c>
      <c r="HT95" s="169">
        <v>12</v>
      </c>
      <c r="HU95" s="169">
        <v>599.76</v>
      </c>
      <c r="HV95" s="48"/>
      <c r="HW95" s="179"/>
      <c r="HX95" s="3">
        <f>HZ95/HY95</f>
        <v>38.89152</v>
      </c>
      <c r="HY95" s="169">
        <v>12.5</v>
      </c>
      <c r="HZ95" s="169">
        <f>1.2*405.12</f>
        <v>486.14400000000001</v>
      </c>
      <c r="IA95" s="48"/>
      <c r="IB95" s="179"/>
      <c r="IC95" s="3">
        <f>IE95/ID95</f>
        <v>38.89152</v>
      </c>
      <c r="ID95" s="169">
        <v>12.5</v>
      </c>
      <c r="IE95" s="169">
        <f>1.2*405.12</f>
        <v>486.14400000000001</v>
      </c>
      <c r="IF95" s="48"/>
      <c r="IG95" s="179"/>
      <c r="IH95" s="3">
        <f>IJ95/II95</f>
        <v>38.89152</v>
      </c>
      <c r="II95" s="169">
        <v>12.5</v>
      </c>
      <c r="IJ95" s="169">
        <f>1.2*405.12</f>
        <v>486.14400000000001</v>
      </c>
      <c r="IK95" s="48"/>
      <c r="IL95" s="179"/>
      <c r="IM95" s="3">
        <f>IO95/IN95</f>
        <v>38.89152</v>
      </c>
      <c r="IN95" s="169">
        <v>12.5</v>
      </c>
      <c r="IO95" s="169">
        <f>1.2*405.12</f>
        <v>486.14400000000001</v>
      </c>
      <c r="IP95" s="48"/>
      <c r="IQ95" s="179"/>
    </row>
    <row r="96" spans="1:251" s="249" customFormat="1" ht="15" customHeight="1">
      <c r="A96" s="649"/>
      <c r="B96" s="288" t="s">
        <v>141</v>
      </c>
      <c r="C96" s="278" t="s">
        <v>58</v>
      </c>
      <c r="D96" s="6" t="s">
        <v>25</v>
      </c>
      <c r="E96" s="7" t="s">
        <v>10</v>
      </c>
      <c r="F96" s="4"/>
      <c r="G96" s="196"/>
      <c r="H96" s="197"/>
      <c r="I96" s="197"/>
      <c r="J96" s="38"/>
      <c r="K96" s="206"/>
      <c r="L96" s="196"/>
      <c r="M96" s="197"/>
      <c r="N96" s="197"/>
      <c r="O96" s="38"/>
      <c r="P96" s="206"/>
      <c r="Q96" s="196"/>
      <c r="R96" s="197"/>
      <c r="S96" s="197"/>
      <c r="T96" s="38"/>
      <c r="U96" s="206"/>
      <c r="V96" s="207"/>
      <c r="W96" s="197"/>
      <c r="X96" s="204">
        <v>1518</v>
      </c>
      <c r="Y96" s="38"/>
      <c r="Z96" s="384">
        <f>SUM(X96:X100)*1.1</f>
        <v>195191.02064000003</v>
      </c>
      <c r="AA96" s="36"/>
      <c r="AB96" s="197"/>
      <c r="AC96" s="204">
        <v>506</v>
      </c>
      <c r="AD96" s="38"/>
      <c r="AE96" s="384">
        <f>SUM(AC96:AC100)*1.1</f>
        <v>126136.43900000001</v>
      </c>
      <c r="AF96" s="36"/>
      <c r="AG96" s="197"/>
      <c r="AH96" s="204">
        <v>506</v>
      </c>
      <c r="AI96" s="38"/>
      <c r="AJ96" s="384">
        <f>SUM(AH96:AH100)*1.1</f>
        <v>148567.55100000001</v>
      </c>
      <c r="AK96" s="36"/>
      <c r="AL96" s="197"/>
      <c r="AM96" s="204">
        <v>506</v>
      </c>
      <c r="AN96" s="38"/>
      <c r="AO96" s="384">
        <f>AO97*1.2</f>
        <v>180732.62399999998</v>
      </c>
      <c r="AP96" s="36"/>
      <c r="AQ96" s="197"/>
      <c r="AR96" s="197"/>
      <c r="AS96" s="38"/>
      <c r="AT96" s="384">
        <f>SUM(AR96:AR100)*1.1</f>
        <v>205262.87100000004</v>
      </c>
      <c r="AU96" s="36"/>
      <c r="AV96" s="197"/>
      <c r="AW96" s="197"/>
      <c r="AX96" s="38"/>
      <c r="AY96" s="384">
        <f>SUM(AW96:AW100)*1.1</f>
        <v>198965.16200000004</v>
      </c>
      <c r="AZ96" s="36"/>
      <c r="BA96" s="197"/>
      <c r="BB96" s="197"/>
      <c r="BC96" s="38"/>
      <c r="BD96" s="384">
        <f>SUM(BB96:BB100)*1.1</f>
        <v>243802.49300000002</v>
      </c>
      <c r="BE96" s="36"/>
      <c r="BF96" s="197"/>
      <c r="BG96" s="197"/>
      <c r="BH96" s="38"/>
      <c r="BI96" s="384">
        <f>SUM(BG96:BG100)*1.1</f>
        <v>243802.49300000002</v>
      </c>
      <c r="BJ96" s="36"/>
      <c r="BK96" s="197"/>
      <c r="BL96" s="197"/>
      <c r="BM96" s="38"/>
      <c r="BN96" s="384">
        <f>SUM(BL96:BL100)*1.1</f>
        <v>243802.49300000002</v>
      </c>
      <c r="BO96" s="36"/>
      <c r="BP96" s="197"/>
      <c r="BQ96" s="197"/>
      <c r="BR96" s="38"/>
      <c r="BS96" s="384">
        <f>SUM(BQ96:BQ100)*1.1</f>
        <v>243802.49300000002</v>
      </c>
      <c r="BT96" s="36"/>
      <c r="BU96" s="197"/>
      <c r="BV96" s="197"/>
      <c r="BW96" s="38"/>
      <c r="BX96" s="384">
        <f>SUM(BV96:BV100)*1.1</f>
        <v>0</v>
      </c>
      <c r="BY96" s="36"/>
      <c r="BZ96" s="197"/>
      <c r="CA96" s="197"/>
      <c r="CB96" s="38"/>
      <c r="CC96" s="384">
        <f>SUM(CA96:CA100)*1.1</f>
        <v>0</v>
      </c>
      <c r="CD96" s="36"/>
      <c r="CE96" s="197"/>
      <c r="CF96" s="197"/>
      <c r="CG96" s="38"/>
      <c r="CH96" s="384">
        <f>SUM(CF96:CF100)*1.1</f>
        <v>0</v>
      </c>
      <c r="CI96" s="36"/>
      <c r="CJ96" s="197"/>
      <c r="CK96" s="197"/>
      <c r="CL96" s="38"/>
      <c r="CM96" s="384">
        <f>SUM(CK96:CK100)*1.1</f>
        <v>0</v>
      </c>
      <c r="CN96" s="36"/>
      <c r="CO96" s="197"/>
      <c r="CP96" s="197"/>
      <c r="CQ96" s="38"/>
      <c r="CR96" s="384">
        <f>SUM(CP96:CP100)*1.1</f>
        <v>0</v>
      </c>
      <c r="CS96" s="36"/>
      <c r="CT96" s="197"/>
      <c r="CU96" s="197"/>
      <c r="CV96" s="38"/>
      <c r="CW96" s="384">
        <f>SUM(CU96:CU100)*1.1</f>
        <v>0</v>
      </c>
      <c r="CX96" s="36"/>
      <c r="CY96" s="197"/>
      <c r="CZ96" s="197"/>
      <c r="DA96" s="38"/>
      <c r="DB96" s="384">
        <f>SUM(CZ96:CZ100)*1.1</f>
        <v>0</v>
      </c>
      <c r="DC96" s="36"/>
      <c r="DD96" s="197"/>
      <c r="DE96" s="197"/>
      <c r="DF96" s="38"/>
      <c r="DG96" s="384">
        <f>SUM(DE96:DE100)*1.1</f>
        <v>0</v>
      </c>
      <c r="DH96" s="36"/>
      <c r="DI96" s="197"/>
      <c r="DJ96" s="197"/>
      <c r="DK96" s="38"/>
      <c r="DL96" s="384">
        <f>SUM(DJ96:DJ100)*1.1</f>
        <v>0</v>
      </c>
      <c r="DM96" s="36"/>
      <c r="DN96" s="197"/>
      <c r="DO96" s="197"/>
      <c r="DP96" s="38"/>
      <c r="DQ96" s="384">
        <f>SUM(DO96:DO100)*1.1</f>
        <v>0</v>
      </c>
      <c r="DR96" s="36"/>
      <c r="DS96" s="197"/>
      <c r="DT96" s="197"/>
      <c r="DU96" s="38"/>
      <c r="DV96" s="384">
        <f>SUM(DT96:DT100)*1.1</f>
        <v>0</v>
      </c>
      <c r="DW96" s="36"/>
      <c r="DX96" s="197"/>
      <c r="DY96" s="197"/>
      <c r="DZ96" s="38"/>
      <c r="EA96" s="384">
        <f>SUM(DY96:DY100)*1.1</f>
        <v>0</v>
      </c>
      <c r="EB96" s="36"/>
      <c r="EC96" s="197"/>
      <c r="ED96" s="197"/>
      <c r="EE96" s="38"/>
      <c r="EF96" s="384">
        <f>SUM(ED96:ED100)*1.1</f>
        <v>0</v>
      </c>
      <c r="EG96" s="36"/>
      <c r="EH96" s="197"/>
      <c r="EI96" s="197"/>
      <c r="EJ96" s="38"/>
      <c r="EK96" s="384">
        <f>SUM(EI96:EI100)*1.1</f>
        <v>0</v>
      </c>
      <c r="EL96" s="36"/>
      <c r="EM96" s="197"/>
      <c r="EN96" s="197"/>
      <c r="EO96" s="38"/>
      <c r="EP96" s="384">
        <f>SUM(EN96:EN100)*1.1</f>
        <v>0</v>
      </c>
      <c r="EQ96" s="36"/>
      <c r="ER96" s="197"/>
      <c r="ES96" s="197"/>
      <c r="ET96" s="38"/>
      <c r="EU96" s="384">
        <f>SUM(ES96:ES100)*1.1</f>
        <v>0</v>
      </c>
      <c r="EV96" s="36"/>
      <c r="EW96" s="197"/>
      <c r="EX96" s="197"/>
      <c r="EY96" s="38"/>
      <c r="EZ96" s="384">
        <f>SUM(EX96:EX100)*1.1</f>
        <v>0</v>
      </c>
      <c r="FA96" s="36"/>
      <c r="FB96" s="197"/>
      <c r="FC96" s="197"/>
      <c r="FD96" s="38"/>
      <c r="FE96" s="384">
        <f>SUM(FC96:FC100)*1.1</f>
        <v>0</v>
      </c>
      <c r="FF96" s="36"/>
      <c r="FG96" s="197"/>
      <c r="FH96" s="197"/>
      <c r="FI96" s="38"/>
      <c r="FJ96" s="384">
        <f>SUM(FH96:FH100)*1.1</f>
        <v>0</v>
      </c>
      <c r="FK96" s="36"/>
      <c r="FL96" s="197"/>
      <c r="FM96" s="197"/>
      <c r="FN96" s="38"/>
      <c r="FO96" s="384">
        <f>SUM(FM96:FM100)*1.1</f>
        <v>0</v>
      </c>
      <c r="FP96" s="36"/>
      <c r="FQ96" s="197"/>
      <c r="FR96" s="197"/>
      <c r="FS96" s="38"/>
      <c r="FT96" s="384">
        <f>SUM(FR96:FR100)*1.1</f>
        <v>0</v>
      </c>
      <c r="FU96" s="36"/>
      <c r="FV96" s="197"/>
      <c r="FW96" s="197"/>
      <c r="FX96" s="38"/>
      <c r="FY96" s="384">
        <f>SUM(FW96:FW100)*1.1</f>
        <v>0</v>
      </c>
      <c r="FZ96" s="36"/>
      <c r="GA96" s="197"/>
      <c r="GB96" s="197"/>
      <c r="GC96" s="38"/>
      <c r="GD96" s="384">
        <f>SUM(GB96:GB100)*1.1</f>
        <v>0</v>
      </c>
      <c r="GE96" s="36"/>
      <c r="GF96" s="197"/>
      <c r="GG96" s="197"/>
      <c r="GH96" s="38"/>
      <c r="GI96" s="384">
        <f>SUM(GG96:GG100)*1.1</f>
        <v>0</v>
      </c>
      <c r="GJ96" s="280"/>
      <c r="GK96" s="197"/>
      <c r="GL96" s="197"/>
      <c r="GM96" s="38"/>
      <c r="GN96" s="384">
        <f>SUM(GL96:GL100)*1.1</f>
        <v>0</v>
      </c>
      <c r="GO96" s="36"/>
      <c r="GP96" s="197"/>
      <c r="GQ96" s="197"/>
      <c r="GR96" s="38"/>
      <c r="GS96" s="384">
        <f>SUM(GQ96:GQ100)*1.1</f>
        <v>0</v>
      </c>
      <c r="GT96" s="36"/>
      <c r="GU96" s="197"/>
      <c r="GV96" s="197"/>
      <c r="GW96" s="38"/>
      <c r="GX96" s="384">
        <f>SUM(GV96:GV100)*1.1</f>
        <v>0</v>
      </c>
      <c r="GY96" s="36"/>
      <c r="GZ96" s="197"/>
      <c r="HA96" s="197"/>
      <c r="HB96" s="38"/>
      <c r="HC96" s="384">
        <f>SUM(HA96:HA100)*1.1</f>
        <v>0</v>
      </c>
      <c r="HD96" s="36"/>
      <c r="HE96" s="197"/>
      <c r="HF96" s="197"/>
      <c r="HG96" s="38"/>
      <c r="HH96" s="384">
        <f>SUM(HF96:HF100)*1.1</f>
        <v>0</v>
      </c>
      <c r="HI96" s="36"/>
      <c r="HJ96" s="197"/>
      <c r="HK96" s="197"/>
      <c r="HL96" s="38"/>
      <c r="HM96" s="384">
        <f>SUM(HK96:HK100)*1.1</f>
        <v>0</v>
      </c>
      <c r="HN96" s="36"/>
      <c r="HO96" s="197"/>
      <c r="HP96" s="197"/>
      <c r="HQ96" s="38"/>
      <c r="HR96" s="384">
        <f>SUM(HP96:HP100)*1.1</f>
        <v>0</v>
      </c>
      <c r="HS96" s="36"/>
      <c r="HT96" s="197"/>
      <c r="HU96" s="197"/>
      <c r="HV96" s="38"/>
      <c r="HW96" s="384">
        <f>SUM(HU96:HU100)*1.1</f>
        <v>0</v>
      </c>
      <c r="HX96" s="36"/>
      <c r="HY96" s="197"/>
      <c r="HZ96" s="197"/>
      <c r="IA96" s="38"/>
      <c r="IB96" s="384">
        <f>SUM(HZ96:HZ100)*1.1</f>
        <v>0</v>
      </c>
      <c r="IC96" s="36"/>
      <c r="ID96" s="197"/>
      <c r="IE96" s="197"/>
      <c r="IF96" s="38"/>
      <c r="IG96" s="384">
        <f>SUM(IE96:IE100)*1.1</f>
        <v>0</v>
      </c>
      <c r="IH96" s="36"/>
      <c r="II96" s="197"/>
      <c r="IJ96" s="197"/>
      <c r="IK96" s="38"/>
      <c r="IL96" s="384">
        <f>SUM(IJ96:IJ100)*1.1</f>
        <v>0</v>
      </c>
      <c r="IM96" s="36"/>
      <c r="IN96" s="197"/>
      <c r="IO96" s="197"/>
      <c r="IP96" s="38"/>
      <c r="IQ96" s="384">
        <f>SUM(IO96:IO100)*1.1</f>
        <v>0</v>
      </c>
    </row>
    <row r="97" spans="1:251" ht="1.5" customHeight="1">
      <c r="A97" s="647"/>
      <c r="B97" s="276"/>
      <c r="C97" s="228">
        <v>2988918516</v>
      </c>
      <c r="D97" s="45" t="s">
        <v>171</v>
      </c>
      <c r="E97" s="216" t="s">
        <v>13</v>
      </c>
      <c r="F97" s="22"/>
      <c r="G97" s="104">
        <f>I97/H97</f>
        <v>5.7999998732817</v>
      </c>
      <c r="H97" s="70">
        <v>15783.04</v>
      </c>
      <c r="I97" s="131">
        <v>91541.63</v>
      </c>
      <c r="J97" s="81"/>
      <c r="K97" s="88"/>
      <c r="L97" s="104">
        <f>N97/M97</f>
        <v>5.87</v>
      </c>
      <c r="M97" s="70">
        <v>17024</v>
      </c>
      <c r="N97" s="131">
        <v>99930.880000000005</v>
      </c>
      <c r="O97" s="81"/>
      <c r="P97" s="88"/>
      <c r="Q97" s="104">
        <f>S97/R97</f>
        <v>5.5922999999999998</v>
      </c>
      <c r="R97" s="70">
        <v>20697.599999999999</v>
      </c>
      <c r="S97" s="131">
        <v>115747.18847999998</v>
      </c>
      <c r="T97" s="81"/>
      <c r="U97" s="88"/>
      <c r="V97" s="115">
        <f>X97/W97</f>
        <v>5.7965000000000009</v>
      </c>
      <c r="W97" s="70">
        <v>22713.599999999999</v>
      </c>
      <c r="X97" s="131">
        <v>131659.3824</v>
      </c>
      <c r="Y97" s="81"/>
      <c r="Z97" s="403">
        <f>SUM(X96:X100)*1</f>
        <v>177446.3824</v>
      </c>
      <c r="AA97" s="92">
        <f>AC97/AB97</f>
        <v>5.4100000958001226</v>
      </c>
      <c r="AB97" s="70">
        <v>20876.8</v>
      </c>
      <c r="AC97" s="131">
        <v>112943.49</v>
      </c>
      <c r="AD97" s="81"/>
      <c r="AE97" s="403">
        <f>SUM(AC96:AC100)*1</f>
        <v>114669.49</v>
      </c>
      <c r="AF97" s="92">
        <f>AH97/AG97</f>
        <v>5.4700000822152059</v>
      </c>
      <c r="AG97" s="70">
        <v>24326.400000000001</v>
      </c>
      <c r="AH97" s="131">
        <v>133065.41</v>
      </c>
      <c r="AI97" s="81"/>
      <c r="AJ97" s="403">
        <f>SUM(AH96:AH100)*1</f>
        <v>135061.41</v>
      </c>
      <c r="AK97" s="92">
        <f>AM97/AL97</f>
        <v>5.7479999383172951</v>
      </c>
      <c r="AL97" s="70">
        <v>25939.200000000001</v>
      </c>
      <c r="AM97" s="131">
        <v>149098.51999999999</v>
      </c>
      <c r="AN97" s="81"/>
      <c r="AO97" s="403">
        <f>SUM(AM96:AM100)*1</f>
        <v>150610.51999999999</v>
      </c>
      <c r="AP97" s="92">
        <f>AR97/AQ97</f>
        <v>6.9640000150566124</v>
      </c>
      <c r="AQ97" s="70">
        <v>26566.400000000001</v>
      </c>
      <c r="AR97" s="131">
        <v>185008.41</v>
      </c>
      <c r="AS97" s="81"/>
      <c r="AT97" s="403">
        <f>SUM(AR96:AR100)*1</f>
        <v>186602.61000000002</v>
      </c>
      <c r="AU97" s="92">
        <f>AW97/AV97</f>
        <v>6.9640000000000004</v>
      </c>
      <c r="AV97" s="70">
        <v>25760</v>
      </c>
      <c r="AW97" s="131">
        <v>179392.64000000001</v>
      </c>
      <c r="AX97" s="81"/>
      <c r="AY97" s="403">
        <f>SUM(AW96:AW100)*1</f>
        <v>180877.42</v>
      </c>
      <c r="AZ97" s="92">
        <f>BB97/BA97</f>
        <v>5.7999998732817</v>
      </c>
      <c r="BA97" s="62">
        <v>15783.04</v>
      </c>
      <c r="BB97" s="63">
        <v>91541.63</v>
      </c>
      <c r="BC97" s="44"/>
      <c r="BD97" s="403">
        <f>SUM(BB96:BB100)*1</f>
        <v>221638.63</v>
      </c>
      <c r="BE97" s="92">
        <f>BG97/BF97</f>
        <v>5.7999998732817</v>
      </c>
      <c r="BF97" s="62">
        <v>15783.04</v>
      </c>
      <c r="BG97" s="63">
        <v>91541.63</v>
      </c>
      <c r="BH97" s="44"/>
      <c r="BI97" s="403">
        <f>SUM(BG96:BG100)*1</f>
        <v>221638.63</v>
      </c>
      <c r="BJ97" s="92">
        <f>BL97/BK97</f>
        <v>5.7999998732817</v>
      </c>
      <c r="BK97" s="62">
        <v>15783.04</v>
      </c>
      <c r="BL97" s="63">
        <v>91541.63</v>
      </c>
      <c r="BM97" s="44"/>
      <c r="BN97" s="403">
        <f>SUM(BL96:BL100)*1</f>
        <v>221638.63</v>
      </c>
      <c r="BO97" s="92">
        <f>BQ97/BP97</f>
        <v>5.7999998732817</v>
      </c>
      <c r="BP97" s="62">
        <v>15783.04</v>
      </c>
      <c r="BQ97" s="63">
        <v>91541.63</v>
      </c>
      <c r="BR97" s="44"/>
      <c r="BS97" s="403">
        <f>SUM(BQ96:BQ100)*1</f>
        <v>221638.63</v>
      </c>
      <c r="BT97" s="92" t="e">
        <f>BV97/BU97</f>
        <v>#DIV/0!</v>
      </c>
      <c r="BU97" s="62"/>
      <c r="BV97" s="63"/>
      <c r="BW97" s="44"/>
      <c r="BX97" s="403">
        <f>SUM(BV96:BV100)*1</f>
        <v>0</v>
      </c>
      <c r="BY97" s="92" t="e">
        <f>CA97/BZ97</f>
        <v>#DIV/0!</v>
      </c>
      <c r="BZ97" s="62"/>
      <c r="CA97" s="63"/>
      <c r="CB97" s="44"/>
      <c r="CC97" s="403">
        <f>SUM(CA96:CA100)*1</f>
        <v>0</v>
      </c>
      <c r="CD97" s="92" t="e">
        <f>CF97/CE97</f>
        <v>#DIV/0!</v>
      </c>
      <c r="CE97" s="62"/>
      <c r="CF97" s="63"/>
      <c r="CG97" s="44"/>
      <c r="CH97" s="403">
        <f>SUM(CF96:CF100)*1</f>
        <v>0</v>
      </c>
      <c r="CI97" s="92" t="e">
        <f>CK97/CJ97</f>
        <v>#DIV/0!</v>
      </c>
      <c r="CJ97" s="62"/>
      <c r="CK97" s="63"/>
      <c r="CL97" s="44"/>
      <c r="CM97" s="403">
        <f>SUM(CK96:CK100)*1</f>
        <v>0</v>
      </c>
      <c r="CN97" s="92" t="e">
        <f>CP97/CO97</f>
        <v>#DIV/0!</v>
      </c>
      <c r="CO97" s="62"/>
      <c r="CP97" s="63"/>
      <c r="CQ97" s="44"/>
      <c r="CR97" s="403">
        <f>SUM(CP96:CP100)*1</f>
        <v>0</v>
      </c>
      <c r="CS97" s="92" t="e">
        <f>CU97/CT97</f>
        <v>#DIV/0!</v>
      </c>
      <c r="CT97" s="62"/>
      <c r="CU97" s="63"/>
      <c r="CV97" s="44"/>
      <c r="CW97" s="403">
        <f>SUM(CU96:CU100)*1</f>
        <v>0</v>
      </c>
      <c r="CX97" s="92" t="e">
        <f>CZ97/CY97</f>
        <v>#DIV/0!</v>
      </c>
      <c r="CY97" s="62"/>
      <c r="CZ97" s="63"/>
      <c r="DA97" s="44"/>
      <c r="DB97" s="403">
        <f>SUM(CZ96:CZ100)*1</f>
        <v>0</v>
      </c>
      <c r="DC97" s="92" t="e">
        <f>DE97/DD97</f>
        <v>#DIV/0!</v>
      </c>
      <c r="DD97" s="62"/>
      <c r="DE97" s="63"/>
      <c r="DF97" s="44"/>
      <c r="DG97" s="403">
        <f>SUM(DE96:DE100)*1</f>
        <v>0</v>
      </c>
      <c r="DH97" s="92" t="e">
        <f>DJ97/DI97</f>
        <v>#DIV/0!</v>
      </c>
      <c r="DI97" s="62"/>
      <c r="DJ97" s="63"/>
      <c r="DK97" s="44"/>
      <c r="DL97" s="403">
        <f>SUM(DJ96:DJ100)*1</f>
        <v>0</v>
      </c>
      <c r="DM97" s="92" t="e">
        <f>DO97/DN97</f>
        <v>#DIV/0!</v>
      </c>
      <c r="DN97" s="62"/>
      <c r="DO97" s="63"/>
      <c r="DP97" s="44"/>
      <c r="DQ97" s="403">
        <f>SUM(DO96:DO100)*1</f>
        <v>0</v>
      </c>
      <c r="DR97" s="92" t="e">
        <f>DT97/DS97</f>
        <v>#DIV/0!</v>
      </c>
      <c r="DS97" s="62"/>
      <c r="DT97" s="63"/>
      <c r="DU97" s="44"/>
      <c r="DV97" s="403">
        <f>SUM(DT96:DT100)*1</f>
        <v>0</v>
      </c>
      <c r="DW97" s="92" t="e">
        <f>DY97/DX97</f>
        <v>#DIV/0!</v>
      </c>
      <c r="DX97" s="62"/>
      <c r="DY97" s="63"/>
      <c r="DZ97" s="44"/>
      <c r="EA97" s="403">
        <f>SUM(DY96:DY100)*1</f>
        <v>0</v>
      </c>
      <c r="EB97" s="92" t="e">
        <f>ED97/EC97</f>
        <v>#DIV/0!</v>
      </c>
      <c r="EC97" s="62"/>
      <c r="ED97" s="63"/>
      <c r="EE97" s="44"/>
      <c r="EF97" s="403">
        <f>SUM(ED96:ED100)*1</f>
        <v>0</v>
      </c>
      <c r="EG97" s="92" t="e">
        <f>EI97/EH97</f>
        <v>#DIV/0!</v>
      </c>
      <c r="EH97" s="62"/>
      <c r="EI97" s="63"/>
      <c r="EJ97" s="44"/>
      <c r="EK97" s="403">
        <f>SUM(EI96:EI100)*1</f>
        <v>0</v>
      </c>
      <c r="EL97" s="92" t="e">
        <f>EN97/EM97</f>
        <v>#DIV/0!</v>
      </c>
      <c r="EM97" s="62"/>
      <c r="EN97" s="63"/>
      <c r="EO97" s="44"/>
      <c r="EP97" s="403">
        <f>SUM(EN96:EN100)*1</f>
        <v>0</v>
      </c>
      <c r="EQ97" s="92" t="e">
        <f>ES97/ER97</f>
        <v>#DIV/0!</v>
      </c>
      <c r="ER97" s="62"/>
      <c r="ES97" s="63"/>
      <c r="ET97" s="44"/>
      <c r="EU97" s="403">
        <f>SUM(ES96:ES100)*1</f>
        <v>0</v>
      </c>
      <c r="EV97" s="92" t="e">
        <f>EX97/EW97</f>
        <v>#DIV/0!</v>
      </c>
      <c r="EW97" s="62"/>
      <c r="EX97" s="63"/>
      <c r="EY97" s="44"/>
      <c r="EZ97" s="403">
        <f>SUM(EX96:EX100)*1</f>
        <v>0</v>
      </c>
      <c r="FA97" s="92" t="e">
        <f>FC97/FB97</f>
        <v>#DIV/0!</v>
      </c>
      <c r="FB97" s="62"/>
      <c r="FC97" s="63"/>
      <c r="FD97" s="44"/>
      <c r="FE97" s="403">
        <f>SUM(FC96:FC100)*1</f>
        <v>0</v>
      </c>
      <c r="FF97" s="92" t="e">
        <f>FH97/FG97</f>
        <v>#DIV/0!</v>
      </c>
      <c r="FG97" s="62"/>
      <c r="FH97" s="63"/>
      <c r="FI97" s="44"/>
      <c r="FJ97" s="403">
        <f>SUM(FH96:FH100)*1</f>
        <v>0</v>
      </c>
      <c r="FK97" s="92" t="e">
        <f>FM97/FL97</f>
        <v>#DIV/0!</v>
      </c>
      <c r="FL97" s="62"/>
      <c r="FM97" s="63"/>
      <c r="FN97" s="44"/>
      <c r="FO97" s="403">
        <f>SUM(FM96:FM100)*1</f>
        <v>0</v>
      </c>
      <c r="FP97" s="92" t="e">
        <f>FR97/FQ97</f>
        <v>#DIV/0!</v>
      </c>
      <c r="FQ97" s="62"/>
      <c r="FR97" s="63"/>
      <c r="FS97" s="44"/>
      <c r="FT97" s="403">
        <f>SUM(FR96:FR100)*1</f>
        <v>0</v>
      </c>
      <c r="FU97" s="92" t="e">
        <f>FW97/FV97</f>
        <v>#DIV/0!</v>
      </c>
      <c r="FV97" s="62"/>
      <c r="FW97" s="63"/>
      <c r="FX97" s="44"/>
      <c r="FY97" s="403">
        <f>SUM(FW96:FW100)*1</f>
        <v>0</v>
      </c>
      <c r="FZ97" s="92" t="e">
        <f>GB97/GA97</f>
        <v>#DIV/0!</v>
      </c>
      <c r="GA97" s="62"/>
      <c r="GB97" s="63"/>
      <c r="GC97" s="44"/>
      <c r="GD97" s="403">
        <f>SUM(GB96:GB100)*1</f>
        <v>0</v>
      </c>
      <c r="GE97" s="92" t="e">
        <f>GG97/GF97</f>
        <v>#DIV/0!</v>
      </c>
      <c r="GF97" s="62"/>
      <c r="GG97" s="63"/>
      <c r="GH97" s="44"/>
      <c r="GI97" s="403">
        <f>SUM(GG96:GG100)*1</f>
        <v>0</v>
      </c>
      <c r="GJ97" s="98" t="e">
        <f>GL97/GK97</f>
        <v>#DIV/0!</v>
      </c>
      <c r="GK97" s="62"/>
      <c r="GL97" s="63"/>
      <c r="GM97" s="44"/>
      <c r="GN97" s="403">
        <f>SUM(GL96:GL100)*1</f>
        <v>0</v>
      </c>
      <c r="GO97" s="92" t="e">
        <f>GQ97/GP97</f>
        <v>#DIV/0!</v>
      </c>
      <c r="GP97" s="62"/>
      <c r="GQ97" s="63"/>
      <c r="GR97" s="44"/>
      <c r="GS97" s="403">
        <f>SUM(GQ96:GQ100)*1</f>
        <v>0</v>
      </c>
      <c r="GT97" s="92" t="e">
        <f>GV97/GU97</f>
        <v>#DIV/0!</v>
      </c>
      <c r="GU97" s="62"/>
      <c r="GV97" s="63"/>
      <c r="GW97" s="44"/>
      <c r="GX97" s="403">
        <f>SUM(GV96:GV100)*1</f>
        <v>0</v>
      </c>
      <c r="GY97" s="92" t="e">
        <f>HA97/GZ97</f>
        <v>#DIV/0!</v>
      </c>
      <c r="GZ97" s="62"/>
      <c r="HA97" s="63"/>
      <c r="HB97" s="44"/>
      <c r="HC97" s="403">
        <f>SUM(HA96:HA100)*1</f>
        <v>0</v>
      </c>
      <c r="HD97" s="92" t="e">
        <f>HF97/HE97</f>
        <v>#DIV/0!</v>
      </c>
      <c r="HE97" s="62"/>
      <c r="HF97" s="63"/>
      <c r="HG97" s="44"/>
      <c r="HH97" s="403">
        <f>SUM(HF96:HF100)*1</f>
        <v>0</v>
      </c>
      <c r="HI97" s="92" t="e">
        <f>HK97/HJ97</f>
        <v>#DIV/0!</v>
      </c>
      <c r="HJ97" s="62"/>
      <c r="HK97" s="63"/>
      <c r="HL97" s="44"/>
      <c r="HM97" s="403">
        <f>SUM(HK96:HK100)*1</f>
        <v>0</v>
      </c>
      <c r="HN97" s="92" t="e">
        <f>HP97/HO97</f>
        <v>#DIV/0!</v>
      </c>
      <c r="HO97" s="62"/>
      <c r="HP97" s="63"/>
      <c r="HQ97" s="44"/>
      <c r="HR97" s="403">
        <f>SUM(HP96:HP100)*1</f>
        <v>0</v>
      </c>
      <c r="HS97" s="92" t="e">
        <f>HU97/HT97</f>
        <v>#DIV/0!</v>
      </c>
      <c r="HT97" s="62"/>
      <c r="HU97" s="63"/>
      <c r="HV97" s="44"/>
      <c r="HW97" s="403">
        <f>SUM(HU96:HU100)*1</f>
        <v>0</v>
      </c>
      <c r="HX97" s="92" t="e">
        <f>HZ97/HY97</f>
        <v>#DIV/0!</v>
      </c>
      <c r="HY97" s="62"/>
      <c r="HZ97" s="63"/>
      <c r="IA97" s="44"/>
      <c r="IB97" s="403">
        <f>SUM(HZ96:HZ100)*1</f>
        <v>0</v>
      </c>
      <c r="IC97" s="92" t="e">
        <f>IE97/ID97</f>
        <v>#DIV/0!</v>
      </c>
      <c r="ID97" s="62"/>
      <c r="IE97" s="63"/>
      <c r="IF97" s="44"/>
      <c r="IG97" s="403">
        <f>SUM(IE96:IE100)*1</f>
        <v>0</v>
      </c>
      <c r="IH97" s="92" t="e">
        <f>IJ97/II97</f>
        <v>#DIV/0!</v>
      </c>
      <c r="II97" s="62"/>
      <c r="IJ97" s="63"/>
      <c r="IK97" s="44"/>
      <c r="IL97" s="403">
        <f>SUM(IJ96:IJ100)*1</f>
        <v>0</v>
      </c>
      <c r="IM97" s="92" t="e">
        <f>IO97/IN97</f>
        <v>#DIV/0!</v>
      </c>
      <c r="IN97" s="62"/>
      <c r="IO97" s="63"/>
      <c r="IP97" s="44"/>
      <c r="IQ97" s="403">
        <f>SUM(IO96:IO100)*1</f>
        <v>0</v>
      </c>
    </row>
    <row r="98" spans="1:251" ht="15" customHeight="1">
      <c r="A98" s="647"/>
      <c r="B98" s="276"/>
      <c r="C98" s="228"/>
      <c r="D98" s="45"/>
      <c r="E98" s="216" t="s">
        <v>59</v>
      </c>
      <c r="F98" s="22"/>
      <c r="G98" s="103"/>
      <c r="H98" s="128">
        <v>1</v>
      </c>
      <c r="I98" s="128">
        <v>500</v>
      </c>
      <c r="J98" s="81"/>
      <c r="K98" s="88"/>
      <c r="L98" s="103"/>
      <c r="M98" s="128">
        <v>1</v>
      </c>
      <c r="N98" s="128">
        <v>500</v>
      </c>
      <c r="O98" s="81"/>
      <c r="P98" s="88"/>
      <c r="Q98" s="103"/>
      <c r="R98" s="128">
        <v>1</v>
      </c>
      <c r="S98" s="128">
        <v>500</v>
      </c>
      <c r="T98" s="81"/>
      <c r="U98" s="88"/>
      <c r="V98" s="47"/>
      <c r="W98" s="128">
        <v>1</v>
      </c>
      <c r="X98" s="128">
        <v>500</v>
      </c>
      <c r="Y98" s="81"/>
      <c r="Z98" s="81"/>
      <c r="AA98" s="46"/>
      <c r="AB98" s="128">
        <v>1</v>
      </c>
      <c r="AC98" s="128">
        <v>500</v>
      </c>
      <c r="AD98" s="81"/>
      <c r="AE98" s="81"/>
      <c r="AF98" s="46"/>
      <c r="AG98" s="128">
        <v>1</v>
      </c>
      <c r="AH98" s="128">
        <v>500</v>
      </c>
      <c r="AI98" s="81"/>
      <c r="AJ98" s="81"/>
      <c r="AK98" s="46"/>
      <c r="AL98" s="128">
        <v>1</v>
      </c>
      <c r="AM98" s="128">
        <v>500</v>
      </c>
      <c r="AN98" s="81"/>
      <c r="AO98" s="81"/>
      <c r="AP98" s="46"/>
      <c r="AQ98" s="128">
        <v>1</v>
      </c>
      <c r="AR98" s="128">
        <v>500</v>
      </c>
      <c r="AS98" s="81"/>
      <c r="AT98" s="81"/>
      <c r="AU98" s="46"/>
      <c r="AV98" s="128">
        <v>1</v>
      </c>
      <c r="AW98" s="128">
        <v>500</v>
      </c>
      <c r="AX98" s="363"/>
      <c r="AY98" s="81"/>
      <c r="AZ98" s="46"/>
      <c r="BA98" s="56">
        <v>1</v>
      </c>
      <c r="BB98" s="56">
        <v>500</v>
      </c>
      <c r="BC98" s="44"/>
      <c r="BD98" s="81"/>
      <c r="BE98" s="46"/>
      <c r="BF98" s="56">
        <v>1</v>
      </c>
      <c r="BG98" s="56">
        <v>500</v>
      </c>
      <c r="BH98" s="44"/>
      <c r="BI98" s="81"/>
      <c r="BJ98" s="46"/>
      <c r="BK98" s="56">
        <v>1</v>
      </c>
      <c r="BL98" s="56">
        <v>500</v>
      </c>
      <c r="BM98" s="44"/>
      <c r="BN98" s="81"/>
      <c r="BO98" s="46"/>
      <c r="BP98" s="56">
        <v>1</v>
      </c>
      <c r="BQ98" s="56">
        <v>500</v>
      </c>
      <c r="BR98" s="44"/>
      <c r="BS98" s="81"/>
      <c r="BT98" s="46"/>
      <c r="BU98" s="56"/>
      <c r="BV98" s="56"/>
      <c r="BW98" s="44"/>
      <c r="BX98" s="81"/>
      <c r="BY98" s="46"/>
      <c r="BZ98" s="56"/>
      <c r="CA98" s="56"/>
      <c r="CB98" s="44"/>
      <c r="CC98" s="81"/>
      <c r="CD98" s="46"/>
      <c r="CE98" s="56"/>
      <c r="CF98" s="56"/>
      <c r="CG98" s="44"/>
      <c r="CH98" s="81"/>
      <c r="CI98" s="46"/>
      <c r="CJ98" s="56"/>
      <c r="CK98" s="56"/>
      <c r="CL98" s="44"/>
      <c r="CM98" s="81"/>
      <c r="CN98" s="46"/>
      <c r="CO98" s="56"/>
      <c r="CP98" s="56"/>
      <c r="CQ98" s="44"/>
      <c r="CR98" s="81"/>
      <c r="CS98" s="46"/>
      <c r="CT98" s="56"/>
      <c r="CU98" s="56"/>
      <c r="CV98" s="44"/>
      <c r="CW98" s="81"/>
      <c r="CX98" s="46"/>
      <c r="CY98" s="56"/>
      <c r="CZ98" s="56"/>
      <c r="DA98" s="44"/>
      <c r="DB98" s="81"/>
      <c r="DC98" s="46"/>
      <c r="DD98" s="56"/>
      <c r="DE98" s="56"/>
      <c r="DF98" s="44"/>
      <c r="DG98" s="81"/>
      <c r="DH98" s="46"/>
      <c r="DI98" s="56"/>
      <c r="DJ98" s="56"/>
      <c r="DK98" s="44"/>
      <c r="DL98" s="81"/>
      <c r="DM98" s="46"/>
      <c r="DN98" s="56"/>
      <c r="DO98" s="56"/>
      <c r="DP98" s="44"/>
      <c r="DQ98" s="81"/>
      <c r="DR98" s="46"/>
      <c r="DS98" s="56"/>
      <c r="DT98" s="56"/>
      <c r="DU98" s="44"/>
      <c r="DV98" s="81"/>
      <c r="DW98" s="46"/>
      <c r="DX98" s="56"/>
      <c r="DY98" s="56"/>
      <c r="DZ98" s="44"/>
      <c r="EA98" s="81"/>
      <c r="EB98" s="46"/>
      <c r="EC98" s="56"/>
      <c r="ED98" s="56"/>
      <c r="EE98" s="44"/>
      <c r="EF98" s="81"/>
      <c r="EG98" s="46"/>
      <c r="EH98" s="56"/>
      <c r="EI98" s="56"/>
      <c r="EJ98" s="44"/>
      <c r="EK98" s="81"/>
      <c r="EL98" s="46"/>
      <c r="EM98" s="56"/>
      <c r="EN98" s="56"/>
      <c r="EO98" s="44"/>
      <c r="EP98" s="81"/>
      <c r="EQ98" s="46"/>
      <c r="ER98" s="56"/>
      <c r="ES98" s="56"/>
      <c r="ET98" s="44"/>
      <c r="EU98" s="81"/>
      <c r="EV98" s="46"/>
      <c r="EW98" s="56"/>
      <c r="EX98" s="56"/>
      <c r="EY98" s="44"/>
      <c r="EZ98" s="81"/>
      <c r="FA98" s="46"/>
      <c r="FB98" s="56"/>
      <c r="FC98" s="56"/>
      <c r="FD98" s="44"/>
      <c r="FE98" s="81"/>
      <c r="FF98" s="46"/>
      <c r="FG98" s="56"/>
      <c r="FH98" s="56"/>
      <c r="FI98" s="44"/>
      <c r="FJ98" s="81"/>
      <c r="FK98" s="46"/>
      <c r="FL98" s="56"/>
      <c r="FM98" s="56"/>
      <c r="FN98" s="44"/>
      <c r="FO98" s="81"/>
      <c r="FP98" s="46"/>
      <c r="FQ98" s="56"/>
      <c r="FR98" s="56"/>
      <c r="FS98" s="44"/>
      <c r="FT98" s="81"/>
      <c r="FU98" s="46"/>
      <c r="FV98" s="56"/>
      <c r="FW98" s="56"/>
      <c r="FX98" s="44"/>
      <c r="FY98" s="81"/>
      <c r="FZ98" s="46"/>
      <c r="GA98" s="56"/>
      <c r="GB98" s="56"/>
      <c r="GC98" s="44"/>
      <c r="GD98" s="81"/>
      <c r="GE98" s="46"/>
      <c r="GF98" s="56"/>
      <c r="GG98" s="56"/>
      <c r="GH98" s="44"/>
      <c r="GI98" s="81"/>
      <c r="GJ98" s="97"/>
      <c r="GK98" s="56"/>
      <c r="GL98" s="56"/>
      <c r="GM98" s="44"/>
      <c r="GN98" s="81"/>
      <c r="GO98" s="46"/>
      <c r="GP98" s="56"/>
      <c r="GQ98" s="56"/>
      <c r="GR98" s="44"/>
      <c r="GS98" s="81"/>
      <c r="GT98" s="46"/>
      <c r="GU98" s="56"/>
      <c r="GV98" s="56"/>
      <c r="GW98" s="44"/>
      <c r="GX98" s="81"/>
      <c r="GY98" s="46"/>
      <c r="GZ98" s="56"/>
      <c r="HA98" s="56"/>
      <c r="HB98" s="44"/>
      <c r="HC98" s="81"/>
      <c r="HD98" s="46"/>
      <c r="HE98" s="56"/>
      <c r="HF98" s="56"/>
      <c r="HG98" s="44"/>
      <c r="HH98" s="81"/>
      <c r="HI98" s="46"/>
      <c r="HJ98" s="56"/>
      <c r="HK98" s="56"/>
      <c r="HL98" s="44"/>
      <c r="HM98" s="81"/>
      <c r="HN98" s="46"/>
      <c r="HO98" s="56"/>
      <c r="HP98" s="56"/>
      <c r="HQ98" s="44"/>
      <c r="HR98" s="81"/>
      <c r="HS98" s="46"/>
      <c r="HT98" s="56"/>
      <c r="HU98" s="56"/>
      <c r="HV98" s="44"/>
      <c r="HW98" s="81"/>
      <c r="HX98" s="46"/>
      <c r="HY98" s="56"/>
      <c r="HZ98" s="56"/>
      <c r="IA98" s="44"/>
      <c r="IB98" s="81"/>
      <c r="IC98" s="46"/>
      <c r="ID98" s="56"/>
      <c r="IE98" s="56"/>
      <c r="IF98" s="44"/>
      <c r="IG98" s="81"/>
      <c r="IH98" s="46"/>
      <c r="II98" s="56"/>
      <c r="IJ98" s="56"/>
      <c r="IK98" s="44"/>
      <c r="IL98" s="81"/>
      <c r="IM98" s="46"/>
      <c r="IN98" s="56"/>
      <c r="IO98" s="56"/>
      <c r="IP98" s="44"/>
      <c r="IQ98" s="81"/>
    </row>
    <row r="99" spans="1:251" s="336" customFormat="1" ht="15" customHeight="1">
      <c r="A99" s="652"/>
      <c r="B99" s="276"/>
      <c r="C99" s="228"/>
      <c r="D99" s="220"/>
      <c r="E99" s="231" t="s">
        <v>33</v>
      </c>
      <c r="F99" s="29"/>
      <c r="G99" s="109">
        <v>850</v>
      </c>
      <c r="H99" s="56">
        <v>151.62</v>
      </c>
      <c r="I99" s="56">
        <v>128877</v>
      </c>
      <c r="J99" s="44"/>
      <c r="K99" s="86"/>
      <c r="L99" s="109">
        <v>850</v>
      </c>
      <c r="M99" s="128">
        <v>151.62</v>
      </c>
      <c r="N99" s="128">
        <v>128877</v>
      </c>
      <c r="O99" s="81"/>
      <c r="P99" s="88"/>
      <c r="Q99" s="109">
        <v>850</v>
      </c>
      <c r="R99" s="128">
        <v>151.62</v>
      </c>
      <c r="S99" s="128">
        <v>128877</v>
      </c>
      <c r="T99" s="81"/>
      <c r="U99" s="88"/>
      <c r="V99" s="120">
        <v>850</v>
      </c>
      <c r="W99" s="128">
        <v>50.54</v>
      </c>
      <c r="X99" s="128">
        <v>42959</v>
      </c>
      <c r="Y99" s="81"/>
      <c r="Z99" s="81"/>
      <c r="AA99" s="97">
        <v>850</v>
      </c>
      <c r="AB99" s="128">
        <v>0</v>
      </c>
      <c r="AC99" s="128">
        <v>0</v>
      </c>
      <c r="AD99" s="81"/>
      <c r="AE99" s="81"/>
      <c r="AF99" s="97">
        <v>850</v>
      </c>
      <c r="AG99" s="128">
        <v>0</v>
      </c>
      <c r="AH99" s="128">
        <v>0</v>
      </c>
      <c r="AI99" s="81"/>
      <c r="AJ99" s="81"/>
      <c r="AK99" s="97">
        <v>850</v>
      </c>
      <c r="AL99" s="128">
        <v>0</v>
      </c>
      <c r="AM99" s="128">
        <v>0</v>
      </c>
      <c r="AN99" s="81"/>
      <c r="AO99" s="81"/>
      <c r="AP99" s="97">
        <v>850</v>
      </c>
      <c r="AQ99" s="128">
        <v>0</v>
      </c>
      <c r="AR99" s="128"/>
      <c r="AS99" s="81"/>
      <c r="AT99" s="81"/>
      <c r="AU99" s="97">
        <v>850</v>
      </c>
      <c r="AV99" s="128">
        <v>0</v>
      </c>
      <c r="AW99" s="128">
        <v>0</v>
      </c>
      <c r="AX99" s="81"/>
      <c r="AY99" s="81"/>
      <c r="AZ99" s="97">
        <v>850</v>
      </c>
      <c r="BA99" s="56">
        <v>151.62</v>
      </c>
      <c r="BB99" s="56">
        <v>128877</v>
      </c>
      <c r="BC99" s="44"/>
      <c r="BD99" s="81"/>
      <c r="BE99" s="97">
        <v>850</v>
      </c>
      <c r="BF99" s="56">
        <v>151.62</v>
      </c>
      <c r="BG99" s="56">
        <v>128877</v>
      </c>
      <c r="BH99" s="44"/>
      <c r="BI99" s="81"/>
      <c r="BJ99" s="97">
        <v>850</v>
      </c>
      <c r="BK99" s="56">
        <v>151.62</v>
      </c>
      <c r="BL99" s="56">
        <v>128877</v>
      </c>
      <c r="BM99" s="44"/>
      <c r="BN99" s="81"/>
      <c r="BO99" s="97">
        <v>850</v>
      </c>
      <c r="BP99" s="56">
        <v>151.62</v>
      </c>
      <c r="BQ99" s="56">
        <v>128877</v>
      </c>
      <c r="BR99" s="44"/>
      <c r="BS99" s="81"/>
      <c r="BT99" s="97">
        <v>850</v>
      </c>
      <c r="BU99" s="56"/>
      <c r="BV99" s="56"/>
      <c r="BW99" s="44"/>
      <c r="BX99" s="81"/>
      <c r="BY99" s="97">
        <v>850</v>
      </c>
      <c r="BZ99" s="56"/>
      <c r="CA99" s="56"/>
      <c r="CB99" s="44"/>
      <c r="CC99" s="81"/>
      <c r="CD99" s="97">
        <v>850</v>
      </c>
      <c r="CE99" s="56"/>
      <c r="CF99" s="56"/>
      <c r="CG99" s="44"/>
      <c r="CH99" s="81"/>
      <c r="CI99" s="97">
        <v>850</v>
      </c>
      <c r="CJ99" s="56"/>
      <c r="CK99" s="56"/>
      <c r="CL99" s="44"/>
      <c r="CM99" s="81"/>
      <c r="CN99" s="97">
        <v>850</v>
      </c>
      <c r="CO99" s="56"/>
      <c r="CP99" s="56"/>
      <c r="CQ99" s="44"/>
      <c r="CR99" s="81"/>
      <c r="CS99" s="97">
        <v>850</v>
      </c>
      <c r="CT99" s="56"/>
      <c r="CU99" s="56"/>
      <c r="CV99" s="44"/>
      <c r="CW99" s="81"/>
      <c r="CX99" s="97">
        <v>850</v>
      </c>
      <c r="CY99" s="56"/>
      <c r="CZ99" s="56"/>
      <c r="DA99" s="44"/>
      <c r="DB99" s="81"/>
      <c r="DC99" s="97">
        <v>850</v>
      </c>
      <c r="DD99" s="56"/>
      <c r="DE99" s="56"/>
      <c r="DF99" s="44"/>
      <c r="DG99" s="81"/>
      <c r="DH99" s="97">
        <v>850</v>
      </c>
      <c r="DI99" s="56"/>
      <c r="DJ99" s="56"/>
      <c r="DK99" s="44"/>
      <c r="DL99" s="81"/>
      <c r="DM99" s="97">
        <v>850</v>
      </c>
      <c r="DN99" s="56"/>
      <c r="DO99" s="56"/>
      <c r="DP99" s="44"/>
      <c r="DQ99" s="81"/>
      <c r="DR99" s="97">
        <v>850</v>
      </c>
      <c r="DS99" s="56"/>
      <c r="DT99" s="56"/>
      <c r="DU99" s="44"/>
      <c r="DV99" s="81"/>
      <c r="DW99" s="97">
        <v>850</v>
      </c>
      <c r="DX99" s="56"/>
      <c r="DY99" s="56"/>
      <c r="DZ99" s="44"/>
      <c r="EA99" s="81"/>
      <c r="EB99" s="97">
        <v>850</v>
      </c>
      <c r="EC99" s="56"/>
      <c r="ED99" s="56"/>
      <c r="EE99" s="44"/>
      <c r="EF99" s="81"/>
      <c r="EG99" s="97">
        <v>850</v>
      </c>
      <c r="EH99" s="56"/>
      <c r="EI99" s="56"/>
      <c r="EJ99" s="44"/>
      <c r="EK99" s="81"/>
      <c r="EL99" s="97">
        <v>850</v>
      </c>
      <c r="EM99" s="56"/>
      <c r="EN99" s="56"/>
      <c r="EO99" s="44"/>
      <c r="EP99" s="81"/>
      <c r="EQ99" s="97">
        <v>850</v>
      </c>
      <c r="ER99" s="56"/>
      <c r="ES99" s="56"/>
      <c r="ET99" s="44"/>
      <c r="EU99" s="81"/>
      <c r="EV99" s="97">
        <v>850</v>
      </c>
      <c r="EW99" s="56"/>
      <c r="EX99" s="56"/>
      <c r="EY99" s="44"/>
      <c r="EZ99" s="81"/>
      <c r="FA99" s="97">
        <v>850</v>
      </c>
      <c r="FB99" s="56"/>
      <c r="FC99" s="56"/>
      <c r="FD99" s="44"/>
      <c r="FE99" s="81"/>
      <c r="FF99" s="97">
        <v>850</v>
      </c>
      <c r="FG99" s="56"/>
      <c r="FH99" s="56"/>
      <c r="FI99" s="44"/>
      <c r="FJ99" s="81"/>
      <c r="FK99" s="97">
        <v>850</v>
      </c>
      <c r="FL99" s="56"/>
      <c r="FM99" s="56"/>
      <c r="FN99" s="44"/>
      <c r="FO99" s="81"/>
      <c r="FP99" s="97">
        <v>850</v>
      </c>
      <c r="FQ99" s="56"/>
      <c r="FR99" s="56"/>
      <c r="FS99" s="44"/>
      <c r="FT99" s="81"/>
      <c r="FU99" s="97">
        <v>850</v>
      </c>
      <c r="FV99" s="56"/>
      <c r="FW99" s="56"/>
      <c r="FX99" s="44"/>
      <c r="FY99" s="81"/>
      <c r="FZ99" s="97">
        <v>850</v>
      </c>
      <c r="GA99" s="56"/>
      <c r="GB99" s="56"/>
      <c r="GC99" s="44"/>
      <c r="GD99" s="81"/>
      <c r="GE99" s="97">
        <v>850</v>
      </c>
      <c r="GF99" s="56"/>
      <c r="GG99" s="56"/>
      <c r="GH99" s="44"/>
      <c r="GI99" s="81"/>
      <c r="GJ99" s="97">
        <v>850</v>
      </c>
      <c r="GK99" s="56"/>
      <c r="GL99" s="56"/>
      <c r="GM99" s="44"/>
      <c r="GN99" s="81"/>
      <c r="GO99" s="97">
        <v>850</v>
      </c>
      <c r="GP99" s="56"/>
      <c r="GQ99" s="56"/>
      <c r="GR99" s="44"/>
      <c r="GS99" s="81"/>
      <c r="GT99" s="97">
        <v>850</v>
      </c>
      <c r="GU99" s="56"/>
      <c r="GV99" s="56"/>
      <c r="GW99" s="44"/>
      <c r="GX99" s="81"/>
      <c r="GY99" s="97">
        <v>850</v>
      </c>
      <c r="GZ99" s="56"/>
      <c r="HA99" s="56"/>
      <c r="HB99" s="44"/>
      <c r="HC99" s="81"/>
      <c r="HD99" s="97">
        <v>850</v>
      </c>
      <c r="HE99" s="56"/>
      <c r="HF99" s="56"/>
      <c r="HG99" s="44"/>
      <c r="HH99" s="81"/>
      <c r="HI99" s="97">
        <v>850</v>
      </c>
      <c r="HJ99" s="56"/>
      <c r="HK99" s="56"/>
      <c r="HL99" s="44"/>
      <c r="HM99" s="81"/>
      <c r="HN99" s="97">
        <v>850</v>
      </c>
      <c r="HO99" s="56"/>
      <c r="HP99" s="56"/>
      <c r="HQ99" s="44"/>
      <c r="HR99" s="81"/>
      <c r="HS99" s="97">
        <v>850</v>
      </c>
      <c r="HT99" s="56"/>
      <c r="HU99" s="56"/>
      <c r="HV99" s="44"/>
      <c r="HW99" s="81"/>
      <c r="HX99" s="97">
        <v>850</v>
      </c>
      <c r="HY99" s="56"/>
      <c r="HZ99" s="56"/>
      <c r="IA99" s="44"/>
      <c r="IB99" s="81"/>
      <c r="IC99" s="97">
        <v>850</v>
      </c>
      <c r="ID99" s="56"/>
      <c r="IE99" s="56"/>
      <c r="IF99" s="44"/>
      <c r="IG99" s="81"/>
      <c r="IH99" s="97">
        <v>850</v>
      </c>
      <c r="II99" s="56"/>
      <c r="IJ99" s="56"/>
      <c r="IK99" s="44"/>
      <c r="IL99" s="81"/>
      <c r="IM99" s="97">
        <v>850</v>
      </c>
      <c r="IN99" s="56"/>
      <c r="IO99" s="56"/>
      <c r="IP99" s="44"/>
      <c r="IQ99" s="81"/>
    </row>
    <row r="100" spans="1:251" s="264" customFormat="1" ht="15" customHeight="1" thickBot="1">
      <c r="A100" s="648"/>
      <c r="B100" s="289"/>
      <c r="C100" s="283"/>
      <c r="D100" s="20"/>
      <c r="E100" s="259" t="s">
        <v>17</v>
      </c>
      <c r="F100" s="23"/>
      <c r="G100" s="168">
        <f>I100/H100</f>
        <v>45</v>
      </c>
      <c r="H100" s="180">
        <v>16</v>
      </c>
      <c r="I100" s="183">
        <v>720</v>
      </c>
      <c r="J100" s="179"/>
      <c r="K100" s="182"/>
      <c r="L100" s="168">
        <f>N100/M100</f>
        <v>45</v>
      </c>
      <c r="M100" s="180">
        <v>18</v>
      </c>
      <c r="N100" s="183">
        <v>810</v>
      </c>
      <c r="O100" s="179"/>
      <c r="P100" s="182"/>
      <c r="Q100" s="168">
        <f>S100/R100</f>
        <v>45</v>
      </c>
      <c r="R100" s="180">
        <v>21</v>
      </c>
      <c r="S100" s="362">
        <v>945</v>
      </c>
      <c r="T100" s="179"/>
      <c r="U100" s="182"/>
      <c r="V100" s="209">
        <f>X100/W100</f>
        <v>45</v>
      </c>
      <c r="W100" s="180">
        <v>18</v>
      </c>
      <c r="X100" s="183">
        <v>810</v>
      </c>
      <c r="Y100" s="179"/>
      <c r="Z100" s="179"/>
      <c r="AA100" s="3">
        <f>AC100/AB100</f>
        <v>45</v>
      </c>
      <c r="AB100" s="180">
        <v>16</v>
      </c>
      <c r="AC100" s="183">
        <v>720</v>
      </c>
      <c r="AD100" s="179"/>
      <c r="AE100" s="179"/>
      <c r="AF100" s="3">
        <f>AH100/AG100</f>
        <v>45</v>
      </c>
      <c r="AG100" s="180">
        <v>22</v>
      </c>
      <c r="AH100" s="183">
        <v>990</v>
      </c>
      <c r="AI100" s="179"/>
      <c r="AJ100" s="179"/>
      <c r="AK100" s="3">
        <f>AM100/AL100</f>
        <v>46</v>
      </c>
      <c r="AL100" s="180">
        <v>11</v>
      </c>
      <c r="AM100" s="183">
        <v>506</v>
      </c>
      <c r="AN100" s="179"/>
      <c r="AO100" s="179"/>
      <c r="AP100" s="3">
        <f>AR100/AQ100</f>
        <v>54.71</v>
      </c>
      <c r="AQ100" s="180">
        <v>20</v>
      </c>
      <c r="AR100" s="183">
        <v>1094.2</v>
      </c>
      <c r="AS100" s="179"/>
      <c r="AT100" s="179"/>
      <c r="AU100" s="3">
        <f>AW100/AV100</f>
        <v>54.71</v>
      </c>
      <c r="AV100" s="180">
        <v>18</v>
      </c>
      <c r="AW100" s="183">
        <v>984.78</v>
      </c>
      <c r="AX100" s="179"/>
      <c r="AY100" s="179"/>
      <c r="AZ100" s="3">
        <f>BB100/BA100</f>
        <v>45</v>
      </c>
      <c r="BA100" s="277">
        <v>16</v>
      </c>
      <c r="BB100" s="185">
        <v>720</v>
      </c>
      <c r="BC100" s="48"/>
      <c r="BD100" s="179"/>
      <c r="BE100" s="3">
        <f>BG100/BF100</f>
        <v>45</v>
      </c>
      <c r="BF100" s="277">
        <v>16</v>
      </c>
      <c r="BG100" s="185">
        <v>720</v>
      </c>
      <c r="BH100" s="48"/>
      <c r="BI100" s="179"/>
      <c r="BJ100" s="3">
        <f>BL100/BK100</f>
        <v>45</v>
      </c>
      <c r="BK100" s="277">
        <v>16</v>
      </c>
      <c r="BL100" s="185">
        <v>720</v>
      </c>
      <c r="BM100" s="48"/>
      <c r="BN100" s="179"/>
      <c r="BO100" s="3">
        <f>BQ100/BP100</f>
        <v>45</v>
      </c>
      <c r="BP100" s="277">
        <v>16</v>
      </c>
      <c r="BQ100" s="185">
        <v>720</v>
      </c>
      <c r="BR100" s="48"/>
      <c r="BS100" s="179"/>
      <c r="BT100" s="3" t="e">
        <f>BV100/BU100</f>
        <v>#DIV/0!</v>
      </c>
      <c r="BU100" s="277"/>
      <c r="BV100" s="185"/>
      <c r="BW100" s="48"/>
      <c r="BX100" s="179"/>
      <c r="BY100" s="3" t="e">
        <f>CA100/BZ100</f>
        <v>#DIV/0!</v>
      </c>
      <c r="BZ100" s="277"/>
      <c r="CA100" s="185"/>
      <c r="CB100" s="48"/>
      <c r="CC100" s="179"/>
      <c r="CD100" s="3" t="e">
        <f>CF100/CE100</f>
        <v>#DIV/0!</v>
      </c>
      <c r="CE100" s="277"/>
      <c r="CF100" s="185"/>
      <c r="CG100" s="48"/>
      <c r="CH100" s="179"/>
      <c r="CI100" s="3" t="e">
        <f>CK100/CJ100</f>
        <v>#DIV/0!</v>
      </c>
      <c r="CJ100" s="277"/>
      <c r="CK100" s="185"/>
      <c r="CL100" s="48"/>
      <c r="CM100" s="179"/>
      <c r="CN100" s="3" t="e">
        <f>CP100/CO100</f>
        <v>#DIV/0!</v>
      </c>
      <c r="CO100" s="277"/>
      <c r="CP100" s="185"/>
      <c r="CQ100" s="48"/>
      <c r="CR100" s="179"/>
      <c r="CS100" s="3" t="e">
        <f>CU100/CT100</f>
        <v>#DIV/0!</v>
      </c>
      <c r="CT100" s="277"/>
      <c r="CU100" s="185"/>
      <c r="CV100" s="48"/>
      <c r="CW100" s="179"/>
      <c r="CX100" s="3" t="e">
        <f>CZ100/CY100</f>
        <v>#DIV/0!</v>
      </c>
      <c r="CY100" s="277"/>
      <c r="CZ100" s="185"/>
      <c r="DA100" s="48"/>
      <c r="DB100" s="179"/>
      <c r="DC100" s="3" t="e">
        <f>DE100/DD100</f>
        <v>#DIV/0!</v>
      </c>
      <c r="DD100" s="277"/>
      <c r="DE100" s="185"/>
      <c r="DF100" s="48"/>
      <c r="DG100" s="179"/>
      <c r="DH100" s="3" t="e">
        <f>DJ100/DI100</f>
        <v>#DIV/0!</v>
      </c>
      <c r="DI100" s="277"/>
      <c r="DJ100" s="185"/>
      <c r="DK100" s="48"/>
      <c r="DL100" s="179"/>
      <c r="DM100" s="3" t="e">
        <f>DO100/DN100</f>
        <v>#DIV/0!</v>
      </c>
      <c r="DN100" s="277"/>
      <c r="DO100" s="185"/>
      <c r="DP100" s="48"/>
      <c r="DQ100" s="179"/>
      <c r="DR100" s="3" t="e">
        <f>DT100/DS100</f>
        <v>#DIV/0!</v>
      </c>
      <c r="DS100" s="277"/>
      <c r="DT100" s="185"/>
      <c r="DU100" s="48"/>
      <c r="DV100" s="179"/>
      <c r="DW100" s="3" t="e">
        <f>DY100/DX100</f>
        <v>#DIV/0!</v>
      </c>
      <c r="DX100" s="277"/>
      <c r="DY100" s="185"/>
      <c r="DZ100" s="48"/>
      <c r="EA100" s="179"/>
      <c r="EB100" s="3" t="e">
        <f>ED100/EC100</f>
        <v>#DIV/0!</v>
      </c>
      <c r="EC100" s="277"/>
      <c r="ED100" s="185"/>
      <c r="EE100" s="48"/>
      <c r="EF100" s="179"/>
      <c r="EG100" s="3" t="e">
        <f>EI100/EH100</f>
        <v>#DIV/0!</v>
      </c>
      <c r="EH100" s="277"/>
      <c r="EI100" s="185"/>
      <c r="EJ100" s="48"/>
      <c r="EK100" s="179"/>
      <c r="EL100" s="3" t="e">
        <f>EN100/EM100</f>
        <v>#DIV/0!</v>
      </c>
      <c r="EM100" s="277"/>
      <c r="EN100" s="185"/>
      <c r="EO100" s="48"/>
      <c r="EP100" s="179"/>
      <c r="EQ100" s="3" t="e">
        <f>ES100/ER100</f>
        <v>#DIV/0!</v>
      </c>
      <c r="ER100" s="277"/>
      <c r="ES100" s="185"/>
      <c r="ET100" s="48"/>
      <c r="EU100" s="179"/>
      <c r="EV100" s="3" t="e">
        <f>EX100/EW100</f>
        <v>#DIV/0!</v>
      </c>
      <c r="EW100" s="277"/>
      <c r="EX100" s="185"/>
      <c r="EY100" s="48"/>
      <c r="EZ100" s="179"/>
      <c r="FA100" s="3" t="e">
        <f>FC100/FB100</f>
        <v>#DIV/0!</v>
      </c>
      <c r="FB100" s="277"/>
      <c r="FC100" s="185"/>
      <c r="FD100" s="48"/>
      <c r="FE100" s="179"/>
      <c r="FF100" s="3" t="e">
        <f>FH100/FG100</f>
        <v>#DIV/0!</v>
      </c>
      <c r="FG100" s="277"/>
      <c r="FH100" s="185"/>
      <c r="FI100" s="48"/>
      <c r="FJ100" s="179"/>
      <c r="FK100" s="3" t="e">
        <f>FM100/FL100</f>
        <v>#DIV/0!</v>
      </c>
      <c r="FL100" s="277"/>
      <c r="FM100" s="185"/>
      <c r="FN100" s="48"/>
      <c r="FO100" s="179"/>
      <c r="FP100" s="3" t="e">
        <f>FR100/FQ100</f>
        <v>#DIV/0!</v>
      </c>
      <c r="FQ100" s="277"/>
      <c r="FR100" s="185"/>
      <c r="FS100" s="48"/>
      <c r="FT100" s="179"/>
      <c r="FU100" s="3" t="e">
        <f>FW100/FV100</f>
        <v>#DIV/0!</v>
      </c>
      <c r="FV100" s="277"/>
      <c r="FW100" s="185"/>
      <c r="FX100" s="48"/>
      <c r="FY100" s="179"/>
      <c r="FZ100" s="3" t="e">
        <f>GB100/GA100</f>
        <v>#DIV/0!</v>
      </c>
      <c r="GA100" s="277"/>
      <c r="GB100" s="185"/>
      <c r="GC100" s="48"/>
      <c r="GD100" s="179"/>
      <c r="GE100" s="3" t="e">
        <f>GG100/GF100</f>
        <v>#DIV/0!</v>
      </c>
      <c r="GF100" s="277"/>
      <c r="GG100" s="185"/>
      <c r="GH100" s="48"/>
      <c r="GI100" s="179"/>
      <c r="GJ100" s="285" t="e">
        <f>GL100/GK100</f>
        <v>#DIV/0!</v>
      </c>
      <c r="GK100" s="277"/>
      <c r="GL100" s="185"/>
      <c r="GM100" s="48"/>
      <c r="GN100" s="179"/>
      <c r="GO100" s="3" t="e">
        <f>GQ100/GP100</f>
        <v>#DIV/0!</v>
      </c>
      <c r="GP100" s="277"/>
      <c r="GQ100" s="185"/>
      <c r="GR100" s="48"/>
      <c r="GS100" s="179"/>
      <c r="GT100" s="3" t="e">
        <f>GV100/GU100</f>
        <v>#DIV/0!</v>
      </c>
      <c r="GU100" s="277"/>
      <c r="GV100" s="185"/>
      <c r="GW100" s="48"/>
      <c r="GX100" s="179"/>
      <c r="GY100" s="3" t="e">
        <f>HA100/GZ100</f>
        <v>#DIV/0!</v>
      </c>
      <c r="GZ100" s="277"/>
      <c r="HA100" s="185"/>
      <c r="HB100" s="48"/>
      <c r="HC100" s="179"/>
      <c r="HD100" s="3" t="e">
        <f>HF100/HE100</f>
        <v>#DIV/0!</v>
      </c>
      <c r="HE100" s="277"/>
      <c r="HF100" s="185"/>
      <c r="HG100" s="48"/>
      <c r="HH100" s="179"/>
      <c r="HI100" s="3" t="e">
        <f>HK100/HJ100</f>
        <v>#DIV/0!</v>
      </c>
      <c r="HJ100" s="277"/>
      <c r="HK100" s="185"/>
      <c r="HL100" s="48"/>
      <c r="HM100" s="179"/>
      <c r="HN100" s="3" t="e">
        <f>HP100/HO100</f>
        <v>#DIV/0!</v>
      </c>
      <c r="HO100" s="277"/>
      <c r="HP100" s="185"/>
      <c r="HQ100" s="48"/>
      <c r="HR100" s="179"/>
      <c r="HS100" s="3" t="e">
        <f>HU100/HT100</f>
        <v>#DIV/0!</v>
      </c>
      <c r="HT100" s="277"/>
      <c r="HU100" s="185"/>
      <c r="HV100" s="48"/>
      <c r="HW100" s="179"/>
      <c r="HX100" s="3" t="e">
        <f>HZ100/HY100</f>
        <v>#DIV/0!</v>
      </c>
      <c r="HY100" s="277"/>
      <c r="HZ100" s="185"/>
      <c r="IA100" s="48"/>
      <c r="IB100" s="179"/>
      <c r="IC100" s="3" t="e">
        <f>IE100/ID100</f>
        <v>#DIV/0!</v>
      </c>
      <c r="ID100" s="277"/>
      <c r="IE100" s="185"/>
      <c r="IF100" s="48"/>
      <c r="IG100" s="179"/>
      <c r="IH100" s="3" t="e">
        <f>IJ100/II100</f>
        <v>#DIV/0!</v>
      </c>
      <c r="II100" s="277"/>
      <c r="IJ100" s="185"/>
      <c r="IK100" s="48"/>
      <c r="IL100" s="179"/>
      <c r="IM100" s="3" t="e">
        <f>IO100/IN100</f>
        <v>#DIV/0!</v>
      </c>
      <c r="IN100" s="277"/>
      <c r="IO100" s="185"/>
      <c r="IP100" s="48"/>
      <c r="IQ100" s="179"/>
    </row>
    <row r="101" spans="1:251" s="255" customFormat="1" ht="15" customHeight="1">
      <c r="A101" s="646"/>
      <c r="B101" s="638"/>
      <c r="C101" s="639" t="s">
        <v>455</v>
      </c>
      <c r="D101" s="26"/>
      <c r="E101" s="253"/>
      <c r="F101" s="253"/>
      <c r="G101" s="378"/>
      <c r="H101" s="640"/>
      <c r="I101" s="165"/>
      <c r="J101" s="166"/>
      <c r="K101" s="166"/>
      <c r="L101" s="378"/>
      <c r="M101" s="641"/>
      <c r="N101" s="642"/>
      <c r="O101" s="512"/>
      <c r="P101" s="512"/>
      <c r="Q101" s="378"/>
      <c r="R101" s="641"/>
      <c r="S101" s="643"/>
      <c r="T101" s="512"/>
      <c r="U101" s="512"/>
      <c r="V101" s="378"/>
      <c r="W101" s="641"/>
      <c r="X101" s="642"/>
      <c r="Y101" s="512"/>
      <c r="Z101" s="512"/>
      <c r="AA101" s="378"/>
      <c r="AB101" s="641"/>
      <c r="AC101" s="642"/>
      <c r="AD101" s="512"/>
      <c r="AE101" s="512"/>
      <c r="AF101" s="378"/>
      <c r="AG101" s="641"/>
      <c r="AH101" s="642"/>
      <c r="AI101" s="512"/>
      <c r="AJ101" s="512"/>
      <c r="AK101" s="378"/>
      <c r="AL101" s="641"/>
      <c r="AM101" s="642"/>
      <c r="AN101" s="512"/>
      <c r="AO101" s="512"/>
      <c r="AP101" s="378"/>
      <c r="AQ101" s="641"/>
      <c r="AR101" s="642"/>
      <c r="AS101" s="512"/>
      <c r="AT101" s="512"/>
      <c r="AU101" s="378"/>
      <c r="AV101" s="641"/>
      <c r="AW101" s="642"/>
      <c r="AX101" s="512"/>
      <c r="AY101" s="512"/>
      <c r="AZ101" s="378"/>
      <c r="BA101" s="644"/>
      <c r="BB101" s="645"/>
      <c r="BC101" s="166"/>
      <c r="BD101" s="512"/>
      <c r="BE101" s="378"/>
      <c r="BF101" s="644"/>
      <c r="BG101" s="645"/>
      <c r="BH101" s="166"/>
      <c r="BI101" s="512"/>
      <c r="BJ101" s="378"/>
      <c r="BK101" s="644"/>
      <c r="BL101" s="645"/>
      <c r="BM101" s="166"/>
      <c r="BN101" s="512"/>
      <c r="BO101" s="378"/>
      <c r="BP101" s="644"/>
      <c r="BQ101" s="645"/>
      <c r="BR101" s="166"/>
      <c r="BS101" s="512"/>
      <c r="BT101" s="378"/>
      <c r="BU101" s="644"/>
      <c r="BV101" s="645"/>
      <c r="BW101" s="166"/>
      <c r="BX101" s="623">
        <f>SUM(BV101:BV105)*1.1</f>
        <v>103642.51700000001</v>
      </c>
      <c r="BY101" s="378"/>
      <c r="BZ101" s="644"/>
      <c r="CA101" s="645"/>
      <c r="CB101" s="166"/>
      <c r="CC101" s="512"/>
      <c r="CD101" s="378"/>
      <c r="CE101" s="644"/>
      <c r="CF101" s="645"/>
      <c r="CG101" s="166"/>
      <c r="CH101" s="512"/>
      <c r="CI101" s="378"/>
      <c r="CJ101" s="644"/>
      <c r="CK101" s="645"/>
      <c r="CL101" s="166"/>
      <c r="CM101" s="512"/>
      <c r="CN101" s="378"/>
      <c r="CO101" s="644"/>
      <c r="CP101" s="645"/>
      <c r="CQ101" s="166"/>
      <c r="CR101" s="512"/>
      <c r="CS101" s="378"/>
      <c r="CT101" s="644"/>
      <c r="CU101" s="645"/>
      <c r="CV101" s="166"/>
      <c r="CW101" s="512"/>
      <c r="CX101" s="378"/>
      <c r="CY101" s="644"/>
      <c r="CZ101" s="645"/>
      <c r="DA101" s="166"/>
      <c r="DB101" s="512"/>
      <c r="DC101" s="378"/>
      <c r="DD101" s="644"/>
      <c r="DE101" s="645"/>
      <c r="DF101" s="166"/>
      <c r="DG101" s="512"/>
      <c r="DH101" s="378"/>
      <c r="DI101" s="644"/>
      <c r="DJ101" s="645"/>
      <c r="DK101" s="166"/>
      <c r="DL101" s="512"/>
      <c r="DM101" s="378"/>
      <c r="DN101" s="644"/>
      <c r="DO101" s="645"/>
      <c r="DP101" s="166"/>
      <c r="DQ101" s="512"/>
      <c r="DR101" s="378"/>
      <c r="DS101" s="644"/>
      <c r="DT101" s="645"/>
      <c r="DU101" s="166"/>
      <c r="DV101" s="512"/>
      <c r="DW101" s="378"/>
      <c r="DX101" s="644"/>
      <c r="DY101" s="645"/>
      <c r="DZ101" s="166"/>
      <c r="EA101" s="512"/>
      <c r="EB101" s="378"/>
      <c r="EC101" s="644"/>
      <c r="ED101" s="645"/>
      <c r="EE101" s="166"/>
      <c r="EF101" s="623">
        <f>SUM(ED101:ED105)*1.1</f>
        <v>103642.51700000001</v>
      </c>
      <c r="EG101" s="378"/>
      <c r="EH101" s="644"/>
      <c r="EI101" s="645"/>
      <c r="EJ101" s="166"/>
      <c r="EK101" s="512"/>
      <c r="EL101" s="378"/>
      <c r="EM101" s="644"/>
      <c r="EN101" s="645"/>
      <c r="EO101" s="166"/>
      <c r="EP101" s="512"/>
      <c r="EQ101" s="378"/>
      <c r="ER101" s="644"/>
      <c r="ES101" s="645"/>
      <c r="ET101" s="166"/>
      <c r="EU101" s="512"/>
      <c r="EV101" s="378"/>
      <c r="EW101" s="644"/>
      <c r="EX101" s="645"/>
      <c r="EY101" s="166"/>
      <c r="EZ101" s="512"/>
      <c r="FA101" s="378"/>
      <c r="FB101" s="644"/>
      <c r="FC101" s="645"/>
      <c r="FD101" s="166"/>
      <c r="FE101" s="512"/>
      <c r="FF101" s="378"/>
      <c r="FG101" s="644"/>
      <c r="FH101" s="645"/>
      <c r="FI101" s="166"/>
      <c r="FJ101" s="512"/>
      <c r="FK101" s="378"/>
      <c r="FL101" s="644"/>
      <c r="FM101" s="645"/>
      <c r="FN101" s="166"/>
      <c r="FO101" s="512"/>
      <c r="FP101" s="378"/>
      <c r="FQ101" s="644"/>
      <c r="FR101" s="645"/>
      <c r="FS101" s="166"/>
      <c r="FT101" s="512"/>
      <c r="FU101" s="378"/>
      <c r="FV101" s="644"/>
      <c r="FW101" s="645"/>
      <c r="FX101" s="166"/>
      <c r="FY101" s="512"/>
      <c r="FZ101" s="378"/>
      <c r="GA101" s="644"/>
      <c r="GB101" s="645"/>
      <c r="GC101" s="166"/>
      <c r="GD101" s="512"/>
      <c r="GE101" s="378"/>
      <c r="GF101" s="644"/>
      <c r="GG101" s="645"/>
      <c r="GH101" s="166"/>
      <c r="GI101" s="512"/>
      <c r="GJ101" s="1550"/>
      <c r="GK101" s="644"/>
      <c r="GL101" s="645"/>
      <c r="GM101" s="166"/>
      <c r="GN101" s="623">
        <f>SUM(GL101:GL105)*1.1</f>
        <v>103642.51700000001</v>
      </c>
      <c r="GO101" s="378"/>
      <c r="GP101" s="644"/>
      <c r="GQ101" s="645"/>
      <c r="GR101" s="166"/>
      <c r="GS101" s="512"/>
      <c r="GT101" s="378"/>
      <c r="GU101" s="644"/>
      <c r="GV101" s="645"/>
      <c r="GW101" s="166"/>
      <c r="GX101" s="512"/>
      <c r="GY101" s="378"/>
      <c r="GZ101" s="644"/>
      <c r="HA101" s="645"/>
      <c r="HB101" s="166"/>
      <c r="HC101" s="512"/>
      <c r="HD101" s="378"/>
      <c r="HE101" s="644"/>
      <c r="HF101" s="645"/>
      <c r="HG101" s="166"/>
      <c r="HH101" s="512"/>
      <c r="HI101" s="378"/>
      <c r="HJ101" s="644"/>
      <c r="HK101" s="645"/>
      <c r="HL101" s="166"/>
      <c r="HM101" s="512"/>
      <c r="HN101" s="378"/>
      <c r="HO101" s="644"/>
      <c r="HP101" s="645"/>
      <c r="HQ101" s="166"/>
      <c r="HR101" s="512"/>
      <c r="HS101" s="378"/>
      <c r="HT101" s="644"/>
      <c r="HU101" s="645"/>
      <c r="HV101" s="166"/>
      <c r="HW101" s="512"/>
      <c r="HX101" s="378"/>
      <c r="HY101" s="644"/>
      <c r="HZ101" s="645"/>
      <c r="IA101" s="166"/>
      <c r="IB101" s="512"/>
      <c r="IC101" s="378"/>
      <c r="ID101" s="644"/>
      <c r="IE101" s="645"/>
      <c r="IF101" s="166"/>
      <c r="IG101" s="512"/>
      <c r="IH101" s="378"/>
      <c r="II101" s="644"/>
      <c r="IJ101" s="645"/>
      <c r="IK101" s="166"/>
      <c r="IL101" s="512"/>
      <c r="IM101" s="378"/>
      <c r="IN101" s="644"/>
      <c r="IO101" s="645"/>
      <c r="IP101" s="166"/>
      <c r="IQ101" s="512"/>
    </row>
    <row r="102" spans="1:251" s="577" customFormat="1" ht="15" customHeight="1">
      <c r="A102" s="647"/>
      <c r="B102" s="296" t="s">
        <v>394</v>
      </c>
      <c r="C102" s="215">
        <v>44878589</v>
      </c>
      <c r="D102" s="222" t="s">
        <v>378</v>
      </c>
      <c r="E102" s="568" t="s">
        <v>13</v>
      </c>
      <c r="F102" s="568"/>
      <c r="G102" s="615"/>
      <c r="H102" s="569"/>
      <c r="I102" s="570"/>
      <c r="J102" s="571"/>
      <c r="K102" s="571"/>
      <c r="L102" s="615"/>
      <c r="M102" s="616"/>
      <c r="N102" s="617"/>
      <c r="O102" s="564"/>
      <c r="P102" s="564"/>
      <c r="Q102" s="615"/>
      <c r="R102" s="616"/>
      <c r="S102" s="618"/>
      <c r="T102" s="564"/>
      <c r="U102" s="564"/>
      <c r="V102" s="615"/>
      <c r="W102" s="616"/>
      <c r="X102" s="617"/>
      <c r="Y102" s="564"/>
      <c r="Z102" s="564"/>
      <c r="AA102" s="615"/>
      <c r="AB102" s="616"/>
      <c r="AC102" s="617"/>
      <c r="AD102" s="564"/>
      <c r="AE102" s="564"/>
      <c r="AF102" s="615"/>
      <c r="AG102" s="616"/>
      <c r="AH102" s="617"/>
      <c r="AI102" s="564"/>
      <c r="AJ102" s="564"/>
      <c r="AK102" s="615"/>
      <c r="AL102" s="616"/>
      <c r="AM102" s="617"/>
      <c r="AN102" s="564"/>
      <c r="AO102" s="564"/>
      <c r="AP102" s="615"/>
      <c r="AQ102" s="616"/>
      <c r="AR102" s="617"/>
      <c r="AS102" s="564"/>
      <c r="AT102" s="564"/>
      <c r="AU102" s="615"/>
      <c r="AV102" s="616"/>
      <c r="AW102" s="617"/>
      <c r="AX102" s="564"/>
      <c r="AY102" s="564"/>
      <c r="AZ102" s="615"/>
      <c r="BA102" s="619"/>
      <c r="BB102" s="620"/>
      <c r="BC102" s="571"/>
      <c r="BD102" s="564"/>
      <c r="BE102" s="615"/>
      <c r="BF102" s="619"/>
      <c r="BG102" s="620"/>
      <c r="BH102" s="571"/>
      <c r="BI102" s="564"/>
      <c r="BJ102" s="615"/>
      <c r="BK102" s="619"/>
      <c r="BL102" s="620"/>
      <c r="BM102" s="571"/>
      <c r="BN102" s="564"/>
      <c r="BO102" s="615"/>
      <c r="BP102" s="619"/>
      <c r="BQ102" s="620"/>
      <c r="BR102" s="571"/>
      <c r="BS102" s="564"/>
      <c r="BT102" s="615"/>
      <c r="BU102" s="616">
        <v>11612</v>
      </c>
      <c r="BV102" s="617">
        <v>87955.32</v>
      </c>
      <c r="BW102" s="564"/>
      <c r="BX102" s="627">
        <f>SUM(BV101:BV104)*1</f>
        <v>94220.47</v>
      </c>
      <c r="BY102" s="615">
        <f>CA102/BZ102</f>
        <v>6.6231839075310237</v>
      </c>
      <c r="BZ102" s="666">
        <f>13714+8607</f>
        <v>22321</v>
      </c>
      <c r="CA102" s="546">
        <f>1.2*(75691.95+47504.79)</f>
        <v>147836.08799999999</v>
      </c>
      <c r="CB102" s="571"/>
      <c r="CC102" s="564"/>
      <c r="CD102" s="615"/>
      <c r="CE102" s="669">
        <v>14479</v>
      </c>
      <c r="CF102" s="546">
        <f>1.2*78065.12</f>
        <v>93678.143999999986</v>
      </c>
      <c r="CG102" s="564">
        <v>101610</v>
      </c>
      <c r="CH102" s="564"/>
      <c r="CI102" s="615">
        <f>CK102/CJ102</f>
        <v>6.7323119141946082</v>
      </c>
      <c r="CJ102" s="666">
        <v>10349</v>
      </c>
      <c r="CK102" s="546">
        <f>1.2*58060.58</f>
        <v>69672.695999999996</v>
      </c>
      <c r="CL102" s="564">
        <v>106314.24000000001</v>
      </c>
      <c r="CM102" s="564"/>
      <c r="CN102" s="615"/>
      <c r="CO102" s="669">
        <v>11149</v>
      </c>
      <c r="CP102" s="546">
        <f>1.2*71396.64</f>
        <v>85675.967999999993</v>
      </c>
      <c r="CQ102" s="564">
        <v>110979.36</v>
      </c>
      <c r="CR102" s="564"/>
      <c r="CS102" s="615">
        <f>CU102/CT102</f>
        <v>8.6037360244925729</v>
      </c>
      <c r="CT102" s="723">
        <v>8819</v>
      </c>
      <c r="CU102" s="546">
        <f>1.2*63230.29</f>
        <v>75876.347999999998</v>
      </c>
      <c r="CV102" s="372">
        <v>111065.4</v>
      </c>
      <c r="CW102" s="564"/>
      <c r="CX102" s="615">
        <f>CZ102/CY102</f>
        <v>9.4514518747584066</v>
      </c>
      <c r="CY102" s="669">
        <v>10348</v>
      </c>
      <c r="CZ102" s="546">
        <f>1.2*81503.02</f>
        <v>97803.623999999996</v>
      </c>
      <c r="DA102" s="564" t="s">
        <v>541</v>
      </c>
      <c r="DB102" s="564"/>
      <c r="DC102" s="615">
        <f>DE102/DD102</f>
        <v>9.3506757228798758</v>
      </c>
      <c r="DD102" s="669">
        <v>5153</v>
      </c>
      <c r="DE102" s="546">
        <f>1.2*40153.36</f>
        <v>48184.031999999999</v>
      </c>
      <c r="DF102" s="564">
        <v>99020</v>
      </c>
      <c r="DG102" s="564"/>
      <c r="DH102" s="615">
        <f>DJ102/DI102</f>
        <v>9.4576677333820971</v>
      </c>
      <c r="DI102" s="666">
        <v>10937</v>
      </c>
      <c r="DJ102" s="546">
        <f>1.2*86198.76</f>
        <v>103438.51199999999</v>
      </c>
      <c r="DK102" s="571"/>
      <c r="DL102" s="564"/>
      <c r="DM102" s="615">
        <f>DO102/DN102</f>
        <v>9.5571719698698914</v>
      </c>
      <c r="DN102" s="669">
        <v>21905</v>
      </c>
      <c r="DO102" s="546">
        <f>1.2*174458.21</f>
        <v>209349.85199999998</v>
      </c>
      <c r="DP102" s="564">
        <v>131000</v>
      </c>
      <c r="DQ102" s="564"/>
      <c r="DR102" s="615"/>
      <c r="DS102" s="619"/>
      <c r="DT102" s="620"/>
      <c r="DU102" s="564">
        <v>147322.34</v>
      </c>
      <c r="DV102" s="564"/>
      <c r="DW102" s="615">
        <f>DY102/DX102</f>
        <v>9.8748838471979834</v>
      </c>
      <c r="DX102" s="669">
        <v>15471</v>
      </c>
      <c r="DY102" s="546">
        <f>1.2*127311.94</f>
        <v>152774.32800000001</v>
      </c>
      <c r="DZ102" s="564">
        <v>182879.28</v>
      </c>
      <c r="EA102" s="564"/>
      <c r="EB102" s="615"/>
      <c r="EC102" s="619">
        <v>11612</v>
      </c>
      <c r="ED102" s="620">
        <v>87955.32</v>
      </c>
      <c r="EE102" s="564">
        <v>205158</v>
      </c>
      <c r="EF102" s="627">
        <f>SUM(ED101:ED104)*1</f>
        <v>94220.47</v>
      </c>
      <c r="EG102" s="615">
        <f>EI102/EH102</f>
        <v>10.265243934821967</v>
      </c>
      <c r="EH102" s="669">
        <v>16570</v>
      </c>
      <c r="EI102" s="546">
        <f>1.2*141745.91</f>
        <v>170095.092</v>
      </c>
      <c r="EJ102" s="564">
        <v>109432.08</v>
      </c>
      <c r="EK102" s="564"/>
      <c r="EL102" s="615"/>
      <c r="EM102" s="669">
        <v>15678</v>
      </c>
      <c r="EN102" s="546">
        <f>1.2*124031.32</f>
        <v>148837.584</v>
      </c>
      <c r="EO102" s="571">
        <v>101610</v>
      </c>
      <c r="EP102" s="564"/>
      <c r="EQ102" s="615">
        <f>ES102/ER102</f>
        <v>8.4840360687823289</v>
      </c>
      <c r="ER102" s="669">
        <v>14306</v>
      </c>
      <c r="ES102" s="546">
        <f>1.2*101143.85</f>
        <v>121372.62</v>
      </c>
      <c r="ET102" s="571">
        <v>106314.24000000001</v>
      </c>
      <c r="EU102" s="564"/>
      <c r="EV102" s="615">
        <f>EX102/EW102</f>
        <v>8.7058554533508534</v>
      </c>
      <c r="EW102" s="669">
        <v>6849</v>
      </c>
      <c r="EX102" s="546">
        <f>1.2*49688.67</f>
        <v>59626.403999999995</v>
      </c>
      <c r="EY102" s="571">
        <v>110979.36</v>
      </c>
      <c r="EZ102" s="564"/>
      <c r="FA102" s="615">
        <f>FC102/FB102</f>
        <v>8.6037360244925729</v>
      </c>
      <c r="FB102" s="628">
        <v>8819</v>
      </c>
      <c r="FC102" s="620">
        <f>1.2*63230.29</f>
        <v>75876.347999999998</v>
      </c>
      <c r="FD102" s="509">
        <v>111065.4</v>
      </c>
      <c r="FE102" s="564"/>
      <c r="FF102" s="615">
        <f>FH102/FG102</f>
        <v>9.4514518747584066</v>
      </c>
      <c r="FG102" s="1450">
        <v>10348</v>
      </c>
      <c r="FH102" s="620">
        <f>1.2*81503.02</f>
        <v>97803.623999999996</v>
      </c>
      <c r="FI102" s="571" t="s">
        <v>541</v>
      </c>
      <c r="FJ102" s="564"/>
      <c r="FK102" s="615">
        <f>FM102/FL102</f>
        <v>9.4873801931987742</v>
      </c>
      <c r="FL102" s="669">
        <v>12733</v>
      </c>
      <c r="FM102" s="546">
        <f>1.2*100669.01</f>
        <v>120802.81199999999</v>
      </c>
      <c r="FN102" s="564">
        <v>141019.91999999998</v>
      </c>
      <c r="FO102" s="564"/>
      <c r="FP102" s="615">
        <f>FR102/FQ102</f>
        <v>8.9276761585706303</v>
      </c>
      <c r="FQ102" s="666">
        <v>10746</v>
      </c>
      <c r="FR102" s="546">
        <f>1.2*79947.34</f>
        <v>95936.80799999999</v>
      </c>
      <c r="FS102" s="564">
        <v>121987.19999999998</v>
      </c>
      <c r="FT102" s="564"/>
      <c r="FU102" s="615">
        <f>FW102/FV102</f>
        <v>11.073768147345612</v>
      </c>
      <c r="FV102" s="669">
        <v>13845</v>
      </c>
      <c r="FW102" s="546">
        <f>1.2*127763.6</f>
        <v>153316.32</v>
      </c>
      <c r="FX102" s="571">
        <v>131000</v>
      </c>
      <c r="FY102" s="564"/>
      <c r="FZ102" s="615">
        <f>GB102/GA102</f>
        <v>11.60829625696841</v>
      </c>
      <c r="GA102" s="669">
        <v>11301</v>
      </c>
      <c r="GB102" s="546">
        <f>1.2*109321.13</f>
        <v>131185.356</v>
      </c>
      <c r="GC102" s="571">
        <v>147322.34</v>
      </c>
      <c r="GD102" s="564"/>
      <c r="GE102" s="615"/>
      <c r="GF102" s="669">
        <v>9415</v>
      </c>
      <c r="GG102" s="546">
        <f>1.2*91981.07</f>
        <v>110377.284</v>
      </c>
      <c r="GH102" s="571"/>
      <c r="GI102" s="564"/>
      <c r="GJ102" s="1554"/>
      <c r="GK102" s="619">
        <v>11612</v>
      </c>
      <c r="GL102" s="620">
        <v>87955.32</v>
      </c>
      <c r="GM102" s="571">
        <v>205158</v>
      </c>
      <c r="GN102" s="627">
        <f>SUM(GL101:GL104)*1</f>
        <v>94220.47</v>
      </c>
      <c r="GO102" s="615">
        <f>GQ102/GP102</f>
        <v>15.532103554190433</v>
      </c>
      <c r="GP102" s="669">
        <v>6837</v>
      </c>
      <c r="GQ102" s="546">
        <f>1.2*88494.16</f>
        <v>106192.992</v>
      </c>
      <c r="GR102" s="571">
        <v>109432.08</v>
      </c>
      <c r="GS102" s="564"/>
      <c r="GT102" s="615"/>
      <c r="GU102" s="669">
        <v>12042</v>
      </c>
      <c r="GV102" s="546">
        <f>1.2*124799.43</f>
        <v>149759.31599999999</v>
      </c>
      <c r="GW102" s="571">
        <v>101610</v>
      </c>
      <c r="GX102" s="564"/>
      <c r="GY102" s="615">
        <f>HA102/GZ102</f>
        <v>8.4840360687823289</v>
      </c>
      <c r="GZ102" s="1450">
        <v>14306</v>
      </c>
      <c r="HA102" s="620">
        <f>1.2*101143.85</f>
        <v>121372.62</v>
      </c>
      <c r="HB102" s="571">
        <v>106314.24000000001</v>
      </c>
      <c r="HC102" s="564"/>
      <c r="HD102" s="615">
        <f>HF102/HE102</f>
        <v>8.7058554533508534</v>
      </c>
      <c r="HE102" s="1450">
        <v>6849</v>
      </c>
      <c r="HF102" s="620">
        <f>1.2*49688.67</f>
        <v>59626.403999999995</v>
      </c>
      <c r="HG102" s="571">
        <v>110979.36</v>
      </c>
      <c r="HH102" s="564"/>
      <c r="HI102" s="615">
        <f>HK102/HJ102</f>
        <v>8.6037360244925729</v>
      </c>
      <c r="HJ102" s="628">
        <v>8819</v>
      </c>
      <c r="HK102" s="620">
        <f>1.2*63230.29</f>
        <v>75876.347999999998</v>
      </c>
      <c r="HL102" s="509">
        <v>111065.4</v>
      </c>
      <c r="HM102" s="564"/>
      <c r="HN102" s="615">
        <f>HP102/HO102</f>
        <v>9.4514518747584066</v>
      </c>
      <c r="HO102" s="1450">
        <v>10348</v>
      </c>
      <c r="HP102" s="620">
        <f>1.2*81503.02</f>
        <v>97803.623999999996</v>
      </c>
      <c r="HQ102" s="571" t="s">
        <v>541</v>
      </c>
      <c r="HR102" s="564"/>
      <c r="HS102" s="615">
        <f>HU102/HT102</f>
        <v>9.4873801931987742</v>
      </c>
      <c r="HT102" s="1450">
        <v>12733</v>
      </c>
      <c r="HU102" s="620">
        <f>1.2*100669.01</f>
        <v>120802.81199999999</v>
      </c>
      <c r="HV102" s="571">
        <v>141019.91999999998</v>
      </c>
      <c r="HW102" s="564"/>
      <c r="HX102" s="615">
        <f>HZ102/HY102</f>
        <v>8.9276761585706303</v>
      </c>
      <c r="HY102" s="619">
        <v>10746</v>
      </c>
      <c r="HZ102" s="620">
        <f>1.2*79947.34</f>
        <v>95936.80799999999</v>
      </c>
      <c r="IA102" s="571">
        <v>121987.19999999998</v>
      </c>
      <c r="IB102" s="564"/>
      <c r="IC102" s="615">
        <f>IE102/ID102</f>
        <v>11.073768147345612</v>
      </c>
      <c r="ID102" s="1450">
        <v>13845</v>
      </c>
      <c r="IE102" s="620">
        <f>1.2*127763.6</f>
        <v>153316.32</v>
      </c>
      <c r="IF102" s="571">
        <v>131000</v>
      </c>
      <c r="IG102" s="564"/>
      <c r="IH102" s="615"/>
      <c r="II102" s="619"/>
      <c r="IJ102" s="620"/>
      <c r="IK102" s="571">
        <v>147322.34</v>
      </c>
      <c r="IL102" s="564"/>
      <c r="IM102" s="615"/>
      <c r="IN102" s="619"/>
      <c r="IO102" s="620"/>
      <c r="IP102" s="571"/>
      <c r="IQ102" s="564"/>
    </row>
    <row r="103" spans="1:251" s="577" customFormat="1" ht="15" customHeight="1">
      <c r="A103" s="647"/>
      <c r="B103" s="296"/>
      <c r="C103" s="614">
        <v>2511003137</v>
      </c>
      <c r="D103" s="778" t="s">
        <v>555</v>
      </c>
      <c r="E103" s="231" t="s">
        <v>11</v>
      </c>
      <c r="F103" s="568"/>
      <c r="G103" s="615"/>
      <c r="H103" s="569"/>
      <c r="I103" s="570"/>
      <c r="J103" s="571"/>
      <c r="K103" s="571"/>
      <c r="L103" s="615"/>
      <c r="M103" s="616"/>
      <c r="N103" s="617"/>
      <c r="O103" s="564"/>
      <c r="P103" s="564"/>
      <c r="Q103" s="615"/>
      <c r="R103" s="616"/>
      <c r="S103" s="618"/>
      <c r="T103" s="564"/>
      <c r="U103" s="564"/>
      <c r="V103" s="615"/>
      <c r="W103" s="616"/>
      <c r="X103" s="617"/>
      <c r="Y103" s="564"/>
      <c r="Z103" s="564"/>
      <c r="AA103" s="615"/>
      <c r="AB103" s="616"/>
      <c r="AC103" s="617"/>
      <c r="AD103" s="564"/>
      <c r="AE103" s="564"/>
      <c r="AF103" s="615"/>
      <c r="AG103" s="616"/>
      <c r="AH103" s="617"/>
      <c r="AI103" s="564"/>
      <c r="AJ103" s="564"/>
      <c r="AK103" s="615"/>
      <c r="AL103" s="616"/>
      <c r="AM103" s="617"/>
      <c r="AN103" s="564"/>
      <c r="AO103" s="564"/>
      <c r="AP103" s="615"/>
      <c r="AQ103" s="616"/>
      <c r="AR103" s="617"/>
      <c r="AS103" s="564"/>
      <c r="AT103" s="564"/>
      <c r="AU103" s="615"/>
      <c r="AV103" s="616"/>
      <c r="AW103" s="617"/>
      <c r="AX103" s="564"/>
      <c r="AY103" s="564"/>
      <c r="AZ103" s="615"/>
      <c r="BA103" s="619"/>
      <c r="BB103" s="620"/>
      <c r="BC103" s="571"/>
      <c r="BD103" s="564"/>
      <c r="BE103" s="615"/>
      <c r="BF103" s="619"/>
      <c r="BG103" s="620"/>
      <c r="BH103" s="571"/>
      <c r="BI103" s="564"/>
      <c r="BJ103" s="615"/>
      <c r="BK103" s="619"/>
      <c r="BL103" s="620"/>
      <c r="BM103" s="571"/>
      <c r="BN103" s="564"/>
      <c r="BO103" s="615"/>
      <c r="BP103" s="619"/>
      <c r="BQ103" s="620"/>
      <c r="BR103" s="571"/>
      <c r="BS103" s="564"/>
      <c r="BT103" s="615"/>
      <c r="BU103" s="616">
        <v>1</v>
      </c>
      <c r="BV103" s="372">
        <v>6265.15</v>
      </c>
      <c r="BW103" s="571"/>
      <c r="BX103" s="564"/>
      <c r="BY103" s="615"/>
      <c r="BZ103" s="616">
        <v>1</v>
      </c>
      <c r="CA103" s="372">
        <v>9016.98</v>
      </c>
      <c r="CB103" s="571"/>
      <c r="CC103" s="564"/>
      <c r="CD103" s="615"/>
      <c r="CE103" s="616">
        <v>1</v>
      </c>
      <c r="CF103" s="617">
        <f>8122.39+9016.98+6265.15</f>
        <v>23404.519999999997</v>
      </c>
      <c r="CG103" s="564"/>
      <c r="CH103" s="564"/>
      <c r="CI103" s="615"/>
      <c r="CJ103" s="616">
        <v>1</v>
      </c>
      <c r="CK103" s="712">
        <v>7866.32</v>
      </c>
      <c r="CL103" s="564"/>
      <c r="CM103" s="564"/>
      <c r="CN103" s="615"/>
      <c r="CO103" s="616">
        <v>1</v>
      </c>
      <c r="CP103" s="617">
        <v>7344.6</v>
      </c>
      <c r="CQ103" s="564"/>
      <c r="CR103" s="564"/>
      <c r="CS103" s="615"/>
      <c r="CT103" s="616"/>
      <c r="CU103" s="617">
        <v>8233.3799999999992</v>
      </c>
      <c r="CV103" s="564"/>
      <c r="CW103" s="564"/>
      <c r="CX103" s="615"/>
      <c r="CY103" s="619"/>
      <c r="CZ103" s="620"/>
      <c r="DA103" s="571"/>
      <c r="DB103" s="564"/>
      <c r="DC103" s="615"/>
      <c r="DD103" s="619"/>
      <c r="DE103" s="620"/>
      <c r="DF103" s="571"/>
      <c r="DG103" s="564"/>
      <c r="DH103" s="615"/>
      <c r="DI103" s="616">
        <v>410.4</v>
      </c>
      <c r="DJ103" s="617">
        <v>6394.04</v>
      </c>
      <c r="DK103" s="564"/>
      <c r="DL103" s="564"/>
      <c r="DM103" s="615"/>
      <c r="DN103" s="619"/>
      <c r="DO103" s="620"/>
      <c r="DP103" s="571"/>
      <c r="DQ103" s="564"/>
      <c r="DR103" s="615"/>
      <c r="DS103" s="616"/>
      <c r="DT103" s="617">
        <v>6394.04</v>
      </c>
      <c r="DU103" s="564"/>
      <c r="DV103" s="564"/>
      <c r="DW103" s="615"/>
      <c r="DX103" s="616">
        <v>1</v>
      </c>
      <c r="DY103" s="617">
        <v>6394.04</v>
      </c>
      <c r="DZ103" s="564"/>
      <c r="EA103" s="564"/>
      <c r="EB103" s="615"/>
      <c r="EC103" s="619">
        <v>1</v>
      </c>
      <c r="ED103" s="509">
        <v>6265.15</v>
      </c>
      <c r="EE103" s="571"/>
      <c r="EF103" s="564"/>
      <c r="EG103" s="615"/>
      <c r="EH103" s="619">
        <v>1</v>
      </c>
      <c r="EI103" s="509">
        <v>9016.98</v>
      </c>
      <c r="EJ103" s="571"/>
      <c r="EK103" s="564"/>
      <c r="EL103" s="615"/>
      <c r="EM103" s="619">
        <v>1</v>
      </c>
      <c r="EN103" s="620">
        <f>8122.39+9016.98+6265.15</f>
        <v>23404.519999999997</v>
      </c>
      <c r="EO103" s="571"/>
      <c r="EP103" s="564"/>
      <c r="EQ103" s="615"/>
      <c r="ER103" s="619">
        <v>1</v>
      </c>
      <c r="ES103" s="1451">
        <v>7866.32</v>
      </c>
      <c r="ET103" s="571"/>
      <c r="EU103" s="564"/>
      <c r="EV103" s="615"/>
      <c r="EW103" s="619">
        <v>1</v>
      </c>
      <c r="EX103" s="620">
        <v>7344.6</v>
      </c>
      <c r="EY103" s="571"/>
      <c r="EZ103" s="564"/>
      <c r="FA103" s="615"/>
      <c r="FB103" s="619"/>
      <c r="FC103" s="620">
        <v>8233.3799999999992</v>
      </c>
      <c r="FD103" s="571"/>
      <c r="FE103" s="564"/>
      <c r="FF103" s="615"/>
      <c r="FG103" s="619"/>
      <c r="FH103" s="620"/>
      <c r="FI103" s="571"/>
      <c r="FJ103" s="564"/>
      <c r="FK103" s="615"/>
      <c r="FL103" s="619"/>
      <c r="FM103" s="620"/>
      <c r="FN103" s="571"/>
      <c r="FO103" s="564"/>
      <c r="FP103" s="615"/>
      <c r="FQ103" s="616">
        <v>410.4</v>
      </c>
      <c r="FR103" s="617">
        <v>6935.44</v>
      </c>
      <c r="FS103" s="564"/>
      <c r="FT103" s="564"/>
      <c r="FU103" s="615"/>
      <c r="FV103" s="619"/>
      <c r="FW103" s="620"/>
      <c r="FX103" s="571"/>
      <c r="FY103" s="564"/>
      <c r="FZ103" s="615"/>
      <c r="GA103" s="619"/>
      <c r="GB103" s="620"/>
      <c r="GC103" s="571"/>
      <c r="GD103" s="564"/>
      <c r="GE103" s="615"/>
      <c r="GF103" s="616"/>
      <c r="GG103" s="1921">
        <v>7519.94</v>
      </c>
      <c r="GH103" s="564"/>
      <c r="GI103" s="564"/>
      <c r="GJ103" s="1554"/>
      <c r="GK103" s="619">
        <v>1</v>
      </c>
      <c r="GL103" s="509">
        <v>6265.15</v>
      </c>
      <c r="GM103" s="571"/>
      <c r="GN103" s="564"/>
      <c r="GO103" s="615"/>
      <c r="GP103" s="619">
        <v>1</v>
      </c>
      <c r="GQ103" s="509">
        <v>9016.98</v>
      </c>
      <c r="GR103" s="571"/>
      <c r="GS103" s="564"/>
      <c r="GT103" s="615"/>
      <c r="GU103" s="619">
        <v>1</v>
      </c>
      <c r="GV103" s="620">
        <f>8122.39+9016.98+6265.15</f>
        <v>23404.519999999997</v>
      </c>
      <c r="GW103" s="571"/>
      <c r="GX103" s="564"/>
      <c r="GY103" s="615"/>
      <c r="GZ103" s="619">
        <v>1</v>
      </c>
      <c r="HA103" s="1451">
        <v>7866.32</v>
      </c>
      <c r="HB103" s="571"/>
      <c r="HC103" s="564"/>
      <c r="HD103" s="615"/>
      <c r="HE103" s="619">
        <v>1</v>
      </c>
      <c r="HF103" s="620">
        <v>7344.6</v>
      </c>
      <c r="HG103" s="571"/>
      <c r="HH103" s="564"/>
      <c r="HI103" s="615"/>
      <c r="HJ103" s="619"/>
      <c r="HK103" s="620">
        <v>8233.3799999999992</v>
      </c>
      <c r="HL103" s="571"/>
      <c r="HM103" s="564"/>
      <c r="HN103" s="615"/>
      <c r="HO103" s="619"/>
      <c r="HP103" s="620"/>
      <c r="HQ103" s="571"/>
      <c r="HR103" s="564"/>
      <c r="HS103" s="615"/>
      <c r="HT103" s="619"/>
      <c r="HU103" s="620"/>
      <c r="HV103" s="571"/>
      <c r="HW103" s="564"/>
      <c r="HX103" s="615"/>
      <c r="HY103" s="619">
        <v>410.4</v>
      </c>
      <c r="HZ103" s="620">
        <v>6935.44</v>
      </c>
      <c r="IA103" s="571"/>
      <c r="IB103" s="564"/>
      <c r="IC103" s="615"/>
      <c r="ID103" s="619"/>
      <c r="IE103" s="620"/>
      <c r="IF103" s="571"/>
      <c r="IG103" s="564"/>
      <c r="IH103" s="615"/>
      <c r="II103" s="619"/>
      <c r="IJ103" s="620"/>
      <c r="IK103" s="571"/>
      <c r="IL103" s="564"/>
      <c r="IM103" s="615"/>
      <c r="IN103" s="619"/>
      <c r="IO103" s="620"/>
      <c r="IP103" s="571"/>
      <c r="IQ103" s="564"/>
    </row>
    <row r="104" spans="1:251" s="264" customFormat="1" ht="15" customHeight="1" thickBot="1">
      <c r="A104" s="648"/>
      <c r="B104" s="297"/>
      <c r="C104" s="298">
        <v>2511003137</v>
      </c>
      <c r="D104" s="777" t="s">
        <v>555</v>
      </c>
      <c r="E104" s="259" t="s">
        <v>17</v>
      </c>
      <c r="F104" s="259"/>
      <c r="G104" s="3"/>
      <c r="H104" s="169"/>
      <c r="I104" s="177"/>
      <c r="J104" s="48"/>
      <c r="K104" s="48"/>
      <c r="L104" s="3"/>
      <c r="M104" s="180"/>
      <c r="N104" s="183"/>
      <c r="O104" s="179"/>
      <c r="P104" s="179"/>
      <c r="Q104" s="3"/>
      <c r="R104" s="180"/>
      <c r="S104" s="362"/>
      <c r="T104" s="179"/>
      <c r="U104" s="179"/>
      <c r="V104" s="3"/>
      <c r="W104" s="180"/>
      <c r="X104" s="183"/>
      <c r="Y104" s="179"/>
      <c r="Z104" s="179"/>
      <c r="AA104" s="3"/>
      <c r="AB104" s="180"/>
      <c r="AC104" s="183"/>
      <c r="AD104" s="179"/>
      <c r="AE104" s="179"/>
      <c r="AF104" s="3"/>
      <c r="AG104" s="180"/>
      <c r="AH104" s="183"/>
      <c r="AI104" s="179"/>
      <c r="AJ104" s="179"/>
      <c r="AK104" s="3"/>
      <c r="AL104" s="180"/>
      <c r="AM104" s="183"/>
      <c r="AN104" s="179"/>
      <c r="AO104" s="179"/>
      <c r="AP104" s="3"/>
      <c r="AQ104" s="180"/>
      <c r="AR104" s="183"/>
      <c r="AS104" s="179"/>
      <c r="AT104" s="179"/>
      <c r="AU104" s="3"/>
      <c r="AV104" s="180"/>
      <c r="AW104" s="183"/>
      <c r="AX104" s="179"/>
      <c r="AY104" s="179"/>
      <c r="AZ104" s="3"/>
      <c r="BA104" s="277"/>
      <c r="BB104" s="185"/>
      <c r="BC104" s="48"/>
      <c r="BD104" s="179"/>
      <c r="BE104" s="3"/>
      <c r="BF104" s="277"/>
      <c r="BG104" s="185"/>
      <c r="BH104" s="48"/>
      <c r="BI104" s="179"/>
      <c r="BJ104" s="3"/>
      <c r="BK104" s="277"/>
      <c r="BL104" s="185"/>
      <c r="BM104" s="48"/>
      <c r="BN104" s="179"/>
      <c r="BO104" s="3"/>
      <c r="BP104" s="277"/>
      <c r="BQ104" s="185"/>
      <c r="BR104" s="48"/>
      <c r="BS104" s="179"/>
      <c r="BT104" s="3"/>
      <c r="BU104" s="277"/>
      <c r="BV104" s="185"/>
      <c r="BW104" s="48"/>
      <c r="BX104" s="564"/>
      <c r="BY104" s="3"/>
      <c r="BZ104" s="277"/>
      <c r="CA104" s="185"/>
      <c r="CB104" s="48"/>
      <c r="CC104" s="179"/>
      <c r="CD104" s="3"/>
      <c r="CE104" s="277"/>
      <c r="CF104" s="185"/>
      <c r="CG104" s="48"/>
      <c r="CH104" s="179"/>
      <c r="CI104" s="3"/>
      <c r="CJ104" s="277"/>
      <c r="CK104" s="185"/>
      <c r="CL104" s="48"/>
      <c r="CM104" s="179"/>
      <c r="CN104" s="3"/>
      <c r="CO104" s="277"/>
      <c r="CP104" s="185"/>
      <c r="CQ104" s="48"/>
      <c r="CR104" s="179"/>
      <c r="CS104" s="3"/>
      <c r="CT104" s="277"/>
      <c r="CU104" s="185"/>
      <c r="CV104" s="48"/>
      <c r="CW104" s="179"/>
      <c r="CX104" s="3"/>
      <c r="CY104" s="277"/>
      <c r="CZ104" s="185"/>
      <c r="DA104" s="48"/>
      <c r="DB104" s="179"/>
      <c r="DC104" s="3"/>
      <c r="DD104" s="277"/>
      <c r="DE104" s="185"/>
      <c r="DF104" s="48"/>
      <c r="DG104" s="179"/>
      <c r="DH104" s="3"/>
      <c r="DI104" s="180">
        <v>10</v>
      </c>
      <c r="DJ104" s="183">
        <v>607.52</v>
      </c>
      <c r="DK104" s="179"/>
      <c r="DL104" s="179"/>
      <c r="DM104" s="3"/>
      <c r="DN104" s="277"/>
      <c r="DO104" s="185"/>
      <c r="DP104" s="48"/>
      <c r="DQ104" s="179"/>
      <c r="DR104" s="3"/>
      <c r="DS104" s="180">
        <v>10</v>
      </c>
      <c r="DT104" s="183">
        <v>1053.92</v>
      </c>
      <c r="DU104" s="179"/>
      <c r="DV104" s="179"/>
      <c r="DW104" s="3"/>
      <c r="DX104" s="180">
        <v>8</v>
      </c>
      <c r="DY104" s="183">
        <v>290.35000000000002</v>
      </c>
      <c r="DZ104" s="179"/>
      <c r="EA104" s="179"/>
      <c r="EB104" s="3"/>
      <c r="EC104" s="277"/>
      <c r="ED104" s="185"/>
      <c r="EE104" s="48"/>
      <c r="EF104" s="564"/>
      <c r="EG104" s="3"/>
      <c r="EH104" s="277"/>
      <c r="EI104" s="185"/>
      <c r="EJ104" s="48"/>
      <c r="EK104" s="179"/>
      <c r="EL104" s="3"/>
      <c r="EM104" s="277"/>
      <c r="EN104" s="185"/>
      <c r="EO104" s="48"/>
      <c r="EP104" s="179"/>
      <c r="EQ104" s="3"/>
      <c r="ER104" s="277"/>
      <c r="ES104" s="185"/>
      <c r="ET104" s="48"/>
      <c r="EU104" s="179"/>
      <c r="EV104" s="3"/>
      <c r="EW104" s="277"/>
      <c r="EX104" s="185"/>
      <c r="EY104" s="48"/>
      <c r="EZ104" s="179"/>
      <c r="FA104" s="3"/>
      <c r="FB104" s="277"/>
      <c r="FC104" s="185"/>
      <c r="FD104" s="48"/>
      <c r="FE104" s="179"/>
      <c r="FF104" s="3"/>
      <c r="FG104" s="277"/>
      <c r="FH104" s="185"/>
      <c r="FI104" s="48"/>
      <c r="FJ104" s="179"/>
      <c r="FK104" s="3"/>
      <c r="FL104" s="277"/>
      <c r="FM104" s="185"/>
      <c r="FN104" s="48"/>
      <c r="FO104" s="179"/>
      <c r="FP104" s="3"/>
      <c r="FQ104" s="180">
        <v>7</v>
      </c>
      <c r="FR104" s="183">
        <v>527.04</v>
      </c>
      <c r="FS104" s="179"/>
      <c r="FT104" s="179"/>
      <c r="FU104" s="3"/>
      <c r="FV104" s="277"/>
      <c r="FW104" s="185"/>
      <c r="FX104" s="48"/>
      <c r="FY104" s="179"/>
      <c r="FZ104" s="3"/>
      <c r="GA104" s="277"/>
      <c r="GB104" s="185"/>
      <c r="GC104" s="48"/>
      <c r="GD104" s="179"/>
      <c r="GE104" s="3"/>
      <c r="GF104" s="180">
        <v>9</v>
      </c>
      <c r="GG104" s="1922"/>
      <c r="GH104" s="179"/>
      <c r="GI104" s="179"/>
      <c r="GJ104" s="285"/>
      <c r="GK104" s="277"/>
      <c r="GL104" s="185"/>
      <c r="GM104" s="48"/>
      <c r="GN104" s="564"/>
      <c r="GO104" s="3"/>
      <c r="GP104" s="277"/>
      <c r="GQ104" s="185"/>
      <c r="GR104" s="48"/>
      <c r="GS104" s="179"/>
      <c r="GT104" s="3"/>
      <c r="GU104" s="277"/>
      <c r="GV104" s="185"/>
      <c r="GW104" s="48"/>
      <c r="GX104" s="179"/>
      <c r="GY104" s="3"/>
      <c r="GZ104" s="277"/>
      <c r="HA104" s="185"/>
      <c r="HB104" s="48"/>
      <c r="HC104" s="179"/>
      <c r="HD104" s="3"/>
      <c r="HE104" s="277"/>
      <c r="HF104" s="185"/>
      <c r="HG104" s="48"/>
      <c r="HH104" s="179"/>
      <c r="HI104" s="3"/>
      <c r="HJ104" s="277"/>
      <c r="HK104" s="185"/>
      <c r="HL104" s="48"/>
      <c r="HM104" s="179"/>
      <c r="HN104" s="3"/>
      <c r="HO104" s="277"/>
      <c r="HP104" s="185"/>
      <c r="HQ104" s="48"/>
      <c r="HR104" s="179"/>
      <c r="HS104" s="3"/>
      <c r="HT104" s="277"/>
      <c r="HU104" s="185"/>
      <c r="HV104" s="48"/>
      <c r="HW104" s="179"/>
      <c r="HX104" s="3"/>
      <c r="HY104" s="277">
        <v>7</v>
      </c>
      <c r="HZ104" s="185">
        <v>527.04</v>
      </c>
      <c r="IA104" s="48"/>
      <c r="IB104" s="179"/>
      <c r="IC104" s="3"/>
      <c r="ID104" s="277"/>
      <c r="IE104" s="185"/>
      <c r="IF104" s="48"/>
      <c r="IG104" s="179"/>
      <c r="IH104" s="3"/>
      <c r="II104" s="277"/>
      <c r="IJ104" s="185"/>
      <c r="IK104" s="48"/>
      <c r="IL104" s="179"/>
      <c r="IM104" s="3"/>
      <c r="IN104" s="277"/>
      <c r="IO104" s="185"/>
      <c r="IP104" s="48"/>
      <c r="IQ104" s="179"/>
    </row>
    <row r="105" spans="1:251" s="249" customFormat="1" ht="15" customHeight="1">
      <c r="A105" s="649"/>
      <c r="B105" s="265" t="s">
        <v>308</v>
      </c>
      <c r="C105" s="5" t="s">
        <v>60</v>
      </c>
      <c r="D105" s="6" t="s">
        <v>19</v>
      </c>
      <c r="E105" s="7" t="s">
        <v>10</v>
      </c>
      <c r="F105" s="4"/>
      <c r="G105" s="196"/>
      <c r="H105" s="197"/>
      <c r="I105" s="197"/>
      <c r="J105" s="38"/>
      <c r="K105" s="206"/>
      <c r="L105" s="196"/>
      <c r="M105" s="197"/>
      <c r="N105" s="197"/>
      <c r="O105" s="38"/>
      <c r="P105" s="206"/>
      <c r="Q105" s="196"/>
      <c r="R105" s="197"/>
      <c r="S105" s="197"/>
      <c r="T105" s="38"/>
      <c r="U105" s="206"/>
      <c r="V105" s="207"/>
      <c r="W105" s="197"/>
      <c r="X105" s="204">
        <v>1990</v>
      </c>
      <c r="Y105" s="38"/>
      <c r="Z105" s="384">
        <f>SUM(X105:X108)*1.1</f>
        <v>115984.00000000001</v>
      </c>
      <c r="AA105" s="36"/>
      <c r="AB105" s="197"/>
      <c r="AC105" s="204">
        <v>1769</v>
      </c>
      <c r="AD105" s="38"/>
      <c r="AE105" s="384">
        <f>SUM(AC105:AC108)*1.1</f>
        <v>99605.000000000015</v>
      </c>
      <c r="AF105" s="36"/>
      <c r="AG105" s="197"/>
      <c r="AH105" s="204">
        <v>1990</v>
      </c>
      <c r="AI105" s="38"/>
      <c r="AJ105" s="384">
        <f>AJ106*1.1</f>
        <v>109983.50000000001</v>
      </c>
      <c r="AK105" s="36"/>
      <c r="AL105" s="197"/>
      <c r="AM105" s="204">
        <v>1990</v>
      </c>
      <c r="AN105" s="38"/>
      <c r="AO105" s="384">
        <f>AO106*1.2</f>
        <v>144234.6</v>
      </c>
      <c r="AP105" s="36"/>
      <c r="AQ105" s="197"/>
      <c r="AR105" s="204">
        <v>1990</v>
      </c>
      <c r="AS105" s="38"/>
      <c r="AT105" s="384">
        <f>SUM(AR105:AR108)*1.1</f>
        <v>133791.68000000002</v>
      </c>
      <c r="AU105" s="36"/>
      <c r="AV105" s="197"/>
      <c r="AW105" s="197"/>
      <c r="AX105" s="38"/>
      <c r="AY105" s="384">
        <f>SUM(AW105:AW108)*1.1</f>
        <v>168974.663</v>
      </c>
      <c r="AZ105" s="36"/>
      <c r="BA105" s="197"/>
      <c r="BB105" s="197"/>
      <c r="BC105" s="38"/>
      <c r="BD105" s="384">
        <f>SUM(BB105:BB108)*1.1</f>
        <v>152255.51</v>
      </c>
      <c r="BE105" s="36"/>
      <c r="BF105" s="197"/>
      <c r="BG105" s="197"/>
      <c r="BH105" s="38"/>
      <c r="BI105" s="384">
        <f>SUM(BG105:BG108)*1.1</f>
        <v>139715.40000000002</v>
      </c>
      <c r="BJ105" s="36"/>
      <c r="BK105" s="197"/>
      <c r="BL105" s="197"/>
      <c r="BM105" s="38"/>
      <c r="BN105" s="384">
        <f>SUM(BL105:BL108)*1.1</f>
        <v>144445.84</v>
      </c>
      <c r="BO105" s="36"/>
      <c r="BP105" s="197"/>
      <c r="BQ105" s="197"/>
      <c r="BR105" s="38"/>
      <c r="BS105" s="384">
        <f>SUM(BQ105:BQ108)*1.1</f>
        <v>142052.152</v>
      </c>
      <c r="BT105" s="36"/>
      <c r="BU105" s="197"/>
      <c r="BV105" s="197"/>
      <c r="BW105" s="38"/>
      <c r="BX105" s="384">
        <f>SUM(BV105:BV108)*1.1</f>
        <v>139384.51999999999</v>
      </c>
      <c r="BY105" s="36"/>
      <c r="BZ105" s="197"/>
      <c r="CA105" s="197"/>
      <c r="CB105" s="38"/>
      <c r="CC105" s="384">
        <f>SUM(CA105:CA108)*1.1</f>
        <v>119424.03</v>
      </c>
      <c r="CD105" s="36"/>
      <c r="CE105" s="197"/>
      <c r="CF105" s="197"/>
      <c r="CG105" s="38"/>
      <c r="CH105" s="384">
        <f>SUM(CF105:CF108)*1.1</f>
        <v>110915.20000000001</v>
      </c>
      <c r="CI105" s="36"/>
      <c r="CJ105" s="197"/>
      <c r="CK105" s="197"/>
      <c r="CL105" s="38"/>
      <c r="CM105" s="384">
        <f>SUM(CK105:CK108)*1.1</f>
        <v>112823.44700000001</v>
      </c>
      <c r="CN105" s="36"/>
      <c r="CO105" s="197"/>
      <c r="CP105" s="197"/>
      <c r="CQ105" s="38"/>
      <c r="CR105" s="384">
        <f>SUM(CP105:CP108)*1.1</f>
        <v>68658.260000000009</v>
      </c>
      <c r="CS105" s="36"/>
      <c r="CT105" s="197"/>
      <c r="CU105" s="197"/>
      <c r="CV105" s="38"/>
      <c r="CW105" s="384">
        <f>SUM(CU105:CU108)*1.1</f>
        <v>141641.17000000001</v>
      </c>
      <c r="CX105" s="36"/>
      <c r="CY105" s="197"/>
      <c r="CZ105" s="197"/>
      <c r="DA105" s="38"/>
      <c r="DB105" s="384">
        <f>SUM(CZ105:CZ108)*1.1</f>
        <v>149356.90000000002</v>
      </c>
      <c r="DC105" s="36"/>
      <c r="DD105" s="197"/>
      <c r="DE105" s="197"/>
      <c r="DF105" s="38"/>
      <c r="DG105" s="384">
        <f>SUM(DE105:DE108)*1.1</f>
        <v>175515.01</v>
      </c>
      <c r="DH105" s="36"/>
      <c r="DI105" s="197"/>
      <c r="DJ105" s="197"/>
      <c r="DK105" s="38"/>
      <c r="DL105" s="384">
        <f>SUM(DJ105:DJ108)*1.1</f>
        <v>169311.78000000003</v>
      </c>
      <c r="DM105" s="36"/>
      <c r="DN105" s="197"/>
      <c r="DO105" s="197"/>
      <c r="DP105" s="38"/>
      <c r="DQ105" s="384">
        <f>SUM(DO105:DO108)*1.1</f>
        <v>148034.92000000001</v>
      </c>
      <c r="DR105" s="36"/>
      <c r="DS105" s="197"/>
      <c r="DT105" s="197"/>
      <c r="DU105" s="38"/>
      <c r="DV105" s="384">
        <f>SUM(DT105:DT108)*1.1</f>
        <v>171431.7</v>
      </c>
      <c r="DW105" s="36"/>
      <c r="DX105" s="197"/>
      <c r="DY105" s="197"/>
      <c r="DZ105" s="38"/>
      <c r="EA105" s="384">
        <f>SUM(DY105:DY108)*1.1</f>
        <v>166795.03500000003</v>
      </c>
      <c r="EB105" s="36"/>
      <c r="EC105" s="197"/>
      <c r="ED105" s="197"/>
      <c r="EE105" s="38"/>
      <c r="EF105" s="384">
        <f>SUM(ED105:ED108)*1.1</f>
        <v>190630.22</v>
      </c>
      <c r="EG105" s="36"/>
      <c r="EH105" s="197"/>
      <c r="EI105" s="197"/>
      <c r="EJ105" s="38"/>
      <c r="EK105" s="384">
        <f>SUM(EI105:EI108)*1.1</f>
        <v>180756.40000000005</v>
      </c>
      <c r="EL105" s="36"/>
      <c r="EM105" s="197"/>
      <c r="EN105" s="197"/>
      <c r="EO105" s="38"/>
      <c r="EP105" s="384">
        <f>SUM(EN105:EN108)*1.1</f>
        <v>180709.1</v>
      </c>
      <c r="EQ105" s="36"/>
      <c r="ER105" s="197"/>
      <c r="ES105" s="197"/>
      <c r="ET105" s="38"/>
      <c r="EU105" s="384">
        <f>SUM(ES105:ES108)*1.1</f>
        <v>154881.1</v>
      </c>
      <c r="EV105" s="36"/>
      <c r="EW105" s="197"/>
      <c r="EX105" s="197"/>
      <c r="EY105" s="38"/>
      <c r="EZ105" s="384">
        <f>SUM(EX105:EX108)*1.1</f>
        <v>168224.98</v>
      </c>
      <c r="FA105" s="36"/>
      <c r="FB105" s="197"/>
      <c r="FC105" s="197"/>
      <c r="FD105" s="38"/>
      <c r="FE105" s="384">
        <f>SUM(FC105:FC108)*1.1</f>
        <v>141641.17000000001</v>
      </c>
      <c r="FF105" s="36"/>
      <c r="FG105" s="197"/>
      <c r="FH105" s="197"/>
      <c r="FI105" s="38"/>
      <c r="FJ105" s="384">
        <f>SUM(FH105:FH108)*1.1</f>
        <v>182336.88</v>
      </c>
      <c r="FK105" s="36"/>
      <c r="FL105" s="197"/>
      <c r="FM105" s="197"/>
      <c r="FN105" s="38"/>
      <c r="FO105" s="384">
        <f>SUM(FM105:FM108)*1.1</f>
        <v>191000.7</v>
      </c>
      <c r="FP105" s="36"/>
      <c r="FQ105" s="197"/>
      <c r="FR105" s="197"/>
      <c r="FS105" s="38"/>
      <c r="FT105" s="384">
        <f>SUM(FR105:FR108)*1.1</f>
        <v>169311.78000000003</v>
      </c>
      <c r="FU105" s="36"/>
      <c r="FV105" s="197"/>
      <c r="FW105" s="197"/>
      <c r="FX105" s="38"/>
      <c r="FY105" s="384">
        <f>SUM(FW105:FW108)*1.1</f>
        <v>148547.52000000002</v>
      </c>
      <c r="FZ105" s="36"/>
      <c r="GA105" s="197"/>
      <c r="GB105" s="197"/>
      <c r="GC105" s="38"/>
      <c r="GD105" s="384">
        <f>SUM(GB105:GB108)*1.1</f>
        <v>131720.82</v>
      </c>
      <c r="GE105" s="36"/>
      <c r="GF105" s="197"/>
      <c r="GG105" s="197"/>
      <c r="GH105" s="38"/>
      <c r="GI105" s="384">
        <f>SUM(GG105:GG108)*1.1</f>
        <v>122017.39000000001</v>
      </c>
      <c r="GJ105" s="280"/>
      <c r="GK105" s="197"/>
      <c r="GL105" s="197"/>
      <c r="GM105" s="38"/>
      <c r="GN105" s="384">
        <f>SUM(GL105:GL108)*1.1</f>
        <v>190630.22</v>
      </c>
      <c r="GO105" s="36"/>
      <c r="GP105" s="197"/>
      <c r="GQ105" s="197"/>
      <c r="GR105" s="38"/>
      <c r="GS105" s="384">
        <f>SUM(GQ105:GQ108)*1.1</f>
        <v>180756.40000000005</v>
      </c>
      <c r="GT105" s="36"/>
      <c r="GU105" s="197"/>
      <c r="GV105" s="197"/>
      <c r="GW105" s="38"/>
      <c r="GX105" s="384">
        <f>SUM(GV105:GV108)*1.1</f>
        <v>180709.1</v>
      </c>
      <c r="GY105" s="36"/>
      <c r="GZ105" s="197"/>
      <c r="HA105" s="197"/>
      <c r="HB105" s="38"/>
      <c r="HC105" s="384">
        <f>SUM(HA105:HA108)*1.1</f>
        <v>154881.1</v>
      </c>
      <c r="HD105" s="36"/>
      <c r="HE105" s="197"/>
      <c r="HF105" s="197"/>
      <c r="HG105" s="38"/>
      <c r="HH105" s="384">
        <f>SUM(HF105:HF108)*1.1</f>
        <v>168224.98</v>
      </c>
      <c r="HI105" s="36"/>
      <c r="HJ105" s="197"/>
      <c r="HK105" s="197"/>
      <c r="HL105" s="38"/>
      <c r="HM105" s="384">
        <f>SUM(HK105:HK108)*1.1</f>
        <v>141641.17000000001</v>
      </c>
      <c r="HN105" s="36"/>
      <c r="HO105" s="197"/>
      <c r="HP105" s="197"/>
      <c r="HQ105" s="38"/>
      <c r="HR105" s="384">
        <f>SUM(HP105:HP108)*1.1</f>
        <v>182336.88</v>
      </c>
      <c r="HS105" s="36"/>
      <c r="HT105" s="197"/>
      <c r="HU105" s="197"/>
      <c r="HV105" s="38"/>
      <c r="HW105" s="384">
        <f>SUM(HU105:HU108)*1.1</f>
        <v>191000.7</v>
      </c>
      <c r="HX105" s="36"/>
      <c r="HY105" s="197"/>
      <c r="HZ105" s="197"/>
      <c r="IA105" s="38"/>
      <c r="IB105" s="384">
        <f>SUM(HZ105:HZ108)*1.1</f>
        <v>169311.78000000003</v>
      </c>
      <c r="IC105" s="36"/>
      <c r="ID105" s="197"/>
      <c r="IE105" s="197"/>
      <c r="IF105" s="38"/>
      <c r="IG105" s="384">
        <f>SUM(IE105:IE108)*1.1</f>
        <v>148547.52000000002</v>
      </c>
      <c r="IH105" s="36"/>
      <c r="II105" s="197"/>
      <c r="IJ105" s="197"/>
      <c r="IK105" s="38"/>
      <c r="IL105" s="384">
        <f>SUM(IJ105:IJ108)*1.1</f>
        <v>68658.260000000009</v>
      </c>
      <c r="IM105" s="36"/>
      <c r="IN105" s="197"/>
      <c r="IO105" s="197"/>
      <c r="IP105" s="38"/>
      <c r="IQ105" s="384">
        <f>SUM(IO105:IO108)*1.1</f>
        <v>68658.260000000009</v>
      </c>
    </row>
    <row r="106" spans="1:251" ht="15" customHeight="1">
      <c r="A106" s="647"/>
      <c r="B106" s="256"/>
      <c r="C106" s="215">
        <v>22912463</v>
      </c>
      <c r="D106" s="45" t="s">
        <v>61</v>
      </c>
      <c r="E106" s="216" t="s">
        <v>13</v>
      </c>
      <c r="F106" s="22"/>
      <c r="G106" s="104">
        <f>I106/H106</f>
        <v>5.434146341463415</v>
      </c>
      <c r="H106" s="69">
        <v>11070</v>
      </c>
      <c r="I106" s="69">
        <v>60156</v>
      </c>
      <c r="J106" s="81"/>
      <c r="K106" s="88"/>
      <c r="L106" s="104">
        <f>N106/M106</f>
        <v>5.66</v>
      </c>
      <c r="M106" s="69">
        <v>13110</v>
      </c>
      <c r="N106" s="69">
        <v>74202.600000000006</v>
      </c>
      <c r="O106" s="81"/>
      <c r="P106" s="88"/>
      <c r="Q106" s="104">
        <f>S106/R106</f>
        <v>5.64</v>
      </c>
      <c r="R106" s="69">
        <v>12900</v>
      </c>
      <c r="S106" s="69">
        <v>72756</v>
      </c>
      <c r="T106" s="81"/>
      <c r="U106" s="88"/>
      <c r="V106" s="115">
        <f>X106/W106</f>
        <v>5.5299835255354202</v>
      </c>
      <c r="W106" s="69">
        <v>18210</v>
      </c>
      <c r="X106" s="69">
        <v>100701</v>
      </c>
      <c r="Y106" s="81"/>
      <c r="Z106" s="403">
        <f>SUM(X105:X108)*1</f>
        <v>105440</v>
      </c>
      <c r="AA106" s="92">
        <f>AC106/AB106</f>
        <v>5.36</v>
      </c>
      <c r="AB106" s="69">
        <v>16110</v>
      </c>
      <c r="AC106" s="69">
        <v>86349.6</v>
      </c>
      <c r="AD106" s="81"/>
      <c r="AE106" s="403">
        <f>SUM(AC105:AC108)*1</f>
        <v>90550</v>
      </c>
      <c r="AF106" s="92">
        <f>AH106/AG106</f>
        <v>5.1710005437737898</v>
      </c>
      <c r="AG106" s="69">
        <v>18390</v>
      </c>
      <c r="AH106" s="69">
        <v>95094.7</v>
      </c>
      <c r="AI106" s="81"/>
      <c r="AJ106" s="403">
        <f>SUM(AH105:AH108)*1</f>
        <v>99985</v>
      </c>
      <c r="AK106" s="92">
        <f>AM106/AL106</f>
        <v>5.5740009675858735</v>
      </c>
      <c r="AL106" s="69">
        <v>20670</v>
      </c>
      <c r="AM106" s="69">
        <v>115214.6</v>
      </c>
      <c r="AN106" s="363"/>
      <c r="AO106" s="403">
        <f>SUM(AM105:AM108)*1</f>
        <v>120195.50000000001</v>
      </c>
      <c r="AP106" s="92">
        <f>AR106/AQ106</f>
        <v>6.05</v>
      </c>
      <c r="AQ106" s="69">
        <v>19200</v>
      </c>
      <c r="AR106" s="69">
        <v>116160</v>
      </c>
      <c r="AS106" s="81"/>
      <c r="AT106" s="403">
        <f>SUM(AR105:AR108)+AS108*1</f>
        <v>136663.08000000002</v>
      </c>
      <c r="AU106" s="92">
        <f>AW106/AV106</f>
        <v>6.85</v>
      </c>
      <c r="AV106" s="69">
        <v>21840</v>
      </c>
      <c r="AW106" s="69">
        <v>149604</v>
      </c>
      <c r="AX106" s="81"/>
      <c r="AY106" s="403">
        <f>SUM(AW105:AW108)*1</f>
        <v>153613.32999999999</v>
      </c>
      <c r="AZ106" s="92">
        <f>BB106/BA106</f>
        <v>6.89</v>
      </c>
      <c r="BA106" s="69">
        <v>19560</v>
      </c>
      <c r="BB106" s="69">
        <v>134768.4</v>
      </c>
      <c r="BC106" s="81"/>
      <c r="BD106" s="403">
        <f>SUM(BB105:BB108)*1</f>
        <v>138414.1</v>
      </c>
      <c r="BE106" s="92">
        <f>BG106/BF106</f>
        <v>7.17</v>
      </c>
      <c r="BF106" s="69">
        <v>17310</v>
      </c>
      <c r="BG106" s="69">
        <v>124112.7</v>
      </c>
      <c r="BH106" s="81"/>
      <c r="BI106" s="403">
        <f>SUM(BG105:BG108)*1</f>
        <v>127014</v>
      </c>
      <c r="BJ106" s="92">
        <f>BL106/BK106</f>
        <v>7.32</v>
      </c>
      <c r="BK106" s="69">
        <v>17640</v>
      </c>
      <c r="BL106" s="69">
        <v>129124.8</v>
      </c>
      <c r="BM106" s="81"/>
      <c r="BN106" s="403">
        <f>SUM(BL105:BL108)*1</f>
        <v>131314.4</v>
      </c>
      <c r="BO106" s="92">
        <f>BQ106/BP106</f>
        <v>7.46</v>
      </c>
      <c r="BP106" s="69">
        <v>17040</v>
      </c>
      <c r="BQ106" s="69">
        <v>127118.39999999999</v>
      </c>
      <c r="BR106" s="81"/>
      <c r="BS106" s="403">
        <f>SUM(BQ105:BQ108)*1</f>
        <v>129138.31999999999</v>
      </c>
      <c r="BT106" s="92">
        <f>BV106/BU106</f>
        <v>6.62</v>
      </c>
      <c r="BU106" s="69">
        <v>18870</v>
      </c>
      <c r="BV106" s="69">
        <v>124919.4</v>
      </c>
      <c r="BW106" s="81"/>
      <c r="BX106" s="403">
        <f>SUM(BV105:BV108)*1</f>
        <v>126713.19999999998</v>
      </c>
      <c r="BY106" s="92">
        <f>CA106/BZ106</f>
        <v>6.26</v>
      </c>
      <c r="BZ106" s="69">
        <v>16950</v>
      </c>
      <c r="CA106" s="69">
        <v>106107</v>
      </c>
      <c r="CB106" s="81"/>
      <c r="CC106" s="403">
        <f>SUM(CA105:CA108)*1</f>
        <v>108567.29999999999</v>
      </c>
      <c r="CD106" s="92">
        <f>CF106/CE106</f>
        <v>5.12</v>
      </c>
      <c r="CE106" s="69">
        <v>19200</v>
      </c>
      <c r="CF106" s="69">
        <v>98304</v>
      </c>
      <c r="CG106" s="81"/>
      <c r="CH106" s="403">
        <f>SUM(CF105:CF108)*1</f>
        <v>100832</v>
      </c>
      <c r="CI106" s="92">
        <f>CK106/CJ106</f>
        <v>5.5</v>
      </c>
      <c r="CJ106" s="69">
        <v>18270</v>
      </c>
      <c r="CK106" s="69">
        <v>100485</v>
      </c>
      <c r="CL106" s="81"/>
      <c r="CM106" s="403">
        <f>SUM(CK105:CK108)*1</f>
        <v>102566.77</v>
      </c>
      <c r="CN106" s="92">
        <f>CP106/CO106</f>
        <v>5.434146341463415</v>
      </c>
      <c r="CO106" s="58">
        <v>11070</v>
      </c>
      <c r="CP106" s="58">
        <v>60156</v>
      </c>
      <c r="CQ106" s="44"/>
      <c r="CR106" s="403">
        <f>SUM(CP105:CP108)*1</f>
        <v>62416.6</v>
      </c>
      <c r="CS106" s="92">
        <f>CU106/CT106</f>
        <v>8.1999999999999993</v>
      </c>
      <c r="CT106" s="69">
        <v>15360</v>
      </c>
      <c r="CU106" s="69">
        <v>125952</v>
      </c>
      <c r="CV106" s="81"/>
      <c r="CW106" s="403">
        <f>SUM(CU105:CU108)*1</f>
        <v>128764.7</v>
      </c>
      <c r="CX106" s="92">
        <f>CZ106/CY106</f>
        <v>8.1999999999999993</v>
      </c>
      <c r="CY106" s="69">
        <v>16080</v>
      </c>
      <c r="CZ106" s="69">
        <v>131856</v>
      </c>
      <c r="DA106" s="81"/>
      <c r="DB106" s="403">
        <f>SUM(CZ105:CZ108)*1</f>
        <v>135779</v>
      </c>
      <c r="DC106" s="92">
        <f>DE106/DD106</f>
        <v>9.1</v>
      </c>
      <c r="DD106" s="69">
        <v>17040</v>
      </c>
      <c r="DE106" s="69">
        <v>155064</v>
      </c>
      <c r="DF106" s="81">
        <v>242285.7</v>
      </c>
      <c r="DG106" s="403">
        <f>SUM(DE105:DE108)*1</f>
        <v>159559.1</v>
      </c>
      <c r="DH106" s="92">
        <f>DJ106/DI106</f>
        <v>9.0400000000000009</v>
      </c>
      <c r="DI106" s="69">
        <v>16530</v>
      </c>
      <c r="DJ106" s="69">
        <v>149431.20000000001</v>
      </c>
      <c r="DK106" s="776">
        <v>200000</v>
      </c>
      <c r="DL106" s="403">
        <f>SUM(DJ105:DJ108)*1</f>
        <v>153919.80000000002</v>
      </c>
      <c r="DM106" s="92">
        <f>DO106/DN106</f>
        <v>8.7200000000000006</v>
      </c>
      <c r="DN106" s="69">
        <v>15030</v>
      </c>
      <c r="DO106" s="69">
        <v>131061.6</v>
      </c>
      <c r="DP106" s="81"/>
      <c r="DQ106" s="403">
        <f>SUM(DO105:DO108)*1</f>
        <v>134577.20000000001</v>
      </c>
      <c r="DR106" s="92">
        <f>DT106/DS106</f>
        <v>9.43</v>
      </c>
      <c r="DS106" s="69">
        <v>16200</v>
      </c>
      <c r="DT106" s="69">
        <v>152766</v>
      </c>
      <c r="DU106" s="81"/>
      <c r="DV106" s="403">
        <f>SUM(DT105:DT108)*1</f>
        <v>155847</v>
      </c>
      <c r="DW106" s="92">
        <f>DY106/DX106</f>
        <v>9.7100000000000009</v>
      </c>
      <c r="DX106" s="69">
        <v>15270</v>
      </c>
      <c r="DY106" s="69">
        <v>148271.70000000001</v>
      </c>
      <c r="DZ106" s="81"/>
      <c r="EA106" s="403">
        <f>SUM(DY105:DY108)*1</f>
        <v>151631.85</v>
      </c>
      <c r="EB106" s="92">
        <f>ED106/EC106</f>
        <v>9.56</v>
      </c>
      <c r="EC106" s="69">
        <v>17940</v>
      </c>
      <c r="ED106" s="69">
        <v>171506.4</v>
      </c>
      <c r="EE106" s="81"/>
      <c r="EF106" s="403">
        <f>SUM(ED105:ED108)*1</f>
        <v>173300.19999999998</v>
      </c>
      <c r="EG106" s="92">
        <f>EI106/EH106</f>
        <v>9.57</v>
      </c>
      <c r="EH106" s="69">
        <v>16860</v>
      </c>
      <c r="EI106" s="69">
        <v>161350.20000000001</v>
      </c>
      <c r="EJ106" s="81"/>
      <c r="EK106" s="403">
        <f>SUM(EI105:EI108)*1</f>
        <v>164324.00000000003</v>
      </c>
      <c r="EL106" s="92">
        <f>EN106/EM106</f>
        <v>9.01</v>
      </c>
      <c r="EM106" s="69">
        <v>17850</v>
      </c>
      <c r="EN106" s="69">
        <v>160828.5</v>
      </c>
      <c r="EO106" s="81"/>
      <c r="EP106" s="403">
        <f>SUM(EN105:EN108)*1</f>
        <v>164281</v>
      </c>
      <c r="EQ106" s="92">
        <f>ES106/ER106</f>
        <v>8.11</v>
      </c>
      <c r="ER106" s="69">
        <v>16950</v>
      </c>
      <c r="ES106" s="69">
        <v>137464.5</v>
      </c>
      <c r="ET106" s="81"/>
      <c r="EU106" s="403">
        <f>SUM(ES105:ES108)*1</f>
        <v>140801</v>
      </c>
      <c r="EV106" s="92">
        <f>EX106/EW106</f>
        <v>8.5400000000000009</v>
      </c>
      <c r="EW106" s="69">
        <v>17490</v>
      </c>
      <c r="EX106" s="69">
        <v>149364.6</v>
      </c>
      <c r="EY106" s="81"/>
      <c r="EZ106" s="403">
        <f>SUM(EX105:EX108)*1</f>
        <v>152931.79999999999</v>
      </c>
      <c r="FA106" s="92">
        <f>FC106/FB106</f>
        <v>8.1999999999999993</v>
      </c>
      <c r="FB106" s="58">
        <v>15360</v>
      </c>
      <c r="FC106" s="58">
        <v>125952</v>
      </c>
      <c r="FD106" s="44"/>
      <c r="FE106" s="403">
        <f>SUM(FC105:FC108)*1</f>
        <v>128764.7</v>
      </c>
      <c r="FF106" s="92">
        <f>FH106/FG106</f>
        <v>8.7200000000000006</v>
      </c>
      <c r="FG106" s="69">
        <v>18600</v>
      </c>
      <c r="FH106" s="69">
        <v>162192</v>
      </c>
      <c r="FI106" s="81"/>
      <c r="FJ106" s="403">
        <f>SUM(FH105:FH108)*1</f>
        <v>165760.79999999999</v>
      </c>
      <c r="FK106" s="92">
        <f>FM106/FL106</f>
        <v>9.32</v>
      </c>
      <c r="FL106" s="69">
        <v>18270</v>
      </c>
      <c r="FM106" s="69">
        <v>170276.4</v>
      </c>
      <c r="FN106" s="81"/>
      <c r="FO106" s="403">
        <f>SUM(FM105:FM108)*1</f>
        <v>173637</v>
      </c>
      <c r="FP106" s="92">
        <f>FR106/FQ106</f>
        <v>9.0400000000000009</v>
      </c>
      <c r="FQ106" s="58">
        <v>16530</v>
      </c>
      <c r="FR106" s="58">
        <v>149431.20000000001</v>
      </c>
      <c r="FS106" s="44">
        <v>200000</v>
      </c>
      <c r="FT106" s="403">
        <f>SUM(FR105:FR108)*1</f>
        <v>153919.80000000002</v>
      </c>
      <c r="FU106" s="92">
        <f>FW106/FV106</f>
        <v>10.81</v>
      </c>
      <c r="FV106" s="69">
        <v>12300</v>
      </c>
      <c r="FW106" s="69">
        <v>132963</v>
      </c>
      <c r="FX106" s="81"/>
      <c r="FY106" s="403">
        <f>SUM(FW105:FW108)*1</f>
        <v>135043.20000000001</v>
      </c>
      <c r="FZ106" s="92">
        <f>GB106/GA106</f>
        <v>11.51</v>
      </c>
      <c r="GA106" s="69">
        <v>10200</v>
      </c>
      <c r="GB106" s="69">
        <v>117402</v>
      </c>
      <c r="GC106" s="44"/>
      <c r="GD106" s="403">
        <f>SUM(GB105:GB108)*1</f>
        <v>119746.2</v>
      </c>
      <c r="GE106" s="92">
        <f>GG106/GF106</f>
        <v>12.05</v>
      </c>
      <c r="GF106" s="69">
        <v>9030</v>
      </c>
      <c r="GG106" s="69">
        <v>108811.5</v>
      </c>
      <c r="GH106" s="81"/>
      <c r="GI106" s="403">
        <f>SUM(GG105:GG108)*1</f>
        <v>110924.90000000001</v>
      </c>
      <c r="GJ106" s="98">
        <f>GL106/GK106</f>
        <v>9.56</v>
      </c>
      <c r="GK106" s="58">
        <v>17940</v>
      </c>
      <c r="GL106" s="58">
        <v>171506.4</v>
      </c>
      <c r="GM106" s="44"/>
      <c r="GN106" s="403">
        <f>SUM(GL105:GL108)*1</f>
        <v>173300.19999999998</v>
      </c>
      <c r="GO106" s="92">
        <f>GQ106/GP106</f>
        <v>9.57</v>
      </c>
      <c r="GP106" s="58">
        <v>16860</v>
      </c>
      <c r="GQ106" s="58">
        <v>161350.20000000001</v>
      </c>
      <c r="GR106" s="44"/>
      <c r="GS106" s="403">
        <f>SUM(GQ105:GQ108)*1</f>
        <v>164324.00000000003</v>
      </c>
      <c r="GT106" s="92">
        <f>GV106/GU106</f>
        <v>9.01</v>
      </c>
      <c r="GU106" s="58">
        <v>17850</v>
      </c>
      <c r="GV106" s="58">
        <v>160828.5</v>
      </c>
      <c r="GW106" s="44"/>
      <c r="GX106" s="403">
        <f>SUM(GV105:GV108)*1</f>
        <v>164281</v>
      </c>
      <c r="GY106" s="92">
        <f>HA106/GZ106</f>
        <v>8.11</v>
      </c>
      <c r="GZ106" s="58">
        <v>16950</v>
      </c>
      <c r="HA106" s="58">
        <v>137464.5</v>
      </c>
      <c r="HB106" s="44"/>
      <c r="HC106" s="403">
        <f>SUM(HA105:HA108)*1</f>
        <v>140801</v>
      </c>
      <c r="HD106" s="92">
        <f>HF106/HE106</f>
        <v>8.5400000000000009</v>
      </c>
      <c r="HE106" s="58">
        <v>17490</v>
      </c>
      <c r="HF106" s="58">
        <v>149364.6</v>
      </c>
      <c r="HG106" s="44"/>
      <c r="HH106" s="403">
        <f>SUM(HF105:HF108)*1</f>
        <v>152931.79999999999</v>
      </c>
      <c r="HI106" s="92">
        <f>HK106/HJ106</f>
        <v>8.1999999999999993</v>
      </c>
      <c r="HJ106" s="58">
        <v>15360</v>
      </c>
      <c r="HK106" s="58">
        <v>125952</v>
      </c>
      <c r="HL106" s="44"/>
      <c r="HM106" s="403">
        <f>SUM(HK105:HK108)*1</f>
        <v>128764.7</v>
      </c>
      <c r="HN106" s="92">
        <f>HP106/HO106</f>
        <v>8.7200000000000006</v>
      </c>
      <c r="HO106" s="58">
        <v>18600</v>
      </c>
      <c r="HP106" s="58">
        <v>162192</v>
      </c>
      <c r="HQ106" s="44"/>
      <c r="HR106" s="403">
        <f>SUM(HP105:HP108)*1</f>
        <v>165760.79999999999</v>
      </c>
      <c r="HS106" s="92">
        <f>HU106/HT106</f>
        <v>9.32</v>
      </c>
      <c r="HT106" s="58">
        <v>18270</v>
      </c>
      <c r="HU106" s="58">
        <v>170276.4</v>
      </c>
      <c r="HV106" s="44"/>
      <c r="HW106" s="403">
        <f>SUM(HU105:HU108)*1</f>
        <v>173637</v>
      </c>
      <c r="HX106" s="92">
        <f>HZ106/HY106</f>
        <v>9.0400000000000009</v>
      </c>
      <c r="HY106" s="58">
        <v>16530</v>
      </c>
      <c r="HZ106" s="58">
        <v>149431.20000000001</v>
      </c>
      <c r="IA106" s="44">
        <v>200000</v>
      </c>
      <c r="IB106" s="403">
        <f>SUM(HZ105:HZ108)*1</f>
        <v>153919.80000000002</v>
      </c>
      <c r="IC106" s="92">
        <f>IE106/ID106</f>
        <v>10.81</v>
      </c>
      <c r="ID106" s="58">
        <v>12300</v>
      </c>
      <c r="IE106" s="58">
        <v>132963</v>
      </c>
      <c r="IF106" s="44"/>
      <c r="IG106" s="403">
        <f>SUM(IE105:IE108)*1</f>
        <v>135043.20000000001</v>
      </c>
      <c r="IH106" s="92">
        <f>IJ106/II106</f>
        <v>5.434146341463415</v>
      </c>
      <c r="II106" s="58">
        <v>11070</v>
      </c>
      <c r="IJ106" s="58">
        <v>60156</v>
      </c>
      <c r="IK106" s="44"/>
      <c r="IL106" s="403">
        <f>SUM(IJ105:IJ108)*1</f>
        <v>62416.6</v>
      </c>
      <c r="IM106" s="92">
        <f>IO106/IN106</f>
        <v>5.434146341463415</v>
      </c>
      <c r="IN106" s="58">
        <v>11070</v>
      </c>
      <c r="IO106" s="58">
        <v>60156</v>
      </c>
      <c r="IP106" s="44"/>
      <c r="IQ106" s="403">
        <f>SUM(IO105:IO108)*1</f>
        <v>62416.6</v>
      </c>
    </row>
    <row r="107" spans="1:251" ht="15" customHeight="1">
      <c r="A107" s="647"/>
      <c r="B107" s="256"/>
      <c r="C107" s="215"/>
      <c r="D107" s="45"/>
      <c r="E107" s="216" t="s">
        <v>15</v>
      </c>
      <c r="F107" s="22"/>
      <c r="G107" s="103"/>
      <c r="H107" s="70">
        <v>3690</v>
      </c>
      <c r="I107" s="69">
        <v>553.5</v>
      </c>
      <c r="J107" s="81"/>
      <c r="K107" s="88"/>
      <c r="L107" s="103"/>
      <c r="M107" s="70">
        <v>4620</v>
      </c>
      <c r="N107" s="69">
        <v>739.2</v>
      </c>
      <c r="O107" s="81"/>
      <c r="P107" s="88"/>
      <c r="Q107" s="103"/>
      <c r="R107" s="70">
        <v>4410</v>
      </c>
      <c r="S107" s="69">
        <v>749.7</v>
      </c>
      <c r="T107" s="81"/>
      <c r="U107" s="88"/>
      <c r="V107" s="47"/>
      <c r="W107" s="70">
        <v>6900</v>
      </c>
      <c r="X107" s="69">
        <v>1138.5</v>
      </c>
      <c r="Y107" s="81"/>
      <c r="Z107" s="81"/>
      <c r="AA107" s="46"/>
      <c r="AB107" s="70">
        <v>6540</v>
      </c>
      <c r="AC107" s="69">
        <v>1046.4000000000001</v>
      </c>
      <c r="AD107" s="81"/>
      <c r="AE107" s="81"/>
      <c r="AF107" s="46"/>
      <c r="AG107" s="70">
        <v>7860</v>
      </c>
      <c r="AH107" s="69">
        <v>1257.5999999999999</v>
      </c>
      <c r="AI107" s="81"/>
      <c r="AJ107" s="81"/>
      <c r="AK107" s="46"/>
      <c r="AL107" s="70">
        <v>9030</v>
      </c>
      <c r="AM107" s="69">
        <v>1444.8</v>
      </c>
      <c r="AN107" s="81"/>
      <c r="AO107" s="81"/>
      <c r="AP107" s="46"/>
      <c r="AQ107" s="70">
        <v>9060</v>
      </c>
      <c r="AR107" s="69">
        <v>1449.6</v>
      </c>
      <c r="AS107" s="81"/>
      <c r="AT107" s="81"/>
      <c r="AU107" s="46"/>
      <c r="AV107" s="70">
        <v>1</v>
      </c>
      <c r="AW107" s="69">
        <v>1658</v>
      </c>
      <c r="AX107" s="81"/>
      <c r="AY107" s="81"/>
      <c r="AZ107" s="46"/>
      <c r="BA107" s="70">
        <v>1</v>
      </c>
      <c r="BB107" s="69">
        <v>1391</v>
      </c>
      <c r="BC107" s="81"/>
      <c r="BD107" s="81"/>
      <c r="BE107" s="46"/>
      <c r="BF107" s="70">
        <v>1</v>
      </c>
      <c r="BG107" s="69">
        <v>1580.7</v>
      </c>
      <c r="BH107" s="81"/>
      <c r="BI107" s="81"/>
      <c r="BJ107" s="46">
        <v>6.9080000000000004</v>
      </c>
      <c r="BK107" s="70">
        <v>3690</v>
      </c>
      <c r="BL107" s="69">
        <v>1448.8</v>
      </c>
      <c r="BM107" s="81"/>
      <c r="BN107" s="81"/>
      <c r="BO107" s="46">
        <v>7.0380000000000003</v>
      </c>
      <c r="BP107" s="70">
        <v>5580</v>
      </c>
      <c r="BQ107" s="69">
        <v>1311.3</v>
      </c>
      <c r="BR107" s="81"/>
      <c r="BS107" s="81"/>
      <c r="BT107" s="46"/>
      <c r="BU107" s="70">
        <v>3690</v>
      </c>
      <c r="BV107" s="69">
        <v>1117.4000000000001</v>
      </c>
      <c r="BW107" s="81"/>
      <c r="BX107" s="81"/>
      <c r="BY107" s="46"/>
      <c r="BZ107" s="70">
        <v>5520</v>
      </c>
      <c r="CA107" s="69">
        <v>1219.9000000000001</v>
      </c>
      <c r="CB107" s="81"/>
      <c r="CC107" s="81"/>
      <c r="CD107" s="46"/>
      <c r="CE107" s="70">
        <v>7620</v>
      </c>
      <c r="CF107" s="69">
        <v>1143</v>
      </c>
      <c r="CG107" s="81"/>
      <c r="CH107" s="81"/>
      <c r="CI107" s="46"/>
      <c r="CJ107" s="70">
        <v>7770</v>
      </c>
      <c r="CK107" s="69">
        <v>1212.0999999999999</v>
      </c>
      <c r="CL107" s="81"/>
      <c r="CM107" s="81"/>
      <c r="CN107" s="46"/>
      <c r="CO107" s="62">
        <v>3690</v>
      </c>
      <c r="CP107" s="58">
        <v>553.5</v>
      </c>
      <c r="CQ107" s="44"/>
      <c r="CR107" s="81"/>
      <c r="CS107" s="46"/>
      <c r="CT107" s="70">
        <v>1</v>
      </c>
      <c r="CU107" s="69">
        <v>1943</v>
      </c>
      <c r="CV107" s="81"/>
      <c r="CW107" s="81"/>
      <c r="CX107" s="46"/>
      <c r="CY107" s="70">
        <v>8070</v>
      </c>
      <c r="CZ107" s="69">
        <v>2259</v>
      </c>
      <c r="DA107" s="81"/>
      <c r="DB107" s="81"/>
      <c r="DC107" s="46"/>
      <c r="DD107" s="70">
        <v>8430</v>
      </c>
      <c r="DE107" s="69">
        <v>3203.4</v>
      </c>
      <c r="DF107" s="81"/>
      <c r="DG107" s="81"/>
      <c r="DH107" s="46"/>
      <c r="DI107" s="70">
        <v>1</v>
      </c>
      <c r="DJ107" s="69">
        <v>2998.2</v>
      </c>
      <c r="DK107" s="81"/>
      <c r="DL107" s="81"/>
      <c r="DM107" s="46"/>
      <c r="DN107" s="70">
        <v>1</v>
      </c>
      <c r="DO107" s="69">
        <v>2124.1999999999998</v>
      </c>
      <c r="DP107" s="81"/>
      <c r="DQ107" s="81"/>
      <c r="DR107" s="46"/>
      <c r="DS107" s="70">
        <v>1</v>
      </c>
      <c r="DT107" s="69">
        <v>1541</v>
      </c>
      <c r="DU107" s="81"/>
      <c r="DV107" s="81"/>
      <c r="DW107" s="46"/>
      <c r="DX107" s="70">
        <v>1</v>
      </c>
      <c r="DY107" s="69">
        <v>1621</v>
      </c>
      <c r="DZ107" s="81"/>
      <c r="EA107" s="81"/>
      <c r="EB107" s="46"/>
      <c r="EC107" s="62">
        <v>3690</v>
      </c>
      <c r="ED107" s="58">
        <v>1117.4000000000001</v>
      </c>
      <c r="EE107" s="44"/>
      <c r="EF107" s="81"/>
      <c r="EG107" s="46"/>
      <c r="EH107" s="70">
        <v>1</v>
      </c>
      <c r="EI107" s="69">
        <v>1437.6</v>
      </c>
      <c r="EJ107" s="81"/>
      <c r="EK107" s="81"/>
      <c r="EL107" s="46"/>
      <c r="EM107" s="70">
        <v>6600</v>
      </c>
      <c r="EN107" s="69">
        <v>1757.5</v>
      </c>
      <c r="EO107" s="81"/>
      <c r="EP107" s="81"/>
      <c r="EQ107" s="46"/>
      <c r="ER107" s="70">
        <v>6720</v>
      </c>
      <c r="ES107" s="69">
        <v>1693.5</v>
      </c>
      <c r="ET107" s="81"/>
      <c r="EU107" s="81"/>
      <c r="EV107" s="46"/>
      <c r="EW107" s="70">
        <v>7590</v>
      </c>
      <c r="EX107" s="69">
        <v>1659.9</v>
      </c>
      <c r="EY107" s="81"/>
      <c r="EZ107" s="81"/>
      <c r="FA107" s="46"/>
      <c r="FB107" s="62">
        <v>1</v>
      </c>
      <c r="FC107" s="58">
        <v>1943</v>
      </c>
      <c r="FD107" s="44"/>
      <c r="FE107" s="81"/>
      <c r="FF107" s="46"/>
      <c r="FG107" s="70">
        <v>1</v>
      </c>
      <c r="FH107" s="69">
        <v>2085.4</v>
      </c>
      <c r="FI107" s="81"/>
      <c r="FJ107" s="81"/>
      <c r="FK107" s="46"/>
      <c r="FL107" s="70">
        <v>1</v>
      </c>
      <c r="FM107" s="69">
        <v>1877.2</v>
      </c>
      <c r="FN107" s="81"/>
      <c r="FO107" s="81"/>
      <c r="FP107" s="46"/>
      <c r="FQ107" s="62">
        <v>1</v>
      </c>
      <c r="FR107" s="58">
        <v>2998.2</v>
      </c>
      <c r="FS107" s="44"/>
      <c r="FT107" s="81"/>
      <c r="FU107" s="46"/>
      <c r="FV107" s="70">
        <v>1</v>
      </c>
      <c r="FW107" s="69">
        <v>861.7</v>
      </c>
      <c r="FX107" s="81"/>
      <c r="FY107" s="81"/>
      <c r="FZ107" s="46"/>
      <c r="GA107" s="70">
        <v>1</v>
      </c>
      <c r="GB107" s="69">
        <v>1072.7</v>
      </c>
      <c r="GC107" s="44"/>
      <c r="GD107" s="81"/>
      <c r="GE107" s="46"/>
      <c r="GF107" s="70">
        <v>1</v>
      </c>
      <c r="GG107" s="69">
        <v>946.8</v>
      </c>
      <c r="GH107" s="81"/>
      <c r="GI107" s="81"/>
      <c r="GJ107" s="97"/>
      <c r="GK107" s="62">
        <v>3690</v>
      </c>
      <c r="GL107" s="58">
        <v>1117.4000000000001</v>
      </c>
      <c r="GM107" s="44"/>
      <c r="GN107" s="81"/>
      <c r="GO107" s="46"/>
      <c r="GP107" s="62">
        <v>1</v>
      </c>
      <c r="GQ107" s="58">
        <v>1437.6</v>
      </c>
      <c r="GR107" s="44"/>
      <c r="GS107" s="81"/>
      <c r="GT107" s="46"/>
      <c r="GU107" s="62">
        <v>6600</v>
      </c>
      <c r="GV107" s="58">
        <v>1757.5</v>
      </c>
      <c r="GW107" s="44"/>
      <c r="GX107" s="81"/>
      <c r="GY107" s="46"/>
      <c r="GZ107" s="62">
        <v>6720</v>
      </c>
      <c r="HA107" s="58">
        <v>1693.5</v>
      </c>
      <c r="HB107" s="44"/>
      <c r="HC107" s="81"/>
      <c r="HD107" s="46"/>
      <c r="HE107" s="62">
        <v>7590</v>
      </c>
      <c r="HF107" s="58">
        <v>1659.9</v>
      </c>
      <c r="HG107" s="44"/>
      <c r="HH107" s="81"/>
      <c r="HI107" s="46"/>
      <c r="HJ107" s="62">
        <v>1</v>
      </c>
      <c r="HK107" s="58">
        <v>1943</v>
      </c>
      <c r="HL107" s="44"/>
      <c r="HM107" s="81"/>
      <c r="HN107" s="46"/>
      <c r="HO107" s="62">
        <v>1</v>
      </c>
      <c r="HP107" s="58">
        <v>2085.4</v>
      </c>
      <c r="HQ107" s="44"/>
      <c r="HR107" s="81"/>
      <c r="HS107" s="46"/>
      <c r="HT107" s="62">
        <v>1</v>
      </c>
      <c r="HU107" s="58">
        <v>1877.2</v>
      </c>
      <c r="HV107" s="44"/>
      <c r="HW107" s="81"/>
      <c r="HX107" s="46"/>
      <c r="HY107" s="62">
        <v>1</v>
      </c>
      <c r="HZ107" s="58">
        <v>2998.2</v>
      </c>
      <c r="IA107" s="44"/>
      <c r="IB107" s="81"/>
      <c r="IC107" s="46"/>
      <c r="ID107" s="62">
        <v>1</v>
      </c>
      <c r="IE107" s="58">
        <v>861.7</v>
      </c>
      <c r="IF107" s="44"/>
      <c r="IG107" s="81"/>
      <c r="IH107" s="46"/>
      <c r="II107" s="62">
        <v>3690</v>
      </c>
      <c r="IJ107" s="58">
        <v>553.5</v>
      </c>
      <c r="IK107" s="44"/>
      <c r="IL107" s="81"/>
      <c r="IM107" s="46"/>
      <c r="IN107" s="62">
        <v>3690</v>
      </c>
      <c r="IO107" s="58">
        <v>553.5</v>
      </c>
      <c r="IP107" s="44"/>
      <c r="IQ107" s="81"/>
    </row>
    <row r="108" spans="1:251" s="264" customFormat="1" ht="15" customHeight="1" thickBot="1">
      <c r="A108" s="648"/>
      <c r="B108" s="257"/>
      <c r="C108" s="258"/>
      <c r="D108" s="20"/>
      <c r="E108" s="259" t="s">
        <v>17</v>
      </c>
      <c r="F108" s="23"/>
      <c r="G108" s="168">
        <f>I108/H108</f>
        <v>32.20943396226415</v>
      </c>
      <c r="H108" s="183">
        <v>53</v>
      </c>
      <c r="I108" s="183">
        <v>1707.1</v>
      </c>
      <c r="J108" s="179"/>
      <c r="K108" s="182"/>
      <c r="L108" s="168">
        <f>N108/M108</f>
        <v>32.209756097560977</v>
      </c>
      <c r="M108" s="183">
        <v>41</v>
      </c>
      <c r="N108" s="183">
        <v>1320.6</v>
      </c>
      <c r="O108" s="179"/>
      <c r="P108" s="182"/>
      <c r="Q108" s="168">
        <f>S108/R108</f>
        <v>32.210256410256413</v>
      </c>
      <c r="R108" s="183">
        <v>39</v>
      </c>
      <c r="S108" s="183">
        <v>1256.2</v>
      </c>
      <c r="T108" s="179"/>
      <c r="U108" s="182"/>
      <c r="V108" s="209">
        <f>X108/W108</f>
        <v>32.21</v>
      </c>
      <c r="W108" s="183">
        <v>50</v>
      </c>
      <c r="X108" s="183">
        <v>1610.5</v>
      </c>
      <c r="Y108" s="179"/>
      <c r="Z108" s="179"/>
      <c r="AA108" s="3">
        <f>AC108/AB108</f>
        <v>32.209302325581397</v>
      </c>
      <c r="AB108" s="183">
        <v>43</v>
      </c>
      <c r="AC108" s="183">
        <v>1385</v>
      </c>
      <c r="AD108" s="179"/>
      <c r="AE108" s="179"/>
      <c r="AF108" s="3">
        <f>AH108/AG108</f>
        <v>30.994339622641512</v>
      </c>
      <c r="AG108" s="183">
        <v>53</v>
      </c>
      <c r="AH108" s="183">
        <v>1642.7</v>
      </c>
      <c r="AI108" s="179"/>
      <c r="AJ108" s="179"/>
      <c r="AK108" s="285">
        <f>AM108/AL108</f>
        <v>32.210416666666667</v>
      </c>
      <c r="AL108" s="183">
        <v>48</v>
      </c>
      <c r="AM108" s="183">
        <v>1546.1</v>
      </c>
      <c r="AN108" s="179"/>
      <c r="AO108" s="179"/>
      <c r="AP108" s="3">
        <f>AR108/AQ108</f>
        <v>32.209523809523809</v>
      </c>
      <c r="AQ108" s="183">
        <v>63</v>
      </c>
      <c r="AR108" s="183">
        <v>2029.2</v>
      </c>
      <c r="AS108" s="179">
        <v>15034.28</v>
      </c>
      <c r="AT108" s="179"/>
      <c r="AU108" s="3">
        <f>AW108/AV108</f>
        <v>32.21</v>
      </c>
      <c r="AV108" s="183">
        <v>73</v>
      </c>
      <c r="AW108" s="183">
        <v>2351.33</v>
      </c>
      <c r="AX108" s="179"/>
      <c r="AY108" s="179"/>
      <c r="AZ108" s="3">
        <f>BB108/BA108</f>
        <v>56.367499999999993</v>
      </c>
      <c r="BA108" s="183">
        <v>40</v>
      </c>
      <c r="BB108" s="183">
        <v>2254.6999999999998</v>
      </c>
      <c r="BC108" s="179"/>
      <c r="BD108" s="179"/>
      <c r="BE108" s="3">
        <f>BG108/BF108</f>
        <v>32.209756097560977</v>
      </c>
      <c r="BF108" s="183">
        <v>41</v>
      </c>
      <c r="BG108" s="183">
        <v>1320.6</v>
      </c>
      <c r="BH108" s="179"/>
      <c r="BI108" s="179"/>
      <c r="BJ108" s="3">
        <f>BL108/BK108</f>
        <v>32.208695652173908</v>
      </c>
      <c r="BK108" s="183">
        <v>23</v>
      </c>
      <c r="BL108" s="183">
        <v>740.8</v>
      </c>
      <c r="BM108" s="179"/>
      <c r="BN108" s="179"/>
      <c r="BO108" s="3">
        <f>BQ108/BP108</f>
        <v>32.21</v>
      </c>
      <c r="BP108" s="183">
        <v>22</v>
      </c>
      <c r="BQ108" s="183">
        <v>708.62</v>
      </c>
      <c r="BR108" s="179"/>
      <c r="BS108" s="179"/>
      <c r="BT108" s="3">
        <f>BV108/BU108</f>
        <v>32.209523809523809</v>
      </c>
      <c r="BU108" s="183">
        <v>21</v>
      </c>
      <c r="BV108" s="183">
        <v>676.4</v>
      </c>
      <c r="BW108" s="179"/>
      <c r="BX108" s="179"/>
      <c r="BY108" s="3">
        <f>CA108/BZ108</f>
        <v>31.01</v>
      </c>
      <c r="BZ108" s="183">
        <v>40</v>
      </c>
      <c r="CA108" s="183">
        <v>1240.4000000000001</v>
      </c>
      <c r="CB108" s="179"/>
      <c r="CC108" s="179"/>
      <c r="CD108" s="3">
        <f>CF108/CE108</f>
        <v>32.209302325581397</v>
      </c>
      <c r="CE108" s="183">
        <v>43</v>
      </c>
      <c r="CF108" s="183">
        <v>1385</v>
      </c>
      <c r="CG108" s="179"/>
      <c r="CH108" s="179"/>
      <c r="CI108" s="3">
        <f>CK108/CJ108</f>
        <v>32.21</v>
      </c>
      <c r="CJ108" s="183">
        <v>27</v>
      </c>
      <c r="CK108" s="183">
        <v>869.67</v>
      </c>
      <c r="CL108" s="179"/>
      <c r="CM108" s="179"/>
      <c r="CN108" s="3">
        <f>CP108/CO108</f>
        <v>32.20943396226415</v>
      </c>
      <c r="CO108" s="185">
        <v>53</v>
      </c>
      <c r="CP108" s="185">
        <v>1707.1</v>
      </c>
      <c r="CQ108" s="48"/>
      <c r="CR108" s="179"/>
      <c r="CS108" s="3">
        <f>CU108/CT108</f>
        <v>32.211111111111116</v>
      </c>
      <c r="CT108" s="183">
        <v>27</v>
      </c>
      <c r="CU108" s="183">
        <v>869.7</v>
      </c>
      <c r="CV108" s="179"/>
      <c r="CW108" s="179"/>
      <c r="CX108" s="3">
        <f>CZ108/CY108</f>
        <v>69.333333333333329</v>
      </c>
      <c r="CY108" s="183">
        <v>24</v>
      </c>
      <c r="CZ108" s="183">
        <v>1664</v>
      </c>
      <c r="DA108" s="179"/>
      <c r="DB108" s="179"/>
      <c r="DC108" s="3">
        <f>DE108/DD108</f>
        <v>49.680769230769229</v>
      </c>
      <c r="DD108" s="183">
        <v>26</v>
      </c>
      <c r="DE108" s="183">
        <v>1291.7</v>
      </c>
      <c r="DF108" s="179"/>
      <c r="DG108" s="179"/>
      <c r="DH108" s="3">
        <f>DJ108/DI108</f>
        <v>49.68</v>
      </c>
      <c r="DI108" s="183">
        <v>30</v>
      </c>
      <c r="DJ108" s="183">
        <v>1490.4</v>
      </c>
      <c r="DK108" s="179"/>
      <c r="DL108" s="179"/>
      <c r="DM108" s="3">
        <f>DO108/DN108</f>
        <v>49.692857142857143</v>
      </c>
      <c r="DN108" s="183">
        <v>28</v>
      </c>
      <c r="DO108" s="183">
        <v>1391.4</v>
      </c>
      <c r="DP108" s="179"/>
      <c r="DQ108" s="179"/>
      <c r="DR108" s="3">
        <f>DT108/DS108</f>
        <v>49.677419354838712</v>
      </c>
      <c r="DS108" s="183">
        <v>31</v>
      </c>
      <c r="DT108" s="183">
        <v>1540</v>
      </c>
      <c r="DU108" s="179"/>
      <c r="DV108" s="179"/>
      <c r="DW108" s="3">
        <f>DY108/DX108</f>
        <v>49.690000000000005</v>
      </c>
      <c r="DX108" s="183">
        <v>35</v>
      </c>
      <c r="DY108" s="183">
        <v>1739.15</v>
      </c>
      <c r="DZ108" s="179"/>
      <c r="EA108" s="179"/>
      <c r="EB108" s="3">
        <f>ED108/EC108</f>
        <v>32.209523809523809</v>
      </c>
      <c r="EC108" s="185">
        <v>21</v>
      </c>
      <c r="ED108" s="185">
        <v>676.4</v>
      </c>
      <c r="EE108" s="48"/>
      <c r="EF108" s="179"/>
      <c r="EG108" s="3">
        <f>EI108/EH108</f>
        <v>52.972413793103449</v>
      </c>
      <c r="EH108" s="183">
        <v>29</v>
      </c>
      <c r="EI108" s="183">
        <v>1536.2</v>
      </c>
      <c r="EJ108" s="179"/>
      <c r="EK108" s="179"/>
      <c r="EL108" s="3">
        <f>EN108/EM108</f>
        <v>52.96875</v>
      </c>
      <c r="EM108" s="183">
        <v>32</v>
      </c>
      <c r="EN108" s="183">
        <v>1695</v>
      </c>
      <c r="EO108" s="179"/>
      <c r="EP108" s="179"/>
      <c r="EQ108" s="3">
        <f>ES108/ER108</f>
        <v>53</v>
      </c>
      <c r="ER108" s="183">
        <v>31</v>
      </c>
      <c r="ES108" s="183">
        <v>1643</v>
      </c>
      <c r="ET108" s="179"/>
      <c r="EU108" s="179"/>
      <c r="EV108" s="3">
        <f>EX108/EW108</f>
        <v>52.980555555555554</v>
      </c>
      <c r="EW108" s="183">
        <v>36</v>
      </c>
      <c r="EX108" s="183">
        <v>1907.3</v>
      </c>
      <c r="EY108" s="179"/>
      <c r="EZ108" s="179"/>
      <c r="FA108" s="3">
        <f>FC108/FB108</f>
        <v>32.211111111111116</v>
      </c>
      <c r="FB108" s="185">
        <v>27</v>
      </c>
      <c r="FC108" s="185">
        <v>869.7</v>
      </c>
      <c r="FD108" s="48"/>
      <c r="FE108" s="179"/>
      <c r="FF108" s="3">
        <f>FH108/FG108</f>
        <v>52.978571428571435</v>
      </c>
      <c r="FG108" s="183">
        <v>28</v>
      </c>
      <c r="FH108" s="183">
        <v>1483.4</v>
      </c>
      <c r="FI108" s="179"/>
      <c r="FJ108" s="179"/>
      <c r="FK108" s="3">
        <f>FM108/FL108</f>
        <v>52.978571428571435</v>
      </c>
      <c r="FL108" s="183">
        <v>28</v>
      </c>
      <c r="FM108" s="183">
        <v>1483.4</v>
      </c>
      <c r="FN108" s="179"/>
      <c r="FO108" s="179"/>
      <c r="FP108" s="3">
        <f>FR108/FQ108</f>
        <v>49.68</v>
      </c>
      <c r="FQ108" s="185">
        <v>30</v>
      </c>
      <c r="FR108" s="185">
        <v>1490.4</v>
      </c>
      <c r="FS108" s="48"/>
      <c r="FT108" s="179"/>
      <c r="FU108" s="3">
        <f>FW108/FV108</f>
        <v>52.978260869565219</v>
      </c>
      <c r="FV108" s="183">
        <v>23</v>
      </c>
      <c r="FW108" s="183">
        <v>1218.5</v>
      </c>
      <c r="FX108" s="179"/>
      <c r="FY108" s="179"/>
      <c r="FZ108" s="3">
        <f>GB108/GA108</f>
        <v>52.979166666666664</v>
      </c>
      <c r="GA108" s="183">
        <v>24</v>
      </c>
      <c r="GB108" s="183">
        <v>1271.5</v>
      </c>
      <c r="GC108" s="48"/>
      <c r="GD108" s="179"/>
      <c r="GE108" s="3">
        <f>GG108/GF108</f>
        <v>53.027272727272724</v>
      </c>
      <c r="GF108" s="183">
        <v>22</v>
      </c>
      <c r="GG108" s="183">
        <v>1166.5999999999999</v>
      </c>
      <c r="GH108" s="179"/>
      <c r="GI108" s="179"/>
      <c r="GJ108" s="285">
        <f>GL108/GK108</f>
        <v>32.209523809523809</v>
      </c>
      <c r="GK108" s="185">
        <v>21</v>
      </c>
      <c r="GL108" s="185">
        <v>676.4</v>
      </c>
      <c r="GM108" s="48"/>
      <c r="GN108" s="179"/>
      <c r="GO108" s="3">
        <f>GQ108/GP108</f>
        <v>52.972413793103449</v>
      </c>
      <c r="GP108" s="185">
        <v>29</v>
      </c>
      <c r="GQ108" s="185">
        <v>1536.2</v>
      </c>
      <c r="GR108" s="48"/>
      <c r="GS108" s="179"/>
      <c r="GT108" s="3">
        <f>GV108/GU108</f>
        <v>52.96875</v>
      </c>
      <c r="GU108" s="185">
        <v>32</v>
      </c>
      <c r="GV108" s="185">
        <v>1695</v>
      </c>
      <c r="GW108" s="48"/>
      <c r="GX108" s="179"/>
      <c r="GY108" s="3">
        <f>HA108/GZ108</f>
        <v>53</v>
      </c>
      <c r="GZ108" s="185">
        <v>31</v>
      </c>
      <c r="HA108" s="185">
        <v>1643</v>
      </c>
      <c r="HB108" s="48"/>
      <c r="HC108" s="179"/>
      <c r="HD108" s="3">
        <f>HF108/HE108</f>
        <v>52.980555555555554</v>
      </c>
      <c r="HE108" s="185">
        <v>36</v>
      </c>
      <c r="HF108" s="185">
        <v>1907.3</v>
      </c>
      <c r="HG108" s="48"/>
      <c r="HH108" s="179"/>
      <c r="HI108" s="3">
        <f>HK108/HJ108</f>
        <v>32.211111111111116</v>
      </c>
      <c r="HJ108" s="185">
        <v>27</v>
      </c>
      <c r="HK108" s="185">
        <v>869.7</v>
      </c>
      <c r="HL108" s="48"/>
      <c r="HM108" s="179"/>
      <c r="HN108" s="3">
        <f>HP108/HO108</f>
        <v>52.978571428571435</v>
      </c>
      <c r="HO108" s="185">
        <v>28</v>
      </c>
      <c r="HP108" s="185">
        <v>1483.4</v>
      </c>
      <c r="HQ108" s="48"/>
      <c r="HR108" s="179"/>
      <c r="HS108" s="3">
        <f>HU108/HT108</f>
        <v>52.978571428571435</v>
      </c>
      <c r="HT108" s="185">
        <v>28</v>
      </c>
      <c r="HU108" s="185">
        <v>1483.4</v>
      </c>
      <c r="HV108" s="48"/>
      <c r="HW108" s="179"/>
      <c r="HX108" s="3">
        <f>HZ108/HY108</f>
        <v>49.68</v>
      </c>
      <c r="HY108" s="185">
        <v>30</v>
      </c>
      <c r="HZ108" s="185">
        <v>1490.4</v>
      </c>
      <c r="IA108" s="48"/>
      <c r="IB108" s="179"/>
      <c r="IC108" s="3">
        <f>IE108/ID108</f>
        <v>52.978260869565219</v>
      </c>
      <c r="ID108" s="185">
        <v>23</v>
      </c>
      <c r="IE108" s="185">
        <v>1218.5</v>
      </c>
      <c r="IF108" s="48"/>
      <c r="IG108" s="179"/>
      <c r="IH108" s="3">
        <f>IJ108/II108</f>
        <v>32.20943396226415</v>
      </c>
      <c r="II108" s="185">
        <v>53</v>
      </c>
      <c r="IJ108" s="185">
        <v>1707.1</v>
      </c>
      <c r="IK108" s="48"/>
      <c r="IL108" s="179"/>
      <c r="IM108" s="3">
        <f>IO108/IN108</f>
        <v>32.20943396226415</v>
      </c>
      <c r="IN108" s="185">
        <v>53</v>
      </c>
      <c r="IO108" s="185">
        <v>1707.1</v>
      </c>
      <c r="IP108" s="48"/>
      <c r="IQ108" s="179"/>
    </row>
    <row r="109" spans="1:251" s="711" customFormat="1" ht="15" customHeight="1" thickBot="1">
      <c r="A109" s="739"/>
      <c r="B109" s="740"/>
      <c r="C109" s="741">
        <v>42776352</v>
      </c>
      <c r="D109" s="742" t="s">
        <v>544</v>
      </c>
      <c r="E109" s="743" t="s">
        <v>545</v>
      </c>
      <c r="F109" s="743"/>
      <c r="G109" s="744"/>
      <c r="H109" s="745"/>
      <c r="I109" s="745"/>
      <c r="J109" s="746"/>
      <c r="K109" s="747"/>
      <c r="L109" s="744"/>
      <c r="M109" s="748"/>
      <c r="N109" s="748"/>
      <c r="O109" s="749"/>
      <c r="P109" s="750"/>
      <c r="Q109" s="744"/>
      <c r="R109" s="748"/>
      <c r="S109" s="748"/>
      <c r="T109" s="749"/>
      <c r="U109" s="750"/>
      <c r="V109" s="751"/>
      <c r="W109" s="748"/>
      <c r="X109" s="748"/>
      <c r="Y109" s="749"/>
      <c r="Z109" s="749"/>
      <c r="AA109" s="752"/>
      <c r="AB109" s="748"/>
      <c r="AC109" s="748"/>
      <c r="AD109" s="749"/>
      <c r="AE109" s="749"/>
      <c r="AF109" s="752"/>
      <c r="AG109" s="748"/>
      <c r="AH109" s="748"/>
      <c r="AI109" s="749"/>
      <c r="AJ109" s="749"/>
      <c r="AK109" s="753"/>
      <c r="AL109" s="748"/>
      <c r="AM109" s="748"/>
      <c r="AN109" s="749"/>
      <c r="AO109" s="749"/>
      <c r="AP109" s="752"/>
      <c r="AQ109" s="748"/>
      <c r="AR109" s="748"/>
      <c r="AS109" s="749"/>
      <c r="AT109" s="749"/>
      <c r="AU109" s="752"/>
      <c r="AV109" s="748"/>
      <c r="AW109" s="748"/>
      <c r="AX109" s="749"/>
      <c r="AY109" s="749"/>
      <c r="AZ109" s="752"/>
      <c r="BA109" s="748"/>
      <c r="BB109" s="748"/>
      <c r="BC109" s="749"/>
      <c r="BD109" s="749"/>
      <c r="BE109" s="752"/>
      <c r="BF109" s="748"/>
      <c r="BG109" s="748"/>
      <c r="BH109" s="749"/>
      <c r="BI109" s="749"/>
      <c r="BJ109" s="752"/>
      <c r="BK109" s="748"/>
      <c r="BL109" s="748"/>
      <c r="BM109" s="749"/>
      <c r="BN109" s="749"/>
      <c r="BO109" s="752"/>
      <c r="BP109" s="748"/>
      <c r="BQ109" s="748"/>
      <c r="BR109" s="749"/>
      <c r="BS109" s="749"/>
      <c r="BT109" s="752"/>
      <c r="BU109" s="748"/>
      <c r="BV109" s="748"/>
      <c r="BW109" s="749"/>
      <c r="BX109" s="749"/>
      <c r="BY109" s="752"/>
      <c r="BZ109" s="748"/>
      <c r="CA109" s="748"/>
      <c r="CB109" s="749"/>
      <c r="CC109" s="749"/>
      <c r="CD109" s="752"/>
      <c r="CE109" s="748"/>
      <c r="CF109" s="748"/>
      <c r="CG109" s="749"/>
      <c r="CH109" s="749"/>
      <c r="CI109" s="752"/>
      <c r="CJ109" s="748"/>
      <c r="CK109" s="748"/>
      <c r="CL109" s="749"/>
      <c r="CM109" s="749"/>
      <c r="CN109" s="752"/>
      <c r="CO109" s="754"/>
      <c r="CP109" s="754"/>
      <c r="CQ109" s="746"/>
      <c r="CR109" s="749"/>
      <c r="CS109" s="752"/>
      <c r="CT109" s="748"/>
      <c r="CU109" s="748"/>
      <c r="CV109" s="749"/>
      <c r="CW109" s="749"/>
      <c r="CX109" s="752"/>
      <c r="CY109" s="748"/>
      <c r="CZ109" s="748"/>
      <c r="DA109" s="749"/>
      <c r="DB109" s="749"/>
      <c r="DC109" s="752"/>
      <c r="DD109" s="754"/>
      <c r="DE109" s="754"/>
      <c r="DF109" s="746"/>
      <c r="DG109" s="749"/>
      <c r="DH109" s="752"/>
      <c r="DI109" s="754"/>
      <c r="DJ109" s="754"/>
      <c r="DK109" s="746"/>
      <c r="DL109" s="749"/>
      <c r="DM109" s="752"/>
      <c r="DN109" s="754"/>
      <c r="DO109" s="754"/>
      <c r="DP109" s="746"/>
      <c r="DQ109" s="749"/>
      <c r="DR109" s="752"/>
      <c r="DS109" s="754"/>
      <c r="DT109" s="754"/>
      <c r="DU109" s="746"/>
      <c r="DV109" s="749"/>
      <c r="DW109" s="752"/>
      <c r="DX109" s="754"/>
      <c r="DY109" s="754"/>
      <c r="DZ109" s="746"/>
      <c r="EA109" s="749"/>
      <c r="EB109" s="752"/>
      <c r="EC109" s="754"/>
      <c r="ED109" s="754"/>
      <c r="EE109" s="746"/>
      <c r="EF109" s="749"/>
      <c r="EG109" s="752"/>
      <c r="EH109" s="754"/>
      <c r="EI109" s="754"/>
      <c r="EJ109" s="746"/>
      <c r="EK109" s="749"/>
      <c r="EL109" s="752"/>
      <c r="EM109" s="754"/>
      <c r="EN109" s="754"/>
      <c r="EO109" s="746"/>
      <c r="EP109" s="749"/>
      <c r="EQ109" s="752"/>
      <c r="ER109" s="754"/>
      <c r="ES109" s="754"/>
      <c r="ET109" s="746"/>
      <c r="EU109" s="749"/>
      <c r="EV109" s="752"/>
      <c r="EW109" s="754"/>
      <c r="EX109" s="754"/>
      <c r="EY109" s="746"/>
      <c r="EZ109" s="749"/>
      <c r="FA109" s="752"/>
      <c r="FB109" s="754"/>
      <c r="FC109" s="754"/>
      <c r="FD109" s="746"/>
      <c r="FE109" s="749"/>
      <c r="FF109" s="752"/>
      <c r="FG109" s="754"/>
      <c r="FH109" s="754"/>
      <c r="FI109" s="746"/>
      <c r="FJ109" s="749"/>
      <c r="FK109" s="752"/>
      <c r="FL109" s="754"/>
      <c r="FM109" s="754"/>
      <c r="FN109" s="746"/>
      <c r="FO109" s="749"/>
      <c r="FP109" s="752"/>
      <c r="FQ109" s="754"/>
      <c r="FR109" s="754"/>
      <c r="FS109" s="746"/>
      <c r="FT109" s="749"/>
      <c r="FU109" s="752"/>
      <c r="FV109" s="754"/>
      <c r="FW109" s="754"/>
      <c r="FX109" s="746"/>
      <c r="FY109" s="749"/>
      <c r="FZ109" s="752"/>
      <c r="GA109" s="754"/>
      <c r="GB109" s="754"/>
      <c r="GC109" s="746"/>
      <c r="GD109" s="749"/>
      <c r="GE109" s="752"/>
      <c r="GF109" s="754"/>
      <c r="GG109" s="754"/>
      <c r="GH109" s="746"/>
      <c r="GI109" s="749"/>
      <c r="GJ109" s="753"/>
      <c r="GK109" s="754"/>
      <c r="GL109" s="754"/>
      <c r="GM109" s="746"/>
      <c r="GN109" s="749"/>
      <c r="GO109" s="752"/>
      <c r="GP109" s="754"/>
      <c r="GQ109" s="754"/>
      <c r="GR109" s="746"/>
      <c r="GS109" s="749"/>
      <c r="GT109" s="752"/>
      <c r="GU109" s="754"/>
      <c r="GV109" s="754"/>
      <c r="GW109" s="746"/>
      <c r="GX109" s="749"/>
      <c r="GY109" s="752"/>
      <c r="GZ109" s="754"/>
      <c r="HA109" s="754"/>
      <c r="HB109" s="746"/>
      <c r="HC109" s="749"/>
      <c r="HD109" s="752"/>
      <c r="HE109" s="754"/>
      <c r="HF109" s="754"/>
      <c r="HG109" s="746"/>
      <c r="HH109" s="749"/>
      <c r="HI109" s="752"/>
      <c r="HJ109" s="754"/>
      <c r="HK109" s="754"/>
      <c r="HL109" s="746"/>
      <c r="HM109" s="749"/>
      <c r="HN109" s="752"/>
      <c r="HO109" s="754"/>
      <c r="HP109" s="754"/>
      <c r="HQ109" s="746"/>
      <c r="HR109" s="749"/>
      <c r="HS109" s="752"/>
      <c r="HT109" s="754"/>
      <c r="HU109" s="754"/>
      <c r="HV109" s="746"/>
      <c r="HW109" s="749"/>
      <c r="HX109" s="752"/>
      <c r="HY109" s="754"/>
      <c r="HZ109" s="754"/>
      <c r="IA109" s="746"/>
      <c r="IB109" s="749"/>
      <c r="IC109" s="752"/>
      <c r="ID109" s="754"/>
      <c r="IE109" s="754"/>
      <c r="IF109" s="746"/>
      <c r="IG109" s="749"/>
      <c r="IH109" s="752"/>
      <c r="II109" s="754"/>
      <c r="IJ109" s="754"/>
      <c r="IK109" s="746"/>
      <c r="IL109" s="749"/>
      <c r="IM109" s="752"/>
      <c r="IN109" s="754"/>
      <c r="IO109" s="754"/>
      <c r="IP109" s="746"/>
      <c r="IQ109" s="749"/>
    </row>
    <row r="110" spans="1:251" s="249" customFormat="1" ht="15" customHeight="1">
      <c r="A110" s="738"/>
      <c r="B110" s="281" t="s">
        <v>309</v>
      </c>
      <c r="C110" s="278" t="s">
        <v>62</v>
      </c>
      <c r="D110" s="32" t="s">
        <v>19</v>
      </c>
      <c r="E110" s="279" t="s">
        <v>10</v>
      </c>
      <c r="F110" s="310"/>
      <c r="G110" s="205"/>
      <c r="H110" s="197"/>
      <c r="I110" s="197"/>
      <c r="J110" s="38"/>
      <c r="K110" s="206"/>
      <c r="L110" s="205"/>
      <c r="M110" s="197"/>
      <c r="N110" s="197"/>
      <c r="O110" s="38"/>
      <c r="P110" s="206"/>
      <c r="Q110" s="205"/>
      <c r="R110" s="197"/>
      <c r="S110" s="197"/>
      <c r="T110" s="38"/>
      <c r="U110" s="206"/>
      <c r="V110" s="210"/>
      <c r="W110" s="197"/>
      <c r="X110" s="197"/>
      <c r="Y110" s="38"/>
      <c r="Z110" s="38"/>
      <c r="AA110" s="280"/>
      <c r="AB110" s="197"/>
      <c r="AC110" s="197"/>
      <c r="AD110" s="38"/>
      <c r="AE110" s="38"/>
      <c r="AF110" s="280"/>
      <c r="AG110" s="197"/>
      <c r="AH110" s="197"/>
      <c r="AI110" s="38"/>
      <c r="AJ110" s="38"/>
      <c r="AK110" s="280"/>
      <c r="AL110" s="197"/>
      <c r="AM110" s="197"/>
      <c r="AN110" s="38"/>
      <c r="AO110" s="38"/>
      <c r="AP110" s="280"/>
      <c r="AQ110" s="197"/>
      <c r="AR110" s="197"/>
      <c r="AS110" s="38"/>
      <c r="AT110" s="38"/>
      <c r="AU110" s="280"/>
      <c r="AV110" s="197"/>
      <c r="AW110" s="197"/>
      <c r="AX110" s="38"/>
      <c r="AY110" s="38"/>
      <c r="AZ110" s="280"/>
      <c r="BA110" s="197"/>
      <c r="BB110" s="197"/>
      <c r="BC110" s="38"/>
      <c r="BD110" s="38"/>
      <c r="BE110" s="280"/>
      <c r="BF110" s="197"/>
      <c r="BG110" s="197"/>
      <c r="BH110" s="38"/>
      <c r="BI110" s="38"/>
      <c r="BJ110" s="280"/>
      <c r="BK110" s="197"/>
      <c r="BL110" s="197"/>
      <c r="BM110" s="38"/>
      <c r="BN110" s="38"/>
      <c r="BO110" s="280"/>
      <c r="BP110" s="197"/>
      <c r="BQ110" s="197"/>
      <c r="BR110" s="38"/>
      <c r="BS110" s="38"/>
      <c r="BT110" s="280"/>
      <c r="BU110" s="197"/>
      <c r="BV110" s="197"/>
      <c r="BW110" s="38"/>
      <c r="BX110" s="38"/>
      <c r="BY110" s="280"/>
      <c r="BZ110" s="197"/>
      <c r="CA110" s="197"/>
      <c r="CB110" s="38"/>
      <c r="CC110" s="38"/>
      <c r="CD110" s="280"/>
      <c r="CE110" s="197"/>
      <c r="CF110" s="197"/>
      <c r="CG110" s="38"/>
      <c r="CH110" s="38"/>
      <c r="CI110" s="280"/>
      <c r="CJ110" s="197"/>
      <c r="CK110" s="197"/>
      <c r="CL110" s="38"/>
      <c r="CM110" s="38"/>
      <c r="CN110" s="280"/>
      <c r="CO110" s="197"/>
      <c r="CP110" s="197"/>
      <c r="CQ110" s="38"/>
      <c r="CR110" s="38"/>
      <c r="CS110" s="280"/>
      <c r="CT110" s="197"/>
      <c r="CU110" s="197"/>
      <c r="CV110" s="38"/>
      <c r="CW110" s="38"/>
      <c r="CX110" s="280"/>
      <c r="CY110" s="197"/>
      <c r="CZ110" s="197"/>
      <c r="DA110" s="38"/>
      <c r="DB110" s="38"/>
      <c r="DC110" s="280"/>
      <c r="DD110" s="197"/>
      <c r="DE110" s="197"/>
      <c r="DF110" s="38"/>
      <c r="DG110" s="38"/>
      <c r="DH110" s="280"/>
      <c r="DI110" s="197"/>
      <c r="DJ110" s="197"/>
      <c r="DK110" s="38"/>
      <c r="DL110" s="38"/>
      <c r="DM110" s="280"/>
      <c r="DN110" s="197"/>
      <c r="DO110" s="197"/>
      <c r="DP110" s="38"/>
      <c r="DQ110" s="38"/>
      <c r="DR110" s="280"/>
      <c r="DS110" s="197"/>
      <c r="DT110" s="197"/>
      <c r="DU110" s="38"/>
      <c r="DV110" s="38"/>
      <c r="DW110" s="280"/>
      <c r="DX110" s="197"/>
      <c r="DY110" s="197"/>
      <c r="DZ110" s="38"/>
      <c r="EA110" s="38"/>
      <c r="EB110" s="280"/>
      <c r="EC110" s="197"/>
      <c r="ED110" s="197"/>
      <c r="EE110" s="38"/>
      <c r="EF110" s="38"/>
      <c r="EG110" s="280"/>
      <c r="EH110" s="197"/>
      <c r="EI110" s="197"/>
      <c r="EJ110" s="38"/>
      <c r="EK110" s="38"/>
      <c r="EL110" s="280"/>
      <c r="EM110" s="197"/>
      <c r="EN110" s="197"/>
      <c r="EO110" s="38"/>
      <c r="EP110" s="38"/>
      <c r="EQ110" s="280"/>
      <c r="ER110" s="197"/>
      <c r="ES110" s="197"/>
      <c r="ET110" s="38"/>
      <c r="EU110" s="38"/>
      <c r="EV110" s="280"/>
      <c r="EW110" s="197"/>
      <c r="EX110" s="197"/>
      <c r="EY110" s="38"/>
      <c r="EZ110" s="38"/>
      <c r="FA110" s="280"/>
      <c r="FB110" s="197"/>
      <c r="FC110" s="197"/>
      <c r="FD110" s="38"/>
      <c r="FE110" s="38"/>
      <c r="FF110" s="280"/>
      <c r="FG110" s="197"/>
      <c r="FH110" s="197"/>
      <c r="FI110" s="38"/>
      <c r="FJ110" s="38"/>
      <c r="FK110" s="280"/>
      <c r="FL110" s="197"/>
      <c r="FM110" s="197"/>
      <c r="FN110" s="38"/>
      <c r="FO110" s="38"/>
      <c r="FP110" s="280"/>
      <c r="FQ110" s="197"/>
      <c r="FR110" s="197"/>
      <c r="FS110" s="38"/>
      <c r="FT110" s="38"/>
      <c r="FU110" s="280"/>
      <c r="FV110" s="197"/>
      <c r="FW110" s="197"/>
      <c r="FX110" s="38"/>
      <c r="FY110" s="38"/>
      <c r="FZ110" s="280"/>
      <c r="GA110" s="197"/>
      <c r="GB110" s="197"/>
      <c r="GC110" s="38"/>
      <c r="GD110" s="38"/>
      <c r="GE110" s="280"/>
      <c r="GF110" s="197"/>
      <c r="GG110" s="197"/>
      <c r="GH110" s="38"/>
      <c r="GI110" s="38"/>
      <c r="GJ110" s="280"/>
      <c r="GK110" s="197"/>
      <c r="GL110" s="197"/>
      <c r="GM110" s="38"/>
      <c r="GN110" s="38"/>
      <c r="GO110" s="280"/>
      <c r="GP110" s="197"/>
      <c r="GQ110" s="197"/>
      <c r="GR110" s="38"/>
      <c r="GS110" s="38"/>
      <c r="GT110" s="280"/>
      <c r="GU110" s="197"/>
      <c r="GV110" s="197"/>
      <c r="GW110" s="38"/>
      <c r="GX110" s="38"/>
      <c r="GY110" s="280"/>
      <c r="GZ110" s="197"/>
      <c r="HA110" s="197"/>
      <c r="HB110" s="38"/>
      <c r="HC110" s="38"/>
      <c r="HD110" s="280"/>
      <c r="HE110" s="197"/>
      <c r="HF110" s="197"/>
      <c r="HG110" s="38"/>
      <c r="HH110" s="38"/>
      <c r="HI110" s="280"/>
      <c r="HJ110" s="197"/>
      <c r="HK110" s="197"/>
      <c r="HL110" s="38"/>
      <c r="HM110" s="38"/>
      <c r="HN110" s="280"/>
      <c r="HO110" s="197"/>
      <c r="HP110" s="197"/>
      <c r="HQ110" s="38"/>
      <c r="HR110" s="38"/>
      <c r="HS110" s="280"/>
      <c r="HT110" s="197"/>
      <c r="HU110" s="197"/>
      <c r="HV110" s="38"/>
      <c r="HW110" s="38"/>
      <c r="HX110" s="280"/>
      <c r="HY110" s="197"/>
      <c r="HZ110" s="197"/>
      <c r="IA110" s="38"/>
      <c r="IB110" s="38"/>
      <c r="IC110" s="280"/>
      <c r="ID110" s="197"/>
      <c r="IE110" s="197"/>
      <c r="IF110" s="38"/>
      <c r="IG110" s="38"/>
      <c r="IH110" s="280"/>
      <c r="II110" s="197"/>
      <c r="IJ110" s="197"/>
      <c r="IK110" s="38"/>
      <c r="IL110" s="38"/>
      <c r="IM110" s="280"/>
      <c r="IN110" s="197"/>
      <c r="IO110" s="197"/>
      <c r="IP110" s="38"/>
      <c r="IQ110" s="38"/>
    </row>
    <row r="111" spans="1:251" ht="3.75" customHeight="1">
      <c r="A111" s="721"/>
      <c r="B111" s="282"/>
      <c r="C111" s="228"/>
      <c r="D111" s="220" t="s">
        <v>63</v>
      </c>
      <c r="E111" s="231" t="s">
        <v>11</v>
      </c>
      <c r="F111" s="29"/>
      <c r="G111" s="109"/>
      <c r="H111" s="56">
        <v>0</v>
      </c>
      <c r="I111" s="56">
        <v>7717</v>
      </c>
      <c r="J111" s="44"/>
      <c r="K111" s="86"/>
      <c r="L111" s="109"/>
      <c r="M111" s="56">
        <v>0</v>
      </c>
      <c r="N111" s="56">
        <v>7717</v>
      </c>
      <c r="O111" s="44"/>
      <c r="P111" s="86"/>
      <c r="Q111" s="109"/>
      <c r="R111" s="56">
        <v>0</v>
      </c>
      <c r="S111" s="56">
        <v>7717</v>
      </c>
      <c r="T111" s="44"/>
      <c r="U111" s="86"/>
      <c r="V111" s="120"/>
      <c r="W111" s="56">
        <v>0</v>
      </c>
      <c r="X111" s="56">
        <v>7717</v>
      </c>
      <c r="Y111" s="44"/>
      <c r="Z111" s="44"/>
      <c r="AA111" s="97"/>
      <c r="AB111" s="56">
        <v>0</v>
      </c>
      <c r="AC111" s="56">
        <v>7717</v>
      </c>
      <c r="AD111" s="44"/>
      <c r="AE111" s="44"/>
      <c r="AF111" s="97"/>
      <c r="AG111" s="56">
        <v>0</v>
      </c>
      <c r="AH111" s="56">
        <v>7717</v>
      </c>
      <c r="AI111" s="44"/>
      <c r="AJ111" s="44"/>
      <c r="AK111" s="97"/>
      <c r="AL111" s="56">
        <v>0</v>
      </c>
      <c r="AM111" s="56">
        <v>7717</v>
      </c>
      <c r="AN111" s="44"/>
      <c r="AO111" s="44"/>
      <c r="AP111" s="97"/>
      <c r="AQ111" s="56">
        <v>0</v>
      </c>
      <c r="AR111" s="56">
        <v>7717</v>
      </c>
      <c r="AS111" s="44"/>
      <c r="AT111" s="44"/>
      <c r="AU111" s="97"/>
      <c r="AV111" s="56">
        <v>0</v>
      </c>
      <c r="AW111" s="56">
        <v>7717</v>
      </c>
      <c r="AX111" s="44"/>
      <c r="AY111" s="44"/>
      <c r="AZ111" s="97"/>
      <c r="BA111" s="56">
        <v>0</v>
      </c>
      <c r="BB111" s="56">
        <v>7717</v>
      </c>
      <c r="BC111" s="44"/>
      <c r="BD111" s="44"/>
      <c r="BE111" s="97"/>
      <c r="BF111" s="56">
        <v>0</v>
      </c>
      <c r="BG111" s="56">
        <v>7717</v>
      </c>
      <c r="BH111" s="44"/>
      <c r="BI111" s="44"/>
      <c r="BJ111" s="97"/>
      <c r="BK111" s="56">
        <v>0</v>
      </c>
      <c r="BL111" s="56">
        <v>7717</v>
      </c>
      <c r="BM111" s="44"/>
      <c r="BN111" s="44"/>
      <c r="BO111" s="97"/>
      <c r="BP111" s="56">
        <v>0</v>
      </c>
      <c r="BQ111" s="56">
        <v>7717</v>
      </c>
      <c r="BR111" s="44"/>
      <c r="BS111" s="44"/>
      <c r="BT111" s="97"/>
      <c r="BU111" s="56"/>
      <c r="BV111" s="56"/>
      <c r="BW111" s="44"/>
      <c r="BX111" s="44"/>
      <c r="BY111" s="97"/>
      <c r="BZ111" s="56"/>
      <c r="CA111" s="56"/>
      <c r="CB111" s="44"/>
      <c r="CC111" s="44"/>
      <c r="CD111" s="97"/>
      <c r="CE111" s="56">
        <v>0</v>
      </c>
      <c r="CF111" s="56">
        <v>7717</v>
      </c>
      <c r="CG111" s="44"/>
      <c r="CH111" s="44"/>
      <c r="CI111" s="97"/>
      <c r="CJ111" s="56">
        <v>0</v>
      </c>
      <c r="CK111" s="56">
        <v>7717</v>
      </c>
      <c r="CL111" s="44"/>
      <c r="CM111" s="44"/>
      <c r="CN111" s="97"/>
      <c r="CO111" s="56">
        <v>0</v>
      </c>
      <c r="CP111" s="56">
        <v>7717</v>
      </c>
      <c r="CQ111" s="44"/>
      <c r="CR111" s="44"/>
      <c r="CS111" s="97"/>
      <c r="CT111" s="56">
        <v>0</v>
      </c>
      <c r="CU111" s="56">
        <v>7717</v>
      </c>
      <c r="CV111" s="44"/>
      <c r="CW111" s="44"/>
      <c r="CX111" s="97"/>
      <c r="CY111" s="56">
        <v>0</v>
      </c>
      <c r="CZ111" s="56">
        <v>7717</v>
      </c>
      <c r="DA111" s="44"/>
      <c r="DB111" s="44"/>
      <c r="DC111" s="97"/>
      <c r="DD111" s="56">
        <v>0</v>
      </c>
      <c r="DE111" s="56">
        <v>7717</v>
      </c>
      <c r="DF111" s="44"/>
      <c r="DG111" s="44"/>
      <c r="DH111" s="97"/>
      <c r="DI111" s="56">
        <v>0</v>
      </c>
      <c r="DJ111" s="56">
        <v>7717</v>
      </c>
      <c r="DK111" s="44"/>
      <c r="DL111" s="44"/>
      <c r="DM111" s="97"/>
      <c r="DN111" s="56">
        <v>0</v>
      </c>
      <c r="DO111" s="56">
        <v>7717</v>
      </c>
      <c r="DP111" s="44"/>
      <c r="DQ111" s="44"/>
      <c r="DR111" s="97"/>
      <c r="DS111" s="56">
        <v>0</v>
      </c>
      <c r="DT111" s="56">
        <v>7717</v>
      </c>
      <c r="DU111" s="44"/>
      <c r="DV111" s="44"/>
      <c r="DW111" s="97"/>
      <c r="DX111" s="56">
        <v>0</v>
      </c>
      <c r="DY111" s="56">
        <v>7717</v>
      </c>
      <c r="DZ111" s="44"/>
      <c r="EA111" s="44"/>
      <c r="EB111" s="97"/>
      <c r="EC111" s="56"/>
      <c r="ED111" s="56"/>
      <c r="EE111" s="44"/>
      <c r="EF111" s="44"/>
      <c r="EG111" s="97"/>
      <c r="EH111" s="56"/>
      <c r="EI111" s="56"/>
      <c r="EJ111" s="44"/>
      <c r="EK111" s="44"/>
      <c r="EL111" s="97"/>
      <c r="EM111" s="56">
        <v>0</v>
      </c>
      <c r="EN111" s="56">
        <v>7717</v>
      </c>
      <c r="EO111" s="44"/>
      <c r="EP111" s="44"/>
      <c r="EQ111" s="97"/>
      <c r="ER111" s="56">
        <v>0</v>
      </c>
      <c r="ES111" s="56">
        <v>7717</v>
      </c>
      <c r="ET111" s="44"/>
      <c r="EU111" s="44"/>
      <c r="EV111" s="97"/>
      <c r="EW111" s="56">
        <v>0</v>
      </c>
      <c r="EX111" s="56">
        <v>7717</v>
      </c>
      <c r="EY111" s="44"/>
      <c r="EZ111" s="44"/>
      <c r="FA111" s="97"/>
      <c r="FB111" s="56">
        <v>0</v>
      </c>
      <c r="FC111" s="56">
        <v>7717</v>
      </c>
      <c r="FD111" s="44"/>
      <c r="FE111" s="44"/>
      <c r="FF111" s="97"/>
      <c r="FG111" s="56">
        <v>0</v>
      </c>
      <c r="FH111" s="56">
        <v>7717</v>
      </c>
      <c r="FI111" s="44"/>
      <c r="FJ111" s="44"/>
      <c r="FK111" s="97"/>
      <c r="FL111" s="56">
        <v>0</v>
      </c>
      <c r="FM111" s="56">
        <v>7717</v>
      </c>
      <c r="FN111" s="44"/>
      <c r="FO111" s="44"/>
      <c r="FP111" s="97"/>
      <c r="FQ111" s="56">
        <v>0</v>
      </c>
      <c r="FR111" s="56">
        <v>7717</v>
      </c>
      <c r="FS111" s="44"/>
      <c r="FT111" s="44"/>
      <c r="FU111" s="97"/>
      <c r="FV111" s="56">
        <v>0</v>
      </c>
      <c r="FW111" s="56">
        <v>7717</v>
      </c>
      <c r="FX111" s="44"/>
      <c r="FY111" s="44"/>
      <c r="FZ111" s="97"/>
      <c r="GA111" s="56">
        <v>0</v>
      </c>
      <c r="GB111" s="56">
        <v>7717</v>
      </c>
      <c r="GC111" s="44"/>
      <c r="GD111" s="44"/>
      <c r="GE111" s="97"/>
      <c r="GF111" s="56">
        <v>0</v>
      </c>
      <c r="GG111" s="56">
        <v>7717</v>
      </c>
      <c r="GH111" s="44"/>
      <c r="GI111" s="44"/>
      <c r="GJ111" s="97"/>
      <c r="GK111" s="56"/>
      <c r="GL111" s="56"/>
      <c r="GM111" s="44"/>
      <c r="GN111" s="44"/>
      <c r="GO111" s="97"/>
      <c r="GP111" s="56"/>
      <c r="GQ111" s="56"/>
      <c r="GR111" s="44"/>
      <c r="GS111" s="44"/>
      <c r="GT111" s="97"/>
      <c r="GU111" s="56">
        <v>0</v>
      </c>
      <c r="GV111" s="56">
        <v>7717</v>
      </c>
      <c r="GW111" s="44"/>
      <c r="GX111" s="44"/>
      <c r="GY111" s="97"/>
      <c r="GZ111" s="56">
        <v>0</v>
      </c>
      <c r="HA111" s="56">
        <v>7717</v>
      </c>
      <c r="HB111" s="44"/>
      <c r="HC111" s="44"/>
      <c r="HD111" s="97"/>
      <c r="HE111" s="56">
        <v>0</v>
      </c>
      <c r="HF111" s="56">
        <v>7717</v>
      </c>
      <c r="HG111" s="44"/>
      <c r="HH111" s="44"/>
      <c r="HI111" s="97"/>
      <c r="HJ111" s="56">
        <v>0</v>
      </c>
      <c r="HK111" s="56">
        <v>7717</v>
      </c>
      <c r="HL111" s="44"/>
      <c r="HM111" s="44"/>
      <c r="HN111" s="97"/>
      <c r="HO111" s="56">
        <v>0</v>
      </c>
      <c r="HP111" s="56">
        <v>7717</v>
      </c>
      <c r="HQ111" s="44"/>
      <c r="HR111" s="44"/>
      <c r="HS111" s="97"/>
      <c r="HT111" s="56">
        <v>0</v>
      </c>
      <c r="HU111" s="56">
        <v>7717</v>
      </c>
      <c r="HV111" s="44"/>
      <c r="HW111" s="44"/>
      <c r="HX111" s="97"/>
      <c r="HY111" s="56">
        <v>0</v>
      </c>
      <c r="HZ111" s="56">
        <v>7717</v>
      </c>
      <c r="IA111" s="44"/>
      <c r="IB111" s="44"/>
      <c r="IC111" s="97"/>
      <c r="ID111" s="56">
        <v>0</v>
      </c>
      <c r="IE111" s="56">
        <v>7717</v>
      </c>
      <c r="IF111" s="44"/>
      <c r="IG111" s="44"/>
      <c r="IH111" s="97"/>
      <c r="II111" s="56">
        <v>0</v>
      </c>
      <c r="IJ111" s="56">
        <v>7717</v>
      </c>
      <c r="IK111" s="44"/>
      <c r="IL111" s="44"/>
      <c r="IM111" s="97"/>
      <c r="IN111" s="56">
        <v>0</v>
      </c>
      <c r="IO111" s="56">
        <v>7717</v>
      </c>
      <c r="IP111" s="44"/>
      <c r="IQ111" s="44"/>
    </row>
    <row r="112" spans="1:251" ht="0.75" customHeight="1">
      <c r="A112" s="721"/>
      <c r="B112" s="282"/>
      <c r="C112" s="228"/>
      <c r="D112" s="220" t="s">
        <v>64</v>
      </c>
      <c r="E112" s="231" t="s">
        <v>13</v>
      </c>
      <c r="F112" s="29"/>
      <c r="G112" s="110"/>
      <c r="H112" s="58">
        <v>0</v>
      </c>
      <c r="I112" s="58">
        <v>0</v>
      </c>
      <c r="J112" s="44"/>
      <c r="K112" s="86"/>
      <c r="L112" s="110"/>
      <c r="M112" s="58">
        <v>0</v>
      </c>
      <c r="N112" s="58">
        <v>0</v>
      </c>
      <c r="O112" s="44"/>
      <c r="P112" s="86"/>
      <c r="Q112" s="110"/>
      <c r="R112" s="58">
        <v>0</v>
      </c>
      <c r="S112" s="58">
        <v>0</v>
      </c>
      <c r="T112" s="44"/>
      <c r="U112" s="86"/>
      <c r="V112" s="121"/>
      <c r="W112" s="58">
        <v>0</v>
      </c>
      <c r="X112" s="58">
        <v>0</v>
      </c>
      <c r="Y112" s="44"/>
      <c r="Z112" s="44"/>
      <c r="AA112" s="98"/>
      <c r="AB112" s="58">
        <v>0</v>
      </c>
      <c r="AC112" s="58">
        <v>0</v>
      </c>
      <c r="AD112" s="44"/>
      <c r="AE112" s="44"/>
      <c r="AF112" s="98"/>
      <c r="AG112" s="58">
        <v>0</v>
      </c>
      <c r="AH112" s="58">
        <v>0</v>
      </c>
      <c r="AI112" s="44"/>
      <c r="AJ112" s="44"/>
      <c r="AK112" s="98"/>
      <c r="AL112" s="58">
        <v>0</v>
      </c>
      <c r="AM112" s="58">
        <v>0</v>
      </c>
      <c r="AN112" s="44"/>
      <c r="AO112" s="44"/>
      <c r="AP112" s="98"/>
      <c r="AQ112" s="58">
        <v>0</v>
      </c>
      <c r="AR112" s="58">
        <v>0</v>
      </c>
      <c r="AS112" s="44"/>
      <c r="AT112" s="44"/>
      <c r="AU112" s="98"/>
      <c r="AV112" s="58">
        <v>0</v>
      </c>
      <c r="AW112" s="58">
        <v>0</v>
      </c>
      <c r="AX112" s="44"/>
      <c r="AY112" s="44"/>
      <c r="AZ112" s="98"/>
      <c r="BA112" s="58">
        <v>0</v>
      </c>
      <c r="BB112" s="58">
        <v>0</v>
      </c>
      <c r="BC112" s="44"/>
      <c r="BD112" s="44"/>
      <c r="BE112" s="98"/>
      <c r="BF112" s="58">
        <v>0</v>
      </c>
      <c r="BG112" s="58">
        <v>0</v>
      </c>
      <c r="BH112" s="44"/>
      <c r="BI112" s="44"/>
      <c r="BJ112" s="98"/>
      <c r="BK112" s="58">
        <v>0</v>
      </c>
      <c r="BL112" s="58">
        <v>0</v>
      </c>
      <c r="BM112" s="44"/>
      <c r="BN112" s="44"/>
      <c r="BO112" s="98"/>
      <c r="BP112" s="58">
        <v>0</v>
      </c>
      <c r="BQ112" s="58">
        <v>0</v>
      </c>
      <c r="BR112" s="44"/>
      <c r="BS112" s="44"/>
      <c r="BT112" s="98"/>
      <c r="BU112" s="58"/>
      <c r="BV112" s="58"/>
      <c r="BW112" s="44"/>
      <c r="BX112" s="44"/>
      <c r="BY112" s="98"/>
      <c r="BZ112" s="58"/>
      <c r="CA112" s="58"/>
      <c r="CB112" s="44"/>
      <c r="CC112" s="44"/>
      <c r="CD112" s="98"/>
      <c r="CE112" s="58">
        <v>0</v>
      </c>
      <c r="CF112" s="58">
        <v>0</v>
      </c>
      <c r="CG112" s="44"/>
      <c r="CH112" s="44"/>
      <c r="CI112" s="98"/>
      <c r="CJ112" s="58">
        <v>0</v>
      </c>
      <c r="CK112" s="58">
        <v>0</v>
      </c>
      <c r="CL112" s="44"/>
      <c r="CM112" s="44"/>
      <c r="CN112" s="98"/>
      <c r="CO112" s="58">
        <v>0</v>
      </c>
      <c r="CP112" s="58">
        <v>0</v>
      </c>
      <c r="CQ112" s="44"/>
      <c r="CR112" s="44"/>
      <c r="CS112" s="98"/>
      <c r="CT112" s="58">
        <v>0</v>
      </c>
      <c r="CU112" s="58">
        <v>0</v>
      </c>
      <c r="CV112" s="44"/>
      <c r="CW112" s="44"/>
      <c r="CX112" s="98"/>
      <c r="CY112" s="58">
        <v>0</v>
      </c>
      <c r="CZ112" s="58">
        <v>0</v>
      </c>
      <c r="DA112" s="44"/>
      <c r="DB112" s="44"/>
      <c r="DC112" s="98"/>
      <c r="DD112" s="58">
        <v>0</v>
      </c>
      <c r="DE112" s="58">
        <v>0</v>
      </c>
      <c r="DF112" s="44"/>
      <c r="DG112" s="44"/>
      <c r="DH112" s="98"/>
      <c r="DI112" s="58">
        <v>0</v>
      </c>
      <c r="DJ112" s="58">
        <v>0</v>
      </c>
      <c r="DK112" s="44"/>
      <c r="DL112" s="44"/>
      <c r="DM112" s="98"/>
      <c r="DN112" s="58">
        <v>0</v>
      </c>
      <c r="DO112" s="58">
        <v>0</v>
      </c>
      <c r="DP112" s="44"/>
      <c r="DQ112" s="44"/>
      <c r="DR112" s="98"/>
      <c r="DS112" s="58">
        <v>0</v>
      </c>
      <c r="DT112" s="58">
        <v>0</v>
      </c>
      <c r="DU112" s="44"/>
      <c r="DV112" s="44"/>
      <c r="DW112" s="98"/>
      <c r="DX112" s="58">
        <v>0</v>
      </c>
      <c r="DY112" s="58">
        <v>0</v>
      </c>
      <c r="DZ112" s="44"/>
      <c r="EA112" s="44"/>
      <c r="EB112" s="98"/>
      <c r="EC112" s="58"/>
      <c r="ED112" s="58"/>
      <c r="EE112" s="44"/>
      <c r="EF112" s="44"/>
      <c r="EG112" s="98"/>
      <c r="EH112" s="58"/>
      <c r="EI112" s="58"/>
      <c r="EJ112" s="44"/>
      <c r="EK112" s="44"/>
      <c r="EL112" s="98"/>
      <c r="EM112" s="58">
        <v>0</v>
      </c>
      <c r="EN112" s="58">
        <v>0</v>
      </c>
      <c r="EO112" s="44"/>
      <c r="EP112" s="44"/>
      <c r="EQ112" s="98"/>
      <c r="ER112" s="58">
        <v>0</v>
      </c>
      <c r="ES112" s="58">
        <v>0</v>
      </c>
      <c r="ET112" s="44"/>
      <c r="EU112" s="44"/>
      <c r="EV112" s="98"/>
      <c r="EW112" s="58">
        <v>0</v>
      </c>
      <c r="EX112" s="58">
        <v>0</v>
      </c>
      <c r="EY112" s="44"/>
      <c r="EZ112" s="44"/>
      <c r="FA112" s="98"/>
      <c r="FB112" s="58">
        <v>0</v>
      </c>
      <c r="FC112" s="58">
        <v>0</v>
      </c>
      <c r="FD112" s="44"/>
      <c r="FE112" s="44"/>
      <c r="FF112" s="98"/>
      <c r="FG112" s="58">
        <v>0</v>
      </c>
      <c r="FH112" s="58">
        <v>0</v>
      </c>
      <c r="FI112" s="44"/>
      <c r="FJ112" s="44"/>
      <c r="FK112" s="98"/>
      <c r="FL112" s="58">
        <v>0</v>
      </c>
      <c r="FM112" s="58">
        <v>0</v>
      </c>
      <c r="FN112" s="44"/>
      <c r="FO112" s="44"/>
      <c r="FP112" s="98"/>
      <c r="FQ112" s="58">
        <v>0</v>
      </c>
      <c r="FR112" s="58">
        <v>0</v>
      </c>
      <c r="FS112" s="44"/>
      <c r="FT112" s="44"/>
      <c r="FU112" s="98"/>
      <c r="FV112" s="58">
        <v>0</v>
      </c>
      <c r="FW112" s="58">
        <v>0</v>
      </c>
      <c r="FX112" s="44"/>
      <c r="FY112" s="44"/>
      <c r="FZ112" s="98"/>
      <c r="GA112" s="58">
        <v>0</v>
      </c>
      <c r="GB112" s="58">
        <v>0</v>
      </c>
      <c r="GC112" s="44"/>
      <c r="GD112" s="44"/>
      <c r="GE112" s="98"/>
      <c r="GF112" s="58">
        <v>0</v>
      </c>
      <c r="GG112" s="58">
        <v>0</v>
      </c>
      <c r="GH112" s="44"/>
      <c r="GI112" s="44"/>
      <c r="GJ112" s="98"/>
      <c r="GK112" s="58"/>
      <c r="GL112" s="58"/>
      <c r="GM112" s="44"/>
      <c r="GN112" s="44"/>
      <c r="GO112" s="98"/>
      <c r="GP112" s="58"/>
      <c r="GQ112" s="58"/>
      <c r="GR112" s="44"/>
      <c r="GS112" s="44"/>
      <c r="GT112" s="98"/>
      <c r="GU112" s="58">
        <v>0</v>
      </c>
      <c r="GV112" s="58">
        <v>0</v>
      </c>
      <c r="GW112" s="44"/>
      <c r="GX112" s="44"/>
      <c r="GY112" s="98"/>
      <c r="GZ112" s="58">
        <v>0</v>
      </c>
      <c r="HA112" s="58">
        <v>0</v>
      </c>
      <c r="HB112" s="44"/>
      <c r="HC112" s="44"/>
      <c r="HD112" s="98"/>
      <c r="HE112" s="58">
        <v>0</v>
      </c>
      <c r="HF112" s="58">
        <v>0</v>
      </c>
      <c r="HG112" s="44"/>
      <c r="HH112" s="44"/>
      <c r="HI112" s="98"/>
      <c r="HJ112" s="58">
        <v>0</v>
      </c>
      <c r="HK112" s="58">
        <v>0</v>
      </c>
      <c r="HL112" s="44"/>
      <c r="HM112" s="44"/>
      <c r="HN112" s="98"/>
      <c r="HO112" s="58">
        <v>0</v>
      </c>
      <c r="HP112" s="58">
        <v>0</v>
      </c>
      <c r="HQ112" s="44"/>
      <c r="HR112" s="44"/>
      <c r="HS112" s="98"/>
      <c r="HT112" s="58">
        <v>0</v>
      </c>
      <c r="HU112" s="58">
        <v>0</v>
      </c>
      <c r="HV112" s="44"/>
      <c r="HW112" s="44"/>
      <c r="HX112" s="98"/>
      <c r="HY112" s="58">
        <v>0</v>
      </c>
      <c r="HZ112" s="58">
        <v>0</v>
      </c>
      <c r="IA112" s="44"/>
      <c r="IB112" s="44"/>
      <c r="IC112" s="98"/>
      <c r="ID112" s="58">
        <v>0</v>
      </c>
      <c r="IE112" s="58">
        <v>0</v>
      </c>
      <c r="IF112" s="44"/>
      <c r="IG112" s="44"/>
      <c r="IH112" s="98"/>
      <c r="II112" s="58">
        <v>0</v>
      </c>
      <c r="IJ112" s="58">
        <v>0</v>
      </c>
      <c r="IK112" s="44"/>
      <c r="IL112" s="44"/>
      <c r="IM112" s="98"/>
      <c r="IN112" s="58">
        <v>0</v>
      </c>
      <c r="IO112" s="58">
        <v>0</v>
      </c>
      <c r="IP112" s="44"/>
      <c r="IQ112" s="44"/>
    </row>
    <row r="113" spans="1:251" ht="15.75" customHeight="1">
      <c r="A113" s="721"/>
      <c r="B113" s="282"/>
      <c r="C113" s="228"/>
      <c r="D113" s="220"/>
      <c r="E113" s="231" t="s">
        <v>15</v>
      </c>
      <c r="F113" s="29"/>
      <c r="G113" s="110"/>
      <c r="H113" s="56">
        <v>0</v>
      </c>
      <c r="I113" s="56">
        <v>0</v>
      </c>
      <c r="J113" s="44"/>
      <c r="K113" s="86"/>
      <c r="L113" s="110"/>
      <c r="M113" s="56">
        <v>0</v>
      </c>
      <c r="N113" s="56">
        <v>0</v>
      </c>
      <c r="O113" s="44"/>
      <c r="P113" s="86"/>
      <c r="Q113" s="110"/>
      <c r="R113" s="56">
        <v>0</v>
      </c>
      <c r="S113" s="56">
        <v>0</v>
      </c>
      <c r="T113" s="44"/>
      <c r="U113" s="86"/>
      <c r="V113" s="121"/>
      <c r="W113" s="56">
        <v>0</v>
      </c>
      <c r="X113" s="56">
        <v>0</v>
      </c>
      <c r="Y113" s="44"/>
      <c r="Z113" s="44"/>
      <c r="AA113" s="98"/>
      <c r="AB113" s="56">
        <v>0</v>
      </c>
      <c r="AC113" s="56">
        <v>0</v>
      </c>
      <c r="AD113" s="44"/>
      <c r="AE113" s="44"/>
      <c r="AF113" s="98"/>
      <c r="AG113" s="56">
        <v>0</v>
      </c>
      <c r="AH113" s="56">
        <v>0</v>
      </c>
      <c r="AI113" s="44"/>
      <c r="AJ113" s="44"/>
      <c r="AK113" s="98"/>
      <c r="AL113" s="56">
        <v>0</v>
      </c>
      <c r="AM113" s="56">
        <v>0</v>
      </c>
      <c r="AN113" s="44"/>
      <c r="AO113" s="44"/>
      <c r="AP113" s="98"/>
      <c r="AQ113" s="56">
        <v>0</v>
      </c>
      <c r="AR113" s="56">
        <v>0</v>
      </c>
      <c r="AS113" s="44"/>
      <c r="AT113" s="44"/>
      <c r="AU113" s="98"/>
      <c r="AV113" s="56">
        <v>0</v>
      </c>
      <c r="AW113" s="56">
        <v>0</v>
      </c>
      <c r="AX113" s="44"/>
      <c r="AY113" s="44"/>
      <c r="AZ113" s="98"/>
      <c r="BA113" s="56">
        <v>0</v>
      </c>
      <c r="BB113" s="56">
        <v>0</v>
      </c>
      <c r="BC113" s="44"/>
      <c r="BD113" s="44"/>
      <c r="BE113" s="98"/>
      <c r="BF113" s="56">
        <v>0</v>
      </c>
      <c r="BG113" s="56">
        <v>0</v>
      </c>
      <c r="BH113" s="44"/>
      <c r="BI113" s="44"/>
      <c r="BJ113" s="98"/>
      <c r="BK113" s="56">
        <v>0</v>
      </c>
      <c r="BL113" s="56">
        <v>0</v>
      </c>
      <c r="BM113" s="44"/>
      <c r="BN113" s="44"/>
      <c r="BO113" s="98"/>
      <c r="BP113" s="56">
        <v>0</v>
      </c>
      <c r="BQ113" s="56">
        <v>0</v>
      </c>
      <c r="BR113" s="44"/>
      <c r="BS113" s="44"/>
      <c r="BT113" s="98"/>
      <c r="BU113" s="56"/>
      <c r="BV113" s="56"/>
      <c r="BW113" s="44"/>
      <c r="BX113" s="44"/>
      <c r="BY113" s="98"/>
      <c r="BZ113" s="56"/>
      <c r="CA113" s="56"/>
      <c r="CB113" s="44"/>
      <c r="CC113" s="44"/>
      <c r="CD113" s="98"/>
      <c r="CE113" s="56">
        <v>0</v>
      </c>
      <c r="CF113" s="56">
        <v>0</v>
      </c>
      <c r="CG113" s="44"/>
      <c r="CH113" s="44"/>
      <c r="CI113" s="98"/>
      <c r="CJ113" s="56">
        <v>0</v>
      </c>
      <c r="CK113" s="56">
        <v>0</v>
      </c>
      <c r="CL113" s="44"/>
      <c r="CM113" s="44"/>
      <c r="CN113" s="98"/>
      <c r="CO113" s="56">
        <v>0</v>
      </c>
      <c r="CP113" s="56">
        <v>0</v>
      </c>
      <c r="CQ113" s="44"/>
      <c r="CR113" s="44"/>
      <c r="CS113" s="98"/>
      <c r="CT113" s="56">
        <v>0</v>
      </c>
      <c r="CU113" s="56">
        <v>0</v>
      </c>
      <c r="CV113" s="44"/>
      <c r="CW113" s="44"/>
      <c r="CX113" s="98"/>
      <c r="CY113" s="56">
        <v>0</v>
      </c>
      <c r="CZ113" s="56">
        <v>0</v>
      </c>
      <c r="DA113" s="44"/>
      <c r="DB113" s="44"/>
      <c r="DC113" s="98"/>
      <c r="DD113" s="56">
        <v>0</v>
      </c>
      <c r="DE113" s="56">
        <v>0</v>
      </c>
      <c r="DF113" s="44"/>
      <c r="DG113" s="44"/>
      <c r="DH113" s="98"/>
      <c r="DI113" s="56">
        <v>0</v>
      </c>
      <c r="DJ113" s="56">
        <v>0</v>
      </c>
      <c r="DK113" s="44"/>
      <c r="DL113" s="44"/>
      <c r="DM113" s="98"/>
      <c r="DN113" s="56">
        <v>0</v>
      </c>
      <c r="DO113" s="56">
        <v>0</v>
      </c>
      <c r="DP113" s="44"/>
      <c r="DQ113" s="44"/>
      <c r="DR113" s="98"/>
      <c r="DS113" s="56">
        <v>0</v>
      </c>
      <c r="DT113" s="56">
        <v>0</v>
      </c>
      <c r="DU113" s="44"/>
      <c r="DV113" s="44"/>
      <c r="DW113" s="98"/>
      <c r="DX113" s="56">
        <v>0</v>
      </c>
      <c r="DY113" s="56">
        <v>0</v>
      </c>
      <c r="DZ113" s="44"/>
      <c r="EA113" s="44"/>
      <c r="EB113" s="98"/>
      <c r="EC113" s="56"/>
      <c r="ED113" s="56"/>
      <c r="EE113" s="44"/>
      <c r="EF113" s="44"/>
      <c r="EG113" s="98"/>
      <c r="EH113" s="56"/>
      <c r="EI113" s="56"/>
      <c r="EJ113" s="44"/>
      <c r="EK113" s="44"/>
      <c r="EL113" s="98"/>
      <c r="EM113" s="56">
        <v>0</v>
      </c>
      <c r="EN113" s="56">
        <v>0</v>
      </c>
      <c r="EO113" s="44"/>
      <c r="EP113" s="44"/>
      <c r="EQ113" s="98"/>
      <c r="ER113" s="56">
        <v>0</v>
      </c>
      <c r="ES113" s="56">
        <v>0</v>
      </c>
      <c r="ET113" s="44"/>
      <c r="EU113" s="44"/>
      <c r="EV113" s="98"/>
      <c r="EW113" s="56">
        <v>0</v>
      </c>
      <c r="EX113" s="56">
        <v>0</v>
      </c>
      <c r="EY113" s="44"/>
      <c r="EZ113" s="44"/>
      <c r="FA113" s="98"/>
      <c r="FB113" s="56">
        <v>0</v>
      </c>
      <c r="FC113" s="56">
        <v>0</v>
      </c>
      <c r="FD113" s="44"/>
      <c r="FE113" s="44"/>
      <c r="FF113" s="98"/>
      <c r="FG113" s="56">
        <v>0</v>
      </c>
      <c r="FH113" s="56">
        <v>0</v>
      </c>
      <c r="FI113" s="44"/>
      <c r="FJ113" s="44"/>
      <c r="FK113" s="98"/>
      <c r="FL113" s="56">
        <v>0</v>
      </c>
      <c r="FM113" s="56">
        <v>0</v>
      </c>
      <c r="FN113" s="44"/>
      <c r="FO113" s="44"/>
      <c r="FP113" s="98"/>
      <c r="FQ113" s="56">
        <v>0</v>
      </c>
      <c r="FR113" s="56">
        <v>0</v>
      </c>
      <c r="FS113" s="44"/>
      <c r="FT113" s="44"/>
      <c r="FU113" s="98"/>
      <c r="FV113" s="56">
        <v>0</v>
      </c>
      <c r="FW113" s="56">
        <v>0</v>
      </c>
      <c r="FX113" s="44"/>
      <c r="FY113" s="44"/>
      <c r="FZ113" s="98"/>
      <c r="GA113" s="56">
        <v>0</v>
      </c>
      <c r="GB113" s="56">
        <v>0</v>
      </c>
      <c r="GC113" s="44"/>
      <c r="GD113" s="44"/>
      <c r="GE113" s="98"/>
      <c r="GF113" s="56">
        <v>0</v>
      </c>
      <c r="GG113" s="56">
        <v>0</v>
      </c>
      <c r="GH113" s="44"/>
      <c r="GI113" s="44"/>
      <c r="GJ113" s="98"/>
      <c r="GK113" s="56"/>
      <c r="GL113" s="56"/>
      <c r="GM113" s="44"/>
      <c r="GN113" s="44"/>
      <c r="GO113" s="98"/>
      <c r="GP113" s="56"/>
      <c r="GQ113" s="56"/>
      <c r="GR113" s="44"/>
      <c r="GS113" s="44"/>
      <c r="GT113" s="98"/>
      <c r="GU113" s="56">
        <v>0</v>
      </c>
      <c r="GV113" s="56">
        <v>0</v>
      </c>
      <c r="GW113" s="44"/>
      <c r="GX113" s="44"/>
      <c r="GY113" s="98"/>
      <c r="GZ113" s="56">
        <v>0</v>
      </c>
      <c r="HA113" s="56">
        <v>0</v>
      </c>
      <c r="HB113" s="44"/>
      <c r="HC113" s="44"/>
      <c r="HD113" s="98"/>
      <c r="HE113" s="56">
        <v>0</v>
      </c>
      <c r="HF113" s="56">
        <v>0</v>
      </c>
      <c r="HG113" s="44"/>
      <c r="HH113" s="44"/>
      <c r="HI113" s="98"/>
      <c r="HJ113" s="56">
        <v>0</v>
      </c>
      <c r="HK113" s="56">
        <v>0</v>
      </c>
      <c r="HL113" s="44"/>
      <c r="HM113" s="44"/>
      <c r="HN113" s="98"/>
      <c r="HO113" s="56">
        <v>0</v>
      </c>
      <c r="HP113" s="56">
        <v>0</v>
      </c>
      <c r="HQ113" s="44"/>
      <c r="HR113" s="44"/>
      <c r="HS113" s="98"/>
      <c r="HT113" s="56">
        <v>0</v>
      </c>
      <c r="HU113" s="56">
        <v>0</v>
      </c>
      <c r="HV113" s="44"/>
      <c r="HW113" s="44"/>
      <c r="HX113" s="98"/>
      <c r="HY113" s="56">
        <v>0</v>
      </c>
      <c r="HZ113" s="56">
        <v>0</v>
      </c>
      <c r="IA113" s="44"/>
      <c r="IB113" s="44"/>
      <c r="IC113" s="98"/>
      <c r="ID113" s="56">
        <v>0</v>
      </c>
      <c r="IE113" s="56">
        <v>0</v>
      </c>
      <c r="IF113" s="44"/>
      <c r="IG113" s="44"/>
      <c r="IH113" s="98"/>
      <c r="II113" s="56">
        <v>0</v>
      </c>
      <c r="IJ113" s="56">
        <v>0</v>
      </c>
      <c r="IK113" s="44"/>
      <c r="IL113" s="44"/>
      <c r="IM113" s="98"/>
      <c r="IN113" s="56">
        <v>0</v>
      </c>
      <c r="IO113" s="56">
        <v>0</v>
      </c>
      <c r="IP113" s="44"/>
      <c r="IQ113" s="44"/>
    </row>
    <row r="114" spans="1:251" s="264" customFormat="1" ht="5.25" customHeight="1" thickBot="1">
      <c r="A114" s="722"/>
      <c r="B114" s="353"/>
      <c r="C114" s="354"/>
      <c r="D114" s="355" t="s">
        <v>39</v>
      </c>
      <c r="E114" s="356" t="s">
        <v>17</v>
      </c>
      <c r="F114" s="30"/>
      <c r="G114" s="357"/>
      <c r="H114" s="348">
        <v>0</v>
      </c>
      <c r="I114" s="348">
        <v>0</v>
      </c>
      <c r="J114" s="358"/>
      <c r="K114" s="359"/>
      <c r="L114" s="178"/>
      <c r="M114" s="177">
        <v>0</v>
      </c>
      <c r="N114" s="177">
        <v>0</v>
      </c>
      <c r="O114" s="48"/>
      <c r="P114" s="49"/>
      <c r="Q114" s="178"/>
      <c r="R114" s="177">
        <v>0</v>
      </c>
      <c r="S114" s="177">
        <v>0</v>
      </c>
      <c r="T114" s="48"/>
      <c r="U114" s="49"/>
      <c r="V114" s="318"/>
      <c r="W114" s="177">
        <v>0</v>
      </c>
      <c r="X114" s="177">
        <v>0</v>
      </c>
      <c r="Y114" s="48"/>
      <c r="Z114" s="48"/>
      <c r="AA114" s="285"/>
      <c r="AB114" s="177">
        <v>0</v>
      </c>
      <c r="AC114" s="177">
        <v>0</v>
      </c>
      <c r="AD114" s="48"/>
      <c r="AE114" s="48"/>
      <c r="AF114" s="285"/>
      <c r="AG114" s="177">
        <v>0</v>
      </c>
      <c r="AH114" s="177">
        <v>0</v>
      </c>
      <c r="AI114" s="48"/>
      <c r="AJ114" s="48"/>
      <c r="AK114" s="285"/>
      <c r="AL114" s="177">
        <v>0</v>
      </c>
      <c r="AM114" s="177">
        <v>0</v>
      </c>
      <c r="AN114" s="48"/>
      <c r="AO114" s="48"/>
      <c r="AP114" s="285"/>
      <c r="AQ114" s="177">
        <v>0</v>
      </c>
      <c r="AR114" s="177">
        <v>0</v>
      </c>
      <c r="AS114" s="48"/>
      <c r="AT114" s="48"/>
      <c r="AU114" s="285"/>
      <c r="AV114" s="177">
        <v>0</v>
      </c>
      <c r="AW114" s="177">
        <v>0</v>
      </c>
      <c r="AX114" s="48"/>
      <c r="AY114" s="48"/>
      <c r="AZ114" s="285"/>
      <c r="BA114" s="177">
        <v>0</v>
      </c>
      <c r="BB114" s="177">
        <v>0</v>
      </c>
      <c r="BC114" s="48"/>
      <c r="BD114" s="48"/>
      <c r="BE114" s="285"/>
      <c r="BF114" s="177">
        <v>0</v>
      </c>
      <c r="BG114" s="177">
        <v>0</v>
      </c>
      <c r="BH114" s="48"/>
      <c r="BI114" s="48"/>
      <c r="BJ114" s="285"/>
      <c r="BK114" s="177">
        <v>0</v>
      </c>
      <c r="BL114" s="177">
        <v>0</v>
      </c>
      <c r="BM114" s="48"/>
      <c r="BN114" s="48"/>
      <c r="BO114" s="285"/>
      <c r="BP114" s="177">
        <v>0</v>
      </c>
      <c r="BQ114" s="177">
        <v>0</v>
      </c>
      <c r="BR114" s="48"/>
      <c r="BS114" s="48"/>
      <c r="BT114" s="285"/>
      <c r="BU114" s="177"/>
      <c r="BV114" s="177"/>
      <c r="BW114" s="48"/>
      <c r="BX114" s="48"/>
      <c r="BY114" s="285"/>
      <c r="BZ114" s="177"/>
      <c r="CA114" s="177"/>
      <c r="CB114" s="48"/>
      <c r="CC114" s="48"/>
      <c r="CD114" s="285"/>
      <c r="CE114" s="177">
        <v>0</v>
      </c>
      <c r="CF114" s="177">
        <v>0</v>
      </c>
      <c r="CG114" s="48"/>
      <c r="CH114" s="48"/>
      <c r="CI114" s="285"/>
      <c r="CJ114" s="177">
        <v>0</v>
      </c>
      <c r="CK114" s="177">
        <v>0</v>
      </c>
      <c r="CL114" s="48"/>
      <c r="CM114" s="48"/>
      <c r="CN114" s="285"/>
      <c r="CO114" s="177">
        <v>0</v>
      </c>
      <c r="CP114" s="177">
        <v>0</v>
      </c>
      <c r="CQ114" s="48"/>
      <c r="CR114" s="48"/>
      <c r="CS114" s="285"/>
      <c r="CT114" s="177">
        <v>0</v>
      </c>
      <c r="CU114" s="177">
        <v>0</v>
      </c>
      <c r="CV114" s="48"/>
      <c r="CW114" s="48"/>
      <c r="CX114" s="285"/>
      <c r="CY114" s="177">
        <v>0</v>
      </c>
      <c r="CZ114" s="177">
        <v>0</v>
      </c>
      <c r="DA114" s="48"/>
      <c r="DB114" s="48"/>
      <c r="DC114" s="285"/>
      <c r="DD114" s="177">
        <v>0</v>
      </c>
      <c r="DE114" s="177">
        <v>0</v>
      </c>
      <c r="DF114" s="48"/>
      <c r="DG114" s="48"/>
      <c r="DH114" s="285"/>
      <c r="DI114" s="177">
        <v>0</v>
      </c>
      <c r="DJ114" s="177">
        <v>0</v>
      </c>
      <c r="DK114" s="48"/>
      <c r="DL114" s="48"/>
      <c r="DM114" s="285"/>
      <c r="DN114" s="177">
        <v>0</v>
      </c>
      <c r="DO114" s="177">
        <v>0</v>
      </c>
      <c r="DP114" s="48"/>
      <c r="DQ114" s="48"/>
      <c r="DR114" s="285"/>
      <c r="DS114" s="177">
        <v>0</v>
      </c>
      <c r="DT114" s="177">
        <v>0</v>
      </c>
      <c r="DU114" s="48"/>
      <c r="DV114" s="48"/>
      <c r="DW114" s="285"/>
      <c r="DX114" s="177">
        <v>0</v>
      </c>
      <c r="DY114" s="177">
        <v>0</v>
      </c>
      <c r="DZ114" s="48"/>
      <c r="EA114" s="48"/>
      <c r="EB114" s="285"/>
      <c r="EC114" s="177"/>
      <c r="ED114" s="177"/>
      <c r="EE114" s="48"/>
      <c r="EF114" s="48"/>
      <c r="EG114" s="285"/>
      <c r="EH114" s="177"/>
      <c r="EI114" s="177"/>
      <c r="EJ114" s="48"/>
      <c r="EK114" s="48"/>
      <c r="EL114" s="285"/>
      <c r="EM114" s="177">
        <v>0</v>
      </c>
      <c r="EN114" s="177">
        <v>0</v>
      </c>
      <c r="EO114" s="48"/>
      <c r="EP114" s="48"/>
      <c r="EQ114" s="285"/>
      <c r="ER114" s="177">
        <v>0</v>
      </c>
      <c r="ES114" s="177">
        <v>0</v>
      </c>
      <c r="ET114" s="48"/>
      <c r="EU114" s="48"/>
      <c r="EV114" s="285"/>
      <c r="EW114" s="177">
        <v>0</v>
      </c>
      <c r="EX114" s="177">
        <v>0</v>
      </c>
      <c r="EY114" s="48"/>
      <c r="EZ114" s="48"/>
      <c r="FA114" s="285"/>
      <c r="FB114" s="177">
        <v>0</v>
      </c>
      <c r="FC114" s="177">
        <v>0</v>
      </c>
      <c r="FD114" s="48"/>
      <c r="FE114" s="48"/>
      <c r="FF114" s="285"/>
      <c r="FG114" s="177">
        <v>0</v>
      </c>
      <c r="FH114" s="177">
        <v>0</v>
      </c>
      <c r="FI114" s="48"/>
      <c r="FJ114" s="48"/>
      <c r="FK114" s="285"/>
      <c r="FL114" s="177">
        <v>0</v>
      </c>
      <c r="FM114" s="177">
        <v>0</v>
      </c>
      <c r="FN114" s="48"/>
      <c r="FO114" s="48"/>
      <c r="FP114" s="285"/>
      <c r="FQ114" s="177">
        <v>0</v>
      </c>
      <c r="FR114" s="177">
        <v>0</v>
      </c>
      <c r="FS114" s="48"/>
      <c r="FT114" s="48"/>
      <c r="FU114" s="285"/>
      <c r="FV114" s="177">
        <v>0</v>
      </c>
      <c r="FW114" s="177">
        <v>0</v>
      </c>
      <c r="FX114" s="48"/>
      <c r="FY114" s="48"/>
      <c r="FZ114" s="285"/>
      <c r="GA114" s="177">
        <v>0</v>
      </c>
      <c r="GB114" s="177">
        <v>0</v>
      </c>
      <c r="GC114" s="48"/>
      <c r="GD114" s="48"/>
      <c r="GE114" s="285"/>
      <c r="GF114" s="177">
        <v>0</v>
      </c>
      <c r="GG114" s="177">
        <v>0</v>
      </c>
      <c r="GH114" s="48"/>
      <c r="GI114" s="48"/>
      <c r="GJ114" s="285"/>
      <c r="GK114" s="177"/>
      <c r="GL114" s="177"/>
      <c r="GM114" s="48"/>
      <c r="GN114" s="48"/>
      <c r="GO114" s="285"/>
      <c r="GP114" s="177"/>
      <c r="GQ114" s="177"/>
      <c r="GR114" s="48"/>
      <c r="GS114" s="48"/>
      <c r="GT114" s="285"/>
      <c r="GU114" s="177">
        <v>0</v>
      </c>
      <c r="GV114" s="177">
        <v>0</v>
      </c>
      <c r="GW114" s="48"/>
      <c r="GX114" s="48"/>
      <c r="GY114" s="285"/>
      <c r="GZ114" s="177">
        <v>0</v>
      </c>
      <c r="HA114" s="177">
        <v>0</v>
      </c>
      <c r="HB114" s="48"/>
      <c r="HC114" s="48"/>
      <c r="HD114" s="285"/>
      <c r="HE114" s="177">
        <v>0</v>
      </c>
      <c r="HF114" s="177">
        <v>0</v>
      </c>
      <c r="HG114" s="48"/>
      <c r="HH114" s="48"/>
      <c r="HI114" s="285"/>
      <c r="HJ114" s="177">
        <v>0</v>
      </c>
      <c r="HK114" s="177">
        <v>0</v>
      </c>
      <c r="HL114" s="48"/>
      <c r="HM114" s="48"/>
      <c r="HN114" s="285"/>
      <c r="HO114" s="177">
        <v>0</v>
      </c>
      <c r="HP114" s="177">
        <v>0</v>
      </c>
      <c r="HQ114" s="48"/>
      <c r="HR114" s="48"/>
      <c r="HS114" s="285"/>
      <c r="HT114" s="177">
        <v>0</v>
      </c>
      <c r="HU114" s="177">
        <v>0</v>
      </c>
      <c r="HV114" s="48"/>
      <c r="HW114" s="48"/>
      <c r="HX114" s="285"/>
      <c r="HY114" s="177">
        <v>0</v>
      </c>
      <c r="HZ114" s="177">
        <v>0</v>
      </c>
      <c r="IA114" s="48"/>
      <c r="IB114" s="48"/>
      <c r="IC114" s="285"/>
      <c r="ID114" s="177">
        <v>0</v>
      </c>
      <c r="IE114" s="177">
        <v>0</v>
      </c>
      <c r="IF114" s="48"/>
      <c r="IG114" s="48"/>
      <c r="IH114" s="285"/>
      <c r="II114" s="177">
        <v>0</v>
      </c>
      <c r="IJ114" s="177">
        <v>0</v>
      </c>
      <c r="IK114" s="48"/>
      <c r="IL114" s="48"/>
      <c r="IM114" s="285"/>
      <c r="IN114" s="177">
        <v>0</v>
      </c>
      <c r="IO114" s="177">
        <v>0</v>
      </c>
      <c r="IP114" s="48"/>
      <c r="IQ114" s="48"/>
    </row>
    <row r="115" spans="1:251" s="249" customFormat="1" ht="15" customHeight="1" thickBot="1">
      <c r="A115" s="649"/>
      <c r="B115" s="250" t="s">
        <v>143</v>
      </c>
      <c r="C115" s="251" t="s">
        <v>65</v>
      </c>
      <c r="D115" s="26" t="s">
        <v>19</v>
      </c>
      <c r="E115" s="253" t="s">
        <v>10</v>
      </c>
      <c r="F115" s="253"/>
      <c r="G115" s="2"/>
      <c r="H115" s="165"/>
      <c r="I115" s="165"/>
      <c r="J115" s="166"/>
      <c r="K115" s="167"/>
      <c r="L115" s="207"/>
      <c r="M115" s="197"/>
      <c r="N115" s="197"/>
      <c r="O115" s="38"/>
      <c r="P115" s="206"/>
      <c r="Q115" s="196"/>
      <c r="R115" s="197"/>
      <c r="S115" s="197"/>
      <c r="T115" s="38"/>
      <c r="U115" s="206"/>
      <c r="V115" s="207"/>
      <c r="W115" s="197"/>
      <c r="X115" s="204">
        <v>2211</v>
      </c>
      <c r="Y115" s="38"/>
      <c r="Z115" s="384">
        <f>SUM(X115:X118)*1.1</f>
        <v>80055.331399999995</v>
      </c>
      <c r="AA115" s="36"/>
      <c r="AB115" s="197"/>
      <c r="AC115" s="204">
        <v>1769</v>
      </c>
      <c r="AD115" s="38"/>
      <c r="AE115" s="384">
        <f>SUM(AC115:AC118)*1.1</f>
        <v>56726.724999999999</v>
      </c>
      <c r="AF115" s="36"/>
      <c r="AG115" s="197"/>
      <c r="AH115" s="204">
        <v>2211</v>
      </c>
      <c r="AI115" s="38"/>
      <c r="AJ115" s="384">
        <f>AJ116*1.1</f>
        <v>87115.787000000011</v>
      </c>
      <c r="AK115" s="36"/>
      <c r="AL115" s="197"/>
      <c r="AM115" s="204">
        <v>1769</v>
      </c>
      <c r="AN115" s="38"/>
      <c r="AO115" s="384">
        <f>AO116*1.2</f>
        <v>89589.064800000007</v>
      </c>
      <c r="AP115" s="36"/>
      <c r="AQ115" s="197"/>
      <c r="AR115" s="204">
        <v>1769</v>
      </c>
      <c r="AS115" s="38"/>
      <c r="AT115" s="384">
        <f>SUM(AR115:AR118)*1.1</f>
        <v>93187.661599999992</v>
      </c>
      <c r="AU115" s="36"/>
      <c r="AV115" s="197"/>
      <c r="AW115" s="197"/>
      <c r="AX115" s="38"/>
      <c r="AY115" s="384">
        <f>SUM(AW115:AW118)*1.1</f>
        <v>102500.827</v>
      </c>
      <c r="AZ115" s="36"/>
      <c r="BA115" s="197"/>
      <c r="BB115" s="197"/>
      <c r="BC115" s="38"/>
      <c r="BD115" s="384">
        <f>SUM(BB115:BB118)*1.1</f>
        <v>81796.252999999997</v>
      </c>
      <c r="BE115" s="36"/>
      <c r="BF115" s="197"/>
      <c r="BG115" s="197"/>
      <c r="BH115" s="38"/>
      <c r="BI115" s="384">
        <f>SUM(BG115:BG118)*1.1</f>
        <v>91563.069400000008</v>
      </c>
      <c r="BJ115" s="36"/>
      <c r="BK115" s="197"/>
      <c r="BL115" s="197"/>
      <c r="BM115" s="38"/>
      <c r="BN115" s="384">
        <f>SUM(BL115:BL118)*1.1</f>
        <v>95993.902400000006</v>
      </c>
      <c r="BO115" s="36"/>
      <c r="BP115" s="197"/>
      <c r="BQ115" s="197"/>
      <c r="BR115" s="38"/>
      <c r="BS115" s="384">
        <f>SUM(BQ115:BQ118)*1.1</f>
        <v>96265.052400000015</v>
      </c>
      <c r="BT115" s="36"/>
      <c r="BU115" s="197"/>
      <c r="BV115" s="197"/>
      <c r="BW115" s="38"/>
      <c r="BX115" s="384">
        <f>SUM(BV115:BV118)*1.1</f>
        <v>114366.0716</v>
      </c>
      <c r="BY115" s="36"/>
      <c r="BZ115" s="197"/>
      <c r="CA115" s="197"/>
      <c r="CB115" s="38"/>
      <c r="CC115" s="384">
        <f>SUM(CA115:CA118)*1.1</f>
        <v>95121.9038</v>
      </c>
      <c r="CD115" s="36"/>
      <c r="CE115" s="197"/>
      <c r="CF115" s="197"/>
      <c r="CG115" s="38"/>
      <c r="CH115" s="384">
        <f>SUM(CF115:CF118)*1.1</f>
        <v>42515.994400000003</v>
      </c>
      <c r="CI115" s="36"/>
      <c r="CJ115" s="197"/>
      <c r="CK115" s="197"/>
      <c r="CL115" s="38"/>
      <c r="CM115" s="384">
        <f>SUM(CK115:CK118)*1.1</f>
        <v>71595.706600000005</v>
      </c>
      <c r="CN115" s="36"/>
      <c r="CO115" s="197"/>
      <c r="CP115" s="197"/>
      <c r="CQ115" s="38"/>
      <c r="CR115" s="384">
        <f>SUM(CP115:CP118)*1.1</f>
        <v>88312.859799999991</v>
      </c>
      <c r="CS115" s="36"/>
      <c r="CT115" s="197"/>
      <c r="CU115" s="197"/>
      <c r="CV115" s="38"/>
      <c r="CW115" s="384">
        <f>SUM(CU115:CU118)*1.1</f>
        <v>83831.211200000005</v>
      </c>
      <c r="CX115" s="36"/>
      <c r="CY115" s="197"/>
      <c r="CZ115" s="197"/>
      <c r="DA115" s="38"/>
      <c r="DB115" s="384">
        <f>SUM(CZ115:CZ118)*1.1</f>
        <v>92338.611199999999</v>
      </c>
      <c r="DC115" s="36"/>
      <c r="DD115" s="197"/>
      <c r="DE115" s="197"/>
      <c r="DF115" s="38"/>
      <c r="DG115" s="384">
        <f>SUM(DE115:DE118)*1.1</f>
        <v>43486.832400000007</v>
      </c>
      <c r="DH115" s="36"/>
      <c r="DI115" s="197"/>
      <c r="DJ115" s="197"/>
      <c r="DK115" s="38"/>
      <c r="DL115" s="384">
        <f>SUM(DJ115:DJ118)*1.1</f>
        <v>42532.791400000002</v>
      </c>
      <c r="DM115" s="36"/>
      <c r="DN115" s="197"/>
      <c r="DO115" s="197"/>
      <c r="DP115" s="38"/>
      <c r="DQ115" s="384">
        <f>SUM(DO115:DO118)*1.1</f>
        <v>159283.76419999998</v>
      </c>
      <c r="DR115" s="36"/>
      <c r="DS115" s="197"/>
      <c r="DT115" s="197"/>
      <c r="DU115" s="38"/>
      <c r="DV115" s="384">
        <f>SUM(DT115:DT118)*1.1</f>
        <v>110542.28900000002</v>
      </c>
      <c r="DW115" s="36"/>
      <c r="DX115" s="197"/>
      <c r="DY115" s="197"/>
      <c r="DZ115" s="38"/>
      <c r="EA115" s="384">
        <f>SUM(DY115:DY118)*1.1</f>
        <v>133351.196</v>
      </c>
      <c r="EB115" s="36"/>
      <c r="EC115" s="197"/>
      <c r="ED115" s="197"/>
      <c r="EE115" s="38"/>
      <c r="EF115" s="384">
        <f>SUM(ED115:ED118)*1.1</f>
        <v>122874.51</v>
      </c>
      <c r="EG115" s="36"/>
      <c r="EH115" s="197"/>
      <c r="EI115" s="197"/>
      <c r="EJ115" s="38"/>
      <c r="EK115" s="384">
        <f>SUM(EI115:EI118)*1.1</f>
        <v>96150.249800000005</v>
      </c>
      <c r="EL115" s="36"/>
      <c r="EM115" s="197"/>
      <c r="EN115" s="197"/>
      <c r="EO115" s="38"/>
      <c r="EP115" s="384">
        <f>SUM(EN115:EN118)*1.1</f>
        <v>122411.67400000003</v>
      </c>
      <c r="EQ115" s="36"/>
      <c r="ER115" s="197"/>
      <c r="ES115" s="197"/>
      <c r="ET115" s="38"/>
      <c r="EU115" s="384">
        <f>SUM(ES115:ES118)*1.1</f>
        <v>71595.706600000005</v>
      </c>
      <c r="EV115" s="36"/>
      <c r="EW115" s="197"/>
      <c r="EX115" s="197"/>
      <c r="EY115" s="38"/>
      <c r="EZ115" s="384">
        <f>SUM(EX115:EX118)*1.1</f>
        <v>99767.03439999999</v>
      </c>
      <c r="FA115" s="36"/>
      <c r="FB115" s="197"/>
      <c r="FC115" s="197"/>
      <c r="FD115" s="38"/>
      <c r="FE115" s="384">
        <f>SUM(FC115:FC118)*1.1</f>
        <v>96251.203399999999</v>
      </c>
      <c r="FF115" s="36"/>
      <c r="FG115" s="197"/>
      <c r="FH115" s="197"/>
      <c r="FI115" s="38"/>
      <c r="FJ115" s="384">
        <f>SUM(FH115:FH118)*1.1</f>
        <v>113044.1444</v>
      </c>
      <c r="FK115" s="36"/>
      <c r="FL115" s="197"/>
      <c r="FM115" s="197"/>
      <c r="FN115" s="38"/>
      <c r="FO115" s="384">
        <f>SUM(FM115:FM118)*1.1</f>
        <v>117643.41820000001</v>
      </c>
      <c r="FP115" s="36"/>
      <c r="FQ115" s="197"/>
      <c r="FR115" s="197"/>
      <c r="FS115" s="38"/>
      <c r="FT115" s="384">
        <f>SUM(FR115:FR118)*1.1</f>
        <v>90522.143800000005</v>
      </c>
      <c r="FU115" s="36"/>
      <c r="FV115" s="197"/>
      <c r="FW115" s="197"/>
      <c r="FX115" s="38"/>
      <c r="FY115" s="384">
        <f>SUM(FW115:FW118)*1.1</f>
        <v>121286.77660000001</v>
      </c>
      <c r="FZ115" s="36"/>
      <c r="GA115" s="197"/>
      <c r="GB115" s="197"/>
      <c r="GC115" s="1468"/>
      <c r="GD115" s="384">
        <f>SUM(GB115:GB118)*1.1</f>
        <v>110966.12120000001</v>
      </c>
      <c r="GE115" s="36"/>
      <c r="GF115" s="197"/>
      <c r="GG115" s="197"/>
      <c r="GH115" s="38"/>
      <c r="GI115" s="384">
        <f>SUM(GG115:GG118)*1.1</f>
        <v>42672.546400000007</v>
      </c>
      <c r="GJ115" s="280"/>
      <c r="GK115" s="197"/>
      <c r="GL115" s="197"/>
      <c r="GM115" s="38"/>
      <c r="GN115" s="384">
        <f>SUM(GL115:GL118)*1.1</f>
        <v>122874.51</v>
      </c>
      <c r="GO115" s="36"/>
      <c r="GP115" s="197"/>
      <c r="GQ115" s="197"/>
      <c r="GR115" s="38"/>
      <c r="GS115" s="384">
        <f>SUM(GQ115:GQ118)*1.1</f>
        <v>184879.99420000002</v>
      </c>
      <c r="GT115" s="36"/>
      <c r="GU115" s="197"/>
      <c r="GV115" s="197"/>
      <c r="GW115" s="38"/>
      <c r="GX115" s="384">
        <f>SUM(GV115:GV118)*1.1</f>
        <v>128791.9776</v>
      </c>
      <c r="GY115" s="36"/>
      <c r="GZ115" s="197"/>
      <c r="HA115" s="197"/>
      <c r="HB115" s="38"/>
      <c r="HC115" s="384">
        <f>SUM(HA115:HA118)*1.1</f>
        <v>71595.706600000005</v>
      </c>
      <c r="HD115" s="36"/>
      <c r="HE115" s="197"/>
      <c r="HF115" s="197"/>
      <c r="HG115" s="38"/>
      <c r="HH115" s="384">
        <f>SUM(HF115:HF118)*1.1</f>
        <v>99767.03439999999</v>
      </c>
      <c r="HI115" s="36"/>
      <c r="HJ115" s="197"/>
      <c r="HK115" s="197"/>
      <c r="HL115" s="38"/>
      <c r="HM115" s="384">
        <f>SUM(HK115:HK118)*1.1</f>
        <v>96251.203399999999</v>
      </c>
      <c r="HN115" s="36"/>
      <c r="HO115" s="197"/>
      <c r="HP115" s="197"/>
      <c r="HQ115" s="38"/>
      <c r="HR115" s="384">
        <f>SUM(HP115:HP118)*1.1</f>
        <v>113044.1444</v>
      </c>
      <c r="HS115" s="36"/>
      <c r="HT115" s="197"/>
      <c r="HU115" s="197"/>
      <c r="HV115" s="38"/>
      <c r="HW115" s="384">
        <f>SUM(HU115:HU118)*1.1</f>
        <v>117643.41820000001</v>
      </c>
      <c r="HX115" s="36"/>
      <c r="HY115" s="197"/>
      <c r="HZ115" s="197"/>
      <c r="IA115" s="38"/>
      <c r="IB115" s="384">
        <f>SUM(HZ115:HZ118)*1.1</f>
        <v>90522.143800000005</v>
      </c>
      <c r="IC115" s="36"/>
      <c r="ID115" s="197"/>
      <c r="IE115" s="197"/>
      <c r="IF115" s="38"/>
      <c r="IG115" s="384">
        <f>SUM(IE115:IE118)*1.1</f>
        <v>121286.77660000001</v>
      </c>
      <c r="IH115" s="36"/>
      <c r="II115" s="197"/>
      <c r="IJ115" s="197"/>
      <c r="IK115" s="38"/>
      <c r="IL115" s="384">
        <f>SUM(IJ115:IJ118)*1.1</f>
        <v>43055.40140000001</v>
      </c>
      <c r="IM115" s="36"/>
      <c r="IN115" s="197"/>
      <c r="IO115" s="197"/>
      <c r="IP115" s="38"/>
      <c r="IQ115" s="384">
        <f>SUM(IO115:IO118)*1.1</f>
        <v>42267.63640000001</v>
      </c>
    </row>
    <row r="116" spans="1:251" ht="15" customHeight="1" thickBot="1">
      <c r="A116" s="647"/>
      <c r="B116" s="256"/>
      <c r="C116" s="215">
        <v>45179093</v>
      </c>
      <c r="D116" s="45" t="s">
        <v>453</v>
      </c>
      <c r="E116" s="216" t="s">
        <v>13</v>
      </c>
      <c r="F116" s="216"/>
      <c r="G116" s="92">
        <f>I116/H116</f>
        <v>5.3077206132879047</v>
      </c>
      <c r="H116" s="69">
        <v>7044</v>
      </c>
      <c r="I116" s="69">
        <v>37387.584000000003</v>
      </c>
      <c r="J116" s="81">
        <v>25963.599999999999</v>
      </c>
      <c r="K116" s="88"/>
      <c r="L116" s="115">
        <f>N116/M116</f>
        <v>5.3685480916030537</v>
      </c>
      <c r="M116" s="69">
        <v>10480</v>
      </c>
      <c r="N116" s="69">
        <v>56262.383999999998</v>
      </c>
      <c r="O116" s="81">
        <v>56262.383999999998</v>
      </c>
      <c r="P116" s="88"/>
      <c r="Q116" s="104">
        <f>S116/R116</f>
        <v>4.9663918846769892</v>
      </c>
      <c r="R116" s="69">
        <v>9365</v>
      </c>
      <c r="S116" s="69">
        <v>46510.26</v>
      </c>
      <c r="T116" s="81">
        <v>46510.26</v>
      </c>
      <c r="U116" s="88"/>
      <c r="V116" s="115">
        <f>X116/W116</f>
        <v>5.2077240550086419</v>
      </c>
      <c r="W116" s="69">
        <v>13307</v>
      </c>
      <c r="X116" s="69">
        <v>69299.183999999994</v>
      </c>
      <c r="Y116" s="81">
        <v>69299.183999999994</v>
      </c>
      <c r="Z116" s="403">
        <f>SUM(X115:X118)*1</f>
        <v>72777.573999999993</v>
      </c>
      <c r="AA116" s="92">
        <f>AC116/AB116</f>
        <v>4.6829521507974858</v>
      </c>
      <c r="AB116" s="69">
        <v>10345</v>
      </c>
      <c r="AC116" s="69">
        <v>48445.139999999992</v>
      </c>
      <c r="AD116" s="81">
        <v>48445.139999999992</v>
      </c>
      <c r="AE116" s="403">
        <f>SUM(AC115:AC118)*1</f>
        <v>51569.749999999993</v>
      </c>
      <c r="AF116" s="92">
        <f>AH116/AG116</f>
        <v>4.8199442072302876</v>
      </c>
      <c r="AG116" s="410">
        <v>10539</v>
      </c>
      <c r="AH116" s="410">
        <v>50797.392</v>
      </c>
      <c r="AI116" s="81">
        <f>25497.44+50354.71</f>
        <v>75852.149999999994</v>
      </c>
      <c r="AJ116" s="403">
        <f>SUM(AH117:AH118)+AI116+AH115*1</f>
        <v>79196.17</v>
      </c>
      <c r="AK116" s="92">
        <f>AM116/AL116</f>
        <v>4.9792196517203662</v>
      </c>
      <c r="AL116" s="410">
        <v>11887</v>
      </c>
      <c r="AM116" s="410">
        <v>59187.983999999997</v>
      </c>
      <c r="AN116" s="81">
        <f>10423.49+62061.264</f>
        <v>72484.754000000001</v>
      </c>
      <c r="AO116" s="403">
        <f>SUM(AM117:AM118)+AN116+AM115*1</f>
        <v>74657.554000000004</v>
      </c>
      <c r="AP116" s="92">
        <f>AR116/AQ116</f>
        <v>5.946695619840856</v>
      </c>
      <c r="AQ116" s="410">
        <v>13447</v>
      </c>
      <c r="AR116" s="410">
        <v>79965.215999999986</v>
      </c>
      <c r="AS116" s="81">
        <v>90178.428</v>
      </c>
      <c r="AT116" s="403">
        <f>SUM(AR115:AR118)*1</f>
        <v>84716.055999999982</v>
      </c>
      <c r="AU116" s="92">
        <f>AW116/AV116</f>
        <v>6.6107638336347199</v>
      </c>
      <c r="AV116" s="410">
        <v>13825</v>
      </c>
      <c r="AW116" s="410">
        <v>91393.81</v>
      </c>
      <c r="AX116" s="44">
        <v>25963.599999999999</v>
      </c>
      <c r="AY116" s="403">
        <f>SUM(AW115:AW118)*1</f>
        <v>93182.569999999992</v>
      </c>
      <c r="AZ116" s="92">
        <f>BB116/BA116</f>
        <v>6.3494518156424578</v>
      </c>
      <c r="BA116" s="410">
        <v>11456</v>
      </c>
      <c r="BB116" s="561">
        <v>72739.319999999992</v>
      </c>
      <c r="BC116" s="81" t="s">
        <v>352</v>
      </c>
      <c r="BD116" s="403">
        <f>SUM(BB115:BB118)*1</f>
        <v>74360.23</v>
      </c>
      <c r="BE116" s="92">
        <f>BG116/BF116</f>
        <v>6.3628437427443689</v>
      </c>
      <c r="BF116" s="410">
        <v>12921</v>
      </c>
      <c r="BG116" s="410">
        <v>82214.303999999989</v>
      </c>
      <c r="BH116" s="81">
        <v>65086.323999999993</v>
      </c>
      <c r="BI116" s="403">
        <f>SUM(BG115:BG118)*1</f>
        <v>83239.153999999995</v>
      </c>
      <c r="BJ116" s="92">
        <f>BL116/BK116</f>
        <v>6.7715882908404152</v>
      </c>
      <c r="BK116" s="410">
        <v>12708</v>
      </c>
      <c r="BL116" s="410">
        <v>86053.343999999997</v>
      </c>
      <c r="BM116" s="81">
        <v>65086.323999999993</v>
      </c>
      <c r="BN116" s="403">
        <f>SUM(BL115:BL118)*1</f>
        <v>87267.183999999994</v>
      </c>
      <c r="BO116" s="92">
        <f>BQ116/BP116</f>
        <v>6.3746283343212813</v>
      </c>
      <c r="BP116" s="410">
        <v>13496</v>
      </c>
      <c r="BQ116" s="410">
        <v>86031.984000000011</v>
      </c>
      <c r="BR116" s="44">
        <v>25963.599999999999</v>
      </c>
      <c r="BS116" s="403">
        <f>SUM(BQ115:BQ118)*1</f>
        <v>87513.684000000008</v>
      </c>
      <c r="BT116" s="92">
        <f>BV116/BU116</f>
        <v>6.0268799435858247</v>
      </c>
      <c r="BU116" s="410">
        <v>17017</v>
      </c>
      <c r="BV116" s="410">
        <v>102559.41599999998</v>
      </c>
      <c r="BW116" s="81">
        <v>87291</v>
      </c>
      <c r="BX116" s="403">
        <f>SUM(BV115:BV118)*1</f>
        <v>103969.15599999999</v>
      </c>
      <c r="BY116" s="92">
        <f>CA116/BZ116</f>
        <v>5.4806878108649313</v>
      </c>
      <c r="BZ116" s="410">
        <v>15481</v>
      </c>
      <c r="CA116" s="410">
        <v>84846.528000000006</v>
      </c>
      <c r="CB116" s="372" t="s">
        <v>441</v>
      </c>
      <c r="CC116" s="403">
        <f>SUM(CA115:CA118)*1</f>
        <v>86474.457999999999</v>
      </c>
      <c r="CD116" s="92">
        <f>CF116/CE116</f>
        <v>5.3077206132879047</v>
      </c>
      <c r="CE116" s="58">
        <v>7044</v>
      </c>
      <c r="CF116" s="58">
        <v>37387.584000000003</v>
      </c>
      <c r="CG116" s="81">
        <v>56267.727941176468</v>
      </c>
      <c r="CH116" s="403">
        <f>SUM(CF115:CF118)*1</f>
        <v>38650.904000000002</v>
      </c>
      <c r="CI116" s="92">
        <f>CK116/CJ116</f>
        <v>5.5512116940746541</v>
      </c>
      <c r="CJ116" s="410">
        <v>11493</v>
      </c>
      <c r="CK116" s="410">
        <v>63800.076000000001</v>
      </c>
      <c r="CL116" s="44">
        <v>25963.599999999999</v>
      </c>
      <c r="CM116" s="403">
        <f>SUM(CK115:CK118)*1</f>
        <v>65087.006000000001</v>
      </c>
      <c r="CN116" s="92">
        <f>CP116/CO116</f>
        <v>6.5632795196797851</v>
      </c>
      <c r="CO116" s="410">
        <v>11992</v>
      </c>
      <c r="CP116" s="410">
        <v>78706.847999999984</v>
      </c>
      <c r="CQ116" s="81">
        <v>60045.61</v>
      </c>
      <c r="CR116" s="403">
        <f>SUM(CP115:CP118)*1</f>
        <v>80284.417999999991</v>
      </c>
      <c r="CS116" s="92">
        <f>CU116/CT116</f>
        <v>7.5064684648144393</v>
      </c>
      <c r="CT116" s="410">
        <v>9862</v>
      </c>
      <c r="CU116" s="410">
        <v>74028.792000000001</v>
      </c>
      <c r="CV116" s="81">
        <v>124100.26</v>
      </c>
      <c r="CW116" s="403">
        <f>SUM(CU115:CU118)*1</f>
        <v>76210.191999999995</v>
      </c>
      <c r="CX116" s="92">
        <f>CZ116/CY116</f>
        <v>7.9506965232763696</v>
      </c>
      <c r="CY116" s="410">
        <v>10182</v>
      </c>
      <c r="CZ116" s="410">
        <f>1.2*67461.66</f>
        <v>80953.991999999998</v>
      </c>
      <c r="DA116" s="81">
        <v>105738.768</v>
      </c>
      <c r="DB116" s="403">
        <f>SUM(CZ115:CZ118)*1</f>
        <v>83944.191999999995</v>
      </c>
      <c r="DC116" s="92">
        <f>DE116/DD116</f>
        <v>5.3077206132879047</v>
      </c>
      <c r="DD116" s="58">
        <v>7044</v>
      </c>
      <c r="DE116" s="58">
        <v>37387.584000000003</v>
      </c>
      <c r="DF116" s="372">
        <v>89423.88</v>
      </c>
      <c r="DG116" s="403">
        <f>SUM(DE115:DE118)*1</f>
        <v>39533.484000000004</v>
      </c>
      <c r="DH116" s="92">
        <f>DJ116/DI116</f>
        <v>5.3077206132879047</v>
      </c>
      <c r="DI116" s="58">
        <v>7044</v>
      </c>
      <c r="DJ116" s="58">
        <v>37387.584000000003</v>
      </c>
      <c r="DK116" s="372">
        <v>85457.69</v>
      </c>
      <c r="DL116" s="403">
        <f>SUM(DJ115:DJ118)*1</f>
        <v>38666.173999999999</v>
      </c>
      <c r="DM116" s="92">
        <f>DO116/DN116</f>
        <v>20.3697206132879</v>
      </c>
      <c r="DN116" s="58">
        <v>7044</v>
      </c>
      <c r="DO116" s="410">
        <v>143484.31199999998</v>
      </c>
      <c r="DP116" s="81">
        <v>82594.281818181815</v>
      </c>
      <c r="DQ116" s="403">
        <f>SUM(DO115:DO118)*1</f>
        <v>144803.42199999996</v>
      </c>
      <c r="DR116" s="92">
        <f>DT116/DS116</f>
        <v>8.1744598062753546</v>
      </c>
      <c r="DS116" s="410">
        <v>12079</v>
      </c>
      <c r="DT116" s="410">
        <v>98739.3</v>
      </c>
      <c r="DU116" s="81">
        <v>119570.26</v>
      </c>
      <c r="DV116" s="403">
        <f>SUM(DT115:DT118)*1</f>
        <v>100492.99</v>
      </c>
      <c r="DW116" s="92">
        <f>DY116/DX116</f>
        <v>8.7144962604487457</v>
      </c>
      <c r="DX116" s="410">
        <v>13638</v>
      </c>
      <c r="DY116" s="410">
        <v>118848.29999999999</v>
      </c>
      <c r="DZ116" s="81">
        <v>99160.12</v>
      </c>
      <c r="EA116" s="403">
        <f>SUM(DY115:DY118)*1</f>
        <v>121228.35999999999</v>
      </c>
      <c r="EB116" s="92">
        <f>ED116/EC116</f>
        <v>8.5936436045603628</v>
      </c>
      <c r="EC116" s="410">
        <v>12806</v>
      </c>
      <c r="ED116" s="410">
        <v>110050.2</v>
      </c>
      <c r="EE116" s="81">
        <v>122753.292</v>
      </c>
      <c r="EF116" s="403">
        <f>SUM(ED115:ED118)*1</f>
        <v>111704.09999999999</v>
      </c>
      <c r="EG116" s="92">
        <f>EI116/EH116</f>
        <v>5.4806878108649313</v>
      </c>
      <c r="EH116" s="58">
        <v>15481</v>
      </c>
      <c r="EI116" s="58">
        <v>84846.528000000006</v>
      </c>
      <c r="EJ116" s="1465">
        <v>113072.628</v>
      </c>
      <c r="EK116" s="403">
        <f>SUM(EI115:EI118)*1</f>
        <v>87409.317999999999</v>
      </c>
      <c r="EL116" s="92">
        <f>EN116/EM116</f>
        <v>8.1683881505679707</v>
      </c>
      <c r="EM116" s="410">
        <v>13469</v>
      </c>
      <c r="EN116" s="410">
        <v>110020.02</v>
      </c>
      <c r="EO116" s="81">
        <v>117237.65</v>
      </c>
      <c r="EP116" s="403">
        <f>SUM(EN115:EN118)*1</f>
        <v>111283.34000000001</v>
      </c>
      <c r="EQ116" s="92">
        <f>ES116/ER116</f>
        <v>5.5512116940746541</v>
      </c>
      <c r="ER116" s="58">
        <v>11493</v>
      </c>
      <c r="ES116" s="58">
        <v>63800.076000000001</v>
      </c>
      <c r="ET116" s="81">
        <v>117237.65</v>
      </c>
      <c r="EU116" s="403">
        <f>SUM(ES115:ES118)*1</f>
        <v>65087.006000000001</v>
      </c>
      <c r="EV116" s="92">
        <f>EX116/EW116</f>
        <v>7.262327876862936</v>
      </c>
      <c r="EW116" s="410">
        <v>12279</v>
      </c>
      <c r="EX116" s="410">
        <v>89174.123999999996</v>
      </c>
      <c r="EY116" s="44">
        <v>60045.61</v>
      </c>
      <c r="EZ116" s="403">
        <f>SUM(EX115:EX118)*1</f>
        <v>90697.303999999989</v>
      </c>
      <c r="FA116" s="92">
        <f>FC116/FB116</f>
        <v>7.2239999999999993</v>
      </c>
      <c r="FB116" s="410">
        <v>10961</v>
      </c>
      <c r="FC116" s="410">
        <v>79182.263999999996</v>
      </c>
      <c r="FD116" s="81">
        <v>90215.7</v>
      </c>
      <c r="FE116" s="403">
        <f>SUM(FC115:FC118)*1</f>
        <v>87501.093999999997</v>
      </c>
      <c r="FF116" s="92">
        <f>FH116/FG116</f>
        <v>7.9415157593123205</v>
      </c>
      <c r="FG116" s="410">
        <v>12564</v>
      </c>
      <c r="FH116" s="410">
        <v>99777.203999999998</v>
      </c>
      <c r="FI116" s="81">
        <v>89524.5</v>
      </c>
      <c r="FJ116" s="403">
        <f>SUM(FH115:FH118)*1</f>
        <v>102767.40399999999</v>
      </c>
      <c r="FK116" s="92">
        <f>FM116/FL116</f>
        <v>7.9877640213350576</v>
      </c>
      <c r="FL116" s="410">
        <v>12374</v>
      </c>
      <c r="FM116" s="410">
        <v>98840.592000000004</v>
      </c>
      <c r="FN116" s="372">
        <v>111868</v>
      </c>
      <c r="FO116" s="403">
        <f>SUM(FM115:FM118)*1</f>
        <v>106948.56200000001</v>
      </c>
      <c r="FP116" s="92">
        <f>FR116/FQ116</f>
        <v>7.2019084363054491</v>
      </c>
      <c r="FQ116" s="410">
        <v>11249</v>
      </c>
      <c r="FR116" s="410">
        <v>81014.267999999996</v>
      </c>
      <c r="FS116" s="372">
        <v>107316.144</v>
      </c>
      <c r="FT116" s="403">
        <f>SUM(FR115:FR118)*1</f>
        <v>82292.857999999993</v>
      </c>
      <c r="FU116" s="92">
        <f>FW116/FV116</f>
        <v>9.5370957983193279</v>
      </c>
      <c r="FV116" s="410">
        <v>10710</v>
      </c>
      <c r="FW116" s="410">
        <v>102142.296</v>
      </c>
      <c r="FX116" s="44">
        <v>82594.281818181815</v>
      </c>
      <c r="FY116" s="403">
        <f>SUM(FW115:FW118)*1</f>
        <v>110260.70600000001</v>
      </c>
      <c r="FZ116" s="92">
        <f>GB116/GA116</f>
        <v>10.118064029363785</v>
      </c>
      <c r="GA116" s="410">
        <v>9808</v>
      </c>
      <c r="GB116" s="410">
        <v>99237.971999999994</v>
      </c>
      <c r="GC116" s="1582">
        <v>102142.296</v>
      </c>
      <c r="GD116" s="1467">
        <f>SUM(GB115:GB118)*1</f>
        <v>100878.292</v>
      </c>
      <c r="GE116" s="92">
        <f>GG116/GF116</f>
        <v>5.3077206132879047</v>
      </c>
      <c r="GF116" s="58">
        <v>7044</v>
      </c>
      <c r="GG116" s="58">
        <v>37387.584000000003</v>
      </c>
      <c r="GH116" s="1581">
        <v>140070.70799999998</v>
      </c>
      <c r="GI116" s="403">
        <f>SUM(GG115:GG118)*1</f>
        <v>38793.224000000002</v>
      </c>
      <c r="GJ116" s="98">
        <f>GL116/GK116</f>
        <v>8.5936436045603628</v>
      </c>
      <c r="GK116" s="58">
        <v>12806</v>
      </c>
      <c r="GL116" s="58">
        <v>110050.2</v>
      </c>
      <c r="GM116" s="44">
        <v>122753.292</v>
      </c>
      <c r="GN116" s="403">
        <f>SUM(GL115:GL118)*1</f>
        <v>111704.09999999999</v>
      </c>
      <c r="GO116" s="92">
        <f>GQ116/GP116</f>
        <v>13.755335755059679</v>
      </c>
      <c r="GP116" s="410">
        <v>11562</v>
      </c>
      <c r="GQ116" s="410">
        <v>159039.19200000001</v>
      </c>
      <c r="GR116" s="1565">
        <v>113072.628</v>
      </c>
      <c r="GS116" s="403">
        <f>SUM(GQ115:GQ118)*1</f>
        <v>168072.72200000001</v>
      </c>
      <c r="GT116" s="92">
        <f>GV116/GU116</f>
        <v>10.482600291120814</v>
      </c>
      <c r="GU116" s="410">
        <v>10305</v>
      </c>
      <c r="GV116" s="410">
        <v>108023.196</v>
      </c>
      <c r="GW116" s="44">
        <v>117237.65</v>
      </c>
      <c r="GX116" s="403">
        <f>SUM(GV115:GV118)*1</f>
        <v>117083.61599999999</v>
      </c>
      <c r="GY116" s="92">
        <f>HA116/GZ116</f>
        <v>5.5512116940746541</v>
      </c>
      <c r="GZ116" s="58">
        <v>11493</v>
      </c>
      <c r="HA116" s="58">
        <v>63800.076000000001</v>
      </c>
      <c r="HB116" s="44">
        <v>117237.65</v>
      </c>
      <c r="HC116" s="403">
        <f>SUM(HA115:HA118)*1</f>
        <v>65087.006000000001</v>
      </c>
      <c r="HD116" s="92">
        <f>HF116/HE116</f>
        <v>7.262327876862936</v>
      </c>
      <c r="HE116" s="58">
        <v>12279</v>
      </c>
      <c r="HF116" s="58">
        <v>89174.123999999996</v>
      </c>
      <c r="HG116" s="44">
        <v>60045.61</v>
      </c>
      <c r="HH116" s="403">
        <f>SUM(HF115:HF118)*1</f>
        <v>90697.303999999989</v>
      </c>
      <c r="HI116" s="92">
        <f>HK116/HJ116</f>
        <v>7.2239999999999993</v>
      </c>
      <c r="HJ116" s="58">
        <v>10961</v>
      </c>
      <c r="HK116" s="58">
        <v>79182.263999999996</v>
      </c>
      <c r="HL116" s="44">
        <v>90215.7</v>
      </c>
      <c r="HM116" s="403">
        <f>SUM(HK115:HK118)*1</f>
        <v>87501.093999999997</v>
      </c>
      <c r="HN116" s="92">
        <f>HP116/HO116</f>
        <v>7.9415157593123205</v>
      </c>
      <c r="HO116" s="58">
        <v>12564</v>
      </c>
      <c r="HP116" s="58">
        <v>99777.203999999998</v>
      </c>
      <c r="HQ116" s="44">
        <v>89524.5</v>
      </c>
      <c r="HR116" s="403">
        <f>SUM(HP115:HP118)*1</f>
        <v>102767.40399999999</v>
      </c>
      <c r="HS116" s="92">
        <f>HU116/HT116</f>
        <v>7.9877640213350576</v>
      </c>
      <c r="HT116" s="58">
        <v>12374</v>
      </c>
      <c r="HU116" s="58">
        <v>98840.592000000004</v>
      </c>
      <c r="HV116" s="509">
        <v>111868</v>
      </c>
      <c r="HW116" s="403">
        <f>SUM(HU115:HU118)*1</f>
        <v>106948.56200000001</v>
      </c>
      <c r="HX116" s="92">
        <f>HZ116/HY116</f>
        <v>7.2019084363054491</v>
      </c>
      <c r="HY116" s="58">
        <v>11249</v>
      </c>
      <c r="HZ116" s="58">
        <v>81014.267999999996</v>
      </c>
      <c r="IA116" s="509">
        <v>107316.144</v>
      </c>
      <c r="IB116" s="403">
        <f>SUM(HZ115:HZ118)*1</f>
        <v>82292.857999999993</v>
      </c>
      <c r="IC116" s="92">
        <f>IE116/ID116</f>
        <v>9.5370957983193279</v>
      </c>
      <c r="ID116" s="58">
        <v>10710</v>
      </c>
      <c r="IE116" s="58">
        <v>102142.296</v>
      </c>
      <c r="IF116" s="44">
        <v>82594.281818181815</v>
      </c>
      <c r="IG116" s="403">
        <f>SUM(IE115:IE118)*1</f>
        <v>110260.70600000001</v>
      </c>
      <c r="IH116" s="92">
        <f>IJ116/II116</f>
        <v>5.3077206132879047</v>
      </c>
      <c r="II116" s="58">
        <v>7044</v>
      </c>
      <c r="IJ116" s="58">
        <v>37387.584000000003</v>
      </c>
      <c r="IK116" s="44">
        <v>119570.26</v>
      </c>
      <c r="IL116" s="403">
        <f>SUM(IJ115:IJ118)*1</f>
        <v>39141.274000000005</v>
      </c>
      <c r="IM116" s="92">
        <f>IO116/IN116</f>
        <v>5.3077206132879047</v>
      </c>
      <c r="IN116" s="58">
        <v>7044</v>
      </c>
      <c r="IO116" s="58">
        <v>37387.584000000003</v>
      </c>
      <c r="IP116" s="44">
        <v>25963.599999999999</v>
      </c>
      <c r="IQ116" s="403">
        <f>SUM(IO115:IO118)*1</f>
        <v>38425.124000000003</v>
      </c>
    </row>
    <row r="117" spans="1:251" s="336" customFormat="1" ht="15" customHeight="1">
      <c r="A117" s="652"/>
      <c r="B117" s="296"/>
      <c r="C117" s="234">
        <v>41946011</v>
      </c>
      <c r="D117" s="220" t="s">
        <v>200</v>
      </c>
      <c r="E117" s="231" t="s">
        <v>15</v>
      </c>
      <c r="F117" s="231"/>
      <c r="G117" s="97"/>
      <c r="H117" s="56">
        <v>0</v>
      </c>
      <c r="I117" s="58">
        <v>0</v>
      </c>
      <c r="J117" s="44"/>
      <c r="K117" s="86"/>
      <c r="L117" s="120"/>
      <c r="M117" s="56">
        <v>0</v>
      </c>
      <c r="N117" s="58">
        <v>0</v>
      </c>
      <c r="O117" s="44"/>
      <c r="P117" s="86"/>
      <c r="Q117" s="109"/>
      <c r="R117" s="56"/>
      <c r="S117" s="58"/>
      <c r="T117" s="44"/>
      <c r="U117" s="86"/>
      <c r="V117" s="120"/>
      <c r="W117" s="56"/>
      <c r="X117" s="58"/>
      <c r="Y117" s="44"/>
      <c r="Z117" s="44"/>
      <c r="AA117" s="97"/>
      <c r="AB117" s="56"/>
      <c r="AC117" s="58"/>
      <c r="AD117" s="44"/>
      <c r="AE117" s="44"/>
      <c r="AF117" s="97"/>
      <c r="AG117" s="56"/>
      <c r="AH117" s="58"/>
      <c r="AI117" s="44"/>
      <c r="AJ117" s="44"/>
      <c r="AK117" s="97"/>
      <c r="AL117" s="56"/>
      <c r="AM117" s="58"/>
      <c r="AN117" s="44"/>
      <c r="AO117" s="44"/>
      <c r="AP117" s="97"/>
      <c r="AQ117" s="56"/>
      <c r="AR117" s="58"/>
      <c r="AS117" s="44"/>
      <c r="AT117" s="44"/>
      <c r="AU117" s="97"/>
      <c r="AV117" s="56"/>
      <c r="AW117" s="58"/>
      <c r="AX117" s="44"/>
      <c r="AY117" s="44"/>
      <c r="AZ117" s="97"/>
      <c r="BA117" s="56"/>
      <c r="BB117" s="58"/>
      <c r="BC117" s="44"/>
      <c r="BD117" s="44"/>
      <c r="BE117" s="97"/>
      <c r="BF117" s="56"/>
      <c r="BG117" s="58"/>
      <c r="BH117" s="44"/>
      <c r="BI117" s="44"/>
      <c r="BJ117" s="97"/>
      <c r="BK117" s="56"/>
      <c r="BL117" s="58"/>
      <c r="BM117" s="44"/>
      <c r="BN117" s="44"/>
      <c r="BO117" s="97"/>
      <c r="BP117" s="56"/>
      <c r="BQ117" s="58"/>
      <c r="BR117" s="44"/>
      <c r="BS117" s="44"/>
      <c r="BT117" s="97"/>
      <c r="BU117" s="56"/>
      <c r="BV117" s="58"/>
      <c r="BW117" s="44"/>
      <c r="BX117" s="44"/>
      <c r="BY117" s="97"/>
      <c r="BZ117" s="56"/>
      <c r="CA117" s="58"/>
      <c r="CB117" s="44"/>
      <c r="CC117" s="44"/>
      <c r="CD117" s="97"/>
      <c r="CE117" s="56"/>
      <c r="CF117" s="58"/>
      <c r="CG117" s="44"/>
      <c r="CH117" s="44"/>
      <c r="CI117" s="97"/>
      <c r="CJ117" s="56"/>
      <c r="CK117" s="58"/>
      <c r="CL117" s="44"/>
      <c r="CM117" s="44"/>
      <c r="CN117" s="97"/>
      <c r="CO117" s="56"/>
      <c r="CP117" s="58"/>
      <c r="CQ117" s="44"/>
      <c r="CR117" s="44"/>
      <c r="CS117" s="97"/>
      <c r="CT117" s="56"/>
      <c r="CU117" s="58"/>
      <c r="CV117" s="44"/>
      <c r="CW117" s="44"/>
      <c r="CX117" s="97"/>
      <c r="CY117" s="56"/>
      <c r="CZ117" s="58"/>
      <c r="DA117" s="44"/>
      <c r="DB117" s="44"/>
      <c r="DC117" s="97"/>
      <c r="DD117" s="56"/>
      <c r="DE117" s="58"/>
      <c r="DF117" s="44"/>
      <c r="DG117" s="44"/>
      <c r="DH117" s="97"/>
      <c r="DI117" s="56"/>
      <c r="DJ117" s="58"/>
      <c r="DK117" s="44"/>
      <c r="DL117" s="44"/>
      <c r="DM117" s="97"/>
      <c r="DN117" s="56"/>
      <c r="DO117" s="58"/>
      <c r="DP117" s="44"/>
      <c r="DQ117" s="44"/>
      <c r="DR117" s="97"/>
      <c r="DS117" s="56"/>
      <c r="DT117" s="58"/>
      <c r="DU117" s="44"/>
      <c r="DV117" s="44"/>
      <c r="DW117" s="97"/>
      <c r="DX117" s="56"/>
      <c r="DY117" s="58"/>
      <c r="DZ117" s="44"/>
      <c r="EA117" s="44"/>
      <c r="EB117" s="97"/>
      <c r="EC117" s="56"/>
      <c r="ED117" s="58"/>
      <c r="EE117" s="44"/>
      <c r="EF117" s="44"/>
      <c r="EG117" s="97"/>
      <c r="EH117" s="56"/>
      <c r="EI117" s="58"/>
      <c r="EJ117" s="44"/>
      <c r="EK117" s="44"/>
      <c r="EL117" s="97"/>
      <c r="EM117" s="56"/>
      <c r="EN117" s="58"/>
      <c r="EO117" s="44"/>
      <c r="EP117" s="44"/>
      <c r="EQ117" s="97"/>
      <c r="ER117" s="56"/>
      <c r="ES117" s="58"/>
      <c r="ET117" s="44"/>
      <c r="EU117" s="44"/>
      <c r="EV117" s="97"/>
      <c r="EW117" s="56"/>
      <c r="EX117" s="58"/>
      <c r="EY117" s="44"/>
      <c r="EZ117" s="44"/>
      <c r="FA117" s="97"/>
      <c r="FB117" s="56"/>
      <c r="FC117" s="58"/>
      <c r="FD117" s="44"/>
      <c r="FE117" s="44"/>
      <c r="FF117" s="97"/>
      <c r="FG117" s="56"/>
      <c r="FH117" s="58"/>
      <c r="FI117" s="44"/>
      <c r="FJ117" s="44"/>
      <c r="FK117" s="97"/>
      <c r="FL117" s="56"/>
      <c r="FM117" s="58"/>
      <c r="FN117" s="44"/>
      <c r="FO117" s="44"/>
      <c r="FP117" s="97"/>
      <c r="FQ117" s="56"/>
      <c r="FR117" s="58"/>
      <c r="FS117" s="44"/>
      <c r="FT117" s="44"/>
      <c r="FU117" s="97"/>
      <c r="FV117" s="56"/>
      <c r="FW117" s="58"/>
      <c r="FX117" s="44"/>
      <c r="FY117" s="44"/>
      <c r="FZ117" s="97"/>
      <c r="GA117" s="56"/>
      <c r="GB117" s="58"/>
      <c r="GC117" s="38"/>
      <c r="GD117" s="44"/>
      <c r="GE117" s="97"/>
      <c r="GF117" s="56"/>
      <c r="GG117" s="58"/>
      <c r="GH117" s="44"/>
      <c r="GI117" s="44"/>
      <c r="GJ117" s="97"/>
      <c r="GK117" s="56"/>
      <c r="GL117" s="58"/>
      <c r="GM117" s="44"/>
      <c r="GN117" s="44"/>
      <c r="GO117" s="97"/>
      <c r="GP117" s="56"/>
      <c r="GQ117" s="58"/>
      <c r="GR117" s="44"/>
      <c r="GS117" s="44"/>
      <c r="GT117" s="97"/>
      <c r="GU117" s="56"/>
      <c r="GV117" s="58"/>
      <c r="GW117" s="44"/>
      <c r="GX117" s="44"/>
      <c r="GY117" s="97"/>
      <c r="GZ117" s="56"/>
      <c r="HA117" s="58"/>
      <c r="HB117" s="44"/>
      <c r="HC117" s="44"/>
      <c r="HD117" s="97"/>
      <c r="HE117" s="56"/>
      <c r="HF117" s="58"/>
      <c r="HG117" s="44"/>
      <c r="HH117" s="44"/>
      <c r="HI117" s="97"/>
      <c r="HJ117" s="56"/>
      <c r="HK117" s="58"/>
      <c r="HL117" s="44"/>
      <c r="HM117" s="44"/>
      <c r="HN117" s="97"/>
      <c r="HO117" s="56"/>
      <c r="HP117" s="58"/>
      <c r="HQ117" s="44"/>
      <c r="HR117" s="44"/>
      <c r="HS117" s="97"/>
      <c r="HT117" s="56"/>
      <c r="HU117" s="58"/>
      <c r="HV117" s="44"/>
      <c r="HW117" s="44"/>
      <c r="HX117" s="97"/>
      <c r="HY117" s="56"/>
      <c r="HZ117" s="58"/>
      <c r="IA117" s="44"/>
      <c r="IB117" s="44"/>
      <c r="IC117" s="97"/>
      <c r="ID117" s="56"/>
      <c r="IE117" s="58"/>
      <c r="IF117" s="44"/>
      <c r="IG117" s="44"/>
      <c r="IH117" s="97"/>
      <c r="II117" s="56"/>
      <c r="IJ117" s="58"/>
      <c r="IK117" s="44"/>
      <c r="IL117" s="44"/>
      <c r="IM117" s="97"/>
      <c r="IN117" s="56"/>
      <c r="IO117" s="58"/>
      <c r="IP117" s="44"/>
      <c r="IQ117" s="44"/>
    </row>
    <row r="118" spans="1:251" s="264" customFormat="1" ht="15" customHeight="1" thickBot="1">
      <c r="A118" s="654"/>
      <c r="B118" s="535"/>
      <c r="C118" s="258">
        <v>33495259</v>
      </c>
      <c r="D118" s="20" t="s">
        <v>66</v>
      </c>
      <c r="E118" s="259" t="s">
        <v>17</v>
      </c>
      <c r="F118" s="259"/>
      <c r="G118" s="3">
        <f>I118/H118</f>
        <v>37.497241379310346</v>
      </c>
      <c r="H118" s="172">
        <v>29</v>
      </c>
      <c r="I118" s="170">
        <v>1087.42</v>
      </c>
      <c r="J118" s="179"/>
      <c r="K118" s="182"/>
      <c r="L118" s="209">
        <f>N118/M118</f>
        <v>37.497241379310346</v>
      </c>
      <c r="M118" s="172">
        <v>29</v>
      </c>
      <c r="N118" s="170">
        <v>1087.42</v>
      </c>
      <c r="O118" s="179"/>
      <c r="P118" s="182"/>
      <c r="Q118" s="168">
        <f>S118/R118</f>
        <v>31.37891891891892</v>
      </c>
      <c r="R118" s="172">
        <v>37</v>
      </c>
      <c r="S118" s="170">
        <v>1161.02</v>
      </c>
      <c r="T118" s="179"/>
      <c r="U118" s="182"/>
      <c r="V118" s="209">
        <f>X118/W118</f>
        <v>31.684750000000001</v>
      </c>
      <c r="W118" s="172">
        <v>40</v>
      </c>
      <c r="X118" s="170">
        <v>1267.3900000000001</v>
      </c>
      <c r="Y118" s="179"/>
      <c r="Z118" s="179"/>
      <c r="AA118" s="3">
        <v>30.38</v>
      </c>
      <c r="AB118" s="172">
        <f>41+4.97</f>
        <v>45.97</v>
      </c>
      <c r="AC118" s="170">
        <f>1284.94+70.67</f>
        <v>1355.6100000000001</v>
      </c>
      <c r="AD118" s="179"/>
      <c r="AE118" s="179"/>
      <c r="AF118" s="3">
        <f>AH118/AG118</f>
        <v>30.622162162162162</v>
      </c>
      <c r="AG118" s="172">
        <v>37</v>
      </c>
      <c r="AH118" s="170">
        <v>1133.02</v>
      </c>
      <c r="AI118" s="179"/>
      <c r="AJ118" s="179"/>
      <c r="AK118" s="3">
        <f>AM118/AL118</f>
        <v>33.65</v>
      </c>
      <c r="AL118" s="172">
        <v>12</v>
      </c>
      <c r="AM118" s="170">
        <v>403.8</v>
      </c>
      <c r="AN118" s="179"/>
      <c r="AO118" s="179"/>
      <c r="AP118" s="3">
        <f>AR118/AQ118</f>
        <v>33.131555555555558</v>
      </c>
      <c r="AQ118" s="172">
        <v>90</v>
      </c>
      <c r="AR118" s="170">
        <v>2981.84</v>
      </c>
      <c r="AS118" s="179"/>
      <c r="AT118" s="179"/>
      <c r="AU118" s="3">
        <f>AW118/AV118</f>
        <v>31.942142857142859</v>
      </c>
      <c r="AV118" s="172">
        <v>56</v>
      </c>
      <c r="AW118" s="170">
        <v>1788.76</v>
      </c>
      <c r="AX118" s="179"/>
      <c r="AY118" s="179"/>
      <c r="AZ118" s="3">
        <f>BB118/BA118</f>
        <v>31.782549019607846</v>
      </c>
      <c r="BA118" s="172">
        <v>51</v>
      </c>
      <c r="BB118" s="170">
        <v>1620.91</v>
      </c>
      <c r="BC118" s="179"/>
      <c r="BD118" s="179"/>
      <c r="BE118" s="3">
        <f>BG118/BF118</f>
        <v>31.056060606060605</v>
      </c>
      <c r="BF118" s="172">
        <v>33</v>
      </c>
      <c r="BG118" s="170">
        <v>1024.8499999999999</v>
      </c>
      <c r="BH118" s="179"/>
      <c r="BI118" s="179"/>
      <c r="BJ118" s="3">
        <f>BL118/BK118</f>
        <v>34.681142857142852</v>
      </c>
      <c r="BK118" s="172">
        <v>35</v>
      </c>
      <c r="BL118" s="170">
        <v>1213.8399999999999</v>
      </c>
      <c r="BM118" s="179"/>
      <c r="BN118" s="179"/>
      <c r="BO118" s="3">
        <f>BQ118/BP118</f>
        <v>35.278571428571432</v>
      </c>
      <c r="BP118" s="172">
        <v>42</v>
      </c>
      <c r="BQ118" s="170">
        <v>1481.7</v>
      </c>
      <c r="BR118" s="179"/>
      <c r="BS118" s="179"/>
      <c r="BT118" s="3">
        <f>BV118/BU118</f>
        <v>35.243499999999997</v>
      </c>
      <c r="BU118" s="172">
        <v>40</v>
      </c>
      <c r="BV118" s="170">
        <v>1409.74</v>
      </c>
      <c r="BW118" s="179"/>
      <c r="BX118" s="179"/>
      <c r="BY118" s="3">
        <f>CA118/BZ118</f>
        <v>35.389782608695654</v>
      </c>
      <c r="BZ118" s="172">
        <v>46</v>
      </c>
      <c r="CA118" s="662">
        <v>1627.93</v>
      </c>
      <c r="CB118" s="179"/>
      <c r="CC118" s="179"/>
      <c r="CD118" s="3">
        <f>CF118/CE118</f>
        <v>30.295443645083928</v>
      </c>
      <c r="CE118" s="172">
        <v>41.7</v>
      </c>
      <c r="CF118" s="170">
        <v>1263.32</v>
      </c>
      <c r="CG118" s="179"/>
      <c r="CH118" s="179"/>
      <c r="CI118" s="3">
        <f>CK118/CJ118</f>
        <v>30.641190476190477</v>
      </c>
      <c r="CJ118" s="172">
        <v>42</v>
      </c>
      <c r="CK118" s="170">
        <v>1286.93</v>
      </c>
      <c r="CL118" s="48"/>
      <c r="CM118" s="179"/>
      <c r="CN118" s="3">
        <f>CP118/CO118</f>
        <v>30.337884615384613</v>
      </c>
      <c r="CO118" s="172">
        <v>52</v>
      </c>
      <c r="CP118" s="713">
        <v>1577.57</v>
      </c>
      <c r="CQ118" s="179"/>
      <c r="CR118" s="179"/>
      <c r="CS118" s="3">
        <f>CU118/CT118</f>
        <v>42.095715939791589</v>
      </c>
      <c r="CT118" s="172">
        <v>51.82</v>
      </c>
      <c r="CU118" s="170">
        <v>2181.4</v>
      </c>
      <c r="CV118" s="179"/>
      <c r="CW118" s="179"/>
      <c r="CX118" s="3">
        <f>CZ118/CY118</f>
        <v>55.374074074074073</v>
      </c>
      <c r="CY118" s="172">
        <v>54</v>
      </c>
      <c r="CZ118" s="170">
        <v>2990.2</v>
      </c>
      <c r="DA118" s="179"/>
      <c r="DB118" s="179"/>
      <c r="DC118" s="3">
        <f>DE118/DD118</f>
        <v>46.65</v>
      </c>
      <c r="DD118" s="172">
        <v>46</v>
      </c>
      <c r="DE118" s="170">
        <v>2145.9</v>
      </c>
      <c r="DF118" s="179"/>
      <c r="DG118" s="179"/>
      <c r="DH118" s="3">
        <f>DJ118/DI118</f>
        <v>49.176538461538456</v>
      </c>
      <c r="DI118" s="172">
        <v>26</v>
      </c>
      <c r="DJ118" s="170">
        <v>1278.5899999999999</v>
      </c>
      <c r="DK118" s="179"/>
      <c r="DL118" s="179"/>
      <c r="DM118" s="3">
        <f>DO118/DN118</f>
        <v>48.855925925925924</v>
      </c>
      <c r="DN118" s="172">
        <v>27</v>
      </c>
      <c r="DO118" s="170">
        <v>1319.11</v>
      </c>
      <c r="DP118" s="48"/>
      <c r="DQ118" s="179"/>
      <c r="DR118" s="3">
        <f>DT118/DS118</f>
        <v>48.713611111111113</v>
      </c>
      <c r="DS118" s="172">
        <v>36</v>
      </c>
      <c r="DT118" s="170">
        <v>1753.69</v>
      </c>
      <c r="DU118" s="179"/>
      <c r="DV118" s="179"/>
      <c r="DW118" s="3">
        <f>DY118/DX118</f>
        <v>48.572653061224486</v>
      </c>
      <c r="DX118" s="172">
        <v>49</v>
      </c>
      <c r="DY118" s="170">
        <v>2380.06</v>
      </c>
      <c r="DZ118" s="179"/>
      <c r="EA118" s="179"/>
      <c r="EB118" s="3">
        <f>ED118/EC118</f>
        <v>48.644117647058827</v>
      </c>
      <c r="EC118" s="172">
        <v>34</v>
      </c>
      <c r="ED118" s="170">
        <v>1653.9</v>
      </c>
      <c r="EE118" s="179"/>
      <c r="EF118" s="179"/>
      <c r="EG118" s="3">
        <f>EI118/EH118</f>
        <v>49.284423076923076</v>
      </c>
      <c r="EH118" s="172">
        <v>52</v>
      </c>
      <c r="EI118" s="662">
        <v>2562.79</v>
      </c>
      <c r="EJ118" s="179"/>
      <c r="EK118" s="179"/>
      <c r="EL118" s="3">
        <f>EN118/EM118</f>
        <v>30.295443645083928</v>
      </c>
      <c r="EM118" s="177">
        <v>41.7</v>
      </c>
      <c r="EN118" s="169">
        <v>1263.32</v>
      </c>
      <c r="EO118" s="48"/>
      <c r="EP118" s="179"/>
      <c r="EQ118" s="3">
        <f>ES118/ER118</f>
        <v>42.897666666666666</v>
      </c>
      <c r="ER118" s="172">
        <v>30</v>
      </c>
      <c r="ES118" s="170">
        <v>1286.93</v>
      </c>
      <c r="ET118" s="179"/>
      <c r="EU118" s="179"/>
      <c r="EV118" s="3">
        <f>EX118/EW118</f>
        <v>42.31055555555556</v>
      </c>
      <c r="EW118" s="172">
        <v>36</v>
      </c>
      <c r="EX118" s="713">
        <v>1523.18</v>
      </c>
      <c r="EY118" s="179"/>
      <c r="EZ118" s="179"/>
      <c r="FA118" s="3">
        <f>FC118/FB118</f>
        <v>42.660666666666664</v>
      </c>
      <c r="FB118" s="172">
        <v>195</v>
      </c>
      <c r="FC118" s="170">
        <v>8318.83</v>
      </c>
      <c r="FD118" s="48"/>
      <c r="FE118" s="179"/>
      <c r="FF118" s="3">
        <f>FH118/FG118</f>
        <v>55.374074074074073</v>
      </c>
      <c r="FG118" s="177">
        <v>54</v>
      </c>
      <c r="FH118" s="169">
        <v>2990.2</v>
      </c>
      <c r="FI118" s="48"/>
      <c r="FJ118" s="179"/>
      <c r="FK118" s="3">
        <f>FM118/FL118</f>
        <v>176.26021739130437</v>
      </c>
      <c r="FL118" s="177">
        <v>46</v>
      </c>
      <c r="FM118" s="170">
        <v>8107.97</v>
      </c>
      <c r="FN118" s="48"/>
      <c r="FO118" s="179"/>
      <c r="FP118" s="3">
        <f>FR118/FQ118</f>
        <v>49.176538461538456</v>
      </c>
      <c r="FQ118" s="177">
        <v>26</v>
      </c>
      <c r="FR118" s="169">
        <v>1278.5899999999999</v>
      </c>
      <c r="FS118" s="48"/>
      <c r="FT118" s="179"/>
      <c r="FU118" s="3">
        <f>FW118/FV118</f>
        <v>238.77676470588236</v>
      </c>
      <c r="FV118" s="177">
        <v>34</v>
      </c>
      <c r="FW118" s="169">
        <v>8118.41</v>
      </c>
      <c r="FX118" s="48"/>
      <c r="FY118" s="179"/>
      <c r="FZ118" s="3">
        <f>GB118/GA118</f>
        <v>49.706666666666663</v>
      </c>
      <c r="GA118" s="172">
        <v>33</v>
      </c>
      <c r="GB118" s="170">
        <v>1640.32</v>
      </c>
      <c r="GC118" s="179"/>
      <c r="GD118" s="179"/>
      <c r="GE118" s="3">
        <f>GG118/GF118</f>
        <v>46.854666666666667</v>
      </c>
      <c r="GF118" s="172">
        <v>30</v>
      </c>
      <c r="GG118" s="170">
        <v>1405.64</v>
      </c>
      <c r="GH118" s="179"/>
      <c r="GI118" s="179"/>
      <c r="GJ118" s="285">
        <f>GL118/GK118</f>
        <v>48.644117647058827</v>
      </c>
      <c r="GK118" s="177">
        <v>34</v>
      </c>
      <c r="GL118" s="169">
        <v>1653.9</v>
      </c>
      <c r="GM118" s="48"/>
      <c r="GN118" s="179"/>
      <c r="GO118" s="3">
        <f>GQ118/GP118</f>
        <v>173.72173076923079</v>
      </c>
      <c r="GP118" s="177">
        <v>52</v>
      </c>
      <c r="GQ118" s="662">
        <v>9033.5300000000007</v>
      </c>
      <c r="GR118" s="48"/>
      <c r="GS118" s="179"/>
      <c r="GT118" s="3"/>
      <c r="GU118" s="177">
        <v>30</v>
      </c>
      <c r="GV118" s="170">
        <v>9060.42</v>
      </c>
      <c r="GW118" s="48"/>
      <c r="GX118" s="179"/>
      <c r="GY118" s="3">
        <f>HA118/GZ118</f>
        <v>42.897666666666666</v>
      </c>
      <c r="GZ118" s="177">
        <v>30</v>
      </c>
      <c r="HA118" s="169">
        <v>1286.93</v>
      </c>
      <c r="HB118" s="48"/>
      <c r="HC118" s="179"/>
      <c r="HD118" s="3">
        <f>HF118/HE118</f>
        <v>42.31055555555556</v>
      </c>
      <c r="HE118" s="177">
        <v>36</v>
      </c>
      <c r="HF118" s="1570">
        <v>1523.18</v>
      </c>
      <c r="HG118" s="48"/>
      <c r="HH118" s="179"/>
      <c r="HI118" s="3">
        <f>HK118/HJ118</f>
        <v>42.660666666666664</v>
      </c>
      <c r="HJ118" s="177">
        <v>195</v>
      </c>
      <c r="HK118" s="169">
        <v>8318.83</v>
      </c>
      <c r="HL118" s="48"/>
      <c r="HM118" s="179"/>
      <c r="HN118" s="3">
        <f>HP118/HO118</f>
        <v>55.374074074074073</v>
      </c>
      <c r="HO118" s="177">
        <v>54</v>
      </c>
      <c r="HP118" s="169">
        <v>2990.2</v>
      </c>
      <c r="HQ118" s="48"/>
      <c r="HR118" s="179"/>
      <c r="HS118" s="3">
        <f>HU118/HT118</f>
        <v>176.26021739130437</v>
      </c>
      <c r="HT118" s="177">
        <v>46</v>
      </c>
      <c r="HU118" s="169">
        <v>8107.97</v>
      </c>
      <c r="HV118" s="48"/>
      <c r="HW118" s="179"/>
      <c r="HX118" s="3">
        <f>HZ118/HY118</f>
        <v>49.176538461538456</v>
      </c>
      <c r="HY118" s="177">
        <v>26</v>
      </c>
      <c r="HZ118" s="169">
        <v>1278.5899999999999</v>
      </c>
      <c r="IA118" s="48"/>
      <c r="IB118" s="179"/>
      <c r="IC118" s="3">
        <f>IE118/ID118</f>
        <v>238.77676470588236</v>
      </c>
      <c r="ID118" s="177">
        <v>34</v>
      </c>
      <c r="IE118" s="169">
        <v>8118.41</v>
      </c>
      <c r="IF118" s="48"/>
      <c r="IG118" s="179"/>
      <c r="IH118" s="3">
        <f>IJ118/II118</f>
        <v>48.713611111111113</v>
      </c>
      <c r="II118" s="177">
        <v>36</v>
      </c>
      <c r="IJ118" s="169">
        <v>1753.69</v>
      </c>
      <c r="IK118" s="48"/>
      <c r="IL118" s="179"/>
      <c r="IM118" s="3">
        <f>IO118/IN118</f>
        <v>30.515882352941176</v>
      </c>
      <c r="IN118" s="177">
        <v>34</v>
      </c>
      <c r="IO118" s="169">
        <v>1037.54</v>
      </c>
      <c r="IP118" s="48"/>
      <c r="IQ118" s="179"/>
    </row>
    <row r="119" spans="1:251" s="249" customFormat="1" ht="15" customHeight="1">
      <c r="A119" s="655"/>
      <c r="B119" s="531" t="s">
        <v>310</v>
      </c>
      <c r="C119" s="527" t="s">
        <v>67</v>
      </c>
      <c r="D119" s="6" t="s">
        <v>25</v>
      </c>
      <c r="E119" s="7" t="s">
        <v>10</v>
      </c>
      <c r="F119" s="4"/>
      <c r="G119" s="196"/>
      <c r="H119" s="200"/>
      <c r="I119" s="197"/>
      <c r="J119" s="38"/>
      <c r="K119" s="206"/>
      <c r="L119" s="196"/>
      <c r="M119" s="200"/>
      <c r="N119" s="197"/>
      <c r="O119" s="38"/>
      <c r="P119" s="206"/>
      <c r="Q119" s="196"/>
      <c r="R119" s="200"/>
      <c r="S119" s="197"/>
      <c r="T119" s="38"/>
      <c r="U119" s="206"/>
      <c r="V119" s="207"/>
      <c r="W119" s="200"/>
      <c r="X119" s="204">
        <v>2783</v>
      </c>
      <c r="Y119" s="38"/>
      <c r="Z119" s="384">
        <f>SUM(X119:X123)*1.1</f>
        <v>105078.01700000001</v>
      </c>
      <c r="AA119" s="36"/>
      <c r="AB119" s="200"/>
      <c r="AC119" s="204">
        <v>1265</v>
      </c>
      <c r="AD119" s="38"/>
      <c r="AE119" s="384">
        <f>SUM(AC119:AC123)*1.1</f>
        <v>110700.799</v>
      </c>
      <c r="AF119" s="36"/>
      <c r="AG119" s="200"/>
      <c r="AH119" s="204">
        <v>1518</v>
      </c>
      <c r="AI119" s="38"/>
      <c r="AJ119" s="384">
        <f>AJ120*1.1</f>
        <v>122817.81600000001</v>
      </c>
      <c r="AK119" s="36"/>
      <c r="AL119" s="200"/>
      <c r="AM119" s="204">
        <v>1012</v>
      </c>
      <c r="AN119" s="38"/>
      <c r="AO119" s="384">
        <f>AO120*1.2</f>
        <v>183037.236</v>
      </c>
      <c r="AP119" s="36"/>
      <c r="AQ119" s="200"/>
      <c r="AR119" s="197"/>
      <c r="AS119" s="38"/>
      <c r="AT119" s="384">
        <f>SUM(AR119:AR123)*1.1</f>
        <v>120898.12900000002</v>
      </c>
      <c r="AU119" s="36"/>
      <c r="AV119" s="200"/>
      <c r="AW119" s="197"/>
      <c r="AX119" s="38"/>
      <c r="AY119" s="384">
        <f>SUM(AW119:AW123)*1.1</f>
        <v>144517.758</v>
      </c>
      <c r="AZ119" s="36"/>
      <c r="BA119" s="200"/>
      <c r="BB119" s="197"/>
      <c r="BC119" s="38"/>
      <c r="BD119" s="384">
        <f>SUM(BB119:BB123)*1.1</f>
        <v>145912.965</v>
      </c>
      <c r="BE119" s="36"/>
      <c r="BF119" s="200"/>
      <c r="BG119" s="197"/>
      <c r="BH119" s="38"/>
      <c r="BI119" s="384">
        <f>SUM(BG119:BG123)*1.1</f>
        <v>146752.27600000001</v>
      </c>
      <c r="BJ119" s="36"/>
      <c r="BK119" s="200"/>
      <c r="BL119" s="197"/>
      <c r="BM119" s="38"/>
      <c r="BN119" s="384">
        <f>SUM(BL119:BL123)*1.1</f>
        <v>164917.35700000002</v>
      </c>
      <c r="BO119" s="36"/>
      <c r="BP119" s="200"/>
      <c r="BQ119" s="197"/>
      <c r="BR119" s="38"/>
      <c r="BS119" s="384">
        <f>SUM(BQ119:BQ123)*1.1</f>
        <v>174837.674</v>
      </c>
      <c r="BT119" s="36"/>
      <c r="BU119" s="200"/>
      <c r="BV119" s="197"/>
      <c r="BW119" s="38"/>
      <c r="BX119" s="384">
        <f>SUM(BV119:BV123)*1.1</f>
        <v>198544.93560000003</v>
      </c>
      <c r="BY119" s="36"/>
      <c r="BZ119" s="200"/>
      <c r="CA119" s="197"/>
      <c r="CB119" s="38"/>
      <c r="CC119" s="384">
        <f>SUM(CA119:CA123)*1.1</f>
        <v>162153.739</v>
      </c>
      <c r="CD119" s="36"/>
      <c r="CE119" s="200"/>
      <c r="CF119" s="197"/>
      <c r="CG119" s="38"/>
      <c r="CH119" s="384">
        <f>SUM(CF119:CF123)*1.1</f>
        <v>160608.03659999999</v>
      </c>
      <c r="CI119" s="36"/>
      <c r="CJ119" s="200"/>
      <c r="CK119" s="197"/>
      <c r="CL119" s="38"/>
      <c r="CM119" s="384">
        <f>SUM(CK119:CK123)*1.1</f>
        <v>145552.891</v>
      </c>
      <c r="CN119" s="36"/>
      <c r="CO119" s="200"/>
      <c r="CP119" s="197"/>
      <c r="CQ119" s="38"/>
      <c r="CR119" s="384">
        <f>SUM(CP119:CP123)*1.1</f>
        <v>155645.91240000003</v>
      </c>
      <c r="CS119" s="36"/>
      <c r="CT119" s="200"/>
      <c r="CU119" s="197"/>
      <c r="CV119" s="38"/>
      <c r="CW119" s="384">
        <f>SUM(CU119:CU123)*1.1</f>
        <v>181312.19260000001</v>
      </c>
      <c r="CX119" s="36"/>
      <c r="CY119" s="200"/>
      <c r="CZ119" s="197"/>
      <c r="DA119" s="38"/>
      <c r="DB119" s="384">
        <f>SUM(CZ119:CZ123)*1.1</f>
        <v>214682.47460000005</v>
      </c>
      <c r="DC119" s="36"/>
      <c r="DD119" s="200"/>
      <c r="DE119" s="197"/>
      <c r="DF119" s="38"/>
      <c r="DG119" s="384">
        <f>SUM(DE119:DE123)*1.1</f>
        <v>199308.11560000002</v>
      </c>
      <c r="DH119" s="36"/>
      <c r="DI119" s="200"/>
      <c r="DJ119" s="197"/>
      <c r="DK119" s="38"/>
      <c r="DL119" s="384">
        <f>SUM(DJ119:DJ123)*1.1</f>
        <v>70399.608400000012</v>
      </c>
      <c r="DM119" s="36"/>
      <c r="DN119" s="200"/>
      <c r="DO119" s="197"/>
      <c r="DP119" s="38"/>
      <c r="DQ119" s="384">
        <f>SUM(DO119:DO123)*1.1</f>
        <v>334673.82520000002</v>
      </c>
      <c r="DR119" s="36"/>
      <c r="DS119" s="200"/>
      <c r="DT119" s="197"/>
      <c r="DU119" s="38"/>
      <c r="DV119" s="384">
        <f>SUM(DT119:DT123)*1.1</f>
        <v>164306.95160000003</v>
      </c>
      <c r="DW119" s="36"/>
      <c r="DX119" s="200"/>
      <c r="DY119" s="197"/>
      <c r="DZ119" s="38"/>
      <c r="EA119" s="384">
        <f>SUM(DY119:DY123)*1.1</f>
        <v>228726.70920000004</v>
      </c>
      <c r="EB119" s="36"/>
      <c r="EC119" s="200"/>
      <c r="ED119" s="197"/>
      <c r="EE119" s="38"/>
      <c r="EF119" s="384">
        <f>SUM(ED119:ED123)*1.1</f>
        <v>201421.91960000002</v>
      </c>
      <c r="EG119" s="36"/>
      <c r="EH119" s="200"/>
      <c r="EI119" s="197"/>
      <c r="EJ119" s="38"/>
      <c r="EK119" s="384">
        <f>SUM(EI119:EI123)*1.1</f>
        <v>238535.61820000003</v>
      </c>
      <c r="EL119" s="36"/>
      <c r="EM119" s="200"/>
      <c r="EN119" s="197"/>
      <c r="EO119" s="38"/>
      <c r="EP119" s="384">
        <f>SUM(EN119:EN123)*1.1</f>
        <v>204485.87940000003</v>
      </c>
      <c r="EQ119" s="36"/>
      <c r="ER119" s="200"/>
      <c r="ES119" s="197"/>
      <c r="ET119" s="38"/>
      <c r="EU119" s="384">
        <f>SUM(ES119:ES123)*1.1</f>
        <v>142973.01699999999</v>
      </c>
      <c r="EV119" s="36"/>
      <c r="EW119" s="200"/>
      <c r="EX119" s="197"/>
      <c r="EY119" s="38"/>
      <c r="EZ119" s="384">
        <f>SUM(EX119:EX123)*1.1</f>
        <v>184013.63639999999</v>
      </c>
      <c r="FA119" s="36"/>
      <c r="FB119" s="200"/>
      <c r="FC119" s="197"/>
      <c r="FD119" s="38"/>
      <c r="FE119" s="384">
        <f>SUM(FC119:FC123)*1.1</f>
        <v>181312.19260000001</v>
      </c>
      <c r="FF119" s="36"/>
      <c r="FG119" s="200"/>
      <c r="FH119" s="197"/>
      <c r="FI119" s="38"/>
      <c r="FJ119" s="384">
        <f>SUM(FH119:FH123)*1.1</f>
        <v>214682.47460000005</v>
      </c>
      <c r="FK119" s="36"/>
      <c r="FL119" s="200"/>
      <c r="FM119" s="197"/>
      <c r="FN119" s="38"/>
      <c r="FO119" s="384">
        <f>SUM(FM119:FM123)*1.1</f>
        <v>233420.00880000001</v>
      </c>
      <c r="FP119" s="36"/>
      <c r="FQ119" s="200"/>
      <c r="FR119" s="197"/>
      <c r="FS119" s="38"/>
      <c r="FT119" s="384">
        <f>SUM(FR119:FR123)*1.1</f>
        <v>203161.60920000001</v>
      </c>
      <c r="FU119" s="36"/>
      <c r="FV119" s="200"/>
      <c r="FW119" s="197"/>
      <c r="FX119" s="38"/>
      <c r="FY119" s="384">
        <f>SUM(FW119:FW123)*1.1</f>
        <v>206310.29760000008</v>
      </c>
      <c r="FZ119" s="36"/>
      <c r="GA119" s="200"/>
      <c r="GB119" s="197"/>
      <c r="GC119" s="38"/>
      <c r="GD119" s="384">
        <f>SUM(GB119:GB123)*1.1</f>
        <v>166215.70680000001</v>
      </c>
      <c r="GE119" s="36"/>
      <c r="GF119" s="200"/>
      <c r="GG119" s="197"/>
      <c r="GH119" s="38"/>
      <c r="GI119" s="384">
        <f>SUM(GG119:GG123)*1.1</f>
        <v>164297.86560000002</v>
      </c>
      <c r="GJ119" s="280"/>
      <c r="GK119" s="200"/>
      <c r="GL119" s="197"/>
      <c r="GM119" s="38"/>
      <c r="GN119" s="384">
        <f>SUM(GL119:GL123)*1.1</f>
        <v>97437.582000000009</v>
      </c>
      <c r="GO119" s="36"/>
      <c r="GP119" s="200"/>
      <c r="GQ119" s="197"/>
      <c r="GR119" s="38"/>
      <c r="GS119" s="384">
        <f>SUM(GQ119:GQ123)*1.1</f>
        <v>158949.5974</v>
      </c>
      <c r="GT119" s="36"/>
      <c r="GU119" s="200"/>
      <c r="GV119" s="197"/>
      <c r="GW119" s="38"/>
      <c r="GX119" s="384">
        <f>SUM(GV119:GV123)*1.1</f>
        <v>237182.20680000001</v>
      </c>
      <c r="GY119" s="36"/>
      <c r="GZ119" s="200"/>
      <c r="HA119" s="197"/>
      <c r="HB119" s="38"/>
      <c r="HC119" s="384">
        <f>SUM(HA119:HA123)*1.1</f>
        <v>142973.01699999999</v>
      </c>
      <c r="HD119" s="36"/>
      <c r="HE119" s="200"/>
      <c r="HF119" s="197"/>
      <c r="HG119" s="38"/>
      <c r="HH119" s="384">
        <f>SUM(HF119:HF123)*1.1</f>
        <v>184013.63639999999</v>
      </c>
      <c r="HI119" s="36"/>
      <c r="HJ119" s="200"/>
      <c r="HK119" s="197"/>
      <c r="HL119" s="38"/>
      <c r="HM119" s="384">
        <f>SUM(HK119:HK123)*1.1</f>
        <v>181312.19260000001</v>
      </c>
      <c r="HN119" s="36"/>
      <c r="HO119" s="200"/>
      <c r="HP119" s="197"/>
      <c r="HQ119" s="38"/>
      <c r="HR119" s="384">
        <f>SUM(HP119:HP123)*1.1</f>
        <v>214682.47460000005</v>
      </c>
      <c r="HS119" s="36"/>
      <c r="HT119" s="200"/>
      <c r="HU119" s="197"/>
      <c r="HV119" s="38"/>
      <c r="HW119" s="384">
        <f>SUM(HU119:HU123)*1.1</f>
        <v>233420.00880000001</v>
      </c>
      <c r="HX119" s="36"/>
      <c r="HY119" s="200"/>
      <c r="HZ119" s="197"/>
      <c r="IA119" s="38"/>
      <c r="IB119" s="384">
        <f>SUM(HZ119:HZ123)*1.1</f>
        <v>203161.60920000001</v>
      </c>
      <c r="IC119" s="36"/>
      <c r="ID119" s="200"/>
      <c r="IE119" s="197"/>
      <c r="IF119" s="38"/>
      <c r="IG119" s="384">
        <f>SUM(IE119:IE123)*1.1</f>
        <v>206310.29760000008</v>
      </c>
      <c r="IH119" s="36"/>
      <c r="II119" s="200"/>
      <c r="IJ119" s="197"/>
      <c r="IK119" s="38"/>
      <c r="IL119" s="384">
        <f>SUM(IJ119:IJ123)*1.1</f>
        <v>43346.732000000004</v>
      </c>
      <c r="IM119" s="36"/>
      <c r="IN119" s="200"/>
      <c r="IO119" s="197"/>
      <c r="IP119" s="38"/>
      <c r="IQ119" s="384">
        <f>SUM(IO119:IO123)*1.1</f>
        <v>43346.732000000004</v>
      </c>
    </row>
    <row r="120" spans="1:251" ht="15.75" customHeight="1">
      <c r="A120" s="656"/>
      <c r="B120" s="532"/>
      <c r="C120" s="528">
        <v>43134375</v>
      </c>
      <c r="D120" s="45" t="s">
        <v>68</v>
      </c>
      <c r="E120" s="216" t="s">
        <v>11</v>
      </c>
      <c r="F120" s="22"/>
      <c r="G120" s="109" t="e">
        <f>I120/H120</f>
        <v>#VALUE!</v>
      </c>
      <c r="H120" s="128">
        <v>658.8</v>
      </c>
      <c r="I120" s="74" t="s">
        <v>179</v>
      </c>
      <c r="J120" s="81"/>
      <c r="K120" s="88"/>
      <c r="L120" s="109">
        <f>N120/M120</f>
        <v>7.5299939283545854</v>
      </c>
      <c r="M120" s="128">
        <v>658.8</v>
      </c>
      <c r="N120" s="74">
        <v>4960.76</v>
      </c>
      <c r="O120" s="81"/>
      <c r="P120" s="88"/>
      <c r="Q120" s="109"/>
      <c r="R120" s="128">
        <v>658.8</v>
      </c>
      <c r="S120" s="74" t="s">
        <v>179</v>
      </c>
      <c r="T120" s="81"/>
      <c r="U120" s="88"/>
      <c r="V120" s="120"/>
      <c r="W120" s="128">
        <v>658.8</v>
      </c>
      <c r="X120" s="74" t="s">
        <v>179</v>
      </c>
      <c r="Y120" s="81"/>
      <c r="Z120" s="403">
        <f>SUM(X119:X123)*1</f>
        <v>95525.47</v>
      </c>
      <c r="AA120" s="97">
        <f>AC120/AB120</f>
        <v>7.5299939283545854</v>
      </c>
      <c r="AB120" s="128">
        <v>658.8</v>
      </c>
      <c r="AC120" s="74">
        <v>4960.76</v>
      </c>
      <c r="AD120" s="81"/>
      <c r="AE120" s="403">
        <f>SUM(AC119:AC123)*1</f>
        <v>100637.09</v>
      </c>
      <c r="AF120" s="97">
        <f>AH120/AG120</f>
        <v>7.5299939283545854</v>
      </c>
      <c r="AG120" s="128">
        <v>658.8</v>
      </c>
      <c r="AH120" s="74">
        <v>4960.76</v>
      </c>
      <c r="AI120" s="81"/>
      <c r="AJ120" s="403">
        <f>SUM(AH119:AH120)+AI121+AH122+AH123*1</f>
        <v>111652.56</v>
      </c>
      <c r="AK120" s="97">
        <f>AM120/AL120</f>
        <v>7.5299939283545854</v>
      </c>
      <c r="AL120" s="128">
        <v>658.8</v>
      </c>
      <c r="AM120" s="74">
        <v>4960.76</v>
      </c>
      <c r="AN120" s="81"/>
      <c r="AO120" s="403">
        <f>SUM(AM119:AM120)+AN121+AM122+AM123*1</f>
        <v>152531.03</v>
      </c>
      <c r="AP120" s="97" t="e">
        <f>AR120/AQ120</f>
        <v>#VALUE!</v>
      </c>
      <c r="AQ120" s="128">
        <v>658.8</v>
      </c>
      <c r="AR120" s="74" t="s">
        <v>179</v>
      </c>
      <c r="AS120" s="81"/>
      <c r="AT120" s="403">
        <f>SUM(AR119:AR123)*1</f>
        <v>109907.39</v>
      </c>
      <c r="AU120" s="97">
        <f>AW120/AV120</f>
        <v>7.5299939283545854</v>
      </c>
      <c r="AV120" s="128">
        <v>658.8</v>
      </c>
      <c r="AW120" s="74">
        <v>4960.76</v>
      </c>
      <c r="AX120" s="81"/>
      <c r="AY120" s="403">
        <f>SUM(AW119:AW123)*1</f>
        <v>131379.78</v>
      </c>
      <c r="AZ120" s="97">
        <f>BB120/BA120</f>
        <v>7.5299939283545854</v>
      </c>
      <c r="BA120" s="128">
        <v>658.8</v>
      </c>
      <c r="BB120" s="74">
        <v>4960.76</v>
      </c>
      <c r="BC120" s="81"/>
      <c r="BD120" s="403">
        <f>SUM(BB119:BB123)*1</f>
        <v>132648.15</v>
      </c>
      <c r="BE120" s="97">
        <f>BG120/BF120</f>
        <v>7.5299939283545854</v>
      </c>
      <c r="BF120" s="128">
        <v>658.8</v>
      </c>
      <c r="BG120" s="74">
        <v>4960.76</v>
      </c>
      <c r="BH120" s="81"/>
      <c r="BI120" s="403">
        <f>SUM(BG119:BG123)*1</f>
        <v>133411.16</v>
      </c>
      <c r="BJ120" s="97">
        <f>BL120/BK120</f>
        <v>7.5299939283545854</v>
      </c>
      <c r="BK120" s="128">
        <v>658.8</v>
      </c>
      <c r="BL120" s="74">
        <v>4960.76</v>
      </c>
      <c r="BM120" s="81"/>
      <c r="BN120" s="403">
        <f>SUM(BL119:BL123)*1</f>
        <v>149924.87</v>
      </c>
      <c r="BO120" s="97" t="e">
        <f>BQ120/BP120</f>
        <v>#VALUE!</v>
      </c>
      <c r="BP120" s="128">
        <v>658.8</v>
      </c>
      <c r="BQ120" s="74" t="s">
        <v>179</v>
      </c>
      <c r="BR120" s="81"/>
      <c r="BS120" s="403">
        <f>SUM(BQ119:BQ123)*1</f>
        <v>158943.34</v>
      </c>
      <c r="BT120" s="97">
        <f>BV120/BU120</f>
        <v>7.5299939283545854</v>
      </c>
      <c r="BU120" s="128">
        <v>658.8</v>
      </c>
      <c r="BV120" s="74">
        <v>4960.76</v>
      </c>
      <c r="BW120" s="81"/>
      <c r="BX120" s="403">
        <f>SUM(BV119:BV123)*1</f>
        <v>180495.39600000001</v>
      </c>
      <c r="BY120" s="97">
        <f>CA120/BZ120</f>
        <v>7.5299939283545854</v>
      </c>
      <c r="BZ120" s="128">
        <v>658.8</v>
      </c>
      <c r="CA120" s="74">
        <v>4960.76</v>
      </c>
      <c r="CB120" s="81"/>
      <c r="CC120" s="403">
        <f>SUM(CA119:CA123)*1</f>
        <v>147412.49</v>
      </c>
      <c r="CD120" s="97" t="e">
        <f>CF120/CE120</f>
        <v>#VALUE!</v>
      </c>
      <c r="CE120" s="56">
        <v>658.8</v>
      </c>
      <c r="CF120" s="74" t="s">
        <v>179</v>
      </c>
      <c r="CG120" s="44"/>
      <c r="CH120" s="403">
        <f>SUM(CF119:CF123)*1</f>
        <v>146007.30599999998</v>
      </c>
      <c r="CI120" s="97">
        <f>CK120/CJ120</f>
        <v>15.06001821493625</v>
      </c>
      <c r="CJ120" s="128">
        <v>658.8</v>
      </c>
      <c r="CK120" s="74">
        <v>9921.5400000000009</v>
      </c>
      <c r="CL120" s="81"/>
      <c r="CM120" s="403">
        <f>SUM(CK119:CK123)*1</f>
        <v>132320.81</v>
      </c>
      <c r="CN120" s="97">
        <f>CP120/CO120</f>
        <v>11.5</v>
      </c>
      <c r="CO120" s="128">
        <v>658.8</v>
      </c>
      <c r="CP120" s="74">
        <v>7576.2</v>
      </c>
      <c r="CQ120" s="81"/>
      <c r="CR120" s="403">
        <f>SUM(CP119:CP123)*1</f>
        <v>141496.28400000001</v>
      </c>
      <c r="CS120" s="97">
        <f>CU120/CT120</f>
        <v>11.5</v>
      </c>
      <c r="CT120" s="128">
        <v>658.8</v>
      </c>
      <c r="CU120" s="74">
        <v>7576.2</v>
      </c>
      <c r="CV120" s="81"/>
      <c r="CW120" s="403">
        <f>SUM(CU119:CU123)*1</f>
        <v>164829.266</v>
      </c>
      <c r="CX120" s="97">
        <f>CZ120/CY120</f>
        <v>11.498482088646023</v>
      </c>
      <c r="CY120" s="128">
        <v>658.8</v>
      </c>
      <c r="CZ120" s="74">
        <v>7575.2</v>
      </c>
      <c r="DA120" s="81"/>
      <c r="DB120" s="403">
        <f>SUM(CZ119:CZ123)*1</f>
        <v>195165.88600000003</v>
      </c>
      <c r="DC120" s="97">
        <f>DE120/DD120</f>
        <v>11.498482088646023</v>
      </c>
      <c r="DD120" s="128">
        <v>658.8</v>
      </c>
      <c r="DE120" s="74">
        <v>7575.2</v>
      </c>
      <c r="DF120" s="81"/>
      <c r="DG120" s="403">
        <f>SUM(DE119:DE123)*1</f>
        <v>181189.196</v>
      </c>
      <c r="DH120" s="97">
        <f>DJ120/DI120</f>
        <v>11.498482088646023</v>
      </c>
      <c r="DI120" s="128">
        <v>658.8</v>
      </c>
      <c r="DJ120" s="74">
        <v>7575.2</v>
      </c>
      <c r="DK120" s="81"/>
      <c r="DL120" s="403">
        <f>SUM(DJ119:DJ123)*1</f>
        <v>63999.644</v>
      </c>
      <c r="DM120" s="97">
        <f>DO120/DN120</f>
        <v>11.498482088646023</v>
      </c>
      <c r="DN120" s="128">
        <v>658.8</v>
      </c>
      <c r="DO120" s="74">
        <v>7575.2</v>
      </c>
      <c r="DP120" s="81"/>
      <c r="DQ120" s="403">
        <f>SUM(DO119:DO123)*1</f>
        <v>304248.93199999997</v>
      </c>
      <c r="DR120" s="97">
        <f>DT120/DS120</f>
        <v>11.501517911353977</v>
      </c>
      <c r="DS120" s="128">
        <v>658.8</v>
      </c>
      <c r="DT120" s="74">
        <v>7577.2</v>
      </c>
      <c r="DU120" s="81"/>
      <c r="DV120" s="403">
        <f>SUM(DT119:DT123)*1</f>
        <v>149369.95600000001</v>
      </c>
      <c r="DW120" s="97">
        <f>DY120/DX120</f>
        <v>11.5</v>
      </c>
      <c r="DX120" s="128">
        <v>658.8</v>
      </c>
      <c r="DY120" s="74">
        <v>7576.2</v>
      </c>
      <c r="DZ120" s="81"/>
      <c r="EA120" s="403">
        <f>SUM(DY119:DY123)*1</f>
        <v>207933.37200000003</v>
      </c>
      <c r="EB120" s="97">
        <f>ED120/EC120</f>
        <v>11.5</v>
      </c>
      <c r="EC120" s="128">
        <v>658.8</v>
      </c>
      <c r="ED120" s="74">
        <v>7576.2</v>
      </c>
      <c r="EE120" s="81"/>
      <c r="EF120" s="403">
        <f>SUM(ED119:ED123)*1</f>
        <v>183110.83600000001</v>
      </c>
      <c r="EG120" s="97">
        <f>EI120/EH120</f>
        <v>11.5</v>
      </c>
      <c r="EH120" s="128">
        <v>658.8</v>
      </c>
      <c r="EI120" s="74">
        <v>7576.2</v>
      </c>
      <c r="EJ120" s="81"/>
      <c r="EK120" s="403">
        <f>SUM(EI119:EI123)*1</f>
        <v>216850.56200000001</v>
      </c>
      <c r="EL120" s="97">
        <f>EN120/EM120</f>
        <v>11.5</v>
      </c>
      <c r="EM120" s="128">
        <v>658.8</v>
      </c>
      <c r="EN120" s="74">
        <v>7576.2</v>
      </c>
      <c r="EO120" s="81"/>
      <c r="EP120" s="403">
        <f>SUM(EN119:EN123)*1</f>
        <v>185896.25400000002</v>
      </c>
      <c r="EQ120" s="97">
        <f>ES120/ER120</f>
        <v>11.5</v>
      </c>
      <c r="ER120" s="128">
        <v>658.8</v>
      </c>
      <c r="ES120" s="74">
        <v>7576.2</v>
      </c>
      <c r="ET120" s="81"/>
      <c r="EU120" s="403">
        <f>SUM(ES119:ES123)*1</f>
        <v>129975.46999999999</v>
      </c>
      <c r="EV120" s="97">
        <f>EX120/EW120</f>
        <v>11.5</v>
      </c>
      <c r="EW120" s="56">
        <v>658.8</v>
      </c>
      <c r="EX120" s="57">
        <v>7576.2</v>
      </c>
      <c r="EY120" s="44"/>
      <c r="EZ120" s="403">
        <f>SUM(EX119:EX123)*1</f>
        <v>167285.12399999998</v>
      </c>
      <c r="FA120" s="97">
        <f>FC120/FB120</f>
        <v>11.5</v>
      </c>
      <c r="FB120" s="56">
        <v>658.8</v>
      </c>
      <c r="FC120" s="57">
        <v>7576.2</v>
      </c>
      <c r="FD120" s="44"/>
      <c r="FE120" s="403">
        <f>SUM(FC119:FC123)*1</f>
        <v>164829.266</v>
      </c>
      <c r="FF120" s="97">
        <f>FH120/FG120</f>
        <v>11.498482088646023</v>
      </c>
      <c r="FG120" s="56">
        <v>658.8</v>
      </c>
      <c r="FH120" s="57">
        <v>7575.2</v>
      </c>
      <c r="FI120" s="44"/>
      <c r="FJ120" s="403">
        <f>SUM(FH119:FH123)*1</f>
        <v>195165.88600000003</v>
      </c>
      <c r="FK120" s="97">
        <f>FM120/FL120</f>
        <v>11.5</v>
      </c>
      <c r="FL120" s="128">
        <v>658.8</v>
      </c>
      <c r="FM120" s="74">
        <v>7576.2</v>
      </c>
      <c r="FN120" s="81"/>
      <c r="FO120" s="403">
        <f>SUM(FM119:FM123)*1</f>
        <v>212200.008</v>
      </c>
      <c r="FP120" s="97">
        <f>FR120/FQ120</f>
        <v>11.5</v>
      </c>
      <c r="FQ120" s="128">
        <v>658.8</v>
      </c>
      <c r="FR120" s="74">
        <v>7576.2</v>
      </c>
      <c r="FS120" s="81"/>
      <c r="FT120" s="403">
        <f>SUM(FR119:FR123)*1</f>
        <v>184692.372</v>
      </c>
      <c r="FU120" s="97">
        <f>FW120/FV120</f>
        <v>11.5</v>
      </c>
      <c r="FV120" s="128">
        <v>658.8</v>
      </c>
      <c r="FW120" s="74">
        <v>7576.2</v>
      </c>
      <c r="FX120" s="81"/>
      <c r="FY120" s="403">
        <f>SUM(FW119:FW123)*1</f>
        <v>187554.81600000005</v>
      </c>
      <c r="FZ120" s="97" t="e">
        <f>GB120/GA120</f>
        <v>#VALUE!</v>
      </c>
      <c r="GA120" s="56">
        <v>658.8</v>
      </c>
      <c r="GB120" s="57" t="s">
        <v>179</v>
      </c>
      <c r="GC120" s="44"/>
      <c r="GD120" s="403">
        <f>SUM(GB119:GB123)*1</f>
        <v>151105.18799999999</v>
      </c>
      <c r="GE120" s="97" t="e">
        <f>GG120/GF120</f>
        <v>#VALUE!</v>
      </c>
      <c r="GF120" s="56">
        <v>658.8</v>
      </c>
      <c r="GG120" s="57" t="s">
        <v>179</v>
      </c>
      <c r="GH120" s="44"/>
      <c r="GI120" s="403">
        <f>SUM(GG119:GG123)*1</f>
        <v>149361.696</v>
      </c>
      <c r="GJ120" s="97">
        <f>GL120/GK120</f>
        <v>11.5</v>
      </c>
      <c r="GK120" s="56">
        <v>658.8</v>
      </c>
      <c r="GL120" s="57">
        <v>7576.2</v>
      </c>
      <c r="GM120" s="44"/>
      <c r="GN120" s="403">
        <f>SUM(GL119:GL123)*1</f>
        <v>88579.62</v>
      </c>
      <c r="GO120" s="97">
        <f>GQ120/GP120</f>
        <v>11.5</v>
      </c>
      <c r="GP120" s="128">
        <v>658.8</v>
      </c>
      <c r="GQ120" s="74">
        <v>7576.2</v>
      </c>
      <c r="GR120" s="81"/>
      <c r="GS120" s="403">
        <f>SUM(GQ119:GQ123)*1</f>
        <v>144499.63399999999</v>
      </c>
      <c r="GT120" s="97">
        <f>GV120/GU120</f>
        <v>11.5</v>
      </c>
      <c r="GU120" s="128">
        <v>658.8</v>
      </c>
      <c r="GV120" s="74">
        <v>7576.2</v>
      </c>
      <c r="GW120" s="81"/>
      <c r="GX120" s="403">
        <f>SUM(GV119:GV123)*1</f>
        <v>215620.18799999999</v>
      </c>
      <c r="GY120" s="97">
        <f>HA120/GZ120</f>
        <v>11.5</v>
      </c>
      <c r="GZ120" s="56">
        <v>658.8</v>
      </c>
      <c r="HA120" s="57">
        <v>7576.2</v>
      </c>
      <c r="HB120" s="44"/>
      <c r="HC120" s="403">
        <f>SUM(HA119:HA123)*1</f>
        <v>129975.46999999999</v>
      </c>
      <c r="HD120" s="97">
        <f>HF120/HE120</f>
        <v>11.5</v>
      </c>
      <c r="HE120" s="56">
        <v>658.8</v>
      </c>
      <c r="HF120" s="57">
        <v>7576.2</v>
      </c>
      <c r="HG120" s="44"/>
      <c r="HH120" s="403">
        <f>SUM(HF119:HF123)*1</f>
        <v>167285.12399999998</v>
      </c>
      <c r="HI120" s="97">
        <f>HK120/HJ120</f>
        <v>11.5</v>
      </c>
      <c r="HJ120" s="56">
        <v>658.8</v>
      </c>
      <c r="HK120" s="57">
        <v>7576.2</v>
      </c>
      <c r="HL120" s="44"/>
      <c r="HM120" s="403">
        <f>SUM(HK119:HK123)*1</f>
        <v>164829.266</v>
      </c>
      <c r="HN120" s="97">
        <f>HP120/HO120</f>
        <v>11.498482088646023</v>
      </c>
      <c r="HO120" s="56">
        <v>658.8</v>
      </c>
      <c r="HP120" s="57">
        <v>7575.2</v>
      </c>
      <c r="HQ120" s="44"/>
      <c r="HR120" s="403">
        <f>SUM(HP119:HP123)*1</f>
        <v>195165.88600000003</v>
      </c>
      <c r="HS120" s="97">
        <f>HU120/HT120</f>
        <v>11.5</v>
      </c>
      <c r="HT120" s="56">
        <v>658.8</v>
      </c>
      <c r="HU120" s="57">
        <v>7576.2</v>
      </c>
      <c r="HV120" s="44"/>
      <c r="HW120" s="403">
        <f>SUM(HU119:HU123)*1</f>
        <v>212200.008</v>
      </c>
      <c r="HX120" s="97">
        <f>HZ120/HY120</f>
        <v>11.5</v>
      </c>
      <c r="HY120" s="56">
        <v>658.8</v>
      </c>
      <c r="HZ120" s="57">
        <v>7576.2</v>
      </c>
      <c r="IA120" s="44"/>
      <c r="IB120" s="403">
        <f>SUM(HZ119:HZ123)*1</f>
        <v>184692.372</v>
      </c>
      <c r="IC120" s="97">
        <f>IE120/ID120</f>
        <v>11.5</v>
      </c>
      <c r="ID120" s="56">
        <v>658.8</v>
      </c>
      <c r="IE120" s="57">
        <v>7576.2</v>
      </c>
      <c r="IF120" s="44"/>
      <c r="IG120" s="403">
        <f>SUM(IE119:IE123)*1</f>
        <v>187554.81600000005</v>
      </c>
      <c r="IH120" s="97" t="e">
        <f>IJ120/II120</f>
        <v>#VALUE!</v>
      </c>
      <c r="II120" s="56">
        <v>658.8</v>
      </c>
      <c r="IJ120" s="57" t="s">
        <v>179</v>
      </c>
      <c r="IK120" s="44"/>
      <c r="IL120" s="403">
        <f>SUM(IJ119:IJ123)*1</f>
        <v>39406.120000000003</v>
      </c>
      <c r="IM120" s="97" t="e">
        <f>IO120/IN120</f>
        <v>#VALUE!</v>
      </c>
      <c r="IN120" s="56">
        <v>658.8</v>
      </c>
      <c r="IO120" s="57" t="s">
        <v>179</v>
      </c>
      <c r="IP120" s="44"/>
      <c r="IQ120" s="403">
        <f>SUM(IO119:IO123)*1</f>
        <v>39406.120000000003</v>
      </c>
    </row>
    <row r="121" spans="1:251" ht="15" customHeight="1">
      <c r="A121" s="656"/>
      <c r="B121" s="536"/>
      <c r="C121" s="215">
        <v>44878589</v>
      </c>
      <c r="D121" s="222" t="s">
        <v>378</v>
      </c>
      <c r="E121" s="221" t="s">
        <v>13</v>
      </c>
      <c r="F121" s="22"/>
      <c r="G121" s="104">
        <f>I121/H121</f>
        <v>5.9969745852990419</v>
      </c>
      <c r="H121" s="128">
        <v>6571</v>
      </c>
      <c r="I121" s="128">
        <v>39406.120000000003</v>
      </c>
      <c r="J121" s="69">
        <v>100000</v>
      </c>
      <c r="K121" s="19"/>
      <c r="L121" s="104">
        <f>N121/M121</f>
        <v>6.0501950316748525</v>
      </c>
      <c r="M121" s="128">
        <v>14049</v>
      </c>
      <c r="N121" s="128">
        <v>84999.19</v>
      </c>
      <c r="O121" s="69"/>
      <c r="P121" s="19"/>
      <c r="Q121" s="104">
        <f>S121/R121</f>
        <v>5.8384916792738277</v>
      </c>
      <c r="R121" s="128">
        <v>13220</v>
      </c>
      <c r="S121" s="128">
        <v>77184.86</v>
      </c>
      <c r="T121" s="58">
        <v>0</v>
      </c>
      <c r="U121" s="35"/>
      <c r="V121" s="115">
        <f>X121/W121</f>
        <v>5.9299678368575925</v>
      </c>
      <c r="W121" s="128">
        <v>14613</v>
      </c>
      <c r="X121" s="128">
        <v>86654.62</v>
      </c>
      <c r="Y121" s="69">
        <v>38200.86</v>
      </c>
      <c r="Z121" s="69"/>
      <c r="AA121" s="92">
        <f>AC121/AB121</f>
        <v>5.8956244766505641</v>
      </c>
      <c r="AB121" s="128">
        <v>15525</v>
      </c>
      <c r="AC121" s="128">
        <v>91529.57</v>
      </c>
      <c r="AD121" s="69">
        <v>97578.47</v>
      </c>
      <c r="AE121" s="69"/>
      <c r="AF121" s="92">
        <f>AH121/AG121</f>
        <v>5.3868833967046896</v>
      </c>
      <c r="AG121" s="408">
        <v>15780</v>
      </c>
      <c r="AH121" s="408">
        <v>85005.02</v>
      </c>
      <c r="AI121" s="69">
        <v>102772.91</v>
      </c>
      <c r="AJ121" s="69"/>
      <c r="AK121" s="92">
        <f>AM121/AL121</f>
        <v>5.5501930246542397</v>
      </c>
      <c r="AL121" s="408">
        <v>16630</v>
      </c>
      <c r="AM121" s="408">
        <v>92299.71</v>
      </c>
      <c r="AN121" s="69">
        <v>146558.26999999999</v>
      </c>
      <c r="AO121" s="69"/>
      <c r="AP121" s="92">
        <f>AR121/AQ121</f>
        <v>5.8517404962197848</v>
      </c>
      <c r="AQ121" s="408">
        <v>18782</v>
      </c>
      <c r="AR121" s="408">
        <v>109907.39</v>
      </c>
      <c r="AS121" s="69">
        <v>105771.17</v>
      </c>
      <c r="AT121" s="69"/>
      <c r="AU121" s="92">
        <f>AW121/AV121</f>
        <v>6.2152910521140612</v>
      </c>
      <c r="AV121" s="408">
        <v>20340</v>
      </c>
      <c r="AW121" s="408">
        <v>126419.02</v>
      </c>
      <c r="AX121" s="69">
        <v>123713.1</v>
      </c>
      <c r="AY121" s="69"/>
      <c r="AZ121" s="92">
        <f>BB121/BA121</f>
        <v>6.9158527866543897</v>
      </c>
      <c r="BA121" s="408">
        <v>18463</v>
      </c>
      <c r="BB121" s="408">
        <v>127687.39</v>
      </c>
      <c r="BC121" s="523">
        <v>168530.77</v>
      </c>
      <c r="BD121" s="69"/>
      <c r="BE121" s="92">
        <f>BG121/BF121</f>
        <v>7.3920238376209584</v>
      </c>
      <c r="BF121" s="408">
        <v>16948</v>
      </c>
      <c r="BG121" s="408">
        <v>125280.02</v>
      </c>
      <c r="BH121" s="69">
        <v>150000</v>
      </c>
      <c r="BI121" s="69"/>
      <c r="BJ121" s="92">
        <f>BL121/BK121</f>
        <v>7.8380162206001618</v>
      </c>
      <c r="BK121" s="408">
        <v>18495</v>
      </c>
      <c r="BL121" s="408">
        <v>144964.10999999999</v>
      </c>
      <c r="BM121" s="555" t="s">
        <v>379</v>
      </c>
      <c r="BN121" s="69"/>
      <c r="BO121" s="92">
        <f>BQ121/BP121</f>
        <v>7.2802922315866621</v>
      </c>
      <c r="BP121" s="408">
        <v>21832</v>
      </c>
      <c r="BQ121" s="408">
        <v>158943.34</v>
      </c>
      <c r="BR121" s="58">
        <v>0</v>
      </c>
      <c r="BS121" s="69"/>
      <c r="BT121" s="92">
        <f>BV121/BU121</f>
        <v>7.0129999999999999</v>
      </c>
      <c r="BU121" s="408">
        <v>24572</v>
      </c>
      <c r="BV121" s="420">
        <v>172323.43599999999</v>
      </c>
      <c r="BW121" s="130">
        <f>157195.68+15127.756</f>
        <v>172323.43599999999</v>
      </c>
      <c r="BX121" s="69"/>
      <c r="BY121" s="92">
        <f>CA121/BZ121</f>
        <v>6.6231841693161861</v>
      </c>
      <c r="BZ121" s="408">
        <v>21073</v>
      </c>
      <c r="CA121" s="408">
        <v>139570.35999999999</v>
      </c>
      <c r="CB121" s="130">
        <v>105341.6</v>
      </c>
      <c r="CC121" s="69"/>
      <c r="CD121" s="92">
        <f>CF121/CE121</f>
        <v>6.4699318902273344</v>
      </c>
      <c r="CE121" s="408">
        <v>22082</v>
      </c>
      <c r="CF121" s="408">
        <f>1.2*119057.53</f>
        <v>142869.03599999999</v>
      </c>
      <c r="CG121" s="69" t="s">
        <v>469</v>
      </c>
      <c r="CH121" s="69"/>
      <c r="CI121" s="92">
        <f>CK121/CJ121</f>
        <v>6.7323117763343685</v>
      </c>
      <c r="CJ121" s="708">
        <f>4247+11041+2417</f>
        <v>17705</v>
      </c>
      <c r="CK121" s="408">
        <f>1.2*99329.65</f>
        <v>119195.57999999999</v>
      </c>
      <c r="CL121" s="69">
        <v>132920.4</v>
      </c>
      <c r="CM121" s="69"/>
      <c r="CN121" s="92">
        <f>CP121/CO121</f>
        <v>7.6846321225684289</v>
      </c>
      <c r="CO121" s="408">
        <v>17427</v>
      </c>
      <c r="CP121" s="408">
        <f>111600.07*1.2</f>
        <v>133920.084</v>
      </c>
      <c r="CQ121" s="69">
        <v>138724.20000000001</v>
      </c>
      <c r="CR121" s="69"/>
      <c r="CS121" s="92">
        <f>CU121/CT121</f>
        <v>8.6037359877834962</v>
      </c>
      <c r="CT121" s="408">
        <v>17681</v>
      </c>
      <c r="CU121" s="408">
        <f>1.2*126768.88</f>
        <v>152122.65599999999</v>
      </c>
      <c r="CV121" s="69">
        <v>154257.5</v>
      </c>
      <c r="CW121" s="69"/>
      <c r="CX121" s="92">
        <f>CZ121/CY121</f>
        <v>9.4514517482517491</v>
      </c>
      <c r="CY121" s="408">
        <v>19305</v>
      </c>
      <c r="CZ121" s="408">
        <f>1.2*152050.23</f>
        <v>182460.27600000001</v>
      </c>
      <c r="DA121" s="69">
        <v>208109.1</v>
      </c>
      <c r="DB121" s="69"/>
      <c r="DC121" s="92">
        <f>DE121/DD121</f>
        <v>9.3506757149781858</v>
      </c>
      <c r="DD121" s="408">
        <v>18567</v>
      </c>
      <c r="DE121" s="408">
        <f>1.2*144678.33</f>
        <v>173613.99599999998</v>
      </c>
      <c r="DF121" s="372" t="s">
        <v>548</v>
      </c>
      <c r="DG121" s="69"/>
      <c r="DH121" s="92">
        <f>DJ121/DI121</f>
        <v>9.4576674488769701</v>
      </c>
      <c r="DI121" s="408">
        <v>5966</v>
      </c>
      <c r="DJ121" s="408">
        <f>1.2*47020.37</f>
        <v>56424.444000000003</v>
      </c>
      <c r="DK121" s="58">
        <v>100000</v>
      </c>
      <c r="DL121" s="69"/>
      <c r="DM121" s="92">
        <f>DO121/DN121</f>
        <v>9.5571719605695495</v>
      </c>
      <c r="DN121" s="408">
        <v>31042</v>
      </c>
      <c r="DO121" s="408">
        <f>1.2*247228.11</f>
        <v>296673.73199999996</v>
      </c>
      <c r="DP121" s="69">
        <v>207625.95</v>
      </c>
      <c r="DQ121" s="69"/>
      <c r="DR121" s="92">
        <f>DT121/DS121</f>
        <v>9.3549354093818042</v>
      </c>
      <c r="DS121" s="408">
        <f>4492+10665</f>
        <v>15157</v>
      </c>
      <c r="DT121" s="408">
        <f>1.2*(35018.64+83141.99)</f>
        <v>141792.75599999999</v>
      </c>
      <c r="DU121" s="69">
        <v>134572.375</v>
      </c>
      <c r="DV121" s="69"/>
      <c r="DW121" s="92">
        <f>DY121/DX121</f>
        <v>9.8748838397275591</v>
      </c>
      <c r="DX121" s="408">
        <f>7609+11184</f>
        <v>18793</v>
      </c>
      <c r="DY121" s="408">
        <f>1.2*(62614.99+92033.92)</f>
        <v>185578.69200000001</v>
      </c>
      <c r="DZ121" s="773">
        <v>133349.47500000001</v>
      </c>
      <c r="EA121" s="69"/>
      <c r="EB121" s="92">
        <f>ED121/EC121</f>
        <v>7.0129999999999999</v>
      </c>
      <c r="EC121" s="56">
        <v>24572</v>
      </c>
      <c r="ED121" s="64">
        <v>172323.43599999999</v>
      </c>
      <c r="EE121" s="130">
        <v>256447.5</v>
      </c>
      <c r="EF121" s="69"/>
      <c r="EG121" s="92">
        <f>EI121/EH121</f>
        <v>10.265243807818562</v>
      </c>
      <c r="EH121" s="408">
        <v>20106</v>
      </c>
      <c r="EI121" s="408">
        <f>1.2*171994.16</f>
        <v>206392.992</v>
      </c>
      <c r="EJ121" s="64">
        <v>105341.6</v>
      </c>
      <c r="EK121" s="69"/>
      <c r="EL121" s="92">
        <f>EN121/EM121</f>
        <v>9.4934039993497006</v>
      </c>
      <c r="EM121" s="408">
        <f>5329+13124</f>
        <v>18453</v>
      </c>
      <c r="EN121" s="408">
        <f>1.2*(42158.62+103826.2)</f>
        <v>175181.78400000001</v>
      </c>
      <c r="EO121" s="58" t="s">
        <v>469</v>
      </c>
      <c r="EP121" s="69"/>
      <c r="EQ121" s="92">
        <f>ES121/ER121</f>
        <v>6.7323117763343685</v>
      </c>
      <c r="ER121" s="1452">
        <f>4247+11041+2417</f>
        <v>17705</v>
      </c>
      <c r="ES121" s="56">
        <f>1.2*99329.65</f>
        <v>119195.57999999999</v>
      </c>
      <c r="ET121" s="58">
        <v>132920.4</v>
      </c>
      <c r="EU121" s="69"/>
      <c r="EV121" s="92">
        <f>EX121/EW121</f>
        <v>8.7058557645134904</v>
      </c>
      <c r="EW121" s="408">
        <f>14109+4236</f>
        <v>18345</v>
      </c>
      <c r="EX121" s="408">
        <f>133090.77*1.2</f>
        <v>159708.92399999997</v>
      </c>
      <c r="EY121" s="58">
        <v>138724.20000000001</v>
      </c>
      <c r="EZ121" s="69"/>
      <c r="FA121" s="92">
        <f>FC121/FB121</f>
        <v>8.6037359877834962</v>
      </c>
      <c r="FB121" s="56">
        <v>17681</v>
      </c>
      <c r="FC121" s="56">
        <f>1.2*126768.88</f>
        <v>152122.65599999999</v>
      </c>
      <c r="FD121" s="58">
        <v>154257.5</v>
      </c>
      <c r="FE121" s="69"/>
      <c r="FF121" s="92">
        <f>FH121/FG121</f>
        <v>9.4514517482517491</v>
      </c>
      <c r="FG121" s="56">
        <v>19305</v>
      </c>
      <c r="FH121" s="56">
        <f>1.2*152050.23</f>
        <v>182460.27600000001</v>
      </c>
      <c r="FI121" s="58">
        <v>208109.1</v>
      </c>
      <c r="FJ121" s="69"/>
      <c r="FK121" s="92">
        <f>FM121/FL121</f>
        <v>9.4873798219584558</v>
      </c>
      <c r="FL121" s="408">
        <f>4714+16854</f>
        <v>21568</v>
      </c>
      <c r="FM121" s="408">
        <f>1.2*(37269.59+133250.25)</f>
        <v>204623.80799999999</v>
      </c>
      <c r="FN121" s="372">
        <v>227911.2</v>
      </c>
      <c r="FO121" s="69"/>
      <c r="FP121" s="92">
        <f>FR121/FQ121</f>
        <v>8.927676394979585</v>
      </c>
      <c r="FQ121" s="408">
        <f>15192+4647</f>
        <v>19839</v>
      </c>
      <c r="FR121" s="408">
        <f>1.2*(113024.38+34572.43)</f>
        <v>177116.17199999999</v>
      </c>
      <c r="FS121" s="69">
        <v>224456.44799999997</v>
      </c>
      <c r="FT121" s="69"/>
      <c r="FU121" s="92">
        <f>FW121/FV121</f>
        <v>11.073767863894142</v>
      </c>
      <c r="FV121" s="408">
        <f>12101+3769</f>
        <v>15870</v>
      </c>
      <c r="FW121" s="408">
        <f>1.2*(111669.72+34780.86)</f>
        <v>175740.69600000003</v>
      </c>
      <c r="FX121" s="58">
        <v>207625.95</v>
      </c>
      <c r="FY121" s="69"/>
      <c r="FZ121" s="92">
        <f>GB121/GA121</f>
        <v>11.60829592071906</v>
      </c>
      <c r="GA121" s="408">
        <f>(3475+9542)</f>
        <v>13017</v>
      </c>
      <c r="GB121" s="408">
        <f>1.2*(33615.69+92305.3)</f>
        <v>151105.18799999999</v>
      </c>
      <c r="GC121" s="58">
        <v>134572.375</v>
      </c>
      <c r="GD121" s="69"/>
      <c r="GE121" s="92">
        <f>GG121/GF121</f>
        <v>11.723555628218753</v>
      </c>
      <c r="GF121" s="413">
        <f>7473+4760</f>
        <v>12233</v>
      </c>
      <c r="GG121" s="414">
        <f>1.2*(73008.44+46503.44)</f>
        <v>143414.25599999999</v>
      </c>
      <c r="GH121" s="58">
        <v>100000</v>
      </c>
      <c r="GI121" s="69"/>
      <c r="GJ121" s="98">
        <f>GL121/GK121</f>
        <v>13.517327541268463</v>
      </c>
      <c r="GK121" s="408">
        <v>5755</v>
      </c>
      <c r="GL121" s="420">
        <f>1.2*64826.85</f>
        <v>77792.22</v>
      </c>
      <c r="GM121" s="64">
        <v>256447.5</v>
      </c>
      <c r="GN121" s="69"/>
      <c r="GO121" s="92">
        <f>GQ121/GP121</f>
        <v>15.53210475086906</v>
      </c>
      <c r="GP121" s="408">
        <f>3915+4715</f>
        <v>8630</v>
      </c>
      <c r="GQ121" s="408">
        <f>1.2*(50673.49+61028.23)</f>
        <v>134042.06399999998</v>
      </c>
      <c r="GR121" s="64">
        <v>105341.6</v>
      </c>
      <c r="GS121" s="69"/>
      <c r="GT121" s="92">
        <f>GV121/GU121</f>
        <v>12.436416692350365</v>
      </c>
      <c r="GU121" s="408">
        <f>5428+10795</f>
        <v>16223</v>
      </c>
      <c r="GV121" s="408">
        <f>1.2*(56254.06+111875.93)</f>
        <v>201755.98799999998</v>
      </c>
      <c r="GW121" s="58" t="s">
        <v>469</v>
      </c>
      <c r="GX121" s="69"/>
      <c r="GY121" s="92">
        <f>HA121/GZ121</f>
        <v>6.7323117763343685</v>
      </c>
      <c r="GZ121" s="1452">
        <f>4247+11041+2417</f>
        <v>17705</v>
      </c>
      <c r="HA121" s="56">
        <f>1.2*99329.65</f>
        <v>119195.57999999999</v>
      </c>
      <c r="HB121" s="58">
        <v>132920.4</v>
      </c>
      <c r="HC121" s="69"/>
      <c r="HD121" s="92">
        <f>HF121/HE121</f>
        <v>8.7058557645134904</v>
      </c>
      <c r="HE121" s="56">
        <f>14109+4236</f>
        <v>18345</v>
      </c>
      <c r="HF121" s="56">
        <f>133090.77*1.2</f>
        <v>159708.92399999997</v>
      </c>
      <c r="HG121" s="58">
        <v>138724.20000000001</v>
      </c>
      <c r="HH121" s="69"/>
      <c r="HI121" s="92">
        <f>HK121/HJ121</f>
        <v>8.6037359877834962</v>
      </c>
      <c r="HJ121" s="56">
        <v>17681</v>
      </c>
      <c r="HK121" s="56">
        <f>1.2*126768.88</f>
        <v>152122.65599999999</v>
      </c>
      <c r="HL121" s="58">
        <v>154257.5</v>
      </c>
      <c r="HM121" s="69"/>
      <c r="HN121" s="92">
        <f>HP121/HO121</f>
        <v>9.4514517482517491</v>
      </c>
      <c r="HO121" s="56">
        <v>19305</v>
      </c>
      <c r="HP121" s="56">
        <f>1.2*152050.23</f>
        <v>182460.27600000001</v>
      </c>
      <c r="HQ121" s="58">
        <v>208109.1</v>
      </c>
      <c r="HR121" s="69"/>
      <c r="HS121" s="92">
        <f>HU121/HT121</f>
        <v>9.4873798219584558</v>
      </c>
      <c r="HT121" s="56">
        <f>4714+16854</f>
        <v>21568</v>
      </c>
      <c r="HU121" s="56">
        <f>1.2*(37269.59+133250.25)</f>
        <v>204623.80799999999</v>
      </c>
      <c r="HV121" s="509">
        <v>227911.2</v>
      </c>
      <c r="HW121" s="69"/>
      <c r="HX121" s="92">
        <f>HZ121/HY121</f>
        <v>8.927676394979585</v>
      </c>
      <c r="HY121" s="56">
        <f>15192+4647</f>
        <v>19839</v>
      </c>
      <c r="HZ121" s="56">
        <f>1.2*(113024.38+34572.43)</f>
        <v>177116.17199999999</v>
      </c>
      <c r="IA121" s="58">
        <v>224456.44799999997</v>
      </c>
      <c r="IB121" s="69"/>
      <c r="IC121" s="92">
        <f>IE121/ID121</f>
        <v>11.073767863894142</v>
      </c>
      <c r="ID121" s="56">
        <f>12101+3769</f>
        <v>15870</v>
      </c>
      <c r="IE121" s="56">
        <f>1.2*(111669.72+34780.86)</f>
        <v>175740.69600000003</v>
      </c>
      <c r="IF121" s="58">
        <v>207625.95</v>
      </c>
      <c r="IG121" s="69"/>
      <c r="IH121" s="92">
        <f>IJ121/II121</f>
        <v>5.9969745852990419</v>
      </c>
      <c r="II121" s="56">
        <v>6571</v>
      </c>
      <c r="IJ121" s="56">
        <v>39406.120000000003</v>
      </c>
      <c r="IK121" s="58">
        <v>134572.375</v>
      </c>
      <c r="IL121" s="69"/>
      <c r="IM121" s="92">
        <f>IO121/IN121</f>
        <v>5.9969745852990419</v>
      </c>
      <c r="IN121" s="56">
        <v>6571</v>
      </c>
      <c r="IO121" s="56">
        <v>39406.120000000003</v>
      </c>
      <c r="IP121" s="58">
        <v>100000</v>
      </c>
      <c r="IQ121" s="69"/>
    </row>
    <row r="122" spans="1:251" s="336" customFormat="1" ht="15" customHeight="1">
      <c r="A122" s="657"/>
      <c r="B122" s="533"/>
      <c r="C122" s="529"/>
      <c r="D122" s="220" t="s">
        <v>38</v>
      </c>
      <c r="E122" s="231" t="s">
        <v>15</v>
      </c>
      <c r="F122" s="29"/>
      <c r="G122" s="109"/>
      <c r="H122" s="56">
        <v>0</v>
      </c>
      <c r="I122" s="56">
        <v>0</v>
      </c>
      <c r="J122" s="44"/>
      <c r="K122" s="9">
        <v>0</v>
      </c>
      <c r="L122" s="109"/>
      <c r="M122" s="56">
        <v>0</v>
      </c>
      <c r="N122" s="56">
        <v>0</v>
      </c>
      <c r="O122" s="44"/>
      <c r="P122" s="86"/>
      <c r="Q122" s="109"/>
      <c r="R122" s="56">
        <v>0</v>
      </c>
      <c r="S122" s="56">
        <v>0</v>
      </c>
      <c r="T122" s="44"/>
      <c r="U122" s="86"/>
      <c r="V122" s="120"/>
      <c r="W122" s="56">
        <v>0</v>
      </c>
      <c r="X122" s="56">
        <v>0</v>
      </c>
      <c r="Y122" s="44"/>
      <c r="Z122" s="44"/>
      <c r="AA122" s="97"/>
      <c r="AB122" s="56">
        <v>0</v>
      </c>
      <c r="AC122" s="56">
        <v>0</v>
      </c>
      <c r="AD122" s="44"/>
      <c r="AE122" s="44"/>
      <c r="AF122" s="97"/>
      <c r="AG122" s="56">
        <v>0</v>
      </c>
      <c r="AH122" s="56">
        <v>0</v>
      </c>
      <c r="AI122" s="44"/>
      <c r="AJ122" s="44"/>
      <c r="AK122" s="97"/>
      <c r="AL122" s="56">
        <v>0</v>
      </c>
      <c r="AM122" s="56">
        <v>0</v>
      </c>
      <c r="AN122" s="44"/>
      <c r="AO122" s="44"/>
      <c r="AP122" s="97"/>
      <c r="AQ122" s="56">
        <v>0</v>
      </c>
      <c r="AR122" s="56">
        <v>0</v>
      </c>
      <c r="AS122" s="44"/>
      <c r="AT122" s="44"/>
      <c r="AU122" s="97"/>
      <c r="AV122" s="56">
        <v>0</v>
      </c>
      <c r="AW122" s="56">
        <v>0</v>
      </c>
      <c r="AX122" s="44"/>
      <c r="AY122" s="44"/>
      <c r="AZ122" s="97"/>
      <c r="BA122" s="56">
        <v>0</v>
      </c>
      <c r="BB122" s="56">
        <v>0</v>
      </c>
      <c r="BC122" s="44"/>
      <c r="BD122" s="44"/>
      <c r="BE122" s="97"/>
      <c r="BF122" s="56">
        <v>0</v>
      </c>
      <c r="BG122" s="56">
        <v>0</v>
      </c>
      <c r="BH122" s="44"/>
      <c r="BI122" s="44"/>
      <c r="BJ122" s="97"/>
      <c r="BK122" s="56">
        <v>0</v>
      </c>
      <c r="BL122" s="56">
        <v>0</v>
      </c>
      <c r="BM122" s="44"/>
      <c r="BN122" s="44"/>
      <c r="BO122" s="97"/>
      <c r="BP122" s="56">
        <v>0</v>
      </c>
      <c r="BQ122" s="56">
        <v>0</v>
      </c>
      <c r="BR122" s="44"/>
      <c r="BS122" s="44"/>
      <c r="BT122" s="97"/>
      <c r="BU122" s="56">
        <v>0</v>
      </c>
      <c r="BV122" s="56">
        <v>0</v>
      </c>
      <c r="BW122" s="44"/>
      <c r="BX122" s="44"/>
      <c r="BY122" s="97"/>
      <c r="BZ122" s="56">
        <v>0</v>
      </c>
      <c r="CA122" s="56">
        <v>0</v>
      </c>
      <c r="CB122" s="44"/>
      <c r="CC122" s="44"/>
      <c r="CD122" s="97"/>
      <c r="CE122" s="56">
        <v>0</v>
      </c>
      <c r="CF122" s="56">
        <v>0</v>
      </c>
      <c r="CG122" s="44"/>
      <c r="CH122" s="44"/>
      <c r="CI122" s="97"/>
      <c r="CJ122" s="56">
        <v>0</v>
      </c>
      <c r="CK122" s="56">
        <v>0</v>
      </c>
      <c r="CL122" s="44"/>
      <c r="CM122" s="44"/>
      <c r="CN122" s="97"/>
      <c r="CO122" s="56">
        <v>0</v>
      </c>
      <c r="CP122" s="56">
        <v>0</v>
      </c>
      <c r="CQ122" s="44"/>
      <c r="CR122" s="44"/>
      <c r="CS122" s="97"/>
      <c r="CT122" s="56">
        <v>0</v>
      </c>
      <c r="CU122" s="56">
        <v>0</v>
      </c>
      <c r="CV122" s="44"/>
      <c r="CW122" s="44"/>
      <c r="CX122" s="97"/>
      <c r="CY122" s="56">
        <v>0</v>
      </c>
      <c r="CZ122" s="56">
        <v>0</v>
      </c>
      <c r="DA122" s="44"/>
      <c r="DB122" s="44"/>
      <c r="DC122" s="97"/>
      <c r="DD122" s="56">
        <v>0</v>
      </c>
      <c r="DE122" s="56">
        <v>0</v>
      </c>
      <c r="DF122" s="44"/>
      <c r="DG122" s="44"/>
      <c r="DH122" s="97"/>
      <c r="DI122" s="56">
        <v>0</v>
      </c>
      <c r="DJ122" s="56">
        <v>0</v>
      </c>
      <c r="DK122" s="44"/>
      <c r="DL122" s="44"/>
      <c r="DM122" s="97"/>
      <c r="DN122" s="56">
        <v>0</v>
      </c>
      <c r="DO122" s="56">
        <v>0</v>
      </c>
      <c r="DP122" s="44"/>
      <c r="DQ122" s="44"/>
      <c r="DR122" s="97"/>
      <c r="DS122" s="56">
        <v>0</v>
      </c>
      <c r="DT122" s="56">
        <v>0</v>
      </c>
      <c r="DU122" s="44"/>
      <c r="DV122" s="44"/>
      <c r="DW122" s="97"/>
      <c r="DX122" s="56">
        <v>0</v>
      </c>
      <c r="DY122" s="56">
        <v>0</v>
      </c>
      <c r="DZ122" s="44"/>
      <c r="EA122" s="44"/>
      <c r="EB122" s="97"/>
      <c r="EC122" s="56">
        <v>0</v>
      </c>
      <c r="ED122" s="56">
        <v>0</v>
      </c>
      <c r="EE122" s="44"/>
      <c r="EF122" s="44"/>
      <c r="EG122" s="97"/>
      <c r="EH122" s="56">
        <v>0</v>
      </c>
      <c r="EI122" s="56">
        <v>0</v>
      </c>
      <c r="EJ122" s="44"/>
      <c r="EK122" s="44"/>
      <c r="EL122" s="97"/>
      <c r="EM122" s="56">
        <v>0</v>
      </c>
      <c r="EN122" s="56">
        <v>0</v>
      </c>
      <c r="EO122" s="44"/>
      <c r="EP122" s="44"/>
      <c r="EQ122" s="97"/>
      <c r="ER122" s="56">
        <v>0</v>
      </c>
      <c r="ES122" s="56">
        <v>0</v>
      </c>
      <c r="ET122" s="44"/>
      <c r="EU122" s="44"/>
      <c r="EV122" s="97"/>
      <c r="EW122" s="56">
        <v>0</v>
      </c>
      <c r="EX122" s="56">
        <v>0</v>
      </c>
      <c r="EY122" s="44"/>
      <c r="EZ122" s="44"/>
      <c r="FA122" s="97"/>
      <c r="FB122" s="56">
        <v>0</v>
      </c>
      <c r="FC122" s="56">
        <v>0</v>
      </c>
      <c r="FD122" s="44"/>
      <c r="FE122" s="44"/>
      <c r="FF122" s="97"/>
      <c r="FG122" s="56">
        <v>0</v>
      </c>
      <c r="FH122" s="56">
        <v>0</v>
      </c>
      <c r="FI122" s="44"/>
      <c r="FJ122" s="44"/>
      <c r="FK122" s="97"/>
      <c r="FL122" s="56">
        <v>0</v>
      </c>
      <c r="FM122" s="56">
        <v>0</v>
      </c>
      <c r="FN122" s="44"/>
      <c r="FO122" s="44"/>
      <c r="FP122" s="97"/>
      <c r="FQ122" s="56">
        <v>0</v>
      </c>
      <c r="FR122" s="56">
        <v>0</v>
      </c>
      <c r="FS122" s="44"/>
      <c r="FT122" s="44"/>
      <c r="FU122" s="97"/>
      <c r="FV122" s="56">
        <v>0</v>
      </c>
      <c r="FW122" s="56">
        <v>0</v>
      </c>
      <c r="FX122" s="44"/>
      <c r="FY122" s="44"/>
      <c r="FZ122" s="97"/>
      <c r="GA122" s="56">
        <v>0</v>
      </c>
      <c r="GB122" s="56">
        <v>0</v>
      </c>
      <c r="GC122" s="44"/>
      <c r="GD122" s="44"/>
      <c r="GE122" s="97"/>
      <c r="GF122" s="56">
        <v>0</v>
      </c>
      <c r="GG122" s="56">
        <v>0</v>
      </c>
      <c r="GH122" s="44"/>
      <c r="GI122" s="44"/>
      <c r="GJ122" s="97"/>
      <c r="GK122" s="56">
        <v>0</v>
      </c>
      <c r="GL122" s="56">
        <v>0</v>
      </c>
      <c r="GM122" s="44"/>
      <c r="GN122" s="44"/>
      <c r="GO122" s="97"/>
      <c r="GP122" s="56">
        <v>0</v>
      </c>
      <c r="GQ122" s="56">
        <v>0</v>
      </c>
      <c r="GR122" s="44"/>
      <c r="GS122" s="44"/>
      <c r="GT122" s="97"/>
      <c r="GU122" s="56">
        <v>0</v>
      </c>
      <c r="GV122" s="56">
        <v>0</v>
      </c>
      <c r="GW122" s="44"/>
      <c r="GX122" s="44"/>
      <c r="GY122" s="97"/>
      <c r="GZ122" s="56">
        <v>0</v>
      </c>
      <c r="HA122" s="56">
        <v>0</v>
      </c>
      <c r="HB122" s="44"/>
      <c r="HC122" s="44"/>
      <c r="HD122" s="97"/>
      <c r="HE122" s="56">
        <v>0</v>
      </c>
      <c r="HF122" s="56">
        <v>0</v>
      </c>
      <c r="HG122" s="44"/>
      <c r="HH122" s="44"/>
      <c r="HI122" s="97"/>
      <c r="HJ122" s="56">
        <v>0</v>
      </c>
      <c r="HK122" s="56">
        <v>0</v>
      </c>
      <c r="HL122" s="44"/>
      <c r="HM122" s="44"/>
      <c r="HN122" s="97"/>
      <c r="HO122" s="56">
        <v>0</v>
      </c>
      <c r="HP122" s="56">
        <v>0</v>
      </c>
      <c r="HQ122" s="44"/>
      <c r="HR122" s="44"/>
      <c r="HS122" s="97"/>
      <c r="HT122" s="56">
        <v>0</v>
      </c>
      <c r="HU122" s="56">
        <v>0</v>
      </c>
      <c r="HV122" s="44"/>
      <c r="HW122" s="44"/>
      <c r="HX122" s="97"/>
      <c r="HY122" s="56">
        <v>0</v>
      </c>
      <c r="HZ122" s="56">
        <v>0</v>
      </c>
      <c r="IA122" s="44"/>
      <c r="IB122" s="44"/>
      <c r="IC122" s="97"/>
      <c r="ID122" s="56">
        <v>0</v>
      </c>
      <c r="IE122" s="56">
        <v>0</v>
      </c>
      <c r="IF122" s="44"/>
      <c r="IG122" s="44"/>
      <c r="IH122" s="97"/>
      <c r="II122" s="56">
        <v>0</v>
      </c>
      <c r="IJ122" s="56">
        <v>0</v>
      </c>
      <c r="IK122" s="44"/>
      <c r="IL122" s="44"/>
      <c r="IM122" s="97"/>
      <c r="IN122" s="56">
        <v>0</v>
      </c>
      <c r="IO122" s="56">
        <v>0</v>
      </c>
      <c r="IP122" s="44"/>
      <c r="IQ122" s="44"/>
    </row>
    <row r="123" spans="1:251" s="264" customFormat="1" ht="15" customHeight="1" thickBot="1">
      <c r="A123" s="658"/>
      <c r="B123" s="534"/>
      <c r="C123" s="530" t="s">
        <v>228</v>
      </c>
      <c r="D123" s="351" t="s">
        <v>39</v>
      </c>
      <c r="E123" s="352" t="s">
        <v>17</v>
      </c>
      <c r="F123" s="23"/>
      <c r="G123" s="168"/>
      <c r="H123" s="177"/>
      <c r="I123" s="177"/>
      <c r="J123" s="48"/>
      <c r="K123" s="49"/>
      <c r="L123" s="168">
        <f>N123/M123</f>
        <v>33.708085443037973</v>
      </c>
      <c r="M123" s="172">
        <v>632</v>
      </c>
      <c r="N123" s="172">
        <v>21303.51</v>
      </c>
      <c r="O123" s="179"/>
      <c r="P123" s="182"/>
      <c r="Q123" s="168"/>
      <c r="R123" s="172"/>
      <c r="S123" s="172"/>
      <c r="T123" s="179"/>
      <c r="U123" s="182"/>
      <c r="V123" s="209">
        <f>X123/W123</f>
        <v>26.818722466960352</v>
      </c>
      <c r="W123" s="172">
        <v>227</v>
      </c>
      <c r="X123" s="172">
        <v>6087.85</v>
      </c>
      <c r="Y123" s="179"/>
      <c r="Z123" s="179"/>
      <c r="AA123" s="3">
        <f>AC123/AB123</f>
        <v>32.37932584269663</v>
      </c>
      <c r="AB123" s="172">
        <v>89</v>
      </c>
      <c r="AC123" s="172">
        <v>2881.76</v>
      </c>
      <c r="AD123" s="179"/>
      <c r="AE123" s="179"/>
      <c r="AF123" s="3">
        <f>AH123/AG123</f>
        <v>32.444459459459459</v>
      </c>
      <c r="AG123" s="172">
        <v>74</v>
      </c>
      <c r="AH123" s="172">
        <v>2400.89</v>
      </c>
      <c r="AI123" s="179"/>
      <c r="AJ123" s="179"/>
      <c r="AK123" s="3"/>
      <c r="AL123" s="177"/>
      <c r="AM123" s="177"/>
      <c r="AN123" s="48"/>
      <c r="AO123" s="179"/>
      <c r="AP123" s="3"/>
      <c r="AQ123" s="177"/>
      <c r="AR123" s="177"/>
      <c r="AS123" s="48"/>
      <c r="AT123" s="179"/>
      <c r="AU123" s="3"/>
      <c r="AV123" s="177"/>
      <c r="AW123" s="177"/>
      <c r="AX123" s="48"/>
      <c r="AY123" s="179"/>
      <c r="AZ123" s="3"/>
      <c r="BA123" s="172">
        <v>84</v>
      </c>
      <c r="BB123" s="172" t="s">
        <v>355</v>
      </c>
      <c r="BC123" s="179"/>
      <c r="BD123" s="179"/>
      <c r="BE123" s="3">
        <f>BG123/BF123</f>
        <v>32.350816326530612</v>
      </c>
      <c r="BF123" s="172">
        <v>98</v>
      </c>
      <c r="BG123" s="172">
        <v>3170.38</v>
      </c>
      <c r="BH123" s="179"/>
      <c r="BI123" s="179"/>
      <c r="BJ123" s="3"/>
      <c r="BK123" s="177"/>
      <c r="BL123" s="177"/>
      <c r="BM123" s="48"/>
      <c r="BN123" s="179"/>
      <c r="BO123" s="3"/>
      <c r="BP123" s="177"/>
      <c r="BQ123" s="177"/>
      <c r="BR123" s="48"/>
      <c r="BS123" s="179"/>
      <c r="BT123" s="3">
        <f>BV123/BU123</f>
        <v>32.111999999999995</v>
      </c>
      <c r="BU123" s="172">
        <v>100</v>
      </c>
      <c r="BV123" s="172">
        <v>3211.2</v>
      </c>
      <c r="BW123" s="179"/>
      <c r="BX123" s="179"/>
      <c r="BY123" s="3"/>
      <c r="BZ123" s="172">
        <v>89</v>
      </c>
      <c r="CA123" s="172">
        <v>2881.37</v>
      </c>
      <c r="CB123" s="179"/>
      <c r="CC123" s="179"/>
      <c r="CD123" s="3"/>
      <c r="CE123" s="172">
        <v>97</v>
      </c>
      <c r="CF123" s="172">
        <v>3138.27</v>
      </c>
      <c r="CG123" s="179"/>
      <c r="CH123" s="179"/>
      <c r="CI123" s="3"/>
      <c r="CJ123" s="172">
        <v>99</v>
      </c>
      <c r="CK123" s="172">
        <v>3203.69</v>
      </c>
      <c r="CL123" s="179"/>
      <c r="CM123" s="179"/>
      <c r="CN123" s="3"/>
      <c r="CO123" s="177"/>
      <c r="CP123" s="177"/>
      <c r="CQ123" s="48"/>
      <c r="CR123" s="179"/>
      <c r="CS123" s="3"/>
      <c r="CT123" s="172">
        <v>159</v>
      </c>
      <c r="CU123" s="172">
        <v>5130.41</v>
      </c>
      <c r="CV123" s="179"/>
      <c r="CW123" s="179"/>
      <c r="CX123" s="3">
        <f>CZ123/CY123</f>
        <v>32.266729559748427</v>
      </c>
      <c r="CY123" s="177">
        <v>159</v>
      </c>
      <c r="CZ123" s="737">
        <v>5130.41</v>
      </c>
      <c r="DA123" s="48"/>
      <c r="DB123" s="179"/>
      <c r="DC123" s="3"/>
      <c r="DD123" s="177"/>
      <c r="DE123" s="177"/>
      <c r="DF123" s="48"/>
      <c r="DG123" s="179"/>
      <c r="DH123" s="3"/>
      <c r="DI123" s="177"/>
      <c r="DJ123" s="177"/>
      <c r="DK123" s="48"/>
      <c r="DL123" s="179"/>
      <c r="DM123" s="3"/>
      <c r="DN123" s="177"/>
      <c r="DO123" s="177"/>
      <c r="DP123" s="48"/>
      <c r="DQ123" s="179"/>
      <c r="DR123" s="3"/>
      <c r="DS123" s="177"/>
      <c r="DT123" s="177"/>
      <c r="DU123" s="48"/>
      <c r="DV123" s="179"/>
      <c r="DW123" s="3">
        <f>DY123/DX123</f>
        <v>56.62252873563218</v>
      </c>
      <c r="DX123" s="172">
        <v>261</v>
      </c>
      <c r="DY123" s="172">
        <v>14778.48</v>
      </c>
      <c r="DZ123" s="179"/>
      <c r="EA123" s="179"/>
      <c r="EB123" s="3">
        <f>ED123/EC123</f>
        <v>32.111999999999995</v>
      </c>
      <c r="EC123" s="177">
        <v>100</v>
      </c>
      <c r="ED123" s="177">
        <v>3211.2</v>
      </c>
      <c r="EE123" s="48"/>
      <c r="EF123" s="179"/>
      <c r="EG123" s="3"/>
      <c r="EH123" s="177">
        <v>89</v>
      </c>
      <c r="EI123" s="177">
        <v>2881.37</v>
      </c>
      <c r="EJ123" s="48"/>
      <c r="EK123" s="179"/>
      <c r="EL123" s="3"/>
      <c r="EM123" s="177">
        <v>97</v>
      </c>
      <c r="EN123" s="177">
        <v>3138.27</v>
      </c>
      <c r="EO123" s="48"/>
      <c r="EP123" s="179"/>
      <c r="EQ123" s="3"/>
      <c r="ER123" s="177">
        <v>99</v>
      </c>
      <c r="ES123" s="177">
        <v>3203.69</v>
      </c>
      <c r="ET123" s="48"/>
      <c r="EU123" s="179"/>
      <c r="EV123" s="3"/>
      <c r="EW123" s="177"/>
      <c r="EX123" s="177"/>
      <c r="EY123" s="48"/>
      <c r="EZ123" s="179"/>
      <c r="FA123" s="3"/>
      <c r="FB123" s="177">
        <v>159</v>
      </c>
      <c r="FC123" s="177">
        <v>5130.41</v>
      </c>
      <c r="FD123" s="48"/>
      <c r="FE123" s="179"/>
      <c r="FF123" s="3">
        <f>FH123/FG123</f>
        <v>32.266729559748427</v>
      </c>
      <c r="FG123" s="177">
        <v>159</v>
      </c>
      <c r="FH123" s="737">
        <v>5130.41</v>
      </c>
      <c r="FI123" s="48"/>
      <c r="FJ123" s="179"/>
      <c r="FK123" s="3"/>
      <c r="FL123" s="177"/>
      <c r="FM123" s="177"/>
      <c r="FN123" s="48"/>
      <c r="FO123" s="179"/>
      <c r="FP123" s="3"/>
      <c r="FQ123" s="177"/>
      <c r="FR123" s="177"/>
      <c r="FS123" s="48"/>
      <c r="FT123" s="179"/>
      <c r="FU123" s="3"/>
      <c r="FV123" s="172">
        <v>74</v>
      </c>
      <c r="FW123" s="172">
        <v>4237.92</v>
      </c>
      <c r="FX123" s="179"/>
      <c r="FY123" s="179"/>
      <c r="FZ123" s="3"/>
      <c r="GA123" s="177"/>
      <c r="GB123" s="177"/>
      <c r="GC123" s="48"/>
      <c r="GD123" s="179"/>
      <c r="GE123" s="3"/>
      <c r="GF123" s="172">
        <v>103</v>
      </c>
      <c r="GG123" s="172">
        <v>5947.44</v>
      </c>
      <c r="GH123" s="179"/>
      <c r="GI123" s="179"/>
      <c r="GJ123" s="285">
        <f>GL123/GK123</f>
        <v>32.111999999999995</v>
      </c>
      <c r="GK123" s="177">
        <v>100</v>
      </c>
      <c r="GL123" s="177">
        <v>3211.2</v>
      </c>
      <c r="GM123" s="48"/>
      <c r="GN123" s="179"/>
      <c r="GO123" s="3"/>
      <c r="GP123" s="177">
        <v>89</v>
      </c>
      <c r="GQ123" s="177">
        <v>2881.37</v>
      </c>
      <c r="GR123" s="48"/>
      <c r="GS123" s="179"/>
      <c r="GT123" s="3">
        <f>GV123/GU123</f>
        <v>57.163636363636364</v>
      </c>
      <c r="GU123" s="172">
        <v>110</v>
      </c>
      <c r="GV123" s="172">
        <v>6288</v>
      </c>
      <c r="GW123" s="179"/>
      <c r="GX123" s="179"/>
      <c r="GY123" s="3"/>
      <c r="GZ123" s="177">
        <v>99</v>
      </c>
      <c r="HA123" s="177">
        <v>3203.69</v>
      </c>
      <c r="HB123" s="48"/>
      <c r="HC123" s="179"/>
      <c r="HD123" s="3"/>
      <c r="HE123" s="177"/>
      <c r="HF123" s="177"/>
      <c r="HG123" s="48"/>
      <c r="HH123" s="179"/>
      <c r="HI123" s="3"/>
      <c r="HJ123" s="177">
        <v>159</v>
      </c>
      <c r="HK123" s="177">
        <v>5130.41</v>
      </c>
      <c r="HL123" s="48"/>
      <c r="HM123" s="179"/>
      <c r="HN123" s="3">
        <f>HP123/HO123</f>
        <v>32.266729559748427</v>
      </c>
      <c r="HO123" s="177">
        <v>159</v>
      </c>
      <c r="HP123" s="737">
        <v>5130.41</v>
      </c>
      <c r="HQ123" s="48"/>
      <c r="HR123" s="179"/>
      <c r="HS123" s="3"/>
      <c r="HT123" s="177"/>
      <c r="HU123" s="177"/>
      <c r="HV123" s="48"/>
      <c r="HW123" s="179"/>
      <c r="HX123" s="3"/>
      <c r="HY123" s="177"/>
      <c r="HZ123" s="177"/>
      <c r="IA123" s="48"/>
      <c r="IB123" s="179"/>
      <c r="IC123" s="3"/>
      <c r="ID123" s="177">
        <v>74</v>
      </c>
      <c r="IE123" s="177">
        <v>4237.92</v>
      </c>
      <c r="IF123" s="48"/>
      <c r="IG123" s="179"/>
      <c r="IH123" s="3"/>
      <c r="II123" s="177"/>
      <c r="IJ123" s="177"/>
      <c r="IK123" s="48"/>
      <c r="IL123" s="179"/>
      <c r="IM123" s="3"/>
      <c r="IN123" s="177"/>
      <c r="IO123" s="177"/>
      <c r="IP123" s="48"/>
      <c r="IQ123" s="179"/>
    </row>
    <row r="124" spans="1:251" s="249" customFormat="1" ht="15" customHeight="1" thickBot="1">
      <c r="A124" s="649"/>
      <c r="B124" s="265" t="s">
        <v>144</v>
      </c>
      <c r="C124" s="5" t="s">
        <v>70</v>
      </c>
      <c r="D124" s="6" t="s">
        <v>25</v>
      </c>
      <c r="E124" s="7" t="s">
        <v>10</v>
      </c>
      <c r="F124" s="4"/>
      <c r="G124" s="196"/>
      <c r="H124" s="197"/>
      <c r="I124" s="197"/>
      <c r="J124" s="38"/>
      <c r="K124" s="206"/>
      <c r="L124" s="196"/>
      <c r="M124" s="197"/>
      <c r="N124" s="197"/>
      <c r="O124" s="38"/>
      <c r="P124" s="206"/>
      <c r="Q124" s="196"/>
      <c r="R124" s="197"/>
      <c r="S124" s="197"/>
      <c r="T124" s="38"/>
      <c r="U124" s="206"/>
      <c r="V124" s="207"/>
      <c r="W124" s="197"/>
      <c r="X124" s="204">
        <v>506</v>
      </c>
      <c r="Y124" s="38"/>
      <c r="Z124" s="384">
        <f>SUM(X124:X127)*1.1</f>
        <v>59703.331599999998</v>
      </c>
      <c r="AA124" s="36"/>
      <c r="AB124" s="197"/>
      <c r="AC124" s="204">
        <v>759</v>
      </c>
      <c r="AD124" s="38"/>
      <c r="AE124" s="384">
        <f>SUM(AC124:AC127)*1.1</f>
        <v>51311.977200000001</v>
      </c>
      <c r="AF124" s="36"/>
      <c r="AG124" s="197"/>
      <c r="AH124" s="204">
        <v>506</v>
      </c>
      <c r="AI124" s="38"/>
      <c r="AJ124" s="384">
        <f>AJ125*1.1</f>
        <v>84950.877000000008</v>
      </c>
      <c r="AK124" s="36"/>
      <c r="AL124" s="197"/>
      <c r="AM124" s="204">
        <v>759</v>
      </c>
      <c r="AN124" s="38"/>
      <c r="AO124" s="384">
        <f>AO125*1.2</f>
        <v>87315.796799999996</v>
      </c>
      <c r="AP124" s="36"/>
      <c r="AQ124" s="197"/>
      <c r="AR124" s="197"/>
      <c r="AS124" s="38"/>
      <c r="AT124" s="384">
        <f>SUM(AR124:AR127)*1.1</f>
        <v>79276.78439999999</v>
      </c>
      <c r="AU124" s="36"/>
      <c r="AV124" s="197"/>
      <c r="AW124" s="197"/>
      <c r="AX124" s="38"/>
      <c r="AY124" s="384">
        <f>SUM(AW124:AW127)*1.1</f>
        <v>92557.663000000015</v>
      </c>
      <c r="AZ124" s="36"/>
      <c r="BA124" s="197"/>
      <c r="BB124" s="197"/>
      <c r="BC124" s="38"/>
      <c r="BD124" s="384">
        <f>SUM(BB124:BB127)*1.1</f>
        <v>82999.606799999994</v>
      </c>
      <c r="BE124" s="36"/>
      <c r="BF124" s="197"/>
      <c r="BG124" s="197"/>
      <c r="BH124" s="38"/>
      <c r="BI124" s="384">
        <f>SUM(BG124:BG127)*1.1</f>
        <v>66739.463999999993</v>
      </c>
      <c r="BJ124" s="36"/>
      <c r="BK124" s="197"/>
      <c r="BL124" s="197"/>
      <c r="BM124" s="38"/>
      <c r="BN124" s="384">
        <f>SUM(BL124:BL127)*1.1</f>
        <v>81580.923599999995</v>
      </c>
      <c r="BO124" s="36"/>
      <c r="BP124" s="197"/>
      <c r="BQ124" s="197"/>
      <c r="BR124" s="38"/>
      <c r="BS124" s="384">
        <f>SUM(BQ124:BQ127)*1.1</f>
        <v>92820.736799999999</v>
      </c>
      <c r="BT124" s="36"/>
      <c r="BU124" s="197"/>
      <c r="BV124" s="197"/>
      <c r="BW124" s="38"/>
      <c r="BX124" s="384">
        <f>SUM(BV124:BV127)*1.1</f>
        <v>86914.304400000008</v>
      </c>
      <c r="BY124" s="36"/>
      <c r="BZ124" s="197"/>
      <c r="CA124" s="197"/>
      <c r="CB124" s="38"/>
      <c r="CC124" s="384">
        <f>SUM(CA124:CA127)*1.1</f>
        <v>72652.430399999997</v>
      </c>
      <c r="CD124" s="36"/>
      <c r="CE124" s="197"/>
      <c r="CF124" s="197"/>
      <c r="CG124" s="38"/>
      <c r="CH124" s="384">
        <f>SUM(CF124:CF127)*1.1</f>
        <v>33922.653600000005</v>
      </c>
      <c r="CI124" s="36"/>
      <c r="CJ124" s="197"/>
      <c r="CK124" s="197"/>
      <c r="CL124" s="38"/>
      <c r="CM124" s="384">
        <f>SUM(CK124:CK127)*1.1</f>
        <v>60109.130400000002</v>
      </c>
      <c r="CN124" s="36"/>
      <c r="CO124" s="197"/>
      <c r="CP124" s="197"/>
      <c r="CQ124" s="38"/>
      <c r="CR124" s="384">
        <f>SUM(CP124:CP127)*1.1</f>
        <v>35771.854800000001</v>
      </c>
      <c r="CS124" s="36"/>
      <c r="CT124" s="197"/>
      <c r="CU124" s="197"/>
      <c r="CV124" s="38"/>
      <c r="CW124" s="384">
        <f>SUM(CU124:CU127)*1.1</f>
        <v>139037.7384</v>
      </c>
      <c r="CX124" s="36"/>
      <c r="CY124" s="197"/>
      <c r="CZ124" s="197"/>
      <c r="DA124" s="38"/>
      <c r="DB124" s="384">
        <f>SUM(CZ124:CZ127)*1.1</f>
        <v>33922.653600000005</v>
      </c>
      <c r="DC124" s="36"/>
      <c r="DD124" s="197"/>
      <c r="DE124" s="197"/>
      <c r="DF124" s="38"/>
      <c r="DG124" s="384">
        <f>SUM(DE124:DE127)*1.1</f>
        <v>33922.653600000005</v>
      </c>
      <c r="DH124" s="36"/>
      <c r="DI124" s="197"/>
      <c r="DJ124" s="197"/>
      <c r="DK124" s="38"/>
      <c r="DL124" s="384">
        <f>SUM(DJ124:DJ127)*1.1</f>
        <v>33922.653600000005</v>
      </c>
      <c r="DM124" s="36"/>
      <c r="DN124" s="197"/>
      <c r="DO124" s="197"/>
      <c r="DP124" s="38"/>
      <c r="DQ124" s="384">
        <f>SUM(DO124:DO127)*1.1</f>
        <v>126388.13880000002</v>
      </c>
      <c r="DR124" s="36"/>
      <c r="DS124" s="197"/>
      <c r="DT124" s="197"/>
      <c r="DU124" s="38"/>
      <c r="DV124" s="384">
        <f>SUM(DT124:DT127)*1.1</f>
        <v>74953.758000000002</v>
      </c>
      <c r="DW124" s="36"/>
      <c r="DX124" s="197"/>
      <c r="DY124" s="197"/>
      <c r="DZ124" s="38"/>
      <c r="EA124" s="384">
        <f>SUM(DY124:DY127)*1.1</f>
        <v>117606.33720000001</v>
      </c>
      <c r="EB124" s="36"/>
      <c r="EC124" s="197"/>
      <c r="ED124" s="197"/>
      <c r="EE124" s="38"/>
      <c r="EF124" s="384">
        <f>SUM(ED124:ED127)*1.1</f>
        <v>128669.50800000002</v>
      </c>
      <c r="EG124" s="36"/>
      <c r="EH124" s="197"/>
      <c r="EI124" s="197"/>
      <c r="EJ124" s="38"/>
      <c r="EK124" s="384">
        <f>SUM(EI124:EI127)*1.1</f>
        <v>72652.430399999997</v>
      </c>
      <c r="EL124" s="36"/>
      <c r="EM124" s="197"/>
      <c r="EN124" s="197"/>
      <c r="EO124" s="38"/>
      <c r="EP124" s="384">
        <f>SUM(EN124:EN127)*1.1</f>
        <v>94854.71160000001</v>
      </c>
      <c r="EQ124" s="36"/>
      <c r="ER124" s="197"/>
      <c r="ES124" s="197"/>
      <c r="ET124" s="38"/>
      <c r="EU124" s="384">
        <f>SUM(ES124:ES127)*1.1</f>
        <v>60109.130400000002</v>
      </c>
      <c r="EV124" s="36"/>
      <c r="EW124" s="197"/>
      <c r="EX124" s="197"/>
      <c r="EY124" s="38"/>
      <c r="EZ124" s="384">
        <f>SUM(EX124:EX127)*1.1</f>
        <v>91324.767599999992</v>
      </c>
      <c r="FA124" s="36"/>
      <c r="FB124" s="197"/>
      <c r="FC124" s="197"/>
      <c r="FD124" s="38"/>
      <c r="FE124" s="384">
        <f>SUM(FC124:FC127)*1.1</f>
        <v>88032.885599999994</v>
      </c>
      <c r="FF124" s="36"/>
      <c r="FG124" s="197"/>
      <c r="FH124" s="197"/>
      <c r="FI124" s="38"/>
      <c r="FJ124" s="384">
        <f>SUM(FH124:FH127)*1.1</f>
        <v>116050.01759999999</v>
      </c>
      <c r="FK124" s="36"/>
      <c r="FL124" s="197"/>
      <c r="FM124" s="197"/>
      <c r="FN124" s="38"/>
      <c r="FO124" s="384">
        <f>SUM(FM124:FM127)*1.1</f>
        <v>105071.44560000001</v>
      </c>
      <c r="FP124" s="36"/>
      <c r="FQ124" s="197"/>
      <c r="FR124" s="197"/>
      <c r="FS124" s="38"/>
      <c r="FT124" s="384">
        <f>SUM(FR124:FR127)*1.1</f>
        <v>33922.653600000005</v>
      </c>
      <c r="FU124" s="36"/>
      <c r="FV124" s="197"/>
      <c r="FW124" s="197"/>
      <c r="FX124" s="38"/>
      <c r="FY124" s="384">
        <f>SUM(FW124:FW127)*1.1</f>
        <v>85241.006399999998</v>
      </c>
      <c r="FZ124" s="36"/>
      <c r="GA124" s="197"/>
      <c r="GB124" s="197"/>
      <c r="GC124" s="38"/>
      <c r="GD124" s="384">
        <f>SUM(GB124:GB127)*1.1</f>
        <v>241096.07280000002</v>
      </c>
      <c r="GE124" s="36"/>
      <c r="GF124" s="197"/>
      <c r="GG124" s="197"/>
      <c r="GH124" s="38"/>
      <c r="GI124" s="384">
        <f>SUM(GG124:GG127)*1.1</f>
        <v>158346.38159999999</v>
      </c>
      <c r="GJ124" s="280"/>
      <c r="GK124" s="197"/>
      <c r="GL124" s="197"/>
      <c r="GM124" s="38"/>
      <c r="GN124" s="384">
        <f>SUM(GL124:GL127)*1.1</f>
        <v>128669.50800000002</v>
      </c>
      <c r="GO124" s="36"/>
      <c r="GP124" s="197"/>
      <c r="GQ124" s="197"/>
      <c r="GR124" s="38"/>
      <c r="GS124" s="384">
        <f>SUM(GQ124:GQ127)*1.1</f>
        <v>123725.71200000001</v>
      </c>
      <c r="GT124" s="36"/>
      <c r="GU124" s="197"/>
      <c r="GV124" s="197"/>
      <c r="GW124" s="38"/>
      <c r="GX124" s="384">
        <f>SUM(GV124:GV127)*1.1</f>
        <v>128006.7096</v>
      </c>
      <c r="GY124" s="36"/>
      <c r="GZ124" s="197"/>
      <c r="HA124" s="197"/>
      <c r="HB124" s="38"/>
      <c r="HC124" s="384">
        <f>SUM(HA124:HA127)*1.1</f>
        <v>60109.130400000002</v>
      </c>
      <c r="HD124" s="36"/>
      <c r="HE124" s="197"/>
      <c r="HF124" s="197"/>
      <c r="HG124" s="38"/>
      <c r="HH124" s="384">
        <f>SUM(HF124:HF127)*1.1</f>
        <v>91324.767599999992</v>
      </c>
      <c r="HI124" s="36"/>
      <c r="HJ124" s="197"/>
      <c r="HK124" s="197"/>
      <c r="HL124" s="38"/>
      <c r="HM124" s="384">
        <f>SUM(HK124:HK127)*1.1</f>
        <v>88032.885599999994</v>
      </c>
      <c r="HN124" s="36"/>
      <c r="HO124" s="197"/>
      <c r="HP124" s="197"/>
      <c r="HQ124" s="38"/>
      <c r="HR124" s="384">
        <f>SUM(HP124:HP127)*1.1</f>
        <v>116050.01759999999</v>
      </c>
      <c r="HS124" s="36"/>
      <c r="HT124" s="197"/>
      <c r="HU124" s="197"/>
      <c r="HV124" s="38"/>
      <c r="HW124" s="384">
        <f>SUM(HU124:HU127)*1.1</f>
        <v>105071.44560000001</v>
      </c>
      <c r="HX124" s="36"/>
      <c r="HY124" s="197"/>
      <c r="HZ124" s="197"/>
      <c r="IA124" s="38"/>
      <c r="IB124" s="384">
        <f>SUM(HZ124:HZ127)*1.1</f>
        <v>33922.653600000005</v>
      </c>
      <c r="IC124" s="36"/>
      <c r="ID124" s="197"/>
      <c r="IE124" s="197"/>
      <c r="IF124" s="38"/>
      <c r="IG124" s="384">
        <f>SUM(IE124:IE127)*1.1</f>
        <v>85241.006399999998</v>
      </c>
      <c r="IH124" s="36"/>
      <c r="II124" s="197"/>
      <c r="IJ124" s="197"/>
      <c r="IK124" s="38"/>
      <c r="IL124" s="384">
        <f>SUM(IJ124:IJ127)*1.1</f>
        <v>33922.653600000005</v>
      </c>
      <c r="IM124" s="36"/>
      <c r="IN124" s="197"/>
      <c r="IO124" s="197"/>
      <c r="IP124" s="38"/>
      <c r="IQ124" s="384">
        <f>SUM(IO124:IO127)*1.1</f>
        <v>33922.653600000005</v>
      </c>
    </row>
    <row r="125" spans="1:251" ht="15" customHeight="1" thickBot="1">
      <c r="A125" s="647"/>
      <c r="B125" s="256"/>
      <c r="C125" s="215">
        <v>45179093</v>
      </c>
      <c r="D125" s="45" t="s">
        <v>453</v>
      </c>
      <c r="E125" s="216" t="s">
        <v>13</v>
      </c>
      <c r="F125" s="22"/>
      <c r="G125" s="104">
        <f>I125/H125</f>
        <v>5.3077204414083026</v>
      </c>
      <c r="H125" s="141">
        <v>5709</v>
      </c>
      <c r="I125" s="131">
        <v>30301.776000000002</v>
      </c>
      <c r="J125" s="81">
        <v>21042.9</v>
      </c>
      <c r="K125" s="88"/>
      <c r="L125" s="104">
        <f>N125/M125</f>
        <v>5.3685485714285708</v>
      </c>
      <c r="M125" s="141">
        <v>8400</v>
      </c>
      <c r="N125" s="131">
        <v>45095.807999999997</v>
      </c>
      <c r="O125" s="81">
        <v>45095.807999999997</v>
      </c>
      <c r="P125" s="88"/>
      <c r="Q125" s="104">
        <f>S125/R125</f>
        <v>4.9663916703588828</v>
      </c>
      <c r="R125" s="141">
        <v>9028</v>
      </c>
      <c r="S125" s="131">
        <v>44836.583999999995</v>
      </c>
      <c r="T125" s="81">
        <v>44836.583999999995</v>
      </c>
      <c r="U125" s="88"/>
      <c r="V125" s="115">
        <f>X125/W125</f>
        <v>5.207724552058111</v>
      </c>
      <c r="W125" s="141">
        <v>10325</v>
      </c>
      <c r="X125" s="131">
        <v>53769.755999999994</v>
      </c>
      <c r="Y125" s="81">
        <v>53769.755999999994</v>
      </c>
      <c r="Z125" s="403">
        <f>SUM(X124:X127)*1</f>
        <v>54275.755999999994</v>
      </c>
      <c r="AA125" s="92">
        <f>AC125/AB125</f>
        <v>4.6829525461781811</v>
      </c>
      <c r="AB125" s="141">
        <v>9799</v>
      </c>
      <c r="AC125" s="131">
        <v>45888.252</v>
      </c>
      <c r="AD125" s="81">
        <v>45888.252</v>
      </c>
      <c r="AE125" s="403">
        <f>SUM(AC124:AC127)*1</f>
        <v>46647.252</v>
      </c>
      <c r="AF125" s="92">
        <f>AH125/AG125</f>
        <v>4.8199443082655167</v>
      </c>
      <c r="AG125" s="413">
        <v>10199</v>
      </c>
      <c r="AH125" s="414">
        <v>49158.612000000001</v>
      </c>
      <c r="AI125" s="81">
        <f>24151.71+52033.36</f>
        <v>76185.070000000007</v>
      </c>
      <c r="AJ125" s="403">
        <f>SUM(AH126:AH127)+AI125+AH124*1</f>
        <v>77228.070000000007</v>
      </c>
      <c r="AK125" s="92">
        <f>AM125/AL125</f>
        <v>4.9792201148425264</v>
      </c>
      <c r="AL125" s="413">
        <v>11494</v>
      </c>
      <c r="AM125" s="414">
        <v>57231.155999999995</v>
      </c>
      <c r="AN125" s="81">
        <f>11457.72+60009.444</f>
        <v>71467.164000000004</v>
      </c>
      <c r="AO125" s="403">
        <f>SUM(AM126:AM127)+AN125+AM124*1</f>
        <v>72763.164000000004</v>
      </c>
      <c r="AP125" s="92">
        <f>AR125/AQ125</f>
        <v>5.9466958184387719</v>
      </c>
      <c r="AQ125" s="413">
        <v>12029</v>
      </c>
      <c r="AR125" s="414">
        <v>71532.803999999989</v>
      </c>
      <c r="AS125" s="81">
        <v>80669.028000000006</v>
      </c>
      <c r="AT125" s="403">
        <f>SUM(AR124:AR127)*1</f>
        <v>72069.803999999989</v>
      </c>
      <c r="AU125" s="92">
        <f>AW125/AV125</f>
        <v>6.6107638175061281</v>
      </c>
      <c r="AV125" s="413">
        <v>12647</v>
      </c>
      <c r="AW125" s="414">
        <v>83606.33</v>
      </c>
      <c r="AX125" s="44">
        <v>21042.9</v>
      </c>
      <c r="AY125" s="403">
        <f>SUM(AW124:AW127)*1</f>
        <v>84143.33</v>
      </c>
      <c r="AZ125" s="92">
        <f>BB125/BA125</f>
        <v>6.3494523264683442</v>
      </c>
      <c r="BA125" s="413">
        <v>11799</v>
      </c>
      <c r="BB125" s="414">
        <v>74917.187999999995</v>
      </c>
      <c r="BC125" s="81" t="s">
        <v>351</v>
      </c>
      <c r="BD125" s="403">
        <f>SUM(BB124:BB127)*1</f>
        <v>75454.187999999995</v>
      </c>
      <c r="BE125" s="92">
        <f>BG125/BF125</f>
        <v>6.3628441434768801</v>
      </c>
      <c r="BF125" s="141">
        <v>9451</v>
      </c>
      <c r="BG125" s="131">
        <v>60135.239999999991</v>
      </c>
      <c r="BH125" s="81">
        <v>47607.064999999995</v>
      </c>
      <c r="BI125" s="403">
        <f>SUM(BG124:BG127)*1</f>
        <v>60672.239999999991</v>
      </c>
      <c r="BJ125" s="92">
        <f>BL125/BK125</f>
        <v>6.7715879702014163</v>
      </c>
      <c r="BK125" s="413">
        <v>10873</v>
      </c>
      <c r="BL125" s="414">
        <v>73627.475999999995</v>
      </c>
      <c r="BM125" s="81">
        <v>47607.064999999995</v>
      </c>
      <c r="BN125" s="403">
        <f>SUM(BL124:BL127)*1</f>
        <v>74164.475999999995</v>
      </c>
      <c r="BO125" s="92">
        <f>BQ125/BP125</f>
        <v>6.3746284497833194</v>
      </c>
      <c r="BP125" s="413">
        <v>13153</v>
      </c>
      <c r="BQ125" s="561">
        <v>83845.487999999998</v>
      </c>
      <c r="BR125" s="44">
        <v>21042.9</v>
      </c>
      <c r="BS125" s="403">
        <f>SUM(BQ124:BQ127)*1</f>
        <v>84382.487999999998</v>
      </c>
      <c r="BT125" s="92">
        <f>BV125/BU125</f>
        <v>6.026879963136472</v>
      </c>
      <c r="BU125" s="413">
        <v>13021</v>
      </c>
      <c r="BV125" s="414">
        <v>78476.004000000001</v>
      </c>
      <c r="BW125" s="81">
        <v>85072.5</v>
      </c>
      <c r="BX125" s="403">
        <f>SUM(BV124:BV127)*1</f>
        <v>79013.004000000001</v>
      </c>
      <c r="BY125" s="92">
        <f>CA125/BZ125</f>
        <v>5.480688028110098</v>
      </c>
      <c r="BZ125" s="413">
        <v>11953</v>
      </c>
      <c r="CA125" s="414">
        <v>65510.663999999997</v>
      </c>
      <c r="CB125" s="81" t="s">
        <v>439</v>
      </c>
      <c r="CC125" s="403">
        <f>SUM(CA124:CA127)*1</f>
        <v>66047.66399999999</v>
      </c>
      <c r="CD125" s="92">
        <f>CF125/CE125</f>
        <v>5.3077204414083026</v>
      </c>
      <c r="CE125" s="71">
        <v>5709</v>
      </c>
      <c r="CF125" s="63">
        <v>30301.776000000002</v>
      </c>
      <c r="CG125" s="81">
        <v>43442.51470588235</v>
      </c>
      <c r="CH125" s="403">
        <f>SUM(CF124:CF127)*1</f>
        <v>30838.776000000002</v>
      </c>
      <c r="CI125" s="92">
        <f>CK125/CJ125</f>
        <v>5.5512120652508461</v>
      </c>
      <c r="CJ125" s="413">
        <v>9747</v>
      </c>
      <c r="CK125" s="414">
        <v>54107.663999999997</v>
      </c>
      <c r="CL125" s="44">
        <v>21042.9</v>
      </c>
      <c r="CM125" s="403">
        <f>SUM(CK124:CK127)*1</f>
        <v>54644.663999999997</v>
      </c>
      <c r="CN125" s="92">
        <f>CP125/CO125</f>
        <v>6.5632809357685202</v>
      </c>
      <c r="CO125" s="413">
        <v>4873</v>
      </c>
      <c r="CP125" s="414">
        <v>31982.867999999999</v>
      </c>
      <c r="CQ125" s="81">
        <v>50923.12</v>
      </c>
      <c r="CR125" s="403">
        <f>SUM(CP124:CP127)*1</f>
        <v>32519.867999999999</v>
      </c>
      <c r="CS125" s="92">
        <f>CU125/CT125</f>
        <v>7.5064677044193955</v>
      </c>
      <c r="CT125" s="413">
        <v>16767</v>
      </c>
      <c r="CU125" s="414">
        <v>125860.944</v>
      </c>
      <c r="CV125" s="81">
        <f>50428.51+50428.51</f>
        <v>100857.02</v>
      </c>
      <c r="CW125" s="403">
        <f>SUM(CU124:CU127)*1</f>
        <v>126397.944</v>
      </c>
      <c r="CX125" s="92">
        <f>CZ125/CY125</f>
        <v>3.0365543641647461</v>
      </c>
      <c r="CY125" s="141">
        <v>9979</v>
      </c>
      <c r="CZ125" s="63">
        <v>30301.776000000002</v>
      </c>
      <c r="DA125" s="81">
        <v>179771.15999999997</v>
      </c>
      <c r="DB125" s="403">
        <f>SUM(CZ124:CZ127)*1</f>
        <v>30838.776000000002</v>
      </c>
      <c r="DC125" s="92">
        <f>DE125/DD125</f>
        <v>2.5493669863705199</v>
      </c>
      <c r="DD125" s="141">
        <v>11886</v>
      </c>
      <c r="DE125" s="63">
        <v>30301.776000000002</v>
      </c>
      <c r="DF125" s="81">
        <v>87641.32</v>
      </c>
      <c r="DG125" s="403">
        <f>SUM(DE124:DE127)*1</f>
        <v>30838.776000000002</v>
      </c>
      <c r="DH125" s="92">
        <f>DJ125/DI125</f>
        <v>5.3077204414083026</v>
      </c>
      <c r="DI125" s="71">
        <v>5709</v>
      </c>
      <c r="DJ125" s="63">
        <v>30301.776000000002</v>
      </c>
      <c r="DK125" s="81">
        <v>86482.58</v>
      </c>
      <c r="DL125" s="403">
        <f>SUM(DJ124:DJ127)*1</f>
        <v>30838.776000000002</v>
      </c>
      <c r="DM125" s="92">
        <f>DO125/DN125</f>
        <v>8.2268403711963174</v>
      </c>
      <c r="DN125" s="413">
        <v>13901</v>
      </c>
      <c r="DO125" s="414">
        <v>114361.308</v>
      </c>
      <c r="DP125" s="81">
        <v>80124.790909090909</v>
      </c>
      <c r="DQ125" s="403">
        <f>SUM(DO124:DO127)*1</f>
        <v>114898.308</v>
      </c>
      <c r="DR125" s="92">
        <f>DT125/DS125</f>
        <v>8.1744594921402651</v>
      </c>
      <c r="DS125" s="410">
        <v>8270</v>
      </c>
      <c r="DT125" s="410">
        <v>67602.78</v>
      </c>
      <c r="DU125" s="81">
        <v>95301.09</v>
      </c>
      <c r="DV125" s="403">
        <f>SUM(DT124:DT127)*1</f>
        <v>68139.78</v>
      </c>
      <c r="DW125" s="92">
        <f>DY125/DX125</f>
        <v>8.7144959449496184</v>
      </c>
      <c r="DX125" s="413">
        <v>12207</v>
      </c>
      <c r="DY125" s="414">
        <v>106377.852</v>
      </c>
      <c r="DZ125" s="81">
        <v>59406.038999999997</v>
      </c>
      <c r="EA125" s="403">
        <f>SUM(DY124:DY127)*1</f>
        <v>106914.852</v>
      </c>
      <c r="EB125" s="92">
        <f>ED125/EC125</f>
        <v>8.5936438113513915</v>
      </c>
      <c r="EC125" s="413">
        <v>13549</v>
      </c>
      <c r="ED125" s="414">
        <v>116435.28</v>
      </c>
      <c r="EE125" s="81">
        <v>109873.10399999999</v>
      </c>
      <c r="EF125" s="403">
        <f>SUM(ED124:ED127)*1</f>
        <v>116972.28</v>
      </c>
      <c r="EG125" s="92">
        <f>EI125/EH125</f>
        <v>5.480688028110098</v>
      </c>
      <c r="EH125" s="71">
        <v>11953</v>
      </c>
      <c r="EI125" s="63">
        <v>65510.663999999997</v>
      </c>
      <c r="EJ125" s="1465">
        <v>119633.064</v>
      </c>
      <c r="EK125" s="403">
        <f>SUM(EI124:EI127)*1</f>
        <v>66047.66399999999</v>
      </c>
      <c r="EL125" s="92">
        <f>EN125/EM125</f>
        <v>8.1683877609379465</v>
      </c>
      <c r="EM125" s="413">
        <v>10491</v>
      </c>
      <c r="EN125" s="414">
        <v>85694.555999999997</v>
      </c>
      <c r="EO125" s="81">
        <v>116801.60000000001</v>
      </c>
      <c r="EP125" s="403">
        <f>SUM(EN124:EN127)*1</f>
        <v>86231.555999999997</v>
      </c>
      <c r="EQ125" s="92">
        <f>ES125/ER125</f>
        <v>5.5512120652508461</v>
      </c>
      <c r="ER125" s="71">
        <v>9747</v>
      </c>
      <c r="ES125" s="63">
        <v>54107.663999999997</v>
      </c>
      <c r="ET125" s="81">
        <v>116801.60000000001</v>
      </c>
      <c r="EU125" s="403">
        <f>SUM(ES124:ES127)*1</f>
        <v>54644.663999999997</v>
      </c>
      <c r="EV125" s="92">
        <f>EX125/EW125</f>
        <v>7.2623275224511348</v>
      </c>
      <c r="EW125" s="413">
        <v>11358</v>
      </c>
      <c r="EX125" s="414">
        <v>82485.515999999989</v>
      </c>
      <c r="EY125" s="44">
        <v>50923.12</v>
      </c>
      <c r="EZ125" s="403">
        <f>SUM(EX124:EX127)*1</f>
        <v>83022.515999999989</v>
      </c>
      <c r="FA125" s="92">
        <f>FC125/FB125</f>
        <v>7.2239999999999993</v>
      </c>
      <c r="FB125" s="413">
        <v>11004</v>
      </c>
      <c r="FC125" s="414">
        <v>79492.895999999993</v>
      </c>
      <c r="FD125" s="81">
        <v>83449</v>
      </c>
      <c r="FE125" s="403">
        <f>SUM(FC124:FC127)*1</f>
        <v>80029.895999999993</v>
      </c>
      <c r="FF125" s="92">
        <f>FH125/FG125</f>
        <v>7.9415159264583481</v>
      </c>
      <c r="FG125" s="413">
        <v>13217</v>
      </c>
      <c r="FH125" s="414">
        <v>104963.01599999999</v>
      </c>
      <c r="FI125" s="81">
        <v>89875.7</v>
      </c>
      <c r="FJ125" s="403">
        <f>SUM(FH124:FH127)*1</f>
        <v>105500.01599999999</v>
      </c>
      <c r="FK125" s="92">
        <f>FM125/FL125</f>
        <v>7.9877635186275331</v>
      </c>
      <c r="FL125" s="413">
        <v>11891</v>
      </c>
      <c r="FM125" s="414">
        <v>94982.495999999999</v>
      </c>
      <c r="FN125" s="81">
        <v>117683</v>
      </c>
      <c r="FO125" s="403">
        <f>SUM(FM124:FM127)*1</f>
        <v>95519.495999999999</v>
      </c>
      <c r="FP125" s="92">
        <f>FR125/FQ125</f>
        <v>5.3077204414083026</v>
      </c>
      <c r="FQ125" s="71">
        <v>5709</v>
      </c>
      <c r="FR125" s="63">
        <v>30301.776000000002</v>
      </c>
      <c r="FS125" s="81">
        <v>103127.22</v>
      </c>
      <c r="FT125" s="403">
        <f>SUM(FR124:FR127)*1</f>
        <v>30838.776000000002</v>
      </c>
      <c r="FU125" s="92">
        <f>FW125/FV125</f>
        <v>9.5370955508737136</v>
      </c>
      <c r="FV125" s="413">
        <v>8069</v>
      </c>
      <c r="FW125" s="414">
        <v>76954.823999999993</v>
      </c>
      <c r="FX125" s="44">
        <v>80124.790909090909</v>
      </c>
      <c r="FY125" s="403">
        <f>SUM(FW124:FW127)*1</f>
        <v>77491.823999999993</v>
      </c>
      <c r="FZ125" s="92">
        <f>GB125/GA125</f>
        <v>10.118064139941691</v>
      </c>
      <c r="GA125" s="413">
        <v>21609</v>
      </c>
      <c r="GB125" s="414">
        <v>218641.24799999999</v>
      </c>
      <c r="GC125" s="1581">
        <v>76954.823999999993</v>
      </c>
      <c r="GD125" s="403">
        <f>SUM(GB124:GB127)*1</f>
        <v>219178.24799999999</v>
      </c>
      <c r="GE125" s="92">
        <f>GG125/GF125</f>
        <v>11.723555628218753</v>
      </c>
      <c r="GF125" s="71">
        <f>7473+4760</f>
        <v>12233</v>
      </c>
      <c r="GG125" s="63">
        <f>1.2*(73008.44+46503.44)</f>
        <v>143414.25599999999</v>
      </c>
      <c r="GH125" s="1581">
        <v>308598.79200000002</v>
      </c>
      <c r="GI125" s="403">
        <f>SUM(GG124:GG127)*1</f>
        <v>143951.25599999999</v>
      </c>
      <c r="GJ125" s="98">
        <f>GL125/GK125</f>
        <v>8.5936438113513915</v>
      </c>
      <c r="GK125" s="71">
        <v>13549</v>
      </c>
      <c r="GL125" s="63">
        <v>116435.28</v>
      </c>
      <c r="GM125" s="44">
        <v>109873.10399999999</v>
      </c>
      <c r="GN125" s="403">
        <f>SUM(GL124:GL127)*1</f>
        <v>116972.28</v>
      </c>
      <c r="GO125" s="92">
        <f>GQ125/GP125</f>
        <v>13.755335463258787</v>
      </c>
      <c r="GP125" s="413">
        <v>8138</v>
      </c>
      <c r="GQ125" s="414">
        <v>111940.92</v>
      </c>
      <c r="GR125" s="1565">
        <v>119633.064</v>
      </c>
      <c r="GS125" s="403">
        <f>SUM(GQ124:GQ127)*1</f>
        <v>112477.92</v>
      </c>
      <c r="GT125" s="92">
        <f>GV125/GU125</f>
        <v>10.482600542986425</v>
      </c>
      <c r="GU125" s="413">
        <v>11050</v>
      </c>
      <c r="GV125" s="414">
        <v>115832.73599999999</v>
      </c>
      <c r="GW125" s="44">
        <v>116801.60000000001</v>
      </c>
      <c r="GX125" s="403">
        <f>SUM(GV124:GV127)*1</f>
        <v>116369.73599999999</v>
      </c>
      <c r="GY125" s="92">
        <f>HA125/GZ125</f>
        <v>5.5512120652508461</v>
      </c>
      <c r="GZ125" s="71">
        <v>9747</v>
      </c>
      <c r="HA125" s="63">
        <v>54107.663999999997</v>
      </c>
      <c r="HB125" s="44">
        <v>116801.60000000001</v>
      </c>
      <c r="HC125" s="403">
        <f>SUM(HA124:HA127)*1</f>
        <v>54644.663999999997</v>
      </c>
      <c r="HD125" s="92">
        <f>HF125/HE125</f>
        <v>7.2623275224511348</v>
      </c>
      <c r="HE125" s="71">
        <v>11358</v>
      </c>
      <c r="HF125" s="63">
        <v>82485.515999999989</v>
      </c>
      <c r="HG125" s="44">
        <v>50923.12</v>
      </c>
      <c r="HH125" s="403">
        <f>SUM(HF124:HF127)*1</f>
        <v>83022.515999999989</v>
      </c>
      <c r="HI125" s="92">
        <f>HK125/HJ125</f>
        <v>7.2239999999999993</v>
      </c>
      <c r="HJ125" s="71">
        <v>11004</v>
      </c>
      <c r="HK125" s="63">
        <v>79492.895999999993</v>
      </c>
      <c r="HL125" s="44">
        <v>83449</v>
      </c>
      <c r="HM125" s="403">
        <f>SUM(HK124:HK127)*1</f>
        <v>80029.895999999993</v>
      </c>
      <c r="HN125" s="92">
        <f>HP125/HO125</f>
        <v>7.9415159264583481</v>
      </c>
      <c r="HO125" s="71">
        <v>13217</v>
      </c>
      <c r="HP125" s="63">
        <v>104963.01599999999</v>
      </c>
      <c r="HQ125" s="44">
        <v>89875.7</v>
      </c>
      <c r="HR125" s="403">
        <f>SUM(HP124:HP127)*1</f>
        <v>105500.01599999999</v>
      </c>
      <c r="HS125" s="92">
        <f>HU125/HT125</f>
        <v>7.9877635186275331</v>
      </c>
      <c r="HT125" s="71">
        <v>11891</v>
      </c>
      <c r="HU125" s="63">
        <v>94982.495999999999</v>
      </c>
      <c r="HV125" s="44">
        <v>117683</v>
      </c>
      <c r="HW125" s="403">
        <f>SUM(HU124:HU127)*1</f>
        <v>95519.495999999999</v>
      </c>
      <c r="HX125" s="92">
        <f>HZ125/HY125</f>
        <v>5.3077204414083026</v>
      </c>
      <c r="HY125" s="71">
        <v>5709</v>
      </c>
      <c r="HZ125" s="63">
        <v>30301.776000000002</v>
      </c>
      <c r="IA125" s="44">
        <v>103127.22</v>
      </c>
      <c r="IB125" s="403">
        <f>SUM(HZ124:HZ127)*1</f>
        <v>30838.776000000002</v>
      </c>
      <c r="IC125" s="92">
        <f>IE125/ID125</f>
        <v>9.5370955508737136</v>
      </c>
      <c r="ID125" s="71">
        <v>8069</v>
      </c>
      <c r="IE125" s="63">
        <v>76954.823999999993</v>
      </c>
      <c r="IF125" s="44">
        <v>80124.790909090909</v>
      </c>
      <c r="IG125" s="403">
        <f>SUM(IE124:IE127)*1</f>
        <v>77491.823999999993</v>
      </c>
      <c r="IH125" s="92">
        <f>IJ125/II125</f>
        <v>5.3077204414083026</v>
      </c>
      <c r="II125" s="71">
        <v>5709</v>
      </c>
      <c r="IJ125" s="63">
        <v>30301.776000000002</v>
      </c>
      <c r="IK125" s="44">
        <v>95301.09</v>
      </c>
      <c r="IL125" s="403">
        <f>SUM(IJ124:IJ127)*1</f>
        <v>30838.776000000002</v>
      </c>
      <c r="IM125" s="92">
        <f>IO125/IN125</f>
        <v>5.3077204414083026</v>
      </c>
      <c r="IN125" s="71">
        <v>5709</v>
      </c>
      <c r="IO125" s="63">
        <v>30301.776000000002</v>
      </c>
      <c r="IP125" s="44">
        <v>21042.9</v>
      </c>
      <c r="IQ125" s="403">
        <f>SUM(IO124:IO127)*1</f>
        <v>30838.776000000002</v>
      </c>
    </row>
    <row r="126" spans="1:251" s="336" customFormat="1" ht="15" customHeight="1">
      <c r="A126" s="652"/>
      <c r="B126" s="296"/>
      <c r="C126" s="234">
        <v>41946011</v>
      </c>
      <c r="D126" s="220" t="s">
        <v>200</v>
      </c>
      <c r="E126" s="393" t="s">
        <v>15</v>
      </c>
      <c r="F126" s="394"/>
      <c r="G126" s="109"/>
      <c r="H126" s="56">
        <v>0</v>
      </c>
      <c r="I126" s="58">
        <v>0</v>
      </c>
      <c r="J126" s="44"/>
      <c r="K126" s="86"/>
      <c r="L126" s="109"/>
      <c r="M126" s="56">
        <v>0</v>
      </c>
      <c r="N126" s="58">
        <v>0</v>
      </c>
      <c r="O126" s="44"/>
      <c r="P126" s="86"/>
      <c r="Q126" s="109"/>
      <c r="R126" s="56"/>
      <c r="S126" s="58"/>
      <c r="T126" s="44"/>
      <c r="U126" s="86"/>
      <c r="V126" s="120"/>
      <c r="W126" s="56"/>
      <c r="X126" s="58"/>
      <c r="Y126" s="44"/>
      <c r="Z126" s="44"/>
      <c r="AA126" s="97"/>
      <c r="AB126" s="56"/>
      <c r="AC126" s="58"/>
      <c r="AD126" s="44"/>
      <c r="AE126" s="44"/>
      <c r="AF126" s="97"/>
      <c r="AG126" s="56"/>
      <c r="AH126" s="58"/>
      <c r="AI126" s="44"/>
      <c r="AJ126" s="44"/>
      <c r="AK126" s="97"/>
      <c r="AL126" s="56"/>
      <c r="AM126" s="58"/>
      <c r="AN126" s="44"/>
      <c r="AO126" s="44"/>
      <c r="AP126" s="97"/>
      <c r="AQ126" s="56"/>
      <c r="AR126" s="58"/>
      <c r="AS126" s="44"/>
      <c r="AT126" s="44"/>
      <c r="AU126" s="97"/>
      <c r="AV126" s="56"/>
      <c r="AW126" s="58"/>
      <c r="AX126" s="44"/>
      <c r="AY126" s="44"/>
      <c r="AZ126" s="97"/>
      <c r="BA126" s="56"/>
      <c r="BB126" s="58"/>
      <c r="BC126" s="44"/>
      <c r="BD126" s="44"/>
      <c r="BE126" s="97"/>
      <c r="BF126" s="56"/>
      <c r="BG126" s="58"/>
      <c r="BH126" s="44"/>
      <c r="BI126" s="44"/>
      <c r="BJ126" s="97"/>
      <c r="BK126" s="56"/>
      <c r="BL126" s="58"/>
      <c r="BM126" s="44"/>
      <c r="BN126" s="44"/>
      <c r="BO126" s="97"/>
      <c r="BP126" s="56"/>
      <c r="BQ126" s="58"/>
      <c r="BR126" s="44"/>
      <c r="BS126" s="44"/>
      <c r="BT126" s="97"/>
      <c r="BU126" s="56"/>
      <c r="BV126" s="58"/>
      <c r="BW126" s="44"/>
      <c r="BX126" s="44"/>
      <c r="BY126" s="97"/>
      <c r="BZ126" s="56"/>
      <c r="CA126" s="58"/>
      <c r="CB126" s="44"/>
      <c r="CC126" s="44"/>
      <c r="CD126" s="97"/>
      <c r="CE126" s="56"/>
      <c r="CF126" s="58"/>
      <c r="CG126" s="44"/>
      <c r="CH126" s="44"/>
      <c r="CI126" s="97"/>
      <c r="CJ126" s="56"/>
      <c r="CK126" s="58"/>
      <c r="CL126" s="44"/>
      <c r="CM126" s="44"/>
      <c r="CN126" s="97"/>
      <c r="CO126" s="56"/>
      <c r="CP126" s="58"/>
      <c r="CQ126" s="44"/>
      <c r="CR126" s="44"/>
      <c r="CS126" s="97"/>
      <c r="CT126" s="56"/>
      <c r="CU126" s="58"/>
      <c r="CV126" s="44"/>
      <c r="CW126" s="44"/>
      <c r="CX126" s="97"/>
      <c r="CY126" s="56"/>
      <c r="CZ126" s="58"/>
      <c r="DA126" s="44"/>
      <c r="DB126" s="44"/>
      <c r="DC126" s="97"/>
      <c r="DD126" s="56"/>
      <c r="DE126" s="58"/>
      <c r="DF126" s="44"/>
      <c r="DG126" s="44"/>
      <c r="DH126" s="97"/>
      <c r="DI126" s="56"/>
      <c r="DJ126" s="58"/>
      <c r="DK126" s="44"/>
      <c r="DL126" s="44"/>
      <c r="DM126" s="97"/>
      <c r="DN126" s="56"/>
      <c r="DO126" s="58"/>
      <c r="DP126" s="44"/>
      <c r="DQ126" s="44"/>
      <c r="DR126" s="97"/>
      <c r="DS126" s="56"/>
      <c r="DT126" s="58"/>
      <c r="DU126" s="44"/>
      <c r="DV126" s="44"/>
      <c r="DW126" s="97"/>
      <c r="DX126" s="56"/>
      <c r="DY126" s="58"/>
      <c r="DZ126" s="44"/>
      <c r="EA126" s="44"/>
      <c r="EB126" s="97"/>
      <c r="EC126" s="56"/>
      <c r="ED126" s="58"/>
      <c r="EE126" s="44"/>
      <c r="EF126" s="44"/>
      <c r="EG126" s="97"/>
      <c r="EH126" s="56"/>
      <c r="EI126" s="58"/>
      <c r="EJ126" s="44"/>
      <c r="EK126" s="44"/>
      <c r="EL126" s="97"/>
      <c r="EM126" s="56"/>
      <c r="EN126" s="58"/>
      <c r="EO126" s="44"/>
      <c r="EP126" s="44"/>
      <c r="EQ126" s="97"/>
      <c r="ER126" s="56"/>
      <c r="ES126" s="58"/>
      <c r="ET126" s="44"/>
      <c r="EU126" s="44"/>
      <c r="EV126" s="97"/>
      <c r="EW126" s="56"/>
      <c r="EX126" s="58"/>
      <c r="EY126" s="44"/>
      <c r="EZ126" s="44"/>
      <c r="FA126" s="97"/>
      <c r="FB126" s="56"/>
      <c r="FC126" s="58"/>
      <c r="FD126" s="44"/>
      <c r="FE126" s="44"/>
      <c r="FF126" s="97"/>
      <c r="FG126" s="56"/>
      <c r="FH126" s="58"/>
      <c r="FI126" s="44"/>
      <c r="FJ126" s="44"/>
      <c r="FK126" s="97"/>
      <c r="FL126" s="56"/>
      <c r="FM126" s="58"/>
      <c r="FN126" s="44"/>
      <c r="FO126" s="44"/>
      <c r="FP126" s="97"/>
      <c r="FQ126" s="56"/>
      <c r="FR126" s="58"/>
      <c r="FS126" s="44"/>
      <c r="FT126" s="44"/>
      <c r="FU126" s="97"/>
      <c r="FV126" s="56"/>
      <c r="FW126" s="58"/>
      <c r="FX126" s="44"/>
      <c r="FY126" s="44"/>
      <c r="FZ126" s="97"/>
      <c r="GA126" s="56"/>
      <c r="GB126" s="58"/>
      <c r="GC126" s="44"/>
      <c r="GD126" s="44"/>
      <c r="GE126" s="97"/>
      <c r="GF126" s="56"/>
      <c r="GG126" s="58"/>
      <c r="GH126" s="44"/>
      <c r="GI126" s="44"/>
      <c r="GJ126" s="97"/>
      <c r="GK126" s="56"/>
      <c r="GL126" s="58"/>
      <c r="GM126" s="44"/>
      <c r="GN126" s="44"/>
      <c r="GO126" s="97"/>
      <c r="GP126" s="56"/>
      <c r="GQ126" s="58"/>
      <c r="GR126" s="44"/>
      <c r="GS126" s="44"/>
      <c r="GT126" s="97"/>
      <c r="GU126" s="56"/>
      <c r="GV126" s="58"/>
      <c r="GW126" s="44"/>
      <c r="GX126" s="44"/>
      <c r="GY126" s="97"/>
      <c r="GZ126" s="56"/>
      <c r="HA126" s="58"/>
      <c r="HB126" s="44"/>
      <c r="HC126" s="44"/>
      <c r="HD126" s="97"/>
      <c r="HE126" s="56"/>
      <c r="HF126" s="58"/>
      <c r="HG126" s="44"/>
      <c r="HH126" s="44"/>
      <c r="HI126" s="97"/>
      <c r="HJ126" s="56"/>
      <c r="HK126" s="58"/>
      <c r="HL126" s="44"/>
      <c r="HM126" s="44"/>
      <c r="HN126" s="97"/>
      <c r="HO126" s="56"/>
      <c r="HP126" s="58"/>
      <c r="HQ126" s="44"/>
      <c r="HR126" s="44"/>
      <c r="HS126" s="97"/>
      <c r="HT126" s="56"/>
      <c r="HU126" s="58"/>
      <c r="HV126" s="44"/>
      <c r="HW126" s="44"/>
      <c r="HX126" s="97"/>
      <c r="HY126" s="56"/>
      <c r="HZ126" s="58"/>
      <c r="IA126" s="44"/>
      <c r="IB126" s="44"/>
      <c r="IC126" s="97"/>
      <c r="ID126" s="56"/>
      <c r="IE126" s="58"/>
      <c r="IF126" s="44"/>
      <c r="IG126" s="44"/>
      <c r="IH126" s="97"/>
      <c r="II126" s="56"/>
      <c r="IJ126" s="58"/>
      <c r="IK126" s="44"/>
      <c r="IL126" s="44"/>
      <c r="IM126" s="97"/>
      <c r="IN126" s="56"/>
      <c r="IO126" s="58"/>
      <c r="IP126" s="44"/>
      <c r="IQ126" s="44"/>
    </row>
    <row r="127" spans="1:251" s="350" customFormat="1" ht="26.25" customHeight="1" thickBot="1">
      <c r="A127" s="650"/>
      <c r="B127" s="297"/>
      <c r="C127" s="298"/>
      <c r="D127" s="366" t="s">
        <v>71</v>
      </c>
      <c r="E127" s="367" t="s">
        <v>17</v>
      </c>
      <c r="F127" s="31"/>
      <c r="G127" s="178">
        <f>I127/H127</f>
        <v>23.347826086956523</v>
      </c>
      <c r="H127" s="177">
        <v>23</v>
      </c>
      <c r="I127" s="177">
        <v>537</v>
      </c>
      <c r="J127" s="48"/>
      <c r="K127" s="49"/>
      <c r="L127" s="178">
        <f>N127/M127</f>
        <v>23.347826086956523</v>
      </c>
      <c r="M127" s="177">
        <v>23</v>
      </c>
      <c r="N127" s="177">
        <v>537</v>
      </c>
      <c r="O127" s="48"/>
      <c r="P127" s="49"/>
      <c r="Q127" s="178">
        <f>S127/R127</f>
        <v>23.347826086956523</v>
      </c>
      <c r="R127" s="177">
        <v>23</v>
      </c>
      <c r="S127" s="177">
        <v>537</v>
      </c>
      <c r="T127" s="48"/>
      <c r="U127" s="49"/>
      <c r="V127" s="318" t="e">
        <f>X127/W127</f>
        <v>#DIV/0!</v>
      </c>
      <c r="W127" s="177"/>
      <c r="X127" s="172">
        <v>0</v>
      </c>
      <c r="Y127" s="48"/>
      <c r="Z127" s="48"/>
      <c r="AA127" s="285" t="e">
        <f>AC127/AB127</f>
        <v>#DIV/0!</v>
      </c>
      <c r="AB127" s="177"/>
      <c r="AC127" s="172">
        <v>0</v>
      </c>
      <c r="AD127" s="48"/>
      <c r="AE127" s="48"/>
      <c r="AF127" s="285">
        <f>AH127/AG127</f>
        <v>23.347826086956523</v>
      </c>
      <c r="AG127" s="177">
        <v>23</v>
      </c>
      <c r="AH127" s="177">
        <v>537</v>
      </c>
      <c r="AI127" s="48"/>
      <c r="AJ127" s="48"/>
      <c r="AK127" s="285">
        <f>AM127/AL127</f>
        <v>23.347826086956523</v>
      </c>
      <c r="AL127" s="177">
        <v>23</v>
      </c>
      <c r="AM127" s="177">
        <v>537</v>
      </c>
      <c r="AN127" s="48"/>
      <c r="AO127" s="48"/>
      <c r="AP127" s="285">
        <f>AR127/AQ127</f>
        <v>23.347826086956523</v>
      </c>
      <c r="AQ127" s="177">
        <v>23</v>
      </c>
      <c r="AR127" s="177">
        <v>537</v>
      </c>
      <c r="AS127" s="48"/>
      <c r="AT127" s="48"/>
      <c r="AU127" s="285">
        <f>AW127/AV127</f>
        <v>23.347826086956523</v>
      </c>
      <c r="AV127" s="177">
        <v>23</v>
      </c>
      <c r="AW127" s="177">
        <v>537</v>
      </c>
      <c r="AX127" s="48"/>
      <c r="AY127" s="48"/>
      <c r="AZ127" s="285">
        <f>BB127/BA127</f>
        <v>23.347826086956523</v>
      </c>
      <c r="BA127" s="177">
        <v>23</v>
      </c>
      <c r="BB127" s="177">
        <v>537</v>
      </c>
      <c r="BC127" s="48"/>
      <c r="BD127" s="48"/>
      <c r="BE127" s="285">
        <f>BG127/BF127</f>
        <v>23.347826086956523</v>
      </c>
      <c r="BF127" s="177">
        <v>23</v>
      </c>
      <c r="BG127" s="177">
        <v>537</v>
      </c>
      <c r="BH127" s="48"/>
      <c r="BI127" s="48"/>
      <c r="BJ127" s="285">
        <f>BL127/BK127</f>
        <v>23.347826086956523</v>
      </c>
      <c r="BK127" s="177">
        <v>23</v>
      </c>
      <c r="BL127" s="177">
        <v>537</v>
      </c>
      <c r="BM127" s="48"/>
      <c r="BN127" s="48"/>
      <c r="BO127" s="285">
        <f>BQ127/BP127</f>
        <v>23.347826086956523</v>
      </c>
      <c r="BP127" s="177">
        <v>23</v>
      </c>
      <c r="BQ127" s="177">
        <v>537</v>
      </c>
      <c r="BR127" s="48"/>
      <c r="BS127" s="48"/>
      <c r="BT127" s="285">
        <f>BV127/BU127</f>
        <v>23.347826086956523</v>
      </c>
      <c r="BU127" s="177">
        <v>23</v>
      </c>
      <c r="BV127" s="177">
        <v>537</v>
      </c>
      <c r="BW127" s="48"/>
      <c r="BX127" s="48"/>
      <c r="BY127" s="285">
        <f>CA127/BZ127</f>
        <v>23.347826086956523</v>
      </c>
      <c r="BZ127" s="172">
        <v>23</v>
      </c>
      <c r="CA127" s="172">
        <v>537</v>
      </c>
      <c r="CB127" s="179"/>
      <c r="CC127" s="48"/>
      <c r="CD127" s="285">
        <f>CF127/CE127</f>
        <v>23.347826086956523</v>
      </c>
      <c r="CE127" s="172">
        <v>23</v>
      </c>
      <c r="CF127" s="172">
        <v>537</v>
      </c>
      <c r="CG127" s="179"/>
      <c r="CH127" s="48"/>
      <c r="CI127" s="285">
        <f>CK127/CJ127</f>
        <v>23.347826086956523</v>
      </c>
      <c r="CJ127" s="177">
        <v>23</v>
      </c>
      <c r="CK127" s="177">
        <v>537</v>
      </c>
      <c r="CL127" s="48"/>
      <c r="CM127" s="48"/>
      <c r="CN127" s="285">
        <f>CP127/CO127</f>
        <v>23.347826086956523</v>
      </c>
      <c r="CO127" s="177">
        <v>23</v>
      </c>
      <c r="CP127" s="177">
        <v>537</v>
      </c>
      <c r="CQ127" s="48"/>
      <c r="CR127" s="48"/>
      <c r="CS127" s="285">
        <f>CU127/CT127</f>
        <v>23.347826086956523</v>
      </c>
      <c r="CT127" s="177">
        <v>23</v>
      </c>
      <c r="CU127" s="177">
        <v>537</v>
      </c>
      <c r="CV127" s="48"/>
      <c r="CW127" s="48"/>
      <c r="CX127" s="285">
        <f>CZ127/CY127</f>
        <v>23.347826086956523</v>
      </c>
      <c r="CY127" s="177">
        <v>23</v>
      </c>
      <c r="CZ127" s="177">
        <v>537</v>
      </c>
      <c r="DA127" s="48"/>
      <c r="DB127" s="48"/>
      <c r="DC127" s="285">
        <f>DE127/DD127</f>
        <v>23.347826086956523</v>
      </c>
      <c r="DD127" s="177">
        <v>23</v>
      </c>
      <c r="DE127" s="177">
        <v>537</v>
      </c>
      <c r="DF127" s="48"/>
      <c r="DG127" s="48"/>
      <c r="DH127" s="285">
        <f>DJ127/DI127</f>
        <v>23.347826086956523</v>
      </c>
      <c r="DI127" s="177">
        <v>23</v>
      </c>
      <c r="DJ127" s="177">
        <v>537</v>
      </c>
      <c r="DK127" s="48"/>
      <c r="DL127" s="48"/>
      <c r="DM127" s="285">
        <f>DO127/DN127</f>
        <v>23.347826086956523</v>
      </c>
      <c r="DN127" s="177">
        <v>23</v>
      </c>
      <c r="DO127" s="177">
        <v>537</v>
      </c>
      <c r="DP127" s="48"/>
      <c r="DQ127" s="48"/>
      <c r="DR127" s="285">
        <f>DT127/DS127</f>
        <v>23.347826086956523</v>
      </c>
      <c r="DS127" s="177">
        <v>23</v>
      </c>
      <c r="DT127" s="177">
        <v>537</v>
      </c>
      <c r="DU127" s="48"/>
      <c r="DV127" s="48"/>
      <c r="DW127" s="285">
        <f>DY127/DX127</f>
        <v>23.347826086956523</v>
      </c>
      <c r="DX127" s="177">
        <v>23</v>
      </c>
      <c r="DY127" s="177">
        <v>537</v>
      </c>
      <c r="DZ127" s="48"/>
      <c r="EA127" s="48"/>
      <c r="EB127" s="285">
        <f>ED127/EC127</f>
        <v>23.347826086956523</v>
      </c>
      <c r="EC127" s="177">
        <v>23</v>
      </c>
      <c r="ED127" s="177">
        <v>537</v>
      </c>
      <c r="EE127" s="48"/>
      <c r="EF127" s="48"/>
      <c r="EG127" s="285">
        <f>EI127/EH127</f>
        <v>23.347826086956523</v>
      </c>
      <c r="EH127" s="177">
        <v>23</v>
      </c>
      <c r="EI127" s="177">
        <v>537</v>
      </c>
      <c r="EJ127" s="48"/>
      <c r="EK127" s="48"/>
      <c r="EL127" s="285">
        <f>EN127/EM127</f>
        <v>23.347826086956523</v>
      </c>
      <c r="EM127" s="177">
        <v>23</v>
      </c>
      <c r="EN127" s="177">
        <v>537</v>
      </c>
      <c r="EO127" s="48"/>
      <c r="EP127" s="48"/>
      <c r="EQ127" s="285">
        <f>ES127/ER127</f>
        <v>23.347826086956523</v>
      </c>
      <c r="ER127" s="177">
        <v>23</v>
      </c>
      <c r="ES127" s="177">
        <v>537</v>
      </c>
      <c r="ET127" s="48"/>
      <c r="EU127" s="48"/>
      <c r="EV127" s="285">
        <f>EX127/EW127</f>
        <v>23.347826086956523</v>
      </c>
      <c r="EW127" s="177">
        <v>23</v>
      </c>
      <c r="EX127" s="177">
        <v>537</v>
      </c>
      <c r="EY127" s="48"/>
      <c r="EZ127" s="48"/>
      <c r="FA127" s="285">
        <f>FC127/FB127</f>
        <v>23.347826086956523</v>
      </c>
      <c r="FB127" s="177">
        <v>23</v>
      </c>
      <c r="FC127" s="177">
        <v>537</v>
      </c>
      <c r="FD127" s="48"/>
      <c r="FE127" s="48"/>
      <c r="FF127" s="285">
        <f>FH127/FG127</f>
        <v>23.347826086956523</v>
      </c>
      <c r="FG127" s="177">
        <v>23</v>
      </c>
      <c r="FH127" s="177">
        <v>537</v>
      </c>
      <c r="FI127" s="48"/>
      <c r="FJ127" s="48"/>
      <c r="FK127" s="285">
        <f>FM127/FL127</f>
        <v>23.347826086956523</v>
      </c>
      <c r="FL127" s="177">
        <v>23</v>
      </c>
      <c r="FM127" s="177">
        <v>537</v>
      </c>
      <c r="FN127" s="48"/>
      <c r="FO127" s="48"/>
      <c r="FP127" s="285">
        <f>FR127/FQ127</f>
        <v>23.347826086956523</v>
      </c>
      <c r="FQ127" s="177">
        <v>23</v>
      </c>
      <c r="FR127" s="177">
        <v>537</v>
      </c>
      <c r="FS127" s="48"/>
      <c r="FT127" s="48"/>
      <c r="FU127" s="285">
        <f>FW127/FV127</f>
        <v>23.347826086956523</v>
      </c>
      <c r="FV127" s="177">
        <v>23</v>
      </c>
      <c r="FW127" s="177">
        <v>537</v>
      </c>
      <c r="FX127" s="48"/>
      <c r="FY127" s="48"/>
      <c r="FZ127" s="285">
        <f>GB127/GA127</f>
        <v>23.347826086956523</v>
      </c>
      <c r="GA127" s="177">
        <v>23</v>
      </c>
      <c r="GB127" s="177">
        <v>537</v>
      </c>
      <c r="GC127" s="48"/>
      <c r="GD127" s="48"/>
      <c r="GE127" s="285">
        <f>GG127/GF127</f>
        <v>23.347826086956523</v>
      </c>
      <c r="GF127" s="177">
        <v>23</v>
      </c>
      <c r="GG127" s="177">
        <v>537</v>
      </c>
      <c r="GH127" s="48"/>
      <c r="GI127" s="48"/>
      <c r="GJ127" s="285">
        <f>GL127/GK127</f>
        <v>23.347826086956523</v>
      </c>
      <c r="GK127" s="177">
        <v>23</v>
      </c>
      <c r="GL127" s="177">
        <v>537</v>
      </c>
      <c r="GM127" s="48"/>
      <c r="GN127" s="48"/>
      <c r="GO127" s="285">
        <f>GQ127/GP127</f>
        <v>23.347826086956523</v>
      </c>
      <c r="GP127" s="177">
        <v>23</v>
      </c>
      <c r="GQ127" s="177">
        <v>537</v>
      </c>
      <c r="GR127" s="48"/>
      <c r="GS127" s="48"/>
      <c r="GT127" s="285">
        <f>GV127/GU127</f>
        <v>23.347826086956523</v>
      </c>
      <c r="GU127" s="177">
        <v>23</v>
      </c>
      <c r="GV127" s="177">
        <v>537</v>
      </c>
      <c r="GW127" s="48"/>
      <c r="GX127" s="48"/>
      <c r="GY127" s="285">
        <f>HA127/GZ127</f>
        <v>23.347826086956523</v>
      </c>
      <c r="GZ127" s="177">
        <v>23</v>
      </c>
      <c r="HA127" s="177">
        <v>537</v>
      </c>
      <c r="HB127" s="48"/>
      <c r="HC127" s="48"/>
      <c r="HD127" s="285">
        <f>HF127/HE127</f>
        <v>23.347826086956523</v>
      </c>
      <c r="HE127" s="177">
        <v>23</v>
      </c>
      <c r="HF127" s="177">
        <v>537</v>
      </c>
      <c r="HG127" s="48"/>
      <c r="HH127" s="48"/>
      <c r="HI127" s="285">
        <f>HK127/HJ127</f>
        <v>23.347826086956523</v>
      </c>
      <c r="HJ127" s="177">
        <v>23</v>
      </c>
      <c r="HK127" s="177">
        <v>537</v>
      </c>
      <c r="HL127" s="48"/>
      <c r="HM127" s="48"/>
      <c r="HN127" s="285">
        <f>HP127/HO127</f>
        <v>23.347826086956523</v>
      </c>
      <c r="HO127" s="177">
        <v>23</v>
      </c>
      <c r="HP127" s="177">
        <v>537</v>
      </c>
      <c r="HQ127" s="48"/>
      <c r="HR127" s="48"/>
      <c r="HS127" s="285">
        <f>HU127/HT127</f>
        <v>23.347826086956523</v>
      </c>
      <c r="HT127" s="177">
        <v>23</v>
      </c>
      <c r="HU127" s="177">
        <v>537</v>
      </c>
      <c r="HV127" s="48"/>
      <c r="HW127" s="48"/>
      <c r="HX127" s="285">
        <f>HZ127/HY127</f>
        <v>23.347826086956523</v>
      </c>
      <c r="HY127" s="177">
        <v>23</v>
      </c>
      <c r="HZ127" s="177">
        <v>537</v>
      </c>
      <c r="IA127" s="48"/>
      <c r="IB127" s="48"/>
      <c r="IC127" s="285">
        <f>IE127/ID127</f>
        <v>23.347826086956523</v>
      </c>
      <c r="ID127" s="177">
        <v>23</v>
      </c>
      <c r="IE127" s="177">
        <v>537</v>
      </c>
      <c r="IF127" s="48"/>
      <c r="IG127" s="48"/>
      <c r="IH127" s="285">
        <f>IJ127/II127</f>
        <v>23.347826086956523</v>
      </c>
      <c r="II127" s="177">
        <v>23</v>
      </c>
      <c r="IJ127" s="177">
        <v>537</v>
      </c>
      <c r="IK127" s="48"/>
      <c r="IL127" s="48"/>
      <c r="IM127" s="285">
        <f>IO127/IN127</f>
        <v>23.347826086956523</v>
      </c>
      <c r="IN127" s="177">
        <v>23</v>
      </c>
      <c r="IO127" s="177">
        <v>537</v>
      </c>
      <c r="IP127" s="48"/>
      <c r="IQ127" s="48"/>
    </row>
    <row r="128" spans="1:251" s="249" customFormat="1" ht="15" customHeight="1">
      <c r="A128" s="649"/>
      <c r="B128" s="265" t="s">
        <v>311</v>
      </c>
      <c r="C128" s="5" t="s">
        <v>72</v>
      </c>
      <c r="D128" s="6" t="s">
        <v>25</v>
      </c>
      <c r="E128" s="7" t="s">
        <v>10</v>
      </c>
      <c r="F128" s="4"/>
      <c r="G128" s="196"/>
      <c r="H128" s="200"/>
      <c r="I128" s="197"/>
      <c r="J128" s="38"/>
      <c r="K128" s="206"/>
      <c r="L128" s="196"/>
      <c r="M128" s="200"/>
      <c r="N128" s="197"/>
      <c r="O128" s="38"/>
      <c r="P128" s="206"/>
      <c r="Q128" s="196"/>
      <c r="R128" s="200"/>
      <c r="S128" s="197"/>
      <c r="T128" s="38"/>
      <c r="U128" s="206"/>
      <c r="V128" s="207"/>
      <c r="W128" s="200"/>
      <c r="X128" s="204">
        <v>10626</v>
      </c>
      <c r="Y128" s="38"/>
      <c r="Z128" s="384">
        <f>SUM(X128:X131)*1.1</f>
        <v>448807.28200000001</v>
      </c>
      <c r="AA128" s="36"/>
      <c r="AB128" s="200"/>
      <c r="AC128" s="204">
        <v>8096</v>
      </c>
      <c r="AD128" s="38"/>
      <c r="AE128" s="384">
        <f>SUM(AC128:AC131)*1.1</f>
        <v>444724.533</v>
      </c>
      <c r="AF128" s="36"/>
      <c r="AG128" s="200"/>
      <c r="AH128" s="204">
        <v>8602</v>
      </c>
      <c r="AI128" s="38"/>
      <c r="AJ128" s="384">
        <f>SUM(AH128:AH131)*1.1</f>
        <v>509702.87500000006</v>
      </c>
      <c r="AK128" s="36"/>
      <c r="AL128" s="200"/>
      <c r="AM128" s="204">
        <v>9108</v>
      </c>
      <c r="AN128" s="38"/>
      <c r="AO128" s="384">
        <f>AO129*1.2</f>
        <v>523765.66800000001</v>
      </c>
      <c r="AP128" s="36"/>
      <c r="AQ128" s="200"/>
      <c r="AR128" s="197"/>
      <c r="AS128" s="38"/>
      <c r="AT128" s="384">
        <f>SUM(AR128:AR131)*1.2</f>
        <v>680422.41600000008</v>
      </c>
      <c r="AU128" s="36"/>
      <c r="AV128" s="200"/>
      <c r="AW128" s="197"/>
      <c r="AX128" s="38"/>
      <c r="AY128" s="384">
        <f>SUM(AW128:AW131)*1.15</f>
        <v>780555.35849999997</v>
      </c>
      <c r="AZ128" s="36"/>
      <c r="BA128" s="200"/>
      <c r="BB128" s="197"/>
      <c r="BC128" s="38"/>
      <c r="BD128" s="384">
        <f>SUM(BB128:BB131)*1.1</f>
        <v>661611.53300000005</v>
      </c>
      <c r="BE128" s="36"/>
      <c r="BF128" s="200"/>
      <c r="BG128" s="197"/>
      <c r="BH128" s="38"/>
      <c r="BI128" s="384">
        <f>SUM(BG128:BG131)*1.1</f>
        <v>575147.24300000002</v>
      </c>
      <c r="BJ128" s="36"/>
      <c r="BK128" s="200"/>
      <c r="BL128" s="197"/>
      <c r="BM128" s="38"/>
      <c r="BN128" s="384">
        <f>SUM(BL128:BL131)*1.1</f>
        <v>631343.4600000002</v>
      </c>
      <c r="BO128" s="36"/>
      <c r="BP128" s="200"/>
      <c r="BQ128" s="197"/>
      <c r="BR128" s="38"/>
      <c r="BS128" s="384">
        <f>SUM(BQ128:BQ131)*1.1</f>
        <v>561888.00800000003</v>
      </c>
      <c r="BT128" s="36"/>
      <c r="BU128" s="200"/>
      <c r="BV128" s="197"/>
      <c r="BW128" s="38"/>
      <c r="BX128" s="384">
        <f>SUM(BV128:BV131)*1.1</f>
        <v>599118.39899999998</v>
      </c>
      <c r="BY128" s="36"/>
      <c r="BZ128" s="200"/>
      <c r="CA128" s="197"/>
      <c r="CB128" s="38"/>
      <c r="CC128" s="384">
        <f>SUM(CA128:CA131)*1.1</f>
        <v>507647.15100000001</v>
      </c>
      <c r="CD128" s="36"/>
      <c r="CE128" s="200"/>
      <c r="CF128" s="197"/>
      <c r="CG128" s="38"/>
      <c r="CH128" s="384">
        <f>SUM(CF128:CF131)*1.1</f>
        <v>526720.88699999999</v>
      </c>
      <c r="CI128" s="36"/>
      <c r="CJ128" s="200"/>
      <c r="CK128" s="197"/>
      <c r="CL128" s="38"/>
      <c r="CM128" s="384">
        <f>SUM(CK128:CK131)*1.1</f>
        <v>546198.07000000007</v>
      </c>
      <c r="CN128" s="36"/>
      <c r="CO128" s="200"/>
      <c r="CP128" s="197"/>
      <c r="CQ128" s="38"/>
      <c r="CR128" s="384">
        <f>SUM(CP128:CP131)*1.1</f>
        <v>701723.41800000006</v>
      </c>
      <c r="CS128" s="36"/>
      <c r="CT128" s="200"/>
      <c r="CU128" s="197"/>
      <c r="CV128" s="38"/>
      <c r="CW128" s="384">
        <f>SUM(CU128:CU131)*1.1</f>
        <v>889500.44700000004</v>
      </c>
      <c r="CX128" s="36"/>
      <c r="CY128" s="200"/>
      <c r="CZ128" s="197"/>
      <c r="DA128" s="38"/>
      <c r="DB128" s="384">
        <f>SUM(CZ128:CZ131)*1.1</f>
        <v>958241.69100000011</v>
      </c>
      <c r="DC128" s="36"/>
      <c r="DD128" s="200"/>
      <c r="DE128" s="197"/>
      <c r="DF128" s="38"/>
      <c r="DG128" s="384">
        <f>SUM(DE128:DE131)*1.1</f>
        <v>1020375.0370000001</v>
      </c>
      <c r="DH128" s="36"/>
      <c r="DI128" s="200"/>
      <c r="DJ128" s="197"/>
      <c r="DK128" s="38"/>
      <c r="DL128" s="384">
        <f>SUM(DJ128:DJ131)*1.1</f>
        <v>1103497.9780000001</v>
      </c>
      <c r="DM128" s="36"/>
      <c r="DN128" s="200"/>
      <c r="DO128" s="197"/>
      <c r="DP128" s="38"/>
      <c r="DQ128" s="384">
        <f>SUM(DO128:DO131)*1.1</f>
        <v>394848.12400000007</v>
      </c>
      <c r="DR128" s="36"/>
      <c r="DS128" s="200"/>
      <c r="DT128" s="197"/>
      <c r="DU128" s="38"/>
      <c r="DV128" s="384">
        <f>SUM(DT128:DT131)*1.1</f>
        <v>820659.6860000001</v>
      </c>
      <c r="DW128" s="36"/>
      <c r="DX128" s="200"/>
      <c r="DY128" s="197"/>
      <c r="DZ128" s="38"/>
      <c r="EA128" s="384">
        <f>SUM(DY128:DY131)*1.1</f>
        <v>826888.06200000015</v>
      </c>
      <c r="EB128" s="36"/>
      <c r="EC128" s="200"/>
      <c r="ED128" s="197"/>
      <c r="EE128" s="38"/>
      <c r="EF128" s="384">
        <f>SUM(ED128:ED131)*1.1</f>
        <v>927514.31300000008</v>
      </c>
      <c r="EG128" s="36"/>
      <c r="EH128" s="200"/>
      <c r="EI128" s="197"/>
      <c r="EJ128" s="38"/>
      <c r="EK128" s="384">
        <f>SUM(EI128:EI131)*1.1</f>
        <v>914486.06700000004</v>
      </c>
      <c r="EL128" s="36"/>
      <c r="EM128" s="200"/>
      <c r="EN128" s="197"/>
      <c r="EO128" s="38"/>
      <c r="EP128" s="384">
        <f>SUM(EN128:EN131)*1.1</f>
        <v>775771.97500000009</v>
      </c>
      <c r="EQ128" s="36"/>
      <c r="ER128" s="200"/>
      <c r="ES128" s="197"/>
      <c r="ET128" s="38"/>
      <c r="EU128" s="384">
        <f>SUM(ES128:ES131)*1.1</f>
        <v>551501.72000000009</v>
      </c>
      <c r="EV128" s="36"/>
      <c r="EW128" s="200"/>
      <c r="EX128" s="197"/>
      <c r="EY128" s="38"/>
      <c r="EZ128" s="384">
        <f>SUM(EX128:EX131)*1.1</f>
        <v>746649.67299999995</v>
      </c>
      <c r="FA128" s="36"/>
      <c r="FB128" s="200"/>
      <c r="FC128" s="197"/>
      <c r="FD128" s="38"/>
      <c r="FE128" s="384">
        <f>SUM(FC128:FC131)*1.1</f>
        <v>857507.53000000014</v>
      </c>
      <c r="FF128" s="36"/>
      <c r="FG128" s="200"/>
      <c r="FH128" s="197"/>
      <c r="FI128" s="38"/>
      <c r="FJ128" s="384">
        <f>SUM(FH128:FH131)*1.1</f>
        <v>957041.01899999997</v>
      </c>
      <c r="FK128" s="36"/>
      <c r="FL128" s="200"/>
      <c r="FM128" s="197"/>
      <c r="FN128" s="38"/>
      <c r="FO128" s="384">
        <f>SUM(FM128:FM131)*1.1</f>
        <v>905330.23900000006</v>
      </c>
      <c r="FP128" s="36"/>
      <c r="FQ128" s="200"/>
      <c r="FR128" s="197"/>
      <c r="FS128" s="38"/>
      <c r="FT128" s="384">
        <f>SUM(FR128:FR131)*1.1</f>
        <v>770309.73800000013</v>
      </c>
      <c r="FU128" s="36"/>
      <c r="FV128" s="200"/>
      <c r="FW128" s="197"/>
      <c r="FX128" s="38"/>
      <c r="FY128" s="384">
        <f>SUM(FW128:FW131)*1.1</f>
        <v>909595.41200000001</v>
      </c>
      <c r="FZ128" s="36"/>
      <c r="GA128" s="200"/>
      <c r="GB128" s="197"/>
      <c r="GC128" s="38"/>
      <c r="GD128" s="384">
        <f>SUM(GB128:GB131)*1.1</f>
        <v>805955.04</v>
      </c>
      <c r="GE128" s="36"/>
      <c r="GF128" s="200"/>
      <c r="GG128" s="197"/>
      <c r="GH128" s="38"/>
      <c r="GI128" s="384">
        <f>SUM(GG128:GG131)*1.1</f>
        <v>794347.05900000001</v>
      </c>
      <c r="GJ128" s="280"/>
      <c r="GK128" s="200"/>
      <c r="GL128" s="197"/>
      <c r="GM128" s="38"/>
      <c r="GN128" s="384">
        <f>SUM(GL128:GL131)*1.1</f>
        <v>707026.70500000007</v>
      </c>
      <c r="GO128" s="36"/>
      <c r="GP128" s="200"/>
      <c r="GQ128" s="197"/>
      <c r="GR128" s="38"/>
      <c r="GS128" s="384">
        <f>SUM(GQ128:GQ131)*1.1</f>
        <v>893806.92500000005</v>
      </c>
      <c r="GT128" s="36"/>
      <c r="GU128" s="200"/>
      <c r="GV128" s="197"/>
      <c r="GW128" s="38"/>
      <c r="GX128" s="384">
        <f>SUM(GV128:GV131)*1.1</f>
        <v>995273.45500000007</v>
      </c>
      <c r="GY128" s="36"/>
      <c r="GZ128" s="200"/>
      <c r="HA128" s="197"/>
      <c r="HB128" s="38"/>
      <c r="HC128" s="384">
        <f>SUM(HA128:HA131)*1.1</f>
        <v>551501.72000000009</v>
      </c>
      <c r="HD128" s="36"/>
      <c r="HE128" s="200"/>
      <c r="HF128" s="197"/>
      <c r="HG128" s="38"/>
      <c r="HH128" s="384">
        <f>SUM(HF128:HF131)*1.1</f>
        <v>746649.67299999995</v>
      </c>
      <c r="HI128" s="36"/>
      <c r="HJ128" s="200"/>
      <c r="HK128" s="197"/>
      <c r="HL128" s="38"/>
      <c r="HM128" s="384">
        <f>SUM(HK128:HK131)*1.1</f>
        <v>857507.53000000014</v>
      </c>
      <c r="HN128" s="36"/>
      <c r="HO128" s="200"/>
      <c r="HP128" s="197"/>
      <c r="HQ128" s="38"/>
      <c r="HR128" s="384">
        <f>SUM(HP128:HP131)*1.1</f>
        <v>957041.01899999997</v>
      </c>
      <c r="HS128" s="36"/>
      <c r="HT128" s="200"/>
      <c r="HU128" s="197"/>
      <c r="HV128" s="38"/>
      <c r="HW128" s="384">
        <f>SUM(HU128:HU131)*1.1</f>
        <v>905330.23900000006</v>
      </c>
      <c r="HX128" s="36"/>
      <c r="HY128" s="200"/>
      <c r="HZ128" s="197"/>
      <c r="IA128" s="38"/>
      <c r="IB128" s="384">
        <f>SUM(HZ128:HZ131)*1.1</f>
        <v>770309.73800000013</v>
      </c>
      <c r="IC128" s="36"/>
      <c r="ID128" s="200"/>
      <c r="IE128" s="197"/>
      <c r="IF128" s="38"/>
      <c r="IG128" s="384">
        <f>SUM(IE128:IE131)*1.1</f>
        <v>909595.41200000001</v>
      </c>
      <c r="IH128" s="36"/>
      <c r="II128" s="200"/>
      <c r="IJ128" s="197"/>
      <c r="IK128" s="38"/>
      <c r="IL128" s="384">
        <f>SUM(IJ128:IJ131)*1.1</f>
        <v>394848.12400000007</v>
      </c>
      <c r="IM128" s="36"/>
      <c r="IN128" s="200"/>
      <c r="IO128" s="197"/>
      <c r="IP128" s="38"/>
      <c r="IQ128" s="384">
        <f>SUM(IO128:IO131)*1.1</f>
        <v>394848.12400000007</v>
      </c>
    </row>
    <row r="129" spans="1:251" ht="15" customHeight="1">
      <c r="A129" s="647"/>
      <c r="B129" s="256"/>
      <c r="C129" s="368" t="s">
        <v>220</v>
      </c>
      <c r="D129" s="45" t="s">
        <v>73</v>
      </c>
      <c r="E129" s="226" t="s">
        <v>11</v>
      </c>
      <c r="F129" s="39"/>
      <c r="G129" s="103"/>
      <c r="H129" s="70">
        <v>1</v>
      </c>
      <c r="I129" s="69">
        <v>25000</v>
      </c>
      <c r="J129" s="81"/>
      <c r="K129" s="88"/>
      <c r="L129" s="103"/>
      <c r="M129" s="70">
        <v>1</v>
      </c>
      <c r="N129" s="69">
        <v>25000</v>
      </c>
      <c r="O129" s="81"/>
      <c r="P129" s="88"/>
      <c r="Q129" s="103"/>
      <c r="R129" s="70">
        <v>1</v>
      </c>
      <c r="S129" s="69">
        <v>25000</v>
      </c>
      <c r="T129" s="81"/>
      <c r="U129" s="88"/>
      <c r="V129" s="47"/>
      <c r="W129" s="70">
        <v>1</v>
      </c>
      <c r="X129" s="69">
        <v>25000</v>
      </c>
      <c r="Y129" s="81"/>
      <c r="Z129" s="403">
        <f>SUM(X128:X131)*1</f>
        <v>408006.62</v>
      </c>
      <c r="AA129" s="46"/>
      <c r="AB129" s="70">
        <v>1</v>
      </c>
      <c r="AC129" s="69">
        <v>25000</v>
      </c>
      <c r="AD129" s="81"/>
      <c r="AE129" s="403">
        <f>SUM(AC128:AC131)*1</f>
        <v>404295.02999999997</v>
      </c>
      <c r="AF129" s="46"/>
      <c r="AG129" s="70">
        <v>1</v>
      </c>
      <c r="AH129" s="69">
        <v>25000</v>
      </c>
      <c r="AI129" s="81"/>
      <c r="AJ129" s="403">
        <f>SUM(AH128:AH131)*1</f>
        <v>463366.25</v>
      </c>
      <c r="AK129" s="46"/>
      <c r="AL129" s="70">
        <v>1</v>
      </c>
      <c r="AM129" s="69">
        <v>25000</v>
      </c>
      <c r="AN129" s="81"/>
      <c r="AO129" s="403">
        <f>SUM(AM128:AM131)*1</f>
        <v>436471.39</v>
      </c>
      <c r="AP129" s="46"/>
      <c r="AQ129" s="70">
        <v>1</v>
      </c>
      <c r="AR129" s="69">
        <v>25000</v>
      </c>
      <c r="AS129" s="81"/>
      <c r="AT129" s="403">
        <f>SUM(AR128:AR131)*1</f>
        <v>567018.68000000005</v>
      </c>
      <c r="AU129" s="46"/>
      <c r="AV129" s="70">
        <v>1</v>
      </c>
      <c r="AW129" s="69">
        <v>25000</v>
      </c>
      <c r="AX129" s="81"/>
      <c r="AY129" s="403">
        <f>SUM(AW128:AW131)*1</f>
        <v>678743.79</v>
      </c>
      <c r="AZ129" s="46"/>
      <c r="BA129" s="70">
        <v>1</v>
      </c>
      <c r="BB129" s="69">
        <v>25000</v>
      </c>
      <c r="BC129" s="81"/>
      <c r="BD129" s="403">
        <f>SUM(BB128:BB131)*1</f>
        <v>601465.03</v>
      </c>
      <c r="BE129" s="46"/>
      <c r="BF129" s="70">
        <v>1</v>
      </c>
      <c r="BG129" s="69">
        <v>25000</v>
      </c>
      <c r="BH129" s="81"/>
      <c r="BI129" s="403">
        <f>SUM(BG128:BG131)*1</f>
        <v>522861.12999999995</v>
      </c>
      <c r="BJ129" s="97"/>
      <c r="BK129" s="70">
        <v>1</v>
      </c>
      <c r="BL129" s="69">
        <v>25000</v>
      </c>
      <c r="BM129" s="81"/>
      <c r="BN129" s="403">
        <f>SUM(BL128:BL131)*1</f>
        <v>573948.60000000009</v>
      </c>
      <c r="BO129" s="46"/>
      <c r="BP129" s="70">
        <v>1</v>
      </c>
      <c r="BQ129" s="69">
        <v>25000</v>
      </c>
      <c r="BR129" s="81"/>
      <c r="BS129" s="403">
        <f>SUM(BQ128:BQ131)*1</f>
        <v>510807.27999999997</v>
      </c>
      <c r="BT129" s="46"/>
      <c r="BU129" s="70">
        <v>1</v>
      </c>
      <c r="BV129" s="69">
        <v>25000</v>
      </c>
      <c r="BW129" s="81"/>
      <c r="BX129" s="403">
        <f>SUM(BV128:BV131)*1</f>
        <v>544653.09</v>
      </c>
      <c r="BY129" s="46"/>
      <c r="BZ129" s="70">
        <v>1</v>
      </c>
      <c r="CA129" s="69">
        <v>25000</v>
      </c>
      <c r="CB129" s="81"/>
      <c r="CC129" s="403">
        <f>SUM(CA128:CA131)*1</f>
        <v>461497.41</v>
      </c>
      <c r="CD129" s="46"/>
      <c r="CE129" s="70">
        <v>1</v>
      </c>
      <c r="CF129" s="69">
        <v>25000</v>
      </c>
      <c r="CG129" s="81"/>
      <c r="CH129" s="403">
        <f>SUM(CF128:CF131)*1</f>
        <v>478837.17</v>
      </c>
      <c r="CI129" s="46"/>
      <c r="CJ129" s="70">
        <v>1</v>
      </c>
      <c r="CK129" s="69">
        <v>25000</v>
      </c>
      <c r="CL129" s="81"/>
      <c r="CM129" s="403">
        <f>SUM(CK128:CK131)*1</f>
        <v>496543.7</v>
      </c>
      <c r="CN129" s="46"/>
      <c r="CO129" s="70">
        <v>1</v>
      </c>
      <c r="CP129" s="69">
        <v>25000</v>
      </c>
      <c r="CQ129" s="81"/>
      <c r="CR129" s="403">
        <f>SUM(CP128:CP131)*1</f>
        <v>637930.38</v>
      </c>
      <c r="CS129" s="46"/>
      <c r="CT129" s="70">
        <v>1</v>
      </c>
      <c r="CU129" s="69">
        <v>25000</v>
      </c>
      <c r="CV129" s="44"/>
      <c r="CW129" s="403">
        <f>SUM(CU128:CU131)*1</f>
        <v>808636.77</v>
      </c>
      <c r="CX129" s="46"/>
      <c r="CY129" s="62">
        <v>1</v>
      </c>
      <c r="CZ129" s="58">
        <v>25000</v>
      </c>
      <c r="DA129" s="81">
        <v>925246.08</v>
      </c>
      <c r="DB129" s="403">
        <f>SUM(CZ128:CZ131)*1</f>
        <v>871128.81</v>
      </c>
      <c r="DC129" s="46"/>
      <c r="DD129" s="70">
        <v>1</v>
      </c>
      <c r="DE129" s="69">
        <v>25000</v>
      </c>
      <c r="DF129" s="81"/>
      <c r="DG129" s="403">
        <f>SUM(DE128:DE131)*1</f>
        <v>927613.67</v>
      </c>
      <c r="DH129" s="46"/>
      <c r="DI129" s="70">
        <v>1</v>
      </c>
      <c r="DJ129" s="69">
        <v>25000</v>
      </c>
      <c r="DK129" s="81"/>
      <c r="DL129" s="403">
        <f>SUM(DJ128:DJ131)*1</f>
        <v>1003179.98</v>
      </c>
      <c r="DM129" s="46"/>
      <c r="DN129" s="70">
        <v>1</v>
      </c>
      <c r="DO129" s="69">
        <v>25000</v>
      </c>
      <c r="DP129" s="81"/>
      <c r="DQ129" s="403">
        <f>SUM(DO128:DO131)*1</f>
        <v>358952.84</v>
      </c>
      <c r="DR129" s="46"/>
      <c r="DS129" s="70">
        <v>1</v>
      </c>
      <c r="DT129" s="69">
        <v>25000</v>
      </c>
      <c r="DU129" s="81"/>
      <c r="DV129" s="403">
        <f>SUM(DT128:DT131)*1</f>
        <v>746054.26</v>
      </c>
      <c r="DW129" s="46"/>
      <c r="DX129" s="70">
        <v>1</v>
      </c>
      <c r="DY129" s="69">
        <v>25000</v>
      </c>
      <c r="DZ129" s="81"/>
      <c r="EA129" s="403">
        <f>SUM(DY128:DY131)*1</f>
        <v>751716.42</v>
      </c>
      <c r="EB129" s="46"/>
      <c r="EC129" s="70">
        <v>1</v>
      </c>
      <c r="ED129" s="69">
        <v>25000</v>
      </c>
      <c r="EE129" s="81"/>
      <c r="EF129" s="403">
        <f>SUM(ED128:ED131)*1</f>
        <v>843194.83</v>
      </c>
      <c r="EG129" s="46"/>
      <c r="EH129" s="70">
        <v>1</v>
      </c>
      <c r="EI129" s="69">
        <v>25000</v>
      </c>
      <c r="EJ129" s="81"/>
      <c r="EK129" s="403">
        <f>SUM(EI128:EI131)*1</f>
        <v>831350.97</v>
      </c>
      <c r="EL129" s="46"/>
      <c r="EM129" s="70">
        <v>1</v>
      </c>
      <c r="EN129" s="69">
        <v>25000</v>
      </c>
      <c r="EO129" s="81"/>
      <c r="EP129" s="403">
        <f>SUM(EN128:EN131)*1</f>
        <v>705247.25</v>
      </c>
      <c r="EQ129" s="46"/>
      <c r="ER129" s="70">
        <v>1</v>
      </c>
      <c r="ES129" s="69">
        <v>25000</v>
      </c>
      <c r="ET129" s="81"/>
      <c r="EU129" s="403">
        <f>SUM(ES128:ES131)*1</f>
        <v>501365.2</v>
      </c>
      <c r="EV129" s="46"/>
      <c r="EW129" s="70">
        <v>1</v>
      </c>
      <c r="EX129" s="69">
        <v>25000</v>
      </c>
      <c r="EY129" s="81"/>
      <c r="EZ129" s="403">
        <f>SUM(EX128:EX131)*1</f>
        <v>678772.42999999993</v>
      </c>
      <c r="FA129" s="46"/>
      <c r="FB129" s="70">
        <v>1</v>
      </c>
      <c r="FC129" s="69">
        <v>25000</v>
      </c>
      <c r="FD129" s="81"/>
      <c r="FE129" s="403">
        <f>SUM(FC128:FC131)*1</f>
        <v>779552.3</v>
      </c>
      <c r="FF129" s="46"/>
      <c r="FG129" s="70">
        <v>1</v>
      </c>
      <c r="FH129" s="69">
        <v>25000</v>
      </c>
      <c r="FI129" s="81"/>
      <c r="FJ129" s="403">
        <f>SUM(FH128:FH131)*1</f>
        <v>870037.28999999992</v>
      </c>
      <c r="FK129" s="46"/>
      <c r="FL129" s="70">
        <v>1</v>
      </c>
      <c r="FM129" s="69">
        <v>25000</v>
      </c>
      <c r="FN129" s="81"/>
      <c r="FO129" s="403">
        <f>SUM(FM128:FM131)*1</f>
        <v>823027.49</v>
      </c>
      <c r="FP129" s="46"/>
      <c r="FQ129" s="62">
        <v>1</v>
      </c>
      <c r="FR129" s="58">
        <v>25000</v>
      </c>
      <c r="FS129" s="44"/>
      <c r="FT129" s="403">
        <f>SUM(FR128:FR131)*1</f>
        <v>700281.58000000007</v>
      </c>
      <c r="FU129" s="46"/>
      <c r="FV129" s="62">
        <v>1</v>
      </c>
      <c r="FW129" s="58">
        <v>25000</v>
      </c>
      <c r="FX129" s="44"/>
      <c r="FY129" s="403">
        <f>SUM(FW128:FW131)*1</f>
        <v>826904.91999999993</v>
      </c>
      <c r="FZ129" s="46"/>
      <c r="GA129" s="62">
        <v>1</v>
      </c>
      <c r="GB129" s="58">
        <v>25000</v>
      </c>
      <c r="GC129" s="44"/>
      <c r="GD129" s="403">
        <f>SUM(GB128:GB131)*1</f>
        <v>732686.4</v>
      </c>
      <c r="GE129" s="46"/>
      <c r="GF129" s="62">
        <v>1</v>
      </c>
      <c r="GG129" s="58">
        <v>25000</v>
      </c>
      <c r="GH129" s="44"/>
      <c r="GI129" s="403">
        <f>SUM(GG128:GG131)*1</f>
        <v>722133.69</v>
      </c>
      <c r="GJ129" s="97"/>
      <c r="GK129" s="62">
        <v>1</v>
      </c>
      <c r="GL129" s="129">
        <v>25000</v>
      </c>
      <c r="GM129" s="81"/>
      <c r="GN129" s="403">
        <f>SUM(GL128:GL131)*1</f>
        <v>642751.55000000005</v>
      </c>
      <c r="GO129" s="46"/>
      <c r="GP129" s="62">
        <v>1</v>
      </c>
      <c r="GQ129" s="58">
        <v>25000</v>
      </c>
      <c r="GR129" s="44"/>
      <c r="GS129" s="403">
        <f>SUM(GQ128:GQ131)*1</f>
        <v>812551.75</v>
      </c>
      <c r="GT129" s="46"/>
      <c r="GU129" s="70">
        <v>1</v>
      </c>
      <c r="GV129" s="69">
        <v>25000</v>
      </c>
      <c r="GW129" s="81"/>
      <c r="GX129" s="403">
        <f>SUM(GV128:GV131)*1</f>
        <v>904794.05</v>
      </c>
      <c r="GY129" s="46"/>
      <c r="GZ129" s="62">
        <v>1</v>
      </c>
      <c r="HA129" s="58">
        <v>25000</v>
      </c>
      <c r="HB129" s="44"/>
      <c r="HC129" s="403">
        <f>SUM(HA128:HA131)*1</f>
        <v>501365.2</v>
      </c>
      <c r="HD129" s="46"/>
      <c r="HE129" s="62">
        <v>1</v>
      </c>
      <c r="HF129" s="58">
        <v>25000</v>
      </c>
      <c r="HG129" s="44"/>
      <c r="HH129" s="403">
        <f>SUM(HF128:HF131)*1</f>
        <v>678772.42999999993</v>
      </c>
      <c r="HI129" s="46"/>
      <c r="HJ129" s="62">
        <v>1</v>
      </c>
      <c r="HK129" s="58">
        <v>25000</v>
      </c>
      <c r="HL129" s="44"/>
      <c r="HM129" s="403">
        <f>SUM(HK128:HK131)*1</f>
        <v>779552.3</v>
      </c>
      <c r="HN129" s="46"/>
      <c r="HO129" s="62">
        <v>1</v>
      </c>
      <c r="HP129" s="58">
        <v>25000</v>
      </c>
      <c r="HQ129" s="44"/>
      <c r="HR129" s="403">
        <f>SUM(HP128:HP131)*1</f>
        <v>870037.28999999992</v>
      </c>
      <c r="HS129" s="46"/>
      <c r="HT129" s="62">
        <v>1</v>
      </c>
      <c r="HU129" s="58">
        <v>25000</v>
      </c>
      <c r="HV129" s="44"/>
      <c r="HW129" s="403">
        <f>SUM(HU128:HU131)*1</f>
        <v>823027.49</v>
      </c>
      <c r="HX129" s="46"/>
      <c r="HY129" s="62">
        <v>1</v>
      </c>
      <c r="HZ129" s="58">
        <v>25000</v>
      </c>
      <c r="IA129" s="44"/>
      <c r="IB129" s="403">
        <f>SUM(HZ128:HZ131)*1</f>
        <v>700281.58000000007</v>
      </c>
      <c r="IC129" s="46"/>
      <c r="ID129" s="62">
        <v>1</v>
      </c>
      <c r="IE129" s="58">
        <v>25000</v>
      </c>
      <c r="IF129" s="44"/>
      <c r="IG129" s="403">
        <f>SUM(IE128:IE131)*1</f>
        <v>826904.91999999993</v>
      </c>
      <c r="IH129" s="46"/>
      <c r="II129" s="62">
        <v>1</v>
      </c>
      <c r="IJ129" s="58">
        <v>25000</v>
      </c>
      <c r="IK129" s="44"/>
      <c r="IL129" s="403">
        <f>SUM(IJ128:IJ131)*1</f>
        <v>358952.84</v>
      </c>
      <c r="IM129" s="46"/>
      <c r="IN129" s="62">
        <v>1</v>
      </c>
      <c r="IO129" s="58">
        <v>25000</v>
      </c>
      <c r="IP129" s="44"/>
      <c r="IQ129" s="403">
        <f>SUM(IO128:IO131)*1</f>
        <v>358952.84</v>
      </c>
    </row>
    <row r="130" spans="1:251" ht="15" customHeight="1">
      <c r="A130" s="647"/>
      <c r="B130" s="256" t="s">
        <v>333</v>
      </c>
      <c r="C130" s="215"/>
      <c r="D130" s="45"/>
      <c r="E130" s="216" t="s">
        <v>13</v>
      </c>
      <c r="F130" s="22"/>
      <c r="G130" s="104">
        <f>I130/H130</f>
        <v>5.2080000313069892</v>
      </c>
      <c r="H130" s="131">
        <v>63883.5</v>
      </c>
      <c r="I130" s="131">
        <v>332705.27</v>
      </c>
      <c r="J130" s="81"/>
      <c r="K130" s="88"/>
      <c r="L130" s="104">
        <f>N130/M130</f>
        <v>5.3639999999999999</v>
      </c>
      <c r="M130" s="131">
        <v>86340</v>
      </c>
      <c r="N130" s="131">
        <v>463127.76</v>
      </c>
      <c r="O130" s="81"/>
      <c r="P130" s="88"/>
      <c r="Q130" s="104">
        <f>S130/R130</f>
        <v>4.9679998710463993</v>
      </c>
      <c r="R130" s="131">
        <v>68241.600000000006</v>
      </c>
      <c r="S130" s="131">
        <v>339024.26</v>
      </c>
      <c r="T130" s="81"/>
      <c r="U130" s="88"/>
      <c r="V130" s="115">
        <f>X130/W130</f>
        <v>5.1479999777140772</v>
      </c>
      <c r="W130" s="131">
        <v>71794.2</v>
      </c>
      <c r="X130" s="131">
        <v>369596.54</v>
      </c>
      <c r="Y130" s="81"/>
      <c r="Z130" s="81"/>
      <c r="AA130" s="92">
        <f>AC130/AB130</f>
        <v>4.6800000256674821</v>
      </c>
      <c r="AB130" s="131">
        <v>77919.600000000006</v>
      </c>
      <c r="AC130" s="131">
        <v>364663.73</v>
      </c>
      <c r="AD130" s="81"/>
      <c r="AE130" s="81"/>
      <c r="AF130" s="92">
        <f>AH130/AG130</f>
        <v>4.824000099453233</v>
      </c>
      <c r="AG130" s="131">
        <v>88483.8</v>
      </c>
      <c r="AH130" s="131">
        <v>426845.86</v>
      </c>
      <c r="AI130" s="81"/>
      <c r="AJ130" s="81"/>
      <c r="AK130" s="92">
        <f>AM130/AL130</f>
        <v>4.9800000252150847</v>
      </c>
      <c r="AL130" s="131">
        <v>79317.600000000006</v>
      </c>
      <c r="AM130" s="131">
        <v>395001.65</v>
      </c>
      <c r="AN130" s="81"/>
      <c r="AO130" s="81"/>
      <c r="AP130" s="92">
        <f>AR130/AQ130</f>
        <v>5.9519999688096661</v>
      </c>
      <c r="AQ130" s="131">
        <v>89771.4</v>
      </c>
      <c r="AR130" s="131">
        <v>534319.37</v>
      </c>
      <c r="AS130" s="81"/>
      <c r="AT130" s="81"/>
      <c r="AU130" s="92">
        <f>AW130/AV130</f>
        <v>6.611999971321584</v>
      </c>
      <c r="AV130" s="131">
        <v>97634.4</v>
      </c>
      <c r="AW130" s="131">
        <v>645558.65</v>
      </c>
      <c r="AX130" s="81"/>
      <c r="AY130" s="81"/>
      <c r="AZ130" s="92">
        <f>BB130/BA130</f>
        <v>6.3359999287244806</v>
      </c>
      <c r="BA130" s="131">
        <v>89792.4</v>
      </c>
      <c r="BB130" s="131">
        <v>568924.64</v>
      </c>
      <c r="BC130" s="81"/>
      <c r="BD130" s="81"/>
      <c r="BE130" s="92">
        <f>BG130/BF130</f>
        <v>6.4560000263667883</v>
      </c>
      <c r="BF130" s="131">
        <v>75853</v>
      </c>
      <c r="BG130" s="526">
        <v>489706.97</v>
      </c>
      <c r="BH130" s="44"/>
      <c r="BI130" s="81"/>
      <c r="BJ130" s="92">
        <f>BL130/BK130</f>
        <v>6.8760000050681285</v>
      </c>
      <c r="BK130" s="131">
        <v>78924.600000000006</v>
      </c>
      <c r="BL130" s="131">
        <v>542685.55000000005</v>
      </c>
      <c r="BM130" s="81">
        <v>645600</v>
      </c>
      <c r="BN130" s="81"/>
      <c r="BO130" s="92">
        <f>BQ130/BP130</f>
        <v>6.3720000375598937</v>
      </c>
      <c r="BP130" s="414">
        <v>74547.600000000006</v>
      </c>
      <c r="BQ130" s="414">
        <v>475017.31</v>
      </c>
      <c r="BR130" s="81">
        <v>482173.87</v>
      </c>
      <c r="BS130" s="81"/>
      <c r="BT130" s="92">
        <f>BV130/BU130</f>
        <v>6.024</v>
      </c>
      <c r="BU130" s="414">
        <v>84780</v>
      </c>
      <c r="BV130" s="414">
        <v>510714.72</v>
      </c>
      <c r="BW130" s="81">
        <v>482173.87</v>
      </c>
      <c r="BX130" s="81"/>
      <c r="BY130" s="92">
        <f>CA130/BZ130</f>
        <v>5.484</v>
      </c>
      <c r="BZ130" s="414">
        <v>78060</v>
      </c>
      <c r="CA130" s="414">
        <v>428081.04</v>
      </c>
      <c r="CB130" s="81" t="s">
        <v>481</v>
      </c>
      <c r="CC130" s="81"/>
      <c r="CD130" s="92">
        <f>CF130/CE130</f>
        <v>5.28</v>
      </c>
      <c r="CE130" s="414">
        <v>84360</v>
      </c>
      <c r="CF130" s="414">
        <v>445420.79999999999</v>
      </c>
      <c r="CG130" s="81" t="s">
        <v>482</v>
      </c>
      <c r="CH130" s="81"/>
      <c r="CI130" s="92">
        <f>CK130/CJ130</f>
        <v>5.556</v>
      </c>
      <c r="CJ130" s="414">
        <v>83400</v>
      </c>
      <c r="CK130" s="414">
        <v>463370.4</v>
      </c>
      <c r="CL130" s="81" t="s">
        <v>483</v>
      </c>
      <c r="CM130" s="81"/>
      <c r="CN130" s="92">
        <f>CP130/CO130</f>
        <v>6.5640000000000001</v>
      </c>
      <c r="CO130" s="414">
        <v>92100</v>
      </c>
      <c r="CP130" s="714">
        <v>604544.4</v>
      </c>
      <c r="CQ130" s="131" t="s">
        <v>543</v>
      </c>
      <c r="CR130" s="81"/>
      <c r="CS130" s="92">
        <f>CU130/CT130</f>
        <v>7.5119999999999996</v>
      </c>
      <c r="CT130" s="414">
        <v>103080</v>
      </c>
      <c r="CU130" s="414">
        <v>774336.96</v>
      </c>
      <c r="CV130" s="81">
        <v>753746.4</v>
      </c>
      <c r="CW130" s="81"/>
      <c r="CX130" s="92">
        <f>CZ130/CY130</f>
        <v>8.1479999999999997</v>
      </c>
      <c r="CY130" s="414">
        <v>102240</v>
      </c>
      <c r="CZ130" s="414">
        <v>833051.52</v>
      </c>
      <c r="DA130" s="44">
        <v>890714.88</v>
      </c>
      <c r="DB130" s="81"/>
      <c r="DC130" s="92">
        <f>DE130/DD130</f>
        <v>8.2080000000000002</v>
      </c>
      <c r="DD130" s="414">
        <v>108420</v>
      </c>
      <c r="DE130" s="414">
        <v>889911.36</v>
      </c>
      <c r="DF130" s="81" t="s">
        <v>552</v>
      </c>
      <c r="DG130" s="81"/>
      <c r="DH130" s="92">
        <f>DJ130/DI130</f>
        <v>8.3759999999999994</v>
      </c>
      <c r="DI130" s="131">
        <v>115200</v>
      </c>
      <c r="DJ130" s="131">
        <v>964915.19999999995</v>
      </c>
      <c r="DK130" s="81">
        <v>957565.43999999994</v>
      </c>
      <c r="DL130" s="81"/>
      <c r="DM130" s="92">
        <f>DO130/DN130</f>
        <v>5.2080000313069892</v>
      </c>
      <c r="DN130" s="63">
        <v>63883.5</v>
      </c>
      <c r="DO130" s="63">
        <v>332705.27</v>
      </c>
      <c r="DP130" s="81">
        <v>1016064</v>
      </c>
      <c r="DQ130" s="81"/>
      <c r="DR130" s="92">
        <f>DT130/DS130</f>
        <v>8.3750158504849779</v>
      </c>
      <c r="DS130" s="414">
        <v>84540</v>
      </c>
      <c r="DT130" s="414">
        <v>708023.84</v>
      </c>
      <c r="DU130" s="81"/>
      <c r="DV130" s="81"/>
      <c r="DW130" s="92">
        <f>DY130/DX130</f>
        <v>8.9314320060105192</v>
      </c>
      <c r="DX130" s="414">
        <v>79860</v>
      </c>
      <c r="DY130" s="414">
        <v>713264.16</v>
      </c>
      <c r="DZ130" s="81"/>
      <c r="EA130" s="81"/>
      <c r="EB130" s="92">
        <f>ED130/EC130</f>
        <v>8.8977000220896834</v>
      </c>
      <c r="EC130" s="414">
        <v>90540</v>
      </c>
      <c r="ED130" s="414">
        <v>805597.76</v>
      </c>
      <c r="EE130" s="81">
        <v>736235.09</v>
      </c>
      <c r="EF130" s="81"/>
      <c r="EG130" s="92">
        <f>EI130/EH130</f>
        <v>9.1942560352831944</v>
      </c>
      <c r="EH130" s="414">
        <v>86160</v>
      </c>
      <c r="EI130" s="414">
        <v>792177.1</v>
      </c>
      <c r="EJ130" s="372">
        <v>805597.76</v>
      </c>
      <c r="EK130" s="81"/>
      <c r="EL130" s="92">
        <f>EN130/EM130</f>
        <v>7.9904639187574666</v>
      </c>
      <c r="EM130" s="414">
        <v>83700</v>
      </c>
      <c r="EN130" s="414">
        <v>668801.82999999996</v>
      </c>
      <c r="EO130" s="81">
        <v>792177.1</v>
      </c>
      <c r="EP130" s="81"/>
      <c r="EQ130" s="92">
        <f>ES130/ER130</f>
        <v>5.556</v>
      </c>
      <c r="ER130" s="414">
        <v>83400</v>
      </c>
      <c r="ES130" s="414">
        <v>463370.4</v>
      </c>
      <c r="ET130" s="372">
        <v>668801.82999999996</v>
      </c>
      <c r="EU130" s="81"/>
      <c r="EV130" s="92">
        <f>EX130/EW130</f>
        <v>6.9688079261672096</v>
      </c>
      <c r="EW130" s="414">
        <v>92100</v>
      </c>
      <c r="EX130" s="714">
        <v>641827.21</v>
      </c>
      <c r="EY130" s="131" t="s">
        <v>1196</v>
      </c>
      <c r="EZ130" s="81"/>
      <c r="FA130" s="92">
        <f>FC130/FB130</f>
        <v>7.0178640923717586</v>
      </c>
      <c r="FB130" s="414">
        <v>105660</v>
      </c>
      <c r="FC130" s="414">
        <v>741507.52</v>
      </c>
      <c r="FD130" s="372">
        <v>641827.21</v>
      </c>
      <c r="FE130" s="81"/>
      <c r="FF130" s="92">
        <f>FH130/FG130</f>
        <v>7.8044040659546559</v>
      </c>
      <c r="FG130" s="1533">
        <v>106740</v>
      </c>
      <c r="FH130" s="1533">
        <v>833042.09</v>
      </c>
      <c r="FI130" s="81" t="s">
        <v>1211</v>
      </c>
      <c r="FJ130" s="81"/>
      <c r="FK130" s="92">
        <f>FM130/FL130</f>
        <v>7.6400880411570569</v>
      </c>
      <c r="FL130" s="414">
        <v>103020</v>
      </c>
      <c r="FM130" s="414">
        <v>787081.87</v>
      </c>
      <c r="FN130" s="81" t="s">
        <v>1210</v>
      </c>
      <c r="FO130" s="81"/>
      <c r="FP130" s="92">
        <f>FR130/FQ130</f>
        <v>6.8531759834368531</v>
      </c>
      <c r="FQ130" s="414">
        <v>96600</v>
      </c>
      <c r="FR130" s="414">
        <v>662016.80000000005</v>
      </c>
      <c r="FS130" s="44">
        <v>957565.43999999994</v>
      </c>
      <c r="FT130" s="81"/>
      <c r="FU130" s="92">
        <f>FW130/FV130</f>
        <v>9.2797560268891974</v>
      </c>
      <c r="FV130" s="414">
        <v>86280</v>
      </c>
      <c r="FW130" s="414">
        <v>800657.35</v>
      </c>
      <c r="FX130" s="44">
        <v>1016064</v>
      </c>
      <c r="FY130" s="81"/>
      <c r="FZ130" s="92">
        <f>GB130/GA130</f>
        <v>10.254732095490716</v>
      </c>
      <c r="GA130" s="414">
        <v>67860</v>
      </c>
      <c r="GB130" s="414">
        <v>695886.12</v>
      </c>
      <c r="GC130" s="44"/>
      <c r="GD130" s="81"/>
      <c r="GE130" s="92">
        <f>GG130/GF130</f>
        <v>10.254732095490716</v>
      </c>
      <c r="GF130" s="63">
        <v>67860</v>
      </c>
      <c r="GG130" s="63">
        <v>695886.12</v>
      </c>
      <c r="GH130" s="81">
        <v>695886.12</v>
      </c>
      <c r="GI130" s="81"/>
      <c r="GJ130" s="98">
        <f>GL130/GK130</f>
        <v>12.061536084529505</v>
      </c>
      <c r="GK130" s="414">
        <v>50160</v>
      </c>
      <c r="GL130" s="414">
        <v>605006.65</v>
      </c>
      <c r="GM130" s="81">
        <v>605006.65</v>
      </c>
      <c r="GN130" s="81"/>
      <c r="GO130" s="92">
        <f>GQ130/GP130</f>
        <v>14.215667954378219</v>
      </c>
      <c r="GP130" s="414">
        <v>54360</v>
      </c>
      <c r="GQ130" s="414">
        <v>772763.71</v>
      </c>
      <c r="GR130" s="509">
        <v>805597.76</v>
      </c>
      <c r="GS130" s="81"/>
      <c r="GT130" s="92">
        <f>GV130/GU130</f>
        <v>10.284144015259896</v>
      </c>
      <c r="GU130" s="414">
        <v>83880</v>
      </c>
      <c r="GV130" s="414">
        <v>862634</v>
      </c>
      <c r="GW130" s="81">
        <v>865773.46</v>
      </c>
      <c r="GX130" s="81"/>
      <c r="GY130" s="92">
        <f>HA130/GZ130</f>
        <v>5.556</v>
      </c>
      <c r="GZ130" s="63">
        <v>83400</v>
      </c>
      <c r="HA130" s="63">
        <v>463370.4</v>
      </c>
      <c r="HB130" s="509">
        <v>668801.82999999996</v>
      </c>
      <c r="HC130" s="81"/>
      <c r="HD130" s="92">
        <f>HF130/HE130</f>
        <v>6.9688079261672096</v>
      </c>
      <c r="HE130" s="63">
        <v>92100</v>
      </c>
      <c r="HF130" s="1571">
        <v>641827.21</v>
      </c>
      <c r="HG130" s="63" t="s">
        <v>1196</v>
      </c>
      <c r="HH130" s="81"/>
      <c r="HI130" s="92">
        <f>HK130/HJ130</f>
        <v>7.0178640923717586</v>
      </c>
      <c r="HJ130" s="63">
        <v>105660</v>
      </c>
      <c r="HK130" s="63">
        <v>741507.52</v>
      </c>
      <c r="HL130" s="509">
        <v>641827.21</v>
      </c>
      <c r="HM130" s="81"/>
      <c r="HN130" s="92">
        <f>HP130/HO130</f>
        <v>7.8044040659546559</v>
      </c>
      <c r="HO130" s="1573">
        <v>106740</v>
      </c>
      <c r="HP130" s="1573">
        <v>833042.09</v>
      </c>
      <c r="HQ130" s="44" t="s">
        <v>1211</v>
      </c>
      <c r="HR130" s="81"/>
      <c r="HS130" s="92">
        <f>HU130/HT130</f>
        <v>7.6400880411570569</v>
      </c>
      <c r="HT130" s="63">
        <v>103020</v>
      </c>
      <c r="HU130" s="63">
        <v>787081.87</v>
      </c>
      <c r="HV130" s="44" t="s">
        <v>1210</v>
      </c>
      <c r="HW130" s="81"/>
      <c r="HX130" s="92">
        <f>HZ130/HY130</f>
        <v>6.8531759834368531</v>
      </c>
      <c r="HY130" s="63">
        <v>96600</v>
      </c>
      <c r="HZ130" s="63">
        <v>662016.80000000005</v>
      </c>
      <c r="IA130" s="44">
        <v>957565.43999999994</v>
      </c>
      <c r="IB130" s="81"/>
      <c r="IC130" s="92">
        <f>IE130/ID130</f>
        <v>9.2797560268891974</v>
      </c>
      <c r="ID130" s="63">
        <v>86280</v>
      </c>
      <c r="IE130" s="63">
        <v>800657.35</v>
      </c>
      <c r="IF130" s="44">
        <v>1016064</v>
      </c>
      <c r="IG130" s="81"/>
      <c r="IH130" s="92">
        <f>IJ130/II130</f>
        <v>5.2080000313069892</v>
      </c>
      <c r="II130" s="63">
        <v>63883.5</v>
      </c>
      <c r="IJ130" s="63">
        <v>332705.27</v>
      </c>
      <c r="IK130" s="44"/>
      <c r="IL130" s="81"/>
      <c r="IM130" s="92">
        <f>IO130/IN130</f>
        <v>5.2080000313069892</v>
      </c>
      <c r="IN130" s="63">
        <v>63883.5</v>
      </c>
      <c r="IO130" s="63">
        <v>332705.27</v>
      </c>
      <c r="IP130" s="44"/>
      <c r="IQ130" s="81"/>
    </row>
    <row r="131" spans="1:251" s="264" customFormat="1" ht="15" customHeight="1" thickBot="1">
      <c r="A131" s="648"/>
      <c r="B131" s="257"/>
      <c r="C131" s="258"/>
      <c r="D131" s="20"/>
      <c r="E131" s="259" t="s">
        <v>17</v>
      </c>
      <c r="F131" s="23"/>
      <c r="G131" s="178">
        <f>I131/H131</f>
        <v>30.384072089624937</v>
      </c>
      <c r="H131" s="180">
        <v>41.06</v>
      </c>
      <c r="I131" s="181">
        <v>1247.57</v>
      </c>
      <c r="J131" s="179"/>
      <c r="K131" s="182"/>
      <c r="L131" s="178">
        <f>N131/M131</f>
        <v>30.38405207485761</v>
      </c>
      <c r="M131" s="180">
        <v>49.16</v>
      </c>
      <c r="N131" s="181">
        <v>1493.68</v>
      </c>
      <c r="O131" s="179"/>
      <c r="P131" s="182"/>
      <c r="Q131" s="178">
        <f>S131/R131</f>
        <v>30.384055193560751</v>
      </c>
      <c r="R131" s="180">
        <v>104.36</v>
      </c>
      <c r="S131" s="181">
        <v>3170.88</v>
      </c>
      <c r="T131" s="179"/>
      <c r="U131" s="182"/>
      <c r="V131" s="318">
        <f>X131/W131</f>
        <v>30.383935392338753</v>
      </c>
      <c r="W131" s="180">
        <v>91.63</v>
      </c>
      <c r="X131" s="181">
        <v>2784.08</v>
      </c>
      <c r="Y131" s="179"/>
      <c r="Z131" s="179"/>
      <c r="AA131" s="285">
        <f>AC131/AB131</f>
        <v>30.396744186046512</v>
      </c>
      <c r="AB131" s="180">
        <v>215</v>
      </c>
      <c r="AC131" s="181">
        <v>6535.3</v>
      </c>
      <c r="AD131" s="179"/>
      <c r="AE131" s="179"/>
      <c r="AF131" s="285">
        <f>AH131/AG131</f>
        <v>30.242383419689119</v>
      </c>
      <c r="AG131" s="180">
        <v>96.5</v>
      </c>
      <c r="AH131" s="181">
        <v>2918.39</v>
      </c>
      <c r="AI131" s="179"/>
      <c r="AJ131" s="179"/>
      <c r="AK131" s="285">
        <f>AM131/AL131</f>
        <v>30.384002641462711</v>
      </c>
      <c r="AL131" s="180">
        <v>242.29</v>
      </c>
      <c r="AM131" s="181">
        <v>7361.74</v>
      </c>
      <c r="AN131" s="179"/>
      <c r="AO131" s="179"/>
      <c r="AP131" s="285">
        <f>AR131/AQ131</f>
        <v>30.384017363851619</v>
      </c>
      <c r="AQ131" s="180">
        <v>253.4</v>
      </c>
      <c r="AR131" s="181">
        <v>7699.31</v>
      </c>
      <c r="AS131" s="179"/>
      <c r="AT131" s="179"/>
      <c r="AU131" s="285">
        <f>AW131/AV131</f>
        <v>30.38397861836</v>
      </c>
      <c r="AV131" s="180">
        <v>269.39</v>
      </c>
      <c r="AW131" s="181">
        <v>8185.14</v>
      </c>
      <c r="AX131" s="179"/>
      <c r="AY131" s="179"/>
      <c r="AZ131" s="285">
        <f>BB131/BA131</f>
        <v>30.383970665269779</v>
      </c>
      <c r="BA131" s="180">
        <v>248.17</v>
      </c>
      <c r="BB131" s="181">
        <v>7540.39</v>
      </c>
      <c r="BC131" s="179"/>
      <c r="BD131" s="179"/>
      <c r="BE131" s="285">
        <f>BG131/BF131</f>
        <v>30.384022059097514</v>
      </c>
      <c r="BF131" s="180">
        <v>268.37</v>
      </c>
      <c r="BG131" s="181">
        <v>8154.16</v>
      </c>
      <c r="BH131" s="48"/>
      <c r="BI131" s="179"/>
      <c r="BJ131" s="285">
        <f>BL131/BK131</f>
        <v>30.383980982874885</v>
      </c>
      <c r="BK131" s="180">
        <v>206.13</v>
      </c>
      <c r="BL131" s="181">
        <v>6263.05</v>
      </c>
      <c r="BM131" s="179"/>
      <c r="BN131" s="179"/>
      <c r="BO131" s="285">
        <f>BQ131/BP131</f>
        <v>30.384011038522189</v>
      </c>
      <c r="BP131" s="180">
        <v>355.12</v>
      </c>
      <c r="BQ131" s="181">
        <v>10789.97</v>
      </c>
      <c r="BR131" s="179"/>
      <c r="BS131" s="179"/>
      <c r="BT131" s="285">
        <f>BV131/BU131</f>
        <v>30.384016588483245</v>
      </c>
      <c r="BU131" s="180">
        <v>294.18</v>
      </c>
      <c r="BV131" s="506">
        <v>8938.3700000000008</v>
      </c>
      <c r="BW131" s="179"/>
      <c r="BX131" s="179"/>
      <c r="BY131" s="285">
        <f>CA131/BZ131</f>
        <v>30.38400722021661</v>
      </c>
      <c r="BZ131" s="180">
        <v>277</v>
      </c>
      <c r="CA131" s="181">
        <v>8416.3700000000008</v>
      </c>
      <c r="CB131" s="179"/>
      <c r="CC131" s="179"/>
      <c r="CD131" s="285">
        <f>CF131/CE131</f>
        <v>30.38400722021661</v>
      </c>
      <c r="CE131" s="180">
        <v>277</v>
      </c>
      <c r="CF131" s="181">
        <v>8416.3700000000008</v>
      </c>
      <c r="CG131" s="179"/>
      <c r="CH131" s="179"/>
      <c r="CI131" s="285">
        <f>CK131/CJ131</f>
        <v>30.384014869888478</v>
      </c>
      <c r="CJ131" s="180">
        <v>269</v>
      </c>
      <c r="CK131" s="181">
        <v>8173.3</v>
      </c>
      <c r="CL131" s="179"/>
      <c r="CM131" s="179"/>
      <c r="CN131" s="285">
        <f>CP131/CO131</f>
        <v>30.383985507246376</v>
      </c>
      <c r="CO131" s="180">
        <v>276</v>
      </c>
      <c r="CP131" s="181">
        <v>8385.98</v>
      </c>
      <c r="CQ131" s="48"/>
      <c r="CR131" s="179"/>
      <c r="CS131" s="285">
        <f>CU131/CT131</f>
        <v>31.632006802721087</v>
      </c>
      <c r="CT131" s="180">
        <v>294</v>
      </c>
      <c r="CU131" s="181">
        <v>9299.81</v>
      </c>
      <c r="CV131" s="48"/>
      <c r="CW131" s="179"/>
      <c r="CX131" s="285">
        <f>CZ131/CY131</f>
        <v>46.872007168458786</v>
      </c>
      <c r="CY131" s="180">
        <v>279</v>
      </c>
      <c r="CZ131" s="181">
        <v>13077.29</v>
      </c>
      <c r="DA131" s="48">
        <v>150909.12</v>
      </c>
      <c r="DB131" s="179"/>
      <c r="DC131" s="285">
        <f>DE131/DD131</f>
        <v>46.871992619926196</v>
      </c>
      <c r="DD131" s="180">
        <v>271</v>
      </c>
      <c r="DE131" s="181">
        <v>12702.31</v>
      </c>
      <c r="DF131" s="179"/>
      <c r="DG131" s="179"/>
      <c r="DH131" s="285">
        <f>DJ131/DI131</f>
        <v>46.872014134275624</v>
      </c>
      <c r="DI131" s="180">
        <v>283</v>
      </c>
      <c r="DJ131" s="181">
        <v>13264.78</v>
      </c>
      <c r="DK131" s="179"/>
      <c r="DL131" s="179"/>
      <c r="DM131" s="285">
        <f>DO131/DN131</f>
        <v>30.384072089624937</v>
      </c>
      <c r="DN131" s="277">
        <v>41.06</v>
      </c>
      <c r="DO131" s="286">
        <v>1247.57</v>
      </c>
      <c r="DP131" s="48"/>
      <c r="DQ131" s="179"/>
      <c r="DR131" s="285">
        <f>DT131/DS131</f>
        <v>46.872014388489212</v>
      </c>
      <c r="DS131" s="180">
        <v>278</v>
      </c>
      <c r="DT131" s="181">
        <v>13030.42</v>
      </c>
      <c r="DU131" s="179"/>
      <c r="DV131" s="179"/>
      <c r="DW131" s="285">
        <f>DY131/DX131</f>
        <v>46.871986062717774</v>
      </c>
      <c r="DX131" s="180">
        <v>287</v>
      </c>
      <c r="DY131" s="181">
        <v>13452.26</v>
      </c>
      <c r="DZ131" s="179"/>
      <c r="EA131" s="179"/>
      <c r="EB131" s="285">
        <f>ED131/EC131</f>
        <v>47.00399253731343</v>
      </c>
      <c r="EC131" s="180">
        <v>268</v>
      </c>
      <c r="ED131" s="1462">
        <v>12597.07</v>
      </c>
      <c r="EE131" s="48"/>
      <c r="EF131" s="179"/>
      <c r="EG131" s="285">
        <f>EI131/EH131</f>
        <v>49.90799295774648</v>
      </c>
      <c r="EH131" s="180">
        <v>284</v>
      </c>
      <c r="EI131" s="181">
        <v>14173.87</v>
      </c>
      <c r="EJ131" s="48"/>
      <c r="EK131" s="179"/>
      <c r="EL131" s="285">
        <f>EN131/EM131</f>
        <v>49.98</v>
      </c>
      <c r="EM131" s="180">
        <v>229</v>
      </c>
      <c r="EN131" s="181">
        <v>11445.42</v>
      </c>
      <c r="EO131" s="179"/>
      <c r="EP131" s="179"/>
      <c r="EQ131" s="285">
        <f>ES131/ER131</f>
        <v>49.98</v>
      </c>
      <c r="ER131" s="180">
        <v>260</v>
      </c>
      <c r="ES131" s="181">
        <v>12994.8</v>
      </c>
      <c r="ET131" s="179"/>
      <c r="EU131" s="179"/>
      <c r="EV131" s="285">
        <f>EX131/EW131</f>
        <v>49.98</v>
      </c>
      <c r="EW131" s="180">
        <v>239</v>
      </c>
      <c r="EX131" s="181">
        <v>11945.22</v>
      </c>
      <c r="EY131" s="179"/>
      <c r="EZ131" s="179"/>
      <c r="FA131" s="285">
        <f>FC131/FB131</f>
        <v>49.980000000000004</v>
      </c>
      <c r="FB131" s="180">
        <v>261</v>
      </c>
      <c r="FC131" s="181">
        <v>13044.78</v>
      </c>
      <c r="FD131" s="179"/>
      <c r="FE131" s="179"/>
      <c r="FF131" s="285">
        <f>FH131/FG131</f>
        <v>49.980000000000004</v>
      </c>
      <c r="FG131" s="180">
        <v>240</v>
      </c>
      <c r="FH131" s="181">
        <v>11995.2</v>
      </c>
      <c r="FI131" s="179"/>
      <c r="FJ131" s="179"/>
      <c r="FK131" s="285">
        <f>FM131/FL131</f>
        <v>49.980000000000004</v>
      </c>
      <c r="FL131" s="180">
        <v>219</v>
      </c>
      <c r="FM131" s="181">
        <v>10945.62</v>
      </c>
      <c r="FN131" s="179"/>
      <c r="FO131" s="179"/>
      <c r="FP131" s="285">
        <f>FR131/FQ131</f>
        <v>46.872014134275624</v>
      </c>
      <c r="FQ131" s="277">
        <v>283</v>
      </c>
      <c r="FR131" s="286">
        <v>13264.78</v>
      </c>
      <c r="FS131" s="48"/>
      <c r="FT131" s="179"/>
      <c r="FU131" s="285">
        <f>FW131/FV131</f>
        <v>30.384072089624937</v>
      </c>
      <c r="FV131" s="277">
        <v>41.06</v>
      </c>
      <c r="FW131" s="286">
        <v>1247.57</v>
      </c>
      <c r="FX131" s="48"/>
      <c r="FY131" s="179"/>
      <c r="FZ131" s="285">
        <f>GB131/GA131</f>
        <v>49.980008470986874</v>
      </c>
      <c r="GA131" s="180">
        <v>236.1</v>
      </c>
      <c r="GB131" s="181">
        <v>11800.28</v>
      </c>
      <c r="GC131" s="179"/>
      <c r="GD131" s="179"/>
      <c r="GE131" s="285">
        <f>GG131/GF131</f>
        <v>30.384072089624937</v>
      </c>
      <c r="GF131" s="277">
        <v>41.06</v>
      </c>
      <c r="GG131" s="286">
        <v>1247.57</v>
      </c>
      <c r="GH131" s="48"/>
      <c r="GI131" s="179"/>
      <c r="GJ131" s="285">
        <f>GL131/GK131</f>
        <v>49.98</v>
      </c>
      <c r="GK131" s="180">
        <v>255</v>
      </c>
      <c r="GL131" s="1462">
        <v>12744.9</v>
      </c>
      <c r="GM131" s="179"/>
      <c r="GN131" s="179"/>
      <c r="GO131" s="285">
        <f>GQ131/GP131</f>
        <v>63.467982832618027</v>
      </c>
      <c r="GP131" s="180">
        <v>233</v>
      </c>
      <c r="GQ131" s="181">
        <v>14788.04</v>
      </c>
      <c r="GR131" s="179"/>
      <c r="GS131" s="179"/>
      <c r="GT131" s="285">
        <f>GV131/GU131</f>
        <v>63.792007434944239</v>
      </c>
      <c r="GU131" s="180">
        <v>269</v>
      </c>
      <c r="GV131" s="181">
        <v>17160.05</v>
      </c>
      <c r="GW131" s="179"/>
      <c r="GX131" s="179"/>
      <c r="GY131" s="285">
        <f>HA131/GZ131</f>
        <v>49.98</v>
      </c>
      <c r="GZ131" s="277">
        <v>260</v>
      </c>
      <c r="HA131" s="286">
        <v>12994.8</v>
      </c>
      <c r="HB131" s="48"/>
      <c r="HC131" s="179"/>
      <c r="HD131" s="285">
        <f>HF131/HE131</f>
        <v>49.98</v>
      </c>
      <c r="HE131" s="277">
        <v>239</v>
      </c>
      <c r="HF131" s="286">
        <v>11945.22</v>
      </c>
      <c r="HG131" s="48"/>
      <c r="HH131" s="179"/>
      <c r="HI131" s="285">
        <f>HK131/HJ131</f>
        <v>49.980000000000004</v>
      </c>
      <c r="HJ131" s="277">
        <v>261</v>
      </c>
      <c r="HK131" s="286">
        <v>13044.78</v>
      </c>
      <c r="HL131" s="48"/>
      <c r="HM131" s="179"/>
      <c r="HN131" s="285">
        <f>HP131/HO131</f>
        <v>49.980000000000004</v>
      </c>
      <c r="HO131" s="277">
        <v>240</v>
      </c>
      <c r="HP131" s="286">
        <v>11995.2</v>
      </c>
      <c r="HQ131" s="48"/>
      <c r="HR131" s="179"/>
      <c r="HS131" s="285">
        <f>HU131/HT131</f>
        <v>49.980000000000004</v>
      </c>
      <c r="HT131" s="277">
        <v>219</v>
      </c>
      <c r="HU131" s="286">
        <v>10945.62</v>
      </c>
      <c r="HV131" s="48"/>
      <c r="HW131" s="179"/>
      <c r="HX131" s="285">
        <f>HZ131/HY131</f>
        <v>46.872014134275624</v>
      </c>
      <c r="HY131" s="277">
        <v>283</v>
      </c>
      <c r="HZ131" s="286">
        <v>13264.78</v>
      </c>
      <c r="IA131" s="48"/>
      <c r="IB131" s="179"/>
      <c r="IC131" s="285">
        <f>IE131/ID131</f>
        <v>30.384072089624937</v>
      </c>
      <c r="ID131" s="277">
        <v>41.06</v>
      </c>
      <c r="IE131" s="286">
        <v>1247.57</v>
      </c>
      <c r="IF131" s="48"/>
      <c r="IG131" s="179"/>
      <c r="IH131" s="285">
        <f>IJ131/II131</f>
        <v>30.384072089624937</v>
      </c>
      <c r="II131" s="277">
        <v>41.06</v>
      </c>
      <c r="IJ131" s="286">
        <v>1247.57</v>
      </c>
      <c r="IK131" s="48"/>
      <c r="IL131" s="179"/>
      <c r="IM131" s="285">
        <f>IO131/IN131</f>
        <v>30.384072089624937</v>
      </c>
      <c r="IN131" s="277">
        <v>41.06</v>
      </c>
      <c r="IO131" s="286">
        <v>1247.57</v>
      </c>
      <c r="IP131" s="48"/>
      <c r="IQ131" s="179"/>
    </row>
    <row r="132" spans="1:251" s="249" customFormat="1" ht="15" customHeight="1">
      <c r="A132" s="649"/>
      <c r="B132" s="265" t="s">
        <v>312</v>
      </c>
      <c r="C132" s="5" t="s">
        <v>74</v>
      </c>
      <c r="D132" s="6" t="s">
        <v>75</v>
      </c>
      <c r="E132" s="7" t="s">
        <v>10</v>
      </c>
      <c r="F132" s="4"/>
      <c r="G132" s="196"/>
      <c r="H132" s="200">
        <v>8.8000000000000007</v>
      </c>
      <c r="I132" s="200">
        <v>1742.62</v>
      </c>
      <c r="J132" s="38"/>
      <c r="K132" s="206"/>
      <c r="L132" s="196"/>
      <c r="M132" s="200">
        <v>8.8000000000000007</v>
      </c>
      <c r="N132" s="200">
        <v>1742.62</v>
      </c>
      <c r="O132" s="38"/>
      <c r="P132" s="206"/>
      <c r="Q132" s="196"/>
      <c r="R132" s="200">
        <v>8.8000000000000007</v>
      </c>
      <c r="S132" s="200">
        <v>1742.62</v>
      </c>
      <c r="T132" s="38"/>
      <c r="U132" s="206"/>
      <c r="V132" s="207"/>
      <c r="W132" s="200">
        <v>8.8000000000000007</v>
      </c>
      <c r="X132" s="380">
        <v>554.84</v>
      </c>
      <c r="Y132" s="38"/>
      <c r="Z132" s="384">
        <f>SUM(X132:X135)*1.1</f>
        <v>125153.71</v>
      </c>
      <c r="AA132" s="36"/>
      <c r="AB132" s="200">
        <v>8.8000000000000007</v>
      </c>
      <c r="AC132" s="200">
        <v>1742.62</v>
      </c>
      <c r="AD132" s="38"/>
      <c r="AE132" s="384">
        <f>SUM(AC132:AC135)*1.1</f>
        <v>114522.474</v>
      </c>
      <c r="AF132" s="36"/>
      <c r="AG132" s="200">
        <v>8.8000000000000007</v>
      </c>
      <c r="AH132" s="200">
        <v>1742.62</v>
      </c>
      <c r="AI132" s="38"/>
      <c r="AJ132" s="384">
        <f>AJ133*1.1</f>
        <v>116612.49600000001</v>
      </c>
      <c r="AK132" s="36"/>
      <c r="AL132" s="200">
        <v>8.8000000000000007</v>
      </c>
      <c r="AM132" s="200">
        <v>1742.62</v>
      </c>
      <c r="AN132" s="38"/>
      <c r="AO132" s="384">
        <f>AO133*1.2</f>
        <v>199478.32800000001</v>
      </c>
      <c r="AP132" s="36"/>
      <c r="AQ132" s="200">
        <v>8.8000000000000007</v>
      </c>
      <c r="AR132" s="200">
        <v>1742.62</v>
      </c>
      <c r="AS132" s="38"/>
      <c r="AT132" s="384">
        <f>SUM(AT133)*1.1</f>
        <v>117768.189</v>
      </c>
      <c r="AU132" s="36"/>
      <c r="AV132" s="200">
        <v>8.8000000000000007</v>
      </c>
      <c r="AW132" s="200">
        <v>1742.62</v>
      </c>
      <c r="AX132" s="38"/>
      <c r="AY132" s="384">
        <f>SUM(AW132:AW135)*1.1</f>
        <v>143561.682</v>
      </c>
      <c r="AZ132" s="36"/>
      <c r="BA132" s="200">
        <v>8.8000000000000007</v>
      </c>
      <c r="BB132" s="200">
        <v>1742.62</v>
      </c>
      <c r="BC132" s="38"/>
      <c r="BD132" s="384">
        <f>SUM(BB132:BB135)*1.1</f>
        <v>146121.98700000002</v>
      </c>
      <c r="BE132" s="36"/>
      <c r="BF132" s="200">
        <v>8.8000000000000007</v>
      </c>
      <c r="BG132" s="200">
        <v>1742.62</v>
      </c>
      <c r="BH132" s="38"/>
      <c r="BI132" s="384">
        <f>SUM(BG132:BG135)*1.1</f>
        <v>155012.913</v>
      </c>
      <c r="BJ132" s="36"/>
      <c r="BK132" s="200">
        <v>8.8000000000000007</v>
      </c>
      <c r="BL132" s="200">
        <v>1742.62</v>
      </c>
      <c r="BM132" s="38"/>
      <c r="BN132" s="384">
        <f>SUM(BL132:BL135)*1.1</f>
        <v>158913.106</v>
      </c>
      <c r="BO132" s="36"/>
      <c r="BP132" s="200">
        <v>8.8000000000000007</v>
      </c>
      <c r="BQ132" s="200">
        <v>1742.62</v>
      </c>
      <c r="BR132" s="38"/>
      <c r="BS132" s="384">
        <f>SUM(BQ132:BQ135)*1.1</f>
        <v>203682.02799999999</v>
      </c>
      <c r="BT132" s="36"/>
      <c r="BU132" s="200">
        <v>8.8000000000000007</v>
      </c>
      <c r="BV132" s="200">
        <v>1742.62</v>
      </c>
      <c r="BW132" s="38"/>
      <c r="BX132" s="384">
        <f>SUM(BV132:BV135)*1.1</f>
        <v>170041.872</v>
      </c>
      <c r="BY132" s="36"/>
      <c r="BZ132" s="200">
        <v>8.8000000000000007</v>
      </c>
      <c r="CA132" s="200">
        <v>1742.62</v>
      </c>
      <c r="CB132" s="38"/>
      <c r="CC132" s="384">
        <f>SUM(CA132:CA135)*1.1</f>
        <v>189447.1876</v>
      </c>
      <c r="CD132" s="36"/>
      <c r="CE132" s="200">
        <v>8.8000000000000007</v>
      </c>
      <c r="CF132" s="200">
        <v>1742.62</v>
      </c>
      <c r="CG132" s="38"/>
      <c r="CH132" s="384">
        <f>SUM(CF132:CF135)*1.1</f>
        <v>151662.22719999999</v>
      </c>
      <c r="CI132" s="36"/>
      <c r="CJ132" s="200">
        <v>8.8000000000000007</v>
      </c>
      <c r="CK132" s="200">
        <v>1742.62</v>
      </c>
      <c r="CL132" s="38"/>
      <c r="CM132" s="384">
        <f>SUM(CK132:CK135)*1.1</f>
        <v>138575.98479999998</v>
      </c>
      <c r="CN132" s="36"/>
      <c r="CO132" s="200">
        <v>8.8000000000000007</v>
      </c>
      <c r="CP132" s="200">
        <v>1742.62</v>
      </c>
      <c r="CQ132" s="38"/>
      <c r="CR132" s="384">
        <f>SUM(CP132:CP135)*1.1</f>
        <v>165358.36239999998</v>
      </c>
      <c r="CS132" s="36"/>
      <c r="CT132" s="200">
        <v>8.8000000000000007</v>
      </c>
      <c r="CU132" s="200">
        <v>1742.62</v>
      </c>
      <c r="CV132" s="38"/>
      <c r="CW132" s="384">
        <f>SUM(CU132:CU135)*1.1</f>
        <v>155627.098</v>
      </c>
      <c r="CX132" s="36"/>
      <c r="CY132" s="200">
        <v>8.8000000000000007</v>
      </c>
      <c r="CZ132" s="200">
        <v>1742.62</v>
      </c>
      <c r="DA132" s="38"/>
      <c r="DB132" s="384">
        <f>SUM(CZ132:CZ135)*1.1</f>
        <v>184999.3156</v>
      </c>
      <c r="DC132" s="36"/>
      <c r="DD132" s="200">
        <v>8.8000000000000007</v>
      </c>
      <c r="DE132" s="200">
        <v>1742.62</v>
      </c>
      <c r="DF132" s="38"/>
      <c r="DG132" s="384">
        <f>SUM(DE132:DE135)*1.1</f>
        <v>206889.52240000002</v>
      </c>
      <c r="DH132" s="36"/>
      <c r="DI132" s="200">
        <v>8.8000000000000007</v>
      </c>
      <c r="DJ132" s="200">
        <v>1742.62</v>
      </c>
      <c r="DK132" s="38"/>
      <c r="DL132" s="384">
        <f>SUM(DJ132:DJ135)*1.1</f>
        <v>225495.92120000001</v>
      </c>
      <c r="DM132" s="36"/>
      <c r="DN132" s="200">
        <v>8.8000000000000007</v>
      </c>
      <c r="DO132" s="200">
        <v>1742.62</v>
      </c>
      <c r="DP132" s="38"/>
      <c r="DQ132" s="384">
        <f>SUM(DO132:DO135)*1.1</f>
        <v>253308.86680000002</v>
      </c>
      <c r="DR132" s="36"/>
      <c r="DS132" s="200">
        <v>8.8000000000000007</v>
      </c>
      <c r="DT132" s="200">
        <v>1742.62</v>
      </c>
      <c r="DU132" s="38"/>
      <c r="DV132" s="384">
        <f>SUM(DT132:DT135)*1.1</f>
        <v>246300.8812</v>
      </c>
      <c r="DW132" s="36"/>
      <c r="DX132" s="200">
        <v>8.8000000000000007</v>
      </c>
      <c r="DY132" s="200">
        <v>1742.62</v>
      </c>
      <c r="DZ132" s="38"/>
      <c r="EA132" s="384">
        <f>SUM(DY132:DY135)*1.1</f>
        <v>5772.3820000000005</v>
      </c>
      <c r="EB132" s="36"/>
      <c r="EC132" s="200">
        <v>8.8000000000000007</v>
      </c>
      <c r="ED132" s="200">
        <v>1742.62</v>
      </c>
      <c r="EE132" s="38"/>
      <c r="EF132" s="384">
        <f>SUM(ED132:ED135)*1.1</f>
        <v>5772.3820000000005</v>
      </c>
      <c r="EG132" s="36"/>
      <c r="EH132" s="200">
        <v>8.8000000000000007</v>
      </c>
      <c r="EI132" s="200">
        <v>1742.62</v>
      </c>
      <c r="EJ132" s="38"/>
      <c r="EK132" s="384">
        <f>SUM(EI132:EI135)*1.1</f>
        <v>419288.22759999998</v>
      </c>
      <c r="EL132" s="36"/>
      <c r="EM132" s="200">
        <v>8.8000000000000007</v>
      </c>
      <c r="EN132" s="200">
        <v>1742.62</v>
      </c>
      <c r="EO132" s="38"/>
      <c r="EP132" s="384">
        <f>SUM(EN132:EN135)*1.1</f>
        <v>275205.63400000002</v>
      </c>
      <c r="EQ132" s="36"/>
      <c r="ER132" s="200">
        <v>8.8000000000000007</v>
      </c>
      <c r="ES132" s="200">
        <v>1742.62</v>
      </c>
      <c r="ET132" s="38"/>
      <c r="EU132" s="384">
        <f>SUM(ES132:ES135)*1.1</f>
        <v>118470.91959999999</v>
      </c>
      <c r="EV132" s="36"/>
      <c r="EW132" s="200">
        <v>8.8000000000000007</v>
      </c>
      <c r="EX132" s="200">
        <v>1742.62</v>
      </c>
      <c r="EY132" s="38"/>
      <c r="EZ132" s="384">
        <f>SUM(EX132:EX135)*1.1</f>
        <v>173714.4376</v>
      </c>
      <c r="FA132" s="36"/>
      <c r="FB132" s="200">
        <v>8.8000000000000007</v>
      </c>
      <c r="FC132" s="200">
        <v>1742.62</v>
      </c>
      <c r="FD132" s="38"/>
      <c r="FE132" s="384">
        <f>SUM(FC132:FC135)*1.1</f>
        <v>211414.73320000002</v>
      </c>
      <c r="FF132" s="36"/>
      <c r="FG132" s="200">
        <v>8.8000000000000007</v>
      </c>
      <c r="FH132" s="200">
        <v>1742.62</v>
      </c>
      <c r="FI132" s="38"/>
      <c r="FJ132" s="384">
        <f>SUM(FH132:FH135)*1.1</f>
        <v>184999.3156</v>
      </c>
      <c r="FK132" s="36"/>
      <c r="FL132" s="200">
        <v>8.8000000000000007</v>
      </c>
      <c r="FM132" s="200">
        <v>1742.62</v>
      </c>
      <c r="FN132" s="38"/>
      <c r="FO132" s="384">
        <f>SUM(FM132:FM135)*1.1</f>
        <v>215788.81719999999</v>
      </c>
      <c r="FP132" s="36"/>
      <c r="FQ132" s="200">
        <v>8.8000000000000007</v>
      </c>
      <c r="FR132" s="200">
        <v>1742.62</v>
      </c>
      <c r="FS132" s="38"/>
      <c r="FT132" s="384">
        <f>SUM(FR132:FR135)*1.1</f>
        <v>195601.55559999999</v>
      </c>
      <c r="FU132" s="36"/>
      <c r="FV132" s="200">
        <v>8.8000000000000007</v>
      </c>
      <c r="FW132" s="200">
        <v>1742.62</v>
      </c>
      <c r="FX132" s="38"/>
      <c r="FY132" s="384">
        <f>SUM(FW132:FW135)*1.1</f>
        <v>289873.22320000007</v>
      </c>
      <c r="FZ132" s="36"/>
      <c r="GA132" s="200">
        <v>8.8000000000000007</v>
      </c>
      <c r="GB132" s="200">
        <v>1742.62</v>
      </c>
      <c r="GC132" s="38"/>
      <c r="GD132" s="384">
        <f>SUM(GB132:GB135)*1.1</f>
        <v>238987.69839999999</v>
      </c>
      <c r="GE132" s="36"/>
      <c r="GF132" s="200">
        <v>8.8000000000000007</v>
      </c>
      <c r="GG132" s="200">
        <v>1742.62</v>
      </c>
      <c r="GH132" s="38"/>
      <c r="GI132" s="384">
        <f>SUM(GG132:GG135)*1.1</f>
        <v>318246.19199999998</v>
      </c>
      <c r="GJ132" s="280"/>
      <c r="GK132" s="200">
        <v>8.8000000000000007</v>
      </c>
      <c r="GL132" s="200">
        <v>1742.62</v>
      </c>
      <c r="GM132" s="38"/>
      <c r="GN132" s="384">
        <f>SUM(GL132:GL135)*1.1</f>
        <v>251766.13</v>
      </c>
      <c r="GO132" s="36"/>
      <c r="GP132" s="200">
        <v>8.8000000000000007</v>
      </c>
      <c r="GQ132" s="200">
        <v>1742.62</v>
      </c>
      <c r="GR132" s="38"/>
      <c r="GS132" s="384">
        <f>SUM(GQ132:GQ135)*1.1</f>
        <v>201091.69959999999</v>
      </c>
      <c r="GT132" s="36"/>
      <c r="GU132" s="200">
        <v>8.8000000000000007</v>
      </c>
      <c r="GV132" s="200">
        <v>1742.62</v>
      </c>
      <c r="GW132" s="38"/>
      <c r="GX132" s="384">
        <f>SUM(GV132:GV135)*1.1</f>
        <v>307458.69880000001</v>
      </c>
      <c r="GY132" s="36"/>
      <c r="GZ132" s="200">
        <v>8.8000000000000007</v>
      </c>
      <c r="HA132" s="200">
        <v>1742.62</v>
      </c>
      <c r="HB132" s="38"/>
      <c r="HC132" s="384">
        <f>SUM(HA132:HA135)*1.1</f>
        <v>118470.91959999999</v>
      </c>
      <c r="HD132" s="36"/>
      <c r="HE132" s="200">
        <v>8.8000000000000007</v>
      </c>
      <c r="HF132" s="200">
        <v>1742.62</v>
      </c>
      <c r="HG132" s="38"/>
      <c r="HH132" s="384">
        <f>SUM(HF132:HF135)*1.1</f>
        <v>173714.4376</v>
      </c>
      <c r="HI132" s="36"/>
      <c r="HJ132" s="200">
        <v>8.8000000000000007</v>
      </c>
      <c r="HK132" s="200">
        <v>1742.62</v>
      </c>
      <c r="HL132" s="38"/>
      <c r="HM132" s="384">
        <f>SUM(HK132:HK135)*1.1</f>
        <v>211414.73320000002</v>
      </c>
      <c r="HN132" s="36"/>
      <c r="HO132" s="200">
        <v>8.8000000000000007</v>
      </c>
      <c r="HP132" s="200">
        <v>1742.62</v>
      </c>
      <c r="HQ132" s="38"/>
      <c r="HR132" s="384">
        <f>SUM(HP132:HP135)*1.1</f>
        <v>184999.3156</v>
      </c>
      <c r="HS132" s="36"/>
      <c r="HT132" s="200">
        <v>8.8000000000000007</v>
      </c>
      <c r="HU132" s="200">
        <v>1742.62</v>
      </c>
      <c r="HV132" s="38"/>
      <c r="HW132" s="384">
        <f>SUM(HU132:HU135)*1.1</f>
        <v>215788.81719999999</v>
      </c>
      <c r="HX132" s="36"/>
      <c r="HY132" s="200">
        <v>8.8000000000000007</v>
      </c>
      <c r="HZ132" s="200">
        <v>1742.62</v>
      </c>
      <c r="IA132" s="38"/>
      <c r="IB132" s="384">
        <f>SUM(HZ132:HZ135)*1.1</f>
        <v>195601.55559999999</v>
      </c>
      <c r="IC132" s="36"/>
      <c r="ID132" s="200">
        <v>8.8000000000000007</v>
      </c>
      <c r="IE132" s="200">
        <v>1742.62</v>
      </c>
      <c r="IF132" s="38"/>
      <c r="IG132" s="384">
        <f>SUM(IE132:IE135)*1.1</f>
        <v>313523.22320000007</v>
      </c>
      <c r="IH132" s="36"/>
      <c r="II132" s="200">
        <v>8.8000000000000007</v>
      </c>
      <c r="IJ132" s="200">
        <v>1742.62</v>
      </c>
      <c r="IK132" s="38"/>
      <c r="IL132" s="384">
        <f>SUM(IJ132:IJ135)*1.1</f>
        <v>101820.87300000001</v>
      </c>
      <c r="IM132" s="36"/>
      <c r="IN132" s="200">
        <v>8.8000000000000007</v>
      </c>
      <c r="IO132" s="200">
        <v>1742.62</v>
      </c>
      <c r="IP132" s="38"/>
      <c r="IQ132" s="384">
        <f>SUM(IO132:IO135)*1.1</f>
        <v>101820.87300000001</v>
      </c>
    </row>
    <row r="133" spans="1:251" ht="15" customHeight="1">
      <c r="A133" s="647"/>
      <c r="B133" s="256"/>
      <c r="C133" s="215">
        <v>33079439</v>
      </c>
      <c r="D133" s="45" t="s">
        <v>76</v>
      </c>
      <c r="E133" s="216" t="s">
        <v>77</v>
      </c>
      <c r="F133" s="22"/>
      <c r="G133" s="103"/>
      <c r="H133" s="74">
        <v>1</v>
      </c>
      <c r="I133" s="134">
        <v>3500</v>
      </c>
      <c r="J133" s="81"/>
      <c r="K133" s="88"/>
      <c r="L133" s="103"/>
      <c r="M133" s="149">
        <v>1</v>
      </c>
      <c r="N133" s="150">
        <v>3500</v>
      </c>
      <c r="O133" s="151"/>
      <c r="P133" s="152"/>
      <c r="Q133" s="103"/>
      <c r="R133" s="74">
        <v>1</v>
      </c>
      <c r="S133" s="134">
        <v>3500</v>
      </c>
      <c r="T133" s="81"/>
      <c r="U133" s="88"/>
      <c r="V133" s="47"/>
      <c r="W133" s="74">
        <v>1</v>
      </c>
      <c r="X133" s="134">
        <v>3500</v>
      </c>
      <c r="Y133" s="81"/>
      <c r="Z133" s="403">
        <f>SUM(X132:X135)*1</f>
        <v>113776.09999999999</v>
      </c>
      <c r="AA133" s="46"/>
      <c r="AB133" s="74">
        <v>1</v>
      </c>
      <c r="AC133" s="134">
        <v>3500</v>
      </c>
      <c r="AD133" s="81"/>
      <c r="AE133" s="403">
        <f>SUM(AC132:AC135)*1</f>
        <v>104111.34</v>
      </c>
      <c r="AF133" s="46"/>
      <c r="AG133" s="74">
        <v>1</v>
      </c>
      <c r="AH133" s="134">
        <v>3500</v>
      </c>
      <c r="AI133" s="81"/>
      <c r="AJ133" s="403">
        <f>SUM(AH132:AH133)+AI134+AH135*1</f>
        <v>106011.36</v>
      </c>
      <c r="AK133" s="46"/>
      <c r="AL133" s="74">
        <v>1</v>
      </c>
      <c r="AM133" s="134">
        <v>3500</v>
      </c>
      <c r="AN133" s="81"/>
      <c r="AO133" s="403">
        <f>SUM(AM132:AM133)+AN134+AM135*1</f>
        <v>166231.94</v>
      </c>
      <c r="AP133" s="46"/>
      <c r="AQ133" s="74">
        <v>1</v>
      </c>
      <c r="AR133" s="134">
        <v>3500</v>
      </c>
      <c r="AS133" s="81"/>
      <c r="AT133" s="403">
        <f>SUM(AR132:AR133)+AS134+AR135*1</f>
        <v>107061.98999999999</v>
      </c>
      <c r="AU133" s="46"/>
      <c r="AV133" s="74">
        <v>1</v>
      </c>
      <c r="AW133" s="134">
        <v>3500</v>
      </c>
      <c r="AX133" s="81"/>
      <c r="AY133" s="403">
        <f>SUM(AW132:AW135)*1</f>
        <v>130510.62</v>
      </c>
      <c r="AZ133" s="46"/>
      <c r="BA133" s="74">
        <v>1</v>
      </c>
      <c r="BB133" s="134">
        <v>3500</v>
      </c>
      <c r="BC133" s="81"/>
      <c r="BD133" s="403">
        <f>SUM(BB132:BB135)*1</f>
        <v>132838.17000000001</v>
      </c>
      <c r="BE133" s="46"/>
      <c r="BF133" s="74">
        <v>1</v>
      </c>
      <c r="BG133" s="134">
        <v>3500</v>
      </c>
      <c r="BH133" s="81"/>
      <c r="BI133" s="403">
        <f>SUM(BG132:BG135)*1</f>
        <v>140920.82999999999</v>
      </c>
      <c r="BJ133" s="46"/>
      <c r="BK133" s="74">
        <v>1</v>
      </c>
      <c r="BL133" s="134">
        <v>3500</v>
      </c>
      <c r="BM133" s="81"/>
      <c r="BN133" s="403">
        <f>SUM(BL132:BL135)*1</f>
        <v>144466.46</v>
      </c>
      <c r="BO133" s="46"/>
      <c r="BP133" s="74">
        <v>1</v>
      </c>
      <c r="BQ133" s="134">
        <v>3500</v>
      </c>
      <c r="BR133" s="81"/>
      <c r="BS133" s="403">
        <f>SUM(BQ132:BQ135)*1</f>
        <v>185165.47999999998</v>
      </c>
      <c r="BT133" s="46"/>
      <c r="BU133" s="74">
        <v>1</v>
      </c>
      <c r="BV133" s="134">
        <v>3500</v>
      </c>
      <c r="BW133" s="81"/>
      <c r="BX133" s="403">
        <f>SUM(BV132:BV135)*1</f>
        <v>154583.51999999999</v>
      </c>
      <c r="BY133" s="46"/>
      <c r="BZ133" s="74">
        <v>1</v>
      </c>
      <c r="CA133" s="134">
        <v>3500</v>
      </c>
      <c r="CB133" s="81"/>
      <c r="CC133" s="403">
        <f>SUM(CA132:CA135)*1</f>
        <v>172224.71599999999</v>
      </c>
      <c r="CD133" s="46"/>
      <c r="CE133" s="74">
        <v>1</v>
      </c>
      <c r="CF133" s="134">
        <v>3500</v>
      </c>
      <c r="CG133" s="81"/>
      <c r="CH133" s="403">
        <f>SUM(CF132:CF135)*1</f>
        <v>137874.75199999998</v>
      </c>
      <c r="CI133" s="46"/>
      <c r="CJ133" s="74">
        <v>1</v>
      </c>
      <c r="CK133" s="134">
        <v>3500</v>
      </c>
      <c r="CL133" s="81"/>
      <c r="CM133" s="403">
        <f>SUM(CK132:CK135)*1</f>
        <v>125978.16799999998</v>
      </c>
      <c r="CN133" s="46"/>
      <c r="CO133" s="74">
        <v>1</v>
      </c>
      <c r="CP133" s="134">
        <v>3500</v>
      </c>
      <c r="CQ133" s="81"/>
      <c r="CR133" s="403">
        <f>SUM(CP132:CP135)*1</f>
        <v>150325.78399999999</v>
      </c>
      <c r="CS133" s="46"/>
      <c r="CT133" s="74">
        <v>1</v>
      </c>
      <c r="CU133" s="134">
        <v>3500</v>
      </c>
      <c r="CV133" s="81"/>
      <c r="CW133" s="403">
        <f>SUM(CU132:CU135)*1</f>
        <v>141479.18</v>
      </c>
      <c r="CX133" s="46"/>
      <c r="CY133" s="74">
        <v>1</v>
      </c>
      <c r="CZ133" s="134">
        <v>3500</v>
      </c>
      <c r="DA133" s="81"/>
      <c r="DB133" s="403">
        <f>SUM(CZ132:CZ135)*1</f>
        <v>168181.196</v>
      </c>
      <c r="DC133" s="46"/>
      <c r="DD133" s="74">
        <v>1</v>
      </c>
      <c r="DE133" s="134">
        <v>3500</v>
      </c>
      <c r="DF133" s="81"/>
      <c r="DG133" s="403">
        <f>SUM(DE132:DE135)*1</f>
        <v>188081.38399999999</v>
      </c>
      <c r="DH133" s="46"/>
      <c r="DI133" s="57">
        <v>1</v>
      </c>
      <c r="DJ133" s="72">
        <v>25000</v>
      </c>
      <c r="DK133" s="44"/>
      <c r="DL133" s="403">
        <f>SUM(DJ132:DJ135)*1</f>
        <v>204996.29199999999</v>
      </c>
      <c r="DM133" s="46"/>
      <c r="DN133" s="74">
        <v>1</v>
      </c>
      <c r="DO133" s="134">
        <v>3500</v>
      </c>
      <c r="DP133" s="81"/>
      <c r="DQ133" s="403">
        <f>SUM(DO132:DO135)*1</f>
        <v>230280.788</v>
      </c>
      <c r="DR133" s="46"/>
      <c r="DS133" s="74">
        <v>1</v>
      </c>
      <c r="DT133" s="134">
        <v>3500</v>
      </c>
      <c r="DU133" s="81"/>
      <c r="DV133" s="403">
        <f>SUM(DT132:DT135)*1</f>
        <v>223909.89199999999</v>
      </c>
      <c r="DW133" s="46"/>
      <c r="DX133" s="74">
        <v>1</v>
      </c>
      <c r="DY133" s="134">
        <v>3500</v>
      </c>
      <c r="DZ133" s="81"/>
      <c r="EA133" s="403">
        <f>SUM(DY132:DY135)*1</f>
        <v>5247.62</v>
      </c>
      <c r="EB133" s="46"/>
      <c r="EC133" s="74">
        <v>1</v>
      </c>
      <c r="ED133" s="134">
        <v>3500</v>
      </c>
      <c r="EE133" s="81"/>
      <c r="EF133" s="403">
        <f>SUM(ED132:ED135)*1</f>
        <v>5247.62</v>
      </c>
      <c r="EG133" s="46"/>
      <c r="EH133" s="74">
        <v>1</v>
      </c>
      <c r="EI133" s="134">
        <v>3500</v>
      </c>
      <c r="EJ133" s="81"/>
      <c r="EK133" s="403">
        <f>SUM(EI132:EI135)*1</f>
        <v>381171.11599999998</v>
      </c>
      <c r="EL133" s="46"/>
      <c r="EM133" s="74">
        <v>1</v>
      </c>
      <c r="EN133" s="134">
        <v>3500</v>
      </c>
      <c r="EO133" s="81"/>
      <c r="EP133" s="403">
        <f>SUM(EN132:EN135)*1</f>
        <v>250186.94</v>
      </c>
      <c r="EQ133" s="46"/>
      <c r="ER133" s="74">
        <v>1</v>
      </c>
      <c r="ES133" s="134">
        <v>3500</v>
      </c>
      <c r="ET133" s="81"/>
      <c r="EU133" s="403">
        <f>SUM(ES132:ES135)*1</f>
        <v>107700.83599999998</v>
      </c>
      <c r="EV133" s="46"/>
      <c r="EW133" s="74">
        <v>1</v>
      </c>
      <c r="EX133" s="134">
        <v>3500</v>
      </c>
      <c r="EY133" s="81"/>
      <c r="EZ133" s="403">
        <f>SUM(EX132:EX135)*1</f>
        <v>157922.21599999999</v>
      </c>
      <c r="FA133" s="46"/>
      <c r="FB133" s="74">
        <v>1</v>
      </c>
      <c r="FC133" s="134">
        <v>3500</v>
      </c>
      <c r="FD133" s="81"/>
      <c r="FE133" s="403">
        <f>SUM(FC132:FC135)*1</f>
        <v>192195.212</v>
      </c>
      <c r="FF133" s="46"/>
      <c r="FG133" s="74">
        <v>1</v>
      </c>
      <c r="FH133" s="134">
        <v>3500</v>
      </c>
      <c r="FI133" s="81"/>
      <c r="FJ133" s="403">
        <f>SUM(FH132:FH135)*1</f>
        <v>168181.196</v>
      </c>
      <c r="FK133" s="46"/>
      <c r="FL133" s="74">
        <v>1</v>
      </c>
      <c r="FM133" s="134">
        <v>3500</v>
      </c>
      <c r="FN133" s="81"/>
      <c r="FO133" s="403">
        <f>SUM(FM132:FM135)*1</f>
        <v>196171.65199999997</v>
      </c>
      <c r="FP133" s="46"/>
      <c r="FQ133" s="74">
        <v>1</v>
      </c>
      <c r="FR133" s="134">
        <v>3500</v>
      </c>
      <c r="FS133" s="81"/>
      <c r="FT133" s="403">
        <f>SUM(FR132:FR135)*1</f>
        <v>177819.59599999999</v>
      </c>
      <c r="FU133" s="46"/>
      <c r="FV133" s="74">
        <v>1</v>
      </c>
      <c r="FW133" s="134">
        <v>3500</v>
      </c>
      <c r="FX133" s="81"/>
      <c r="FY133" s="403">
        <f>SUM(FW132:FW135)*1</f>
        <v>263521.11200000002</v>
      </c>
      <c r="FZ133" s="46"/>
      <c r="GA133" s="74">
        <v>1</v>
      </c>
      <c r="GB133" s="134">
        <v>3500</v>
      </c>
      <c r="GC133" s="81"/>
      <c r="GD133" s="403">
        <f>SUM(GB132:GB135)*1</f>
        <v>217261.54399999997</v>
      </c>
      <c r="GE133" s="74">
        <v>1</v>
      </c>
      <c r="GF133" s="134">
        <v>3500</v>
      </c>
      <c r="GG133" s="81"/>
      <c r="GH133" s="44"/>
      <c r="GI133" s="403">
        <f>SUM(GG132:GG135)*1</f>
        <v>289314.71999999997</v>
      </c>
      <c r="GJ133" s="97"/>
      <c r="GK133" s="57">
        <v>1</v>
      </c>
      <c r="GL133" s="72">
        <v>3500</v>
      </c>
      <c r="GM133" s="44"/>
      <c r="GN133" s="403">
        <f>SUM(GL132:GL135)*1</f>
        <v>228878.3</v>
      </c>
      <c r="GO133" s="46"/>
      <c r="GP133" s="57">
        <v>1</v>
      </c>
      <c r="GQ133" s="72">
        <v>3500</v>
      </c>
      <c r="GR133" s="44"/>
      <c r="GS133" s="403">
        <f>SUM(GQ132:GQ135)*1</f>
        <v>182810.63599999997</v>
      </c>
      <c r="GT133" s="46"/>
      <c r="GU133" s="57">
        <v>1</v>
      </c>
      <c r="GV133" s="72">
        <v>3500</v>
      </c>
      <c r="GW133" s="44"/>
      <c r="GX133" s="403">
        <f>SUM(GV132:GV135)*1</f>
        <v>279507.908</v>
      </c>
      <c r="GY133" s="46"/>
      <c r="GZ133" s="57">
        <v>1</v>
      </c>
      <c r="HA133" s="72">
        <v>3500</v>
      </c>
      <c r="HB133" s="44"/>
      <c r="HC133" s="403">
        <f>SUM(HA132:HA135)*1</f>
        <v>107700.83599999998</v>
      </c>
      <c r="HD133" s="46"/>
      <c r="HE133" s="57">
        <v>1</v>
      </c>
      <c r="HF133" s="72">
        <v>3500</v>
      </c>
      <c r="HG133" s="44"/>
      <c r="HH133" s="403">
        <f>SUM(HF132:HF135)*1</f>
        <v>157922.21599999999</v>
      </c>
      <c r="HI133" s="46"/>
      <c r="HJ133" s="57">
        <v>1</v>
      </c>
      <c r="HK133" s="72">
        <v>3500</v>
      </c>
      <c r="HL133" s="44"/>
      <c r="HM133" s="403">
        <f>SUM(HK132:HK135)*1</f>
        <v>192195.212</v>
      </c>
      <c r="HN133" s="46"/>
      <c r="HO133" s="57">
        <v>1</v>
      </c>
      <c r="HP133" s="72">
        <v>3500</v>
      </c>
      <c r="HQ133" s="44"/>
      <c r="HR133" s="403">
        <f>SUM(HP132:HP135)*1</f>
        <v>168181.196</v>
      </c>
      <c r="HS133" s="46"/>
      <c r="HT133" s="57">
        <v>1</v>
      </c>
      <c r="HU133" s="72">
        <v>3500</v>
      </c>
      <c r="HV133" s="44"/>
      <c r="HW133" s="403">
        <f>SUM(HU132:HU135)*1</f>
        <v>196171.65199999997</v>
      </c>
      <c r="HX133" s="46"/>
      <c r="HY133" s="57">
        <v>1</v>
      </c>
      <c r="HZ133" s="72">
        <v>3500</v>
      </c>
      <c r="IA133" s="44"/>
      <c r="IB133" s="403">
        <f>SUM(HZ132:HZ135)*1</f>
        <v>177819.59599999999</v>
      </c>
      <c r="IC133" s="46"/>
      <c r="ID133" s="57">
        <v>1</v>
      </c>
      <c r="IE133" s="72">
        <v>25000</v>
      </c>
      <c r="IF133" s="44"/>
      <c r="IG133" s="403">
        <f>SUM(IE132:IE135)*1</f>
        <v>285021.11200000002</v>
      </c>
      <c r="IH133" s="46"/>
      <c r="II133" s="57">
        <v>1</v>
      </c>
      <c r="IJ133" s="72">
        <v>25000</v>
      </c>
      <c r="IK133" s="44"/>
      <c r="IL133" s="403">
        <f>SUM(IJ132:IJ135)*1</f>
        <v>92564.43</v>
      </c>
      <c r="IM133" s="46"/>
      <c r="IN133" s="57">
        <v>1</v>
      </c>
      <c r="IO133" s="72">
        <v>25000</v>
      </c>
      <c r="IP133" s="44"/>
      <c r="IQ133" s="403">
        <f>SUM(IO132:IO135)*1</f>
        <v>92564.43</v>
      </c>
    </row>
    <row r="134" spans="1:251" ht="15" customHeight="1">
      <c r="A134" s="647"/>
      <c r="B134" s="256"/>
      <c r="C134" s="215">
        <v>44878589</v>
      </c>
      <c r="D134" s="222" t="s">
        <v>378</v>
      </c>
      <c r="E134" s="216" t="s">
        <v>13</v>
      </c>
      <c r="F134" s="22"/>
      <c r="G134" s="104">
        <f>I134/H134</f>
        <v>5.9969758542141225</v>
      </c>
      <c r="H134" s="69">
        <v>10975</v>
      </c>
      <c r="I134" s="131">
        <v>65816.81</v>
      </c>
      <c r="J134" s="142" t="s">
        <v>178</v>
      </c>
      <c r="K134" s="148"/>
      <c r="L134" s="104">
        <f>N134/M134</f>
        <v>6.0501959356107511</v>
      </c>
      <c r="M134" s="69">
        <v>13729</v>
      </c>
      <c r="N134" s="131">
        <v>83063.14</v>
      </c>
      <c r="O134" s="344">
        <v>150159.82</v>
      </c>
      <c r="P134" s="148"/>
      <c r="Q134" s="104">
        <f>S134/R134</f>
        <v>5.838491575817641</v>
      </c>
      <c r="R134" s="69">
        <v>20180</v>
      </c>
      <c r="S134" s="131">
        <v>117820.76</v>
      </c>
      <c r="T134" s="142" t="s">
        <v>178</v>
      </c>
      <c r="U134" s="148"/>
      <c r="V134" s="115">
        <f>X134/W134</f>
        <v>5.929967571073397</v>
      </c>
      <c r="W134" s="69">
        <v>18502</v>
      </c>
      <c r="X134" s="142">
        <v>109716.26</v>
      </c>
      <c r="Y134" s="372" t="s">
        <v>216</v>
      </c>
      <c r="Z134" s="142"/>
      <c r="AA134" s="92">
        <f>AC134/AB134</f>
        <v>5.8956240682211227</v>
      </c>
      <c r="AB134" s="69">
        <v>16769</v>
      </c>
      <c r="AC134" s="131">
        <v>98863.72</v>
      </c>
      <c r="AD134" s="142">
        <v>89330.5</v>
      </c>
      <c r="AE134" s="142"/>
      <c r="AF134" s="92">
        <f>AH134/AG134</f>
        <v>5.3868840110633798</v>
      </c>
      <c r="AG134" s="69">
        <v>16993</v>
      </c>
      <c r="AH134" s="131">
        <v>91539.32</v>
      </c>
      <c r="AI134" s="344">
        <v>100763.74</v>
      </c>
      <c r="AJ134" s="142"/>
      <c r="AK134" s="92">
        <f>AM134/AL134</f>
        <v>5.5501917318905294</v>
      </c>
      <c r="AL134" s="410">
        <v>19037</v>
      </c>
      <c r="AM134" s="414">
        <v>105659</v>
      </c>
      <c r="AN134" s="142">
        <v>160984.32000000001</v>
      </c>
      <c r="AO134" s="73"/>
      <c r="AP134" s="92">
        <f>AR134/AQ134</f>
        <v>5.8517404049725856</v>
      </c>
      <c r="AQ134" s="410">
        <v>18421</v>
      </c>
      <c r="AR134" s="414">
        <v>107794.91</v>
      </c>
      <c r="AS134" s="142">
        <v>101814.37</v>
      </c>
      <c r="AT134" s="142"/>
      <c r="AU134" s="92">
        <f>AW134/AV134</f>
        <v>6.2152922496774829</v>
      </c>
      <c r="AV134" s="410">
        <v>20154</v>
      </c>
      <c r="AW134" s="414">
        <v>125263</v>
      </c>
      <c r="AX134" s="142" t="s">
        <v>340</v>
      </c>
      <c r="AY134" s="142"/>
      <c r="AZ134" s="92">
        <f>BB134/BA134</f>
        <v>6.915851807686054</v>
      </c>
      <c r="BA134" s="410">
        <v>18449</v>
      </c>
      <c r="BB134" s="414">
        <v>127590.55</v>
      </c>
      <c r="BC134" s="372" t="s">
        <v>344</v>
      </c>
      <c r="BD134" s="142"/>
      <c r="BE134" s="92">
        <f>BG134/BF134</f>
        <v>7.3920240819439904</v>
      </c>
      <c r="BF134" s="410">
        <v>18354</v>
      </c>
      <c r="BG134" s="414">
        <v>135673.21</v>
      </c>
      <c r="BH134" s="372" t="s">
        <v>344</v>
      </c>
      <c r="BI134" s="142"/>
      <c r="BJ134" s="92">
        <f>BL134/BK134</f>
        <v>7.8380159891904064</v>
      </c>
      <c r="BK134" s="410">
        <v>17762</v>
      </c>
      <c r="BL134" s="414">
        <v>139218.84</v>
      </c>
      <c r="BM134" s="73"/>
      <c r="BN134" s="142"/>
      <c r="BO134" s="92">
        <f>BQ134/BP134</f>
        <v>7.280292153927082</v>
      </c>
      <c r="BP134" s="410">
        <v>24713</v>
      </c>
      <c r="BQ134" s="414">
        <v>179917.86</v>
      </c>
      <c r="BR134" s="560" t="s">
        <v>387</v>
      </c>
      <c r="BS134" s="142"/>
      <c r="BT134" s="92">
        <f>BV134/BU134</f>
        <v>6.0428074292882288</v>
      </c>
      <c r="BU134" s="410">
        <v>24713</v>
      </c>
      <c r="BV134" s="608">
        <v>149335.9</v>
      </c>
      <c r="BW134" s="344">
        <f>149335.9+23961.34</f>
        <v>173297.24</v>
      </c>
      <c r="BX134" s="142"/>
      <c r="BY134" s="92">
        <f>CA134/BZ134</f>
        <v>6.6231841656419812</v>
      </c>
      <c r="BZ134" s="410">
        <v>25211</v>
      </c>
      <c r="CA134" s="414">
        <f>1.2*139147.58</f>
        <v>166977.09599999999</v>
      </c>
      <c r="CB134" s="372" t="s">
        <v>466</v>
      </c>
      <c r="CC134" s="142"/>
      <c r="CD134" s="92">
        <f>CF134/CE134</f>
        <v>6.4699318015512945</v>
      </c>
      <c r="CE134" s="410">
        <v>20499</v>
      </c>
      <c r="CF134" s="414">
        <f>1.2*110522.61</f>
        <v>132627.13199999998</v>
      </c>
      <c r="CG134" s="560" t="s">
        <v>464</v>
      </c>
      <c r="CH134" s="142"/>
      <c r="CI134" s="92">
        <f>CK134/CJ134</f>
        <v>6.7323118273573845</v>
      </c>
      <c r="CJ134" s="410">
        <v>17933</v>
      </c>
      <c r="CK134" s="414">
        <v>120730.54799999998</v>
      </c>
      <c r="CL134" s="142">
        <v>132925</v>
      </c>
      <c r="CM134" s="142"/>
      <c r="CN134" s="92">
        <f>CP134/CO134</f>
        <v>7.6846318131256943</v>
      </c>
      <c r="CO134" s="410">
        <v>18879</v>
      </c>
      <c r="CP134" s="414">
        <f>120898.47*1.2</f>
        <v>145078.16399999999</v>
      </c>
      <c r="CQ134" s="142" t="s">
        <v>531</v>
      </c>
      <c r="CR134" s="142"/>
      <c r="CS134" s="92">
        <f>CU134/CT134</f>
        <v>8.6037362637362644</v>
      </c>
      <c r="CT134" s="69">
        <v>15834</v>
      </c>
      <c r="CU134" s="414">
        <f>1.2*113526.3</f>
        <v>136231.56</v>
      </c>
      <c r="CV134" s="142">
        <v>185109</v>
      </c>
      <c r="CW134" s="142"/>
      <c r="CX134" s="92">
        <f>CZ134/CY134</f>
        <v>9.4514517083357497</v>
      </c>
      <c r="CY134" s="410">
        <v>17239</v>
      </c>
      <c r="CZ134" s="414">
        <f>1.2*135777.98</f>
        <v>162933.576</v>
      </c>
      <c r="DA134" s="142" t="s">
        <v>540</v>
      </c>
      <c r="DB134" s="142"/>
      <c r="DC134" s="92">
        <f>DE134/DD134</f>
        <v>9.3506758042244158</v>
      </c>
      <c r="DD134" s="410">
        <v>19553</v>
      </c>
      <c r="DE134" s="410">
        <f>1.2*152361.47</f>
        <v>182833.764</v>
      </c>
      <c r="DF134" s="142">
        <v>242285.7</v>
      </c>
      <c r="DG134" s="142"/>
      <c r="DH134" s="92">
        <f>DJ134/DI134</f>
        <v>9.4576681700005309</v>
      </c>
      <c r="DI134" s="410">
        <v>18847</v>
      </c>
      <c r="DJ134" s="414">
        <f>1.2*148540.56</f>
        <v>178248.67199999999</v>
      </c>
      <c r="DK134" s="73" t="s">
        <v>178</v>
      </c>
      <c r="DL134" s="142"/>
      <c r="DM134" s="92">
        <f>DO134/DN134</f>
        <v>9.5571718338571312</v>
      </c>
      <c r="DN134" s="410">
        <v>23546</v>
      </c>
      <c r="DO134" s="414">
        <f>1.2*187527.64</f>
        <v>225033.16800000001</v>
      </c>
      <c r="DP134" s="142">
        <v>230600</v>
      </c>
      <c r="DQ134" s="142"/>
      <c r="DR134" s="92">
        <f>DT134/DS134</f>
        <v>9.3549359116967565</v>
      </c>
      <c r="DS134" s="410">
        <v>23374</v>
      </c>
      <c r="DT134" s="414">
        <f>1.2*182218.56</f>
        <v>218662.272</v>
      </c>
      <c r="DU134" s="142">
        <v>184152.92</v>
      </c>
      <c r="DV134" s="142"/>
      <c r="DW134" s="92" t="e">
        <f>DY134/DX134</f>
        <v>#DIV/0!</v>
      </c>
      <c r="DX134" s="410">
        <v>0</v>
      </c>
      <c r="DY134" s="414">
        <v>0</v>
      </c>
      <c r="DZ134" s="142">
        <v>228599.1</v>
      </c>
      <c r="EA134" s="142"/>
      <c r="EB134" s="92">
        <f>1.2*8.31581</f>
        <v>9.9789720000000006</v>
      </c>
      <c r="EC134" s="410">
        <v>0</v>
      </c>
      <c r="ED134" s="414">
        <v>0</v>
      </c>
      <c r="EE134" s="344">
        <v>256447.5</v>
      </c>
      <c r="EF134" s="142"/>
      <c r="EG134" s="92">
        <f>EI134/EH134</f>
        <v>10.265243876464323</v>
      </c>
      <c r="EH134" s="413">
        <v>36621</v>
      </c>
      <c r="EI134" s="414">
        <f>1.2*313269.58</f>
        <v>375923.49599999998</v>
      </c>
      <c r="EJ134" s="509" t="s">
        <v>466</v>
      </c>
      <c r="EK134" s="142"/>
      <c r="EL134" s="92">
        <f>EN134/EM134</f>
        <v>9.4934041316228051</v>
      </c>
      <c r="EM134" s="410">
        <v>25801</v>
      </c>
      <c r="EN134" s="414">
        <f>1.2*204116.1</f>
        <v>244939.32</v>
      </c>
      <c r="EO134" s="560" t="s">
        <v>1190</v>
      </c>
      <c r="EP134" s="142"/>
      <c r="EQ134" s="92">
        <f>ES134/ER134</f>
        <v>8.4840357734349112</v>
      </c>
      <c r="ER134" s="410">
        <v>12076</v>
      </c>
      <c r="ES134" s="414">
        <f>1.2*85377.68</f>
        <v>102453.21599999999</v>
      </c>
      <c r="ET134" s="73">
        <v>132925</v>
      </c>
      <c r="EU134" s="142"/>
      <c r="EV134" s="92">
        <f>EX134/EW134</f>
        <v>8.7058559616810172</v>
      </c>
      <c r="EW134" s="410">
        <v>17537</v>
      </c>
      <c r="EX134" s="414">
        <f>127228.83*1.2</f>
        <v>152674.59599999999</v>
      </c>
      <c r="EY134" s="73" t="s">
        <v>531</v>
      </c>
      <c r="EZ134" s="142"/>
      <c r="FA134" s="92">
        <f>FC134/FB134</f>
        <v>8.7029277966575123</v>
      </c>
      <c r="FB134" s="58">
        <v>21481</v>
      </c>
      <c r="FC134" s="131">
        <f>1.2*155789.66</f>
        <v>186947.592</v>
      </c>
      <c r="FD134" s="73">
        <v>185109</v>
      </c>
      <c r="FE134" s="142"/>
      <c r="FF134" s="92">
        <f>FH134/FG134</f>
        <v>9.4514517083357497</v>
      </c>
      <c r="FG134" s="58">
        <v>17239</v>
      </c>
      <c r="FH134" s="63">
        <f>1.2*135777.98</f>
        <v>162933.576</v>
      </c>
      <c r="FI134" s="73" t="s">
        <v>540</v>
      </c>
      <c r="FJ134" s="142"/>
      <c r="FK134" s="92">
        <f>FM134/FL134</f>
        <v>9.4873798449612394</v>
      </c>
      <c r="FL134" s="410">
        <v>20124</v>
      </c>
      <c r="FM134" s="410">
        <f>1.2*159103.36</f>
        <v>190924.03199999998</v>
      </c>
      <c r="FN134" s="142">
        <v>188026.55999999997</v>
      </c>
      <c r="FO134" s="142"/>
      <c r="FP134" s="92">
        <f>FR134/FQ134</f>
        <v>8.927675944128298</v>
      </c>
      <c r="FQ134" s="410">
        <v>19330</v>
      </c>
      <c r="FR134" s="414">
        <f>1.2*143809.98</f>
        <v>172571.976</v>
      </c>
      <c r="FS134" s="142">
        <v>162649.59999999998</v>
      </c>
      <c r="FT134" s="142"/>
      <c r="FU134" s="92">
        <f>FW134/FV134</f>
        <v>11.073768040132059</v>
      </c>
      <c r="FV134" s="410">
        <v>23323</v>
      </c>
      <c r="FW134" s="414">
        <f>1.2*215227.91</f>
        <v>258273.492</v>
      </c>
      <c r="FX134" s="73">
        <v>230600</v>
      </c>
      <c r="FY134" s="142"/>
      <c r="FZ134" s="92">
        <f>GB134/GA134</f>
        <v>11.608296320630748</v>
      </c>
      <c r="GA134" s="410">
        <v>18264</v>
      </c>
      <c r="GB134" s="414">
        <f>1.2*176678.27</f>
        <v>212013.92399999997</v>
      </c>
      <c r="GC134" s="73">
        <v>184152.92</v>
      </c>
      <c r="GD134" s="142"/>
      <c r="GE134" s="92">
        <f>GG134/GF134</f>
        <v>11.723555791104406</v>
      </c>
      <c r="GF134" s="410">
        <v>24529</v>
      </c>
      <c r="GG134" s="414">
        <f>1.2*239639.25</f>
        <v>287567.09999999998</v>
      </c>
      <c r="GH134" s="73" t="s">
        <v>178</v>
      </c>
      <c r="GI134" s="142"/>
      <c r="GJ134" s="98">
        <f>1.2*8.31581</f>
        <v>9.9789720000000006</v>
      </c>
      <c r="GK134" s="413">
        <v>16544</v>
      </c>
      <c r="GL134" s="414">
        <f>1.2*186358.9</f>
        <v>223630.68</v>
      </c>
      <c r="GM134" s="1555">
        <v>256447.5</v>
      </c>
      <c r="GN134" s="142"/>
      <c r="GO134" s="92">
        <f>GQ134/GP134</f>
        <v>15.532104268719381</v>
      </c>
      <c r="GP134" s="413">
        <v>11432</v>
      </c>
      <c r="GQ134" s="414">
        <f>1.2*147969.18</f>
        <v>177563.01599999997</v>
      </c>
      <c r="GR134" s="509" t="s">
        <v>466</v>
      </c>
      <c r="GS134" s="142"/>
      <c r="GT134" s="92">
        <f>GV134/GU134</f>
        <v>12.436416269895252</v>
      </c>
      <c r="GU134" s="410">
        <v>22053</v>
      </c>
      <c r="GV134" s="414">
        <f>1.2*228550.24</f>
        <v>274260.288</v>
      </c>
      <c r="GW134" s="1567" t="s">
        <v>1190</v>
      </c>
      <c r="GX134" s="142"/>
      <c r="GY134" s="92">
        <f>HA134/GZ134</f>
        <v>8.4840357734349112</v>
      </c>
      <c r="GZ134" s="58">
        <v>12076</v>
      </c>
      <c r="HA134" s="63">
        <f>1.2*85377.68</f>
        <v>102453.21599999999</v>
      </c>
      <c r="HB134" s="73">
        <v>132925</v>
      </c>
      <c r="HC134" s="142"/>
      <c r="HD134" s="92">
        <f>HF134/HE134</f>
        <v>8.7058559616810172</v>
      </c>
      <c r="HE134" s="58">
        <v>17537</v>
      </c>
      <c r="HF134" s="63">
        <f>127228.83*1.2</f>
        <v>152674.59599999999</v>
      </c>
      <c r="HG134" s="73" t="s">
        <v>531</v>
      </c>
      <c r="HH134" s="142"/>
      <c r="HI134" s="92">
        <f>HK134/HJ134</f>
        <v>8.7029277966575123</v>
      </c>
      <c r="HJ134" s="58">
        <v>21481</v>
      </c>
      <c r="HK134" s="63">
        <f>1.2*155789.66</f>
        <v>186947.592</v>
      </c>
      <c r="HL134" s="73">
        <v>185109</v>
      </c>
      <c r="HM134" s="142"/>
      <c r="HN134" s="92">
        <f>HP134/HO134</f>
        <v>9.4514517083357497</v>
      </c>
      <c r="HO134" s="58">
        <v>17239</v>
      </c>
      <c r="HP134" s="63">
        <f>1.2*135777.98</f>
        <v>162933.576</v>
      </c>
      <c r="HQ134" s="73" t="s">
        <v>540</v>
      </c>
      <c r="HR134" s="142"/>
      <c r="HS134" s="92">
        <f>HU134/HT134</f>
        <v>9.4873798449612394</v>
      </c>
      <c r="HT134" s="58">
        <v>20124</v>
      </c>
      <c r="HU134" s="58">
        <f>1.2*159103.36</f>
        <v>190924.03199999998</v>
      </c>
      <c r="HV134" s="73">
        <v>188026.55999999997</v>
      </c>
      <c r="HW134" s="142"/>
      <c r="HX134" s="92">
        <f>HZ134/HY134</f>
        <v>8.927675944128298</v>
      </c>
      <c r="HY134" s="58">
        <v>19330</v>
      </c>
      <c r="HZ134" s="63">
        <f>1.2*143809.98</f>
        <v>172571.976</v>
      </c>
      <c r="IA134" s="73">
        <v>162649.59999999998</v>
      </c>
      <c r="IB134" s="142"/>
      <c r="IC134" s="92">
        <f>IE134/ID134</f>
        <v>11.073768040132059</v>
      </c>
      <c r="ID134" s="58">
        <v>23323</v>
      </c>
      <c r="IE134" s="63">
        <f>1.2*215227.91</f>
        <v>258273.492</v>
      </c>
      <c r="IF134" s="73">
        <v>230600</v>
      </c>
      <c r="IG134" s="142"/>
      <c r="IH134" s="92">
        <f>IJ134/II134</f>
        <v>5.9969758542141225</v>
      </c>
      <c r="II134" s="58">
        <v>10975</v>
      </c>
      <c r="IJ134" s="63">
        <v>65816.81</v>
      </c>
      <c r="IK134" s="73">
        <v>184152.92</v>
      </c>
      <c r="IL134" s="142"/>
      <c r="IM134" s="92">
        <f>IO134/IN134</f>
        <v>5.9969758542141225</v>
      </c>
      <c r="IN134" s="58">
        <v>10975</v>
      </c>
      <c r="IO134" s="63">
        <v>65816.81</v>
      </c>
      <c r="IP134" s="73" t="s">
        <v>178</v>
      </c>
      <c r="IQ134" s="142"/>
    </row>
    <row r="135" spans="1:251" s="264" customFormat="1" ht="15" customHeight="1" thickBot="1">
      <c r="A135" s="648"/>
      <c r="B135" s="257"/>
      <c r="C135" s="258"/>
      <c r="D135" s="20"/>
      <c r="E135" s="259" t="s">
        <v>78</v>
      </c>
      <c r="F135" s="23"/>
      <c r="G135" s="168">
        <f>I135/H135</f>
        <v>5</v>
      </c>
      <c r="H135" s="169">
        <v>1</v>
      </c>
      <c r="I135" s="169">
        <v>5</v>
      </c>
      <c r="J135" s="48"/>
      <c r="K135" s="49"/>
      <c r="L135" s="168">
        <f>N135/M135</f>
        <v>5</v>
      </c>
      <c r="M135" s="169">
        <v>1</v>
      </c>
      <c r="N135" s="169">
        <v>5</v>
      </c>
      <c r="O135" s="48"/>
      <c r="P135" s="49"/>
      <c r="Q135" s="168">
        <f>S135/R135</f>
        <v>5</v>
      </c>
      <c r="R135" s="169">
        <v>1</v>
      </c>
      <c r="S135" s="169">
        <v>5</v>
      </c>
      <c r="T135" s="48"/>
      <c r="U135" s="49"/>
      <c r="V135" s="209">
        <f>X135/W135</f>
        <v>5</v>
      </c>
      <c r="W135" s="169">
        <v>1</v>
      </c>
      <c r="X135" s="169">
        <v>5</v>
      </c>
      <c r="Y135" s="48"/>
      <c r="Z135" s="48"/>
      <c r="AA135" s="3">
        <f>AC135/AB135</f>
        <v>5</v>
      </c>
      <c r="AB135" s="169">
        <v>1</v>
      </c>
      <c r="AC135" s="169">
        <v>5</v>
      </c>
      <c r="AD135" s="48"/>
      <c r="AE135" s="48"/>
      <c r="AF135" s="3">
        <f>AH135/AG135</f>
        <v>5</v>
      </c>
      <c r="AG135" s="169">
        <v>1</v>
      </c>
      <c r="AH135" s="169">
        <v>5</v>
      </c>
      <c r="AI135" s="48"/>
      <c r="AJ135" s="48"/>
      <c r="AK135" s="3">
        <f>AM135/AL135</f>
        <v>5</v>
      </c>
      <c r="AL135" s="169">
        <v>1</v>
      </c>
      <c r="AM135" s="169">
        <v>5</v>
      </c>
      <c r="AN135" s="48"/>
      <c r="AO135" s="48"/>
      <c r="AP135" s="3">
        <f>AR135/AQ135</f>
        <v>5</v>
      </c>
      <c r="AQ135" s="169">
        <v>1</v>
      </c>
      <c r="AR135" s="169">
        <v>5</v>
      </c>
      <c r="AS135" s="48"/>
      <c r="AT135" s="48"/>
      <c r="AU135" s="3">
        <f>AW135/AV135</f>
        <v>5</v>
      </c>
      <c r="AV135" s="169">
        <v>1</v>
      </c>
      <c r="AW135" s="169">
        <v>5</v>
      </c>
      <c r="AX135" s="48"/>
      <c r="AY135" s="48"/>
      <c r="AZ135" s="3">
        <f>BB135/BA135</f>
        <v>5</v>
      </c>
      <c r="BA135" s="169">
        <v>1</v>
      </c>
      <c r="BB135" s="169">
        <v>5</v>
      </c>
      <c r="BC135" s="48"/>
      <c r="BD135" s="48"/>
      <c r="BE135" s="3">
        <f>BG135/BF135</f>
        <v>5</v>
      </c>
      <c r="BF135" s="169">
        <v>1</v>
      </c>
      <c r="BG135" s="169">
        <v>5</v>
      </c>
      <c r="BH135" s="48"/>
      <c r="BI135" s="48"/>
      <c r="BJ135" s="3">
        <f>BL135/BK135</f>
        <v>5</v>
      </c>
      <c r="BK135" s="169">
        <v>1</v>
      </c>
      <c r="BL135" s="169">
        <v>5</v>
      </c>
      <c r="BM135" s="48"/>
      <c r="BN135" s="48"/>
      <c r="BO135" s="3">
        <f>BQ135/BP135</f>
        <v>5</v>
      </c>
      <c r="BP135" s="169">
        <v>1</v>
      </c>
      <c r="BQ135" s="169">
        <v>5</v>
      </c>
      <c r="BR135" s="48"/>
      <c r="BS135" s="48"/>
      <c r="BT135" s="3">
        <f>BV135/BU135</f>
        <v>5</v>
      </c>
      <c r="BU135" s="169">
        <v>1</v>
      </c>
      <c r="BV135" s="169">
        <v>5</v>
      </c>
      <c r="BW135" s="48"/>
      <c r="BX135" s="48"/>
      <c r="BY135" s="3">
        <f>CA135/BZ135</f>
        <v>5</v>
      </c>
      <c r="BZ135" s="169">
        <v>1</v>
      </c>
      <c r="CA135" s="169">
        <v>5</v>
      </c>
      <c r="CB135" s="48"/>
      <c r="CC135" s="48"/>
      <c r="CD135" s="3">
        <f>CF135/CE135</f>
        <v>5</v>
      </c>
      <c r="CE135" s="169">
        <v>1</v>
      </c>
      <c r="CF135" s="169">
        <v>5</v>
      </c>
      <c r="CG135" s="48"/>
      <c r="CH135" s="48"/>
      <c r="CI135" s="3">
        <f>CK135/CJ135</f>
        <v>5</v>
      </c>
      <c r="CJ135" s="169">
        <v>1</v>
      </c>
      <c r="CK135" s="169">
        <v>5</v>
      </c>
      <c r="CL135" s="48"/>
      <c r="CM135" s="48"/>
      <c r="CN135" s="3">
        <f>CP135/CO135</f>
        <v>5</v>
      </c>
      <c r="CO135" s="169">
        <v>1</v>
      </c>
      <c r="CP135" s="169">
        <v>5</v>
      </c>
      <c r="CQ135" s="48"/>
      <c r="CR135" s="48"/>
      <c r="CS135" s="3">
        <f>CU135/CT135</f>
        <v>5</v>
      </c>
      <c r="CT135" s="169">
        <v>1</v>
      </c>
      <c r="CU135" s="169">
        <v>5</v>
      </c>
      <c r="CV135" s="48"/>
      <c r="CW135" s="48"/>
      <c r="CX135" s="3">
        <f>CZ135/CY135</f>
        <v>5</v>
      </c>
      <c r="CY135" s="169">
        <v>1</v>
      </c>
      <c r="CZ135" s="169">
        <v>5</v>
      </c>
      <c r="DA135" s="48"/>
      <c r="DB135" s="48"/>
      <c r="DC135" s="3">
        <f>DE135/DD135</f>
        <v>5</v>
      </c>
      <c r="DD135" s="169">
        <v>1</v>
      </c>
      <c r="DE135" s="169">
        <v>5</v>
      </c>
      <c r="DF135" s="48"/>
      <c r="DG135" s="48"/>
      <c r="DH135" s="3">
        <f>DJ135/DI135</f>
        <v>5</v>
      </c>
      <c r="DI135" s="169">
        <v>1</v>
      </c>
      <c r="DJ135" s="169">
        <v>5</v>
      </c>
      <c r="DK135" s="48"/>
      <c r="DL135" s="48"/>
      <c r="DM135" s="3">
        <f>DO135/DN135</f>
        <v>5</v>
      </c>
      <c r="DN135" s="169">
        <v>1</v>
      </c>
      <c r="DO135" s="169">
        <v>5</v>
      </c>
      <c r="DP135" s="48"/>
      <c r="DQ135" s="48"/>
      <c r="DR135" s="3">
        <f>DT135/DS135</f>
        <v>5</v>
      </c>
      <c r="DS135" s="169">
        <v>1</v>
      </c>
      <c r="DT135" s="169">
        <v>5</v>
      </c>
      <c r="DU135" s="48"/>
      <c r="DV135" s="48"/>
      <c r="DW135" s="3">
        <f>DY135/DX135</f>
        <v>5</v>
      </c>
      <c r="DX135" s="169">
        <v>1</v>
      </c>
      <c r="DY135" s="169">
        <v>5</v>
      </c>
      <c r="DZ135" s="48"/>
      <c r="EA135" s="48"/>
      <c r="EB135" s="3">
        <f>ED135/EC135</f>
        <v>5</v>
      </c>
      <c r="EC135" s="169">
        <v>1</v>
      </c>
      <c r="ED135" s="169">
        <v>5</v>
      </c>
      <c r="EE135" s="48"/>
      <c r="EF135" s="48"/>
      <c r="EG135" s="3">
        <f>EI135/EH135</f>
        <v>5</v>
      </c>
      <c r="EH135" s="169">
        <v>1</v>
      </c>
      <c r="EI135" s="169">
        <v>5</v>
      </c>
      <c r="EJ135" s="48"/>
      <c r="EK135" s="48"/>
      <c r="EL135" s="3">
        <f>EN135/EM135</f>
        <v>5</v>
      </c>
      <c r="EM135" s="169">
        <v>1</v>
      </c>
      <c r="EN135" s="169">
        <v>5</v>
      </c>
      <c r="EO135" s="48"/>
      <c r="EP135" s="48"/>
      <c r="EQ135" s="3">
        <f>ES135/ER135</f>
        <v>5</v>
      </c>
      <c r="ER135" s="169">
        <v>1</v>
      </c>
      <c r="ES135" s="169">
        <v>5</v>
      </c>
      <c r="ET135" s="48"/>
      <c r="EU135" s="48"/>
      <c r="EV135" s="3">
        <f>EX135/EW135</f>
        <v>5</v>
      </c>
      <c r="EW135" s="169">
        <v>1</v>
      </c>
      <c r="EX135" s="169">
        <v>5</v>
      </c>
      <c r="EY135" s="48"/>
      <c r="EZ135" s="48"/>
      <c r="FA135" s="3">
        <f>FC135/FB135</f>
        <v>5</v>
      </c>
      <c r="FB135" s="169">
        <v>1</v>
      </c>
      <c r="FC135" s="169">
        <v>5</v>
      </c>
      <c r="FD135" s="48"/>
      <c r="FE135" s="48"/>
      <c r="FF135" s="3">
        <f>FH135/FG135</f>
        <v>5</v>
      </c>
      <c r="FG135" s="169">
        <v>1</v>
      </c>
      <c r="FH135" s="169">
        <v>5</v>
      </c>
      <c r="FI135" s="48"/>
      <c r="FJ135" s="48"/>
      <c r="FK135" s="3">
        <f>FM135/FL135</f>
        <v>5</v>
      </c>
      <c r="FL135" s="169">
        <v>1</v>
      </c>
      <c r="FM135" s="169">
        <v>5</v>
      </c>
      <c r="FN135" s="48"/>
      <c r="FO135" s="48"/>
      <c r="FP135" s="3">
        <f>FR135/FQ135</f>
        <v>5</v>
      </c>
      <c r="FQ135" s="169">
        <v>1</v>
      </c>
      <c r="FR135" s="169">
        <v>5</v>
      </c>
      <c r="FS135" s="48"/>
      <c r="FT135" s="48"/>
      <c r="FU135" s="3">
        <f>FW135/FV135</f>
        <v>5</v>
      </c>
      <c r="FV135" s="169">
        <v>1</v>
      </c>
      <c r="FW135" s="169">
        <v>5</v>
      </c>
      <c r="FX135" s="48"/>
      <c r="FY135" s="48"/>
      <c r="FZ135" s="3">
        <f>GB135/GA135</f>
        <v>5</v>
      </c>
      <c r="GA135" s="169">
        <v>1</v>
      </c>
      <c r="GB135" s="169">
        <v>5</v>
      </c>
      <c r="GC135" s="48"/>
      <c r="GD135" s="48"/>
      <c r="GE135" s="3">
        <f>GG135/GF135</f>
        <v>5</v>
      </c>
      <c r="GF135" s="169">
        <v>1</v>
      </c>
      <c r="GG135" s="169">
        <v>5</v>
      </c>
      <c r="GH135" s="48"/>
      <c r="GI135" s="48"/>
      <c r="GJ135" s="285">
        <f>GL135/GK135</f>
        <v>5</v>
      </c>
      <c r="GK135" s="169">
        <v>1</v>
      </c>
      <c r="GL135" s="169">
        <v>5</v>
      </c>
      <c r="GM135" s="48"/>
      <c r="GN135" s="48"/>
      <c r="GO135" s="3">
        <f>GQ135/GP135</f>
        <v>5</v>
      </c>
      <c r="GP135" s="169">
        <v>1</v>
      </c>
      <c r="GQ135" s="169">
        <v>5</v>
      </c>
      <c r="GR135" s="48"/>
      <c r="GS135" s="48"/>
      <c r="GT135" s="3">
        <f>GV135/GU135</f>
        <v>5</v>
      </c>
      <c r="GU135" s="169">
        <v>1</v>
      </c>
      <c r="GV135" s="169">
        <v>5</v>
      </c>
      <c r="GW135" s="48"/>
      <c r="GX135" s="48"/>
      <c r="GY135" s="3">
        <f>HA135/GZ135</f>
        <v>5</v>
      </c>
      <c r="GZ135" s="169">
        <v>1</v>
      </c>
      <c r="HA135" s="169">
        <v>5</v>
      </c>
      <c r="HB135" s="48"/>
      <c r="HC135" s="48"/>
      <c r="HD135" s="3">
        <f>HF135/HE135</f>
        <v>5</v>
      </c>
      <c r="HE135" s="169">
        <v>1</v>
      </c>
      <c r="HF135" s="169">
        <v>5</v>
      </c>
      <c r="HG135" s="48"/>
      <c r="HH135" s="48"/>
      <c r="HI135" s="3">
        <f>HK135/HJ135</f>
        <v>5</v>
      </c>
      <c r="HJ135" s="169">
        <v>1</v>
      </c>
      <c r="HK135" s="169">
        <v>5</v>
      </c>
      <c r="HL135" s="48"/>
      <c r="HM135" s="48"/>
      <c r="HN135" s="3">
        <f>HP135/HO135</f>
        <v>5</v>
      </c>
      <c r="HO135" s="169">
        <v>1</v>
      </c>
      <c r="HP135" s="169">
        <v>5</v>
      </c>
      <c r="HQ135" s="48"/>
      <c r="HR135" s="48"/>
      <c r="HS135" s="3">
        <f>HU135/HT135</f>
        <v>5</v>
      </c>
      <c r="HT135" s="169">
        <v>1</v>
      </c>
      <c r="HU135" s="169">
        <v>5</v>
      </c>
      <c r="HV135" s="48"/>
      <c r="HW135" s="48"/>
      <c r="HX135" s="3">
        <f>HZ135/HY135</f>
        <v>5</v>
      </c>
      <c r="HY135" s="169">
        <v>1</v>
      </c>
      <c r="HZ135" s="169">
        <v>5</v>
      </c>
      <c r="IA135" s="48"/>
      <c r="IB135" s="48"/>
      <c r="IC135" s="3">
        <f>IE135/ID135</f>
        <v>5</v>
      </c>
      <c r="ID135" s="169">
        <v>1</v>
      </c>
      <c r="IE135" s="169">
        <v>5</v>
      </c>
      <c r="IF135" s="48"/>
      <c r="IG135" s="48"/>
      <c r="IH135" s="3">
        <f>IJ135/II135</f>
        <v>5</v>
      </c>
      <c r="II135" s="169">
        <v>1</v>
      </c>
      <c r="IJ135" s="169">
        <v>5</v>
      </c>
      <c r="IK135" s="48"/>
      <c r="IL135" s="48"/>
      <c r="IM135" s="3">
        <f>IO135/IN135</f>
        <v>5</v>
      </c>
      <c r="IN135" s="169">
        <v>1</v>
      </c>
      <c r="IO135" s="169">
        <v>5</v>
      </c>
      <c r="IP135" s="48"/>
      <c r="IQ135" s="48"/>
    </row>
    <row r="136" spans="1:251" s="249" customFormat="1" ht="15" customHeight="1">
      <c r="A136" s="649"/>
      <c r="B136" s="265" t="s">
        <v>313</v>
      </c>
      <c r="C136" s="5" t="s">
        <v>79</v>
      </c>
      <c r="D136" s="6" t="s">
        <v>25</v>
      </c>
      <c r="E136" s="7" t="s">
        <v>10</v>
      </c>
      <c r="F136" s="4"/>
      <c r="G136" s="196"/>
      <c r="H136" s="200"/>
      <c r="I136" s="197"/>
      <c r="J136" s="38"/>
      <c r="K136" s="206"/>
      <c r="L136" s="196"/>
      <c r="M136" s="200"/>
      <c r="N136" s="197"/>
      <c r="O136" s="38"/>
      <c r="P136" s="206"/>
      <c r="Q136" s="196"/>
      <c r="R136" s="200"/>
      <c r="S136" s="197"/>
      <c r="T136" s="38"/>
      <c r="U136" s="206"/>
      <c r="V136" s="207"/>
      <c r="W136" s="200"/>
      <c r="X136" s="204">
        <v>2783</v>
      </c>
      <c r="Y136" s="38"/>
      <c r="Z136" s="384">
        <f>SUM(X136:X142)*1.1</f>
        <v>191858.08400000003</v>
      </c>
      <c r="AA136" s="36"/>
      <c r="AB136" s="200"/>
      <c r="AC136" s="204">
        <v>1518</v>
      </c>
      <c r="AD136" s="38"/>
      <c r="AE136" s="384">
        <f>SUM(AC136:AC142)*1.1</f>
        <v>135831.14600000001</v>
      </c>
      <c r="AF136" s="36"/>
      <c r="AG136" s="200"/>
      <c r="AH136" s="204">
        <v>2277</v>
      </c>
      <c r="AI136" s="38"/>
      <c r="AJ136" s="384">
        <f>AJ139*1.1</f>
        <v>169902.48</v>
      </c>
      <c r="AK136" s="36"/>
      <c r="AL136" s="200"/>
      <c r="AM136" s="204">
        <v>2530</v>
      </c>
      <c r="AN136" s="38"/>
      <c r="AO136" s="384">
        <f>AO139*1.1</f>
        <v>111952.94000000002</v>
      </c>
      <c r="AP136" s="36"/>
      <c r="AQ136" s="200"/>
      <c r="AR136" s="204">
        <v>810.82</v>
      </c>
      <c r="AS136" s="427"/>
      <c r="AT136" s="384">
        <f>SUM(AR136:AR142)*1.1</f>
        <v>163208.38600000003</v>
      </c>
      <c r="AU136" s="36"/>
      <c r="AV136" s="200"/>
      <c r="AW136" s="204">
        <v>850.37</v>
      </c>
      <c r="AX136" s="427"/>
      <c r="AY136" s="384">
        <f>SUM(AW136:AW142)*1.1</f>
        <v>142116.26</v>
      </c>
      <c r="AZ136" s="36"/>
      <c r="BA136" s="380"/>
      <c r="BB136" s="204">
        <v>830.59</v>
      </c>
      <c r="BC136" s="427"/>
      <c r="BD136" s="384">
        <f>SUM(BB136:BB142)*1.1</f>
        <v>317536.14199999999</v>
      </c>
      <c r="BE136" s="36"/>
      <c r="BF136" s="380"/>
      <c r="BG136" s="204">
        <v>1074.5</v>
      </c>
      <c r="BH136" s="427"/>
      <c r="BI136" s="384">
        <f>SUM(BG136:BG142)*1.1</f>
        <v>138830.076</v>
      </c>
      <c r="BJ136" s="36"/>
      <c r="BK136" s="200"/>
      <c r="BL136" s="197"/>
      <c r="BM136" s="38"/>
      <c r="BN136" s="384">
        <f>SUM(BL136:BL142)*1.1</f>
        <v>89895.546400000007</v>
      </c>
      <c r="BO136" s="36"/>
      <c r="BP136" s="380"/>
      <c r="BQ136" s="204">
        <v>824</v>
      </c>
      <c r="BR136" s="427"/>
      <c r="BS136" s="384">
        <f>SUM(BQ136:BQ142)*1.1</f>
        <v>302889.92800000001</v>
      </c>
      <c r="BT136" s="36"/>
      <c r="BU136" s="380"/>
      <c r="BV136" s="204">
        <v>962.43</v>
      </c>
      <c r="BW136" s="427"/>
      <c r="BX136" s="384">
        <f>SUM(BV136:BV142)*1.1</f>
        <v>210941.62100000004</v>
      </c>
      <c r="BY136" s="36"/>
      <c r="BZ136" s="200"/>
      <c r="CA136" s="197"/>
      <c r="CB136" s="38"/>
      <c r="CC136" s="384">
        <f>SUM(CA136:CA142)*1.1</f>
        <v>204428.79600000003</v>
      </c>
      <c r="CD136" s="36"/>
      <c r="CE136" s="200"/>
      <c r="CF136" s="197"/>
      <c r="CG136" s="38"/>
      <c r="CH136" s="384">
        <f>SUM(CF136:CF142)*1.1</f>
        <v>201400.34640000004</v>
      </c>
      <c r="CI136" s="36"/>
      <c r="CJ136" s="200"/>
      <c r="CK136" s="197"/>
      <c r="CL136" s="38"/>
      <c r="CM136" s="384">
        <f>SUM(CK136:CK142)*1.1</f>
        <v>176388.13500000001</v>
      </c>
      <c r="CN136" s="36"/>
      <c r="CO136" s="380"/>
      <c r="CP136" s="204">
        <v>962.43</v>
      </c>
      <c r="CQ136" s="427"/>
      <c r="CR136" s="384">
        <f>SUM(CP136:CP142)*1.1</f>
        <v>131286.9602</v>
      </c>
      <c r="CS136" s="36"/>
      <c r="CT136" s="200"/>
      <c r="CU136" s="197"/>
      <c r="CV136" s="38"/>
      <c r="CW136" s="384">
        <f>SUM(CU136:CU142)*1.1</f>
        <v>171383.9688</v>
      </c>
      <c r="CX136" s="36"/>
      <c r="CY136" s="200"/>
      <c r="CZ136" s="197"/>
      <c r="DA136" s="38"/>
      <c r="DB136" s="384">
        <f>SUM(CZ136:CZ142)*1.1</f>
        <v>173769.06360000002</v>
      </c>
      <c r="DC136" s="36"/>
      <c r="DD136" s="380"/>
      <c r="DE136" s="204">
        <v>975.62</v>
      </c>
      <c r="DF136" s="427"/>
      <c r="DG136" s="384">
        <f>SUM(DE136:DE142)*1.1</f>
        <v>239030.79640000005</v>
      </c>
      <c r="DH136" s="36"/>
      <c r="DI136" s="200"/>
      <c r="DJ136" s="197"/>
      <c r="DK136" s="38"/>
      <c r="DL136" s="384">
        <f>SUM(DJ136:DJ142)*1.1</f>
        <v>207219.93600000002</v>
      </c>
      <c r="DM136" s="36"/>
      <c r="DN136" s="200"/>
      <c r="DO136" s="197"/>
      <c r="DP136" s="38"/>
      <c r="DQ136" s="384">
        <f>SUM(DO136:DO142)*1.1</f>
        <v>238628.34600000005</v>
      </c>
      <c r="DR136" s="36"/>
      <c r="DS136" s="200"/>
      <c r="DT136" s="197"/>
      <c r="DU136" s="38"/>
      <c r="DV136" s="384">
        <f>SUM(DT136:DT142)*1.1</f>
        <v>255845.80780000004</v>
      </c>
      <c r="DW136" s="36"/>
      <c r="DX136" s="200"/>
      <c r="DY136" s="197"/>
      <c r="DZ136" s="38"/>
      <c r="EA136" s="384">
        <f>SUM(DY136:DY142)*1.1</f>
        <v>235265.59320000003</v>
      </c>
      <c r="EB136" s="36"/>
      <c r="EC136" s="380"/>
      <c r="ED136" s="204">
        <f>949.25</f>
        <v>949.25</v>
      </c>
      <c r="EE136" s="427"/>
      <c r="EF136" s="384">
        <f>SUM(ED136:ED142)*1.1</f>
        <v>213051.27800000002</v>
      </c>
      <c r="EG136" s="36"/>
      <c r="EH136" s="200"/>
      <c r="EI136" s="197"/>
      <c r="EJ136" s="38"/>
      <c r="EK136" s="384">
        <f>SUM(EI136:EI142)*1.1</f>
        <v>267726.53159999999</v>
      </c>
      <c r="EL136" s="36"/>
      <c r="EM136" s="200"/>
      <c r="EN136" s="197"/>
      <c r="EO136" s="38"/>
      <c r="EP136" s="384">
        <f>SUM(EN136:EN142)*1.1</f>
        <v>257151.36480000001</v>
      </c>
      <c r="EQ136" s="36"/>
      <c r="ER136" s="200"/>
      <c r="ES136" s="197"/>
      <c r="ET136" s="38"/>
      <c r="EU136" s="384">
        <f>SUM(ES136:ES142)*1.1</f>
        <v>176388.13500000001</v>
      </c>
      <c r="EV136" s="36"/>
      <c r="EW136" s="200"/>
      <c r="EX136" s="197">
        <v>962.43</v>
      </c>
      <c r="EY136" s="38"/>
      <c r="EZ136" s="384">
        <f>SUM(EX136:EX142)*1.1</f>
        <v>235206.37579999998</v>
      </c>
      <c r="FA136" s="36"/>
      <c r="FB136" s="380"/>
      <c r="FC136" s="204">
        <v>903.1</v>
      </c>
      <c r="FD136" s="427"/>
      <c r="FE136" s="384">
        <f>SUM(FC136:FC142)*1.1</f>
        <v>12794.331</v>
      </c>
      <c r="FF136" s="36"/>
      <c r="FG136" s="380"/>
      <c r="FH136" s="204">
        <v>916.29</v>
      </c>
      <c r="FI136" s="427"/>
      <c r="FJ136" s="384">
        <f>SUM(FH136:FH142)*1.1</f>
        <v>12808.839999999998</v>
      </c>
      <c r="FK136" s="36"/>
      <c r="FL136" s="200"/>
      <c r="FM136" s="197">
        <v>975.62</v>
      </c>
      <c r="FN136" s="38"/>
      <c r="FO136" s="384">
        <f>SUM(FM136:FM142)*1.1</f>
        <v>255201.32440000001</v>
      </c>
      <c r="FP136" s="36"/>
      <c r="FQ136" s="380">
        <v>659.2</v>
      </c>
      <c r="FR136" s="204">
        <v>883.33</v>
      </c>
      <c r="FS136" s="427"/>
      <c r="FT136" s="384">
        <f>SUM(FR136:FR142)*1.1</f>
        <v>237428.02160000001</v>
      </c>
      <c r="FU136" s="36"/>
      <c r="FV136" s="200"/>
      <c r="FW136" s="197"/>
      <c r="FX136" s="38"/>
      <c r="FY136" s="384">
        <f>SUM(FW136:FW142)*1.1</f>
        <v>273606.33960000006</v>
      </c>
      <c r="FZ136" s="36"/>
      <c r="GA136" s="200"/>
      <c r="GB136" s="197"/>
      <c r="GC136" s="38"/>
      <c r="GD136" s="384">
        <f>SUM(GB136:GB142)*1.1</f>
        <v>234317.18860000005</v>
      </c>
      <c r="GE136" s="36"/>
      <c r="GF136" s="200"/>
      <c r="GG136" s="197"/>
      <c r="GH136" s="38"/>
      <c r="GI136" s="384">
        <f>SUM(GG136:GG142)*1.1</f>
        <v>205135.80120000005</v>
      </c>
      <c r="GJ136" s="280"/>
      <c r="GK136" s="200"/>
      <c r="GL136" s="197">
        <f>949.25</f>
        <v>949.25</v>
      </c>
      <c r="GM136" s="38"/>
      <c r="GN136" s="384">
        <f>SUM(GL136:GL142)*1.1</f>
        <v>213051.27800000002</v>
      </c>
      <c r="GO136" s="36"/>
      <c r="GP136" s="200"/>
      <c r="GQ136" s="197">
        <v>843.78</v>
      </c>
      <c r="GR136" s="38"/>
      <c r="GS136" s="384">
        <f>SUM(GQ136:GQ142)*1.1</f>
        <v>169833.04800000001</v>
      </c>
      <c r="GT136" s="36"/>
      <c r="GU136" s="200"/>
      <c r="GV136" s="197"/>
      <c r="GW136" s="38"/>
      <c r="GX136" s="384">
        <f>SUM(GV136:GV142)*1.1</f>
        <v>260449.80720000004</v>
      </c>
      <c r="GY136" s="36"/>
      <c r="GZ136" s="200"/>
      <c r="HA136" s="197"/>
      <c r="HB136" s="38"/>
      <c r="HC136" s="384">
        <f>SUM(HA136:HA142)*1.1</f>
        <v>176388.13500000001</v>
      </c>
      <c r="HD136" s="36"/>
      <c r="HE136" s="200"/>
      <c r="HF136" s="197">
        <v>962.43</v>
      </c>
      <c r="HG136" s="38"/>
      <c r="HH136" s="384">
        <f>SUM(HF136:HF142)*1.1</f>
        <v>235206.37579999998</v>
      </c>
      <c r="HI136" s="36"/>
      <c r="HJ136" s="200"/>
      <c r="HK136" s="197">
        <v>903.1</v>
      </c>
      <c r="HL136" s="38"/>
      <c r="HM136" s="384">
        <f>SUM(HK136:HK142)*1.1</f>
        <v>12794.331</v>
      </c>
      <c r="HN136" s="36"/>
      <c r="HO136" s="200"/>
      <c r="HP136" s="197">
        <v>916.29</v>
      </c>
      <c r="HQ136" s="38"/>
      <c r="HR136" s="384">
        <f>SUM(HP136:HP142)*1.1</f>
        <v>12808.839999999998</v>
      </c>
      <c r="HS136" s="36"/>
      <c r="HT136" s="200"/>
      <c r="HU136" s="197">
        <v>975.62</v>
      </c>
      <c r="HV136" s="38"/>
      <c r="HW136" s="384">
        <f>SUM(HU136:HU142)*1.1</f>
        <v>255201.32440000001</v>
      </c>
      <c r="HX136" s="36"/>
      <c r="HY136" s="200">
        <v>659.2</v>
      </c>
      <c r="HZ136" s="197">
        <v>883.33</v>
      </c>
      <c r="IA136" s="38"/>
      <c r="IB136" s="384">
        <f>SUM(HZ136:HZ142)*1.1</f>
        <v>237428.02160000001</v>
      </c>
      <c r="IC136" s="36"/>
      <c r="ID136" s="200"/>
      <c r="IE136" s="197"/>
      <c r="IF136" s="38"/>
      <c r="IG136" s="384">
        <f>SUM(IE136:IE142)*1.1</f>
        <v>273606.33960000006</v>
      </c>
      <c r="IH136" s="36"/>
      <c r="II136" s="200"/>
      <c r="IJ136" s="197"/>
      <c r="IK136" s="38"/>
      <c r="IL136" s="384">
        <f>SUM(IJ136:IJ142)*1.1</f>
        <v>94182.565400000007</v>
      </c>
      <c r="IM136" s="36"/>
      <c r="IN136" s="200"/>
      <c r="IO136" s="197"/>
      <c r="IP136" s="38"/>
      <c r="IQ136" s="384">
        <f>SUM(IO136:IO142)*1.1</f>
        <v>89895.546400000007</v>
      </c>
    </row>
    <row r="137" spans="1:251" s="1443" customFormat="1" ht="15" customHeight="1">
      <c r="A137" s="1428"/>
      <c r="B137" s="1429"/>
      <c r="C137" s="1430"/>
      <c r="D137" s="1431" t="s">
        <v>80</v>
      </c>
      <c r="E137" s="1432" t="s">
        <v>393</v>
      </c>
      <c r="F137" s="1432"/>
      <c r="G137" s="1433"/>
      <c r="H137" s="1434"/>
      <c r="I137" s="1435"/>
      <c r="J137" s="1435"/>
      <c r="K137" s="1436"/>
      <c r="L137" s="1437"/>
      <c r="M137" s="1438"/>
      <c r="N137" s="1439"/>
      <c r="O137" s="1439"/>
      <c r="P137" s="1440"/>
      <c r="Q137" s="1437"/>
      <c r="R137" s="1438"/>
      <c r="S137" s="1439"/>
      <c r="T137" s="1439"/>
      <c r="U137" s="1440"/>
      <c r="V137" s="1441"/>
      <c r="W137" s="1438"/>
      <c r="X137" s="1439"/>
      <c r="Y137" s="1439"/>
      <c r="Z137" s="1439"/>
      <c r="AA137" s="1442"/>
      <c r="AB137" s="1438"/>
      <c r="AC137" s="1439"/>
      <c r="AD137" s="1439"/>
      <c r="AE137" s="1439"/>
      <c r="AF137" s="1442"/>
      <c r="AG137" s="1438"/>
      <c r="AH137" s="1439"/>
      <c r="AI137" s="1439"/>
      <c r="AJ137" s="1439"/>
      <c r="AK137" s="1442"/>
      <c r="AL137" s="1438"/>
      <c r="AM137" s="1439"/>
      <c r="AN137" s="1439"/>
      <c r="AO137" s="1439"/>
      <c r="AP137" s="1442"/>
      <c r="AQ137" s="1438"/>
      <c r="AR137" s="1439"/>
      <c r="AS137" s="1439"/>
      <c r="AT137" s="1439"/>
      <c r="AU137" s="1442"/>
      <c r="AV137" s="1438"/>
      <c r="AW137" s="1439"/>
      <c r="AX137" s="1439"/>
      <c r="AY137" s="1439"/>
      <c r="AZ137" s="1442"/>
      <c r="BA137" s="1438"/>
      <c r="BB137" s="1439"/>
      <c r="BC137" s="1439"/>
      <c r="BD137" s="1439"/>
      <c r="BE137" s="1442"/>
      <c r="BF137" s="1438"/>
      <c r="BG137" s="1439"/>
      <c r="BH137" s="1439"/>
      <c r="BI137" s="1439"/>
      <c r="BJ137" s="1442"/>
      <c r="BK137" s="1438"/>
      <c r="BL137" s="1439"/>
      <c r="BM137" s="1439"/>
      <c r="BN137" s="1439"/>
      <c r="BO137" s="1442"/>
      <c r="BP137" s="1438"/>
      <c r="BQ137" s="1439">
        <v>3512.44</v>
      </c>
      <c r="BR137" s="1439"/>
      <c r="BS137" s="1439"/>
      <c r="BT137" s="1442"/>
      <c r="BU137" s="1438"/>
      <c r="BV137" s="1439">
        <v>3512.44</v>
      </c>
      <c r="BW137" s="1439"/>
      <c r="BX137" s="1439"/>
      <c r="BY137" s="1442"/>
      <c r="BZ137" s="1438"/>
      <c r="CA137" s="1439">
        <v>3512.44</v>
      </c>
      <c r="CB137" s="1439"/>
      <c r="CC137" s="1439"/>
      <c r="CD137" s="1442"/>
      <c r="CE137" s="1438"/>
      <c r="CF137" s="1439"/>
      <c r="CG137" s="1439"/>
      <c r="CH137" s="1439"/>
      <c r="CI137" s="1442"/>
      <c r="CJ137" s="1438"/>
      <c r="CK137" s="1439">
        <v>3512.44</v>
      </c>
      <c r="CL137" s="1439"/>
      <c r="CM137" s="1439"/>
      <c r="CN137" s="1442"/>
      <c r="CO137" s="1438"/>
      <c r="CP137" s="1439"/>
      <c r="CQ137" s="1439"/>
      <c r="CR137" s="1439"/>
      <c r="CS137" s="1442"/>
      <c r="CT137" s="1438"/>
      <c r="CU137" s="1439"/>
      <c r="CV137" s="1439"/>
      <c r="CW137" s="1439"/>
      <c r="CX137" s="1442"/>
      <c r="CY137" s="1438"/>
      <c r="CZ137" s="1439"/>
      <c r="DA137" s="1439"/>
      <c r="DB137" s="1439"/>
      <c r="DC137" s="1442"/>
      <c r="DD137" s="1438"/>
      <c r="DE137" s="1439"/>
      <c r="DF137" s="1439"/>
      <c r="DG137" s="1439"/>
      <c r="DH137" s="1442"/>
      <c r="DI137" s="1438"/>
      <c r="DJ137" s="1439"/>
      <c r="DK137" s="1439"/>
      <c r="DL137" s="1439"/>
      <c r="DM137" s="1442"/>
      <c r="DN137" s="1438"/>
      <c r="DO137" s="1439"/>
      <c r="DP137" s="1439"/>
      <c r="DQ137" s="1439"/>
      <c r="DR137" s="1442"/>
      <c r="DS137" s="1438"/>
      <c r="DT137" s="1439"/>
      <c r="DU137" s="1439"/>
      <c r="DV137" s="1439"/>
      <c r="DW137" s="1442"/>
      <c r="DX137" s="1438"/>
      <c r="DY137" s="1439"/>
      <c r="DZ137" s="1439"/>
      <c r="EA137" s="1439"/>
      <c r="EB137" s="1442"/>
      <c r="EC137" s="1466"/>
      <c r="ED137" s="427">
        <f>2517.62+26.96</f>
        <v>2544.58</v>
      </c>
      <c r="EE137" s="427"/>
      <c r="EF137" s="1439"/>
      <c r="EG137" s="1442"/>
      <c r="EH137" s="37"/>
      <c r="EI137" s="38">
        <v>3512.44</v>
      </c>
      <c r="EJ137" s="38"/>
      <c r="EK137" s="1439"/>
      <c r="EL137" s="1442"/>
      <c r="EM137" s="37"/>
      <c r="EN137" s="38"/>
      <c r="EO137" s="38"/>
      <c r="EP137" s="1439"/>
      <c r="EQ137" s="1442"/>
      <c r="ER137" s="37"/>
      <c r="ES137" s="38">
        <v>3512.44</v>
      </c>
      <c r="ET137" s="38"/>
      <c r="EU137" s="1439"/>
      <c r="EV137" s="1442"/>
      <c r="EW137" s="37"/>
      <c r="EX137" s="38"/>
      <c r="EY137" s="38"/>
      <c r="EZ137" s="1439"/>
      <c r="FA137" s="1442"/>
      <c r="FB137" s="37"/>
      <c r="FC137" s="38"/>
      <c r="FD137" s="38"/>
      <c r="FE137" s="1439"/>
      <c r="FF137" s="1442"/>
      <c r="FG137" s="37"/>
      <c r="FH137" s="38"/>
      <c r="FI137" s="38"/>
      <c r="FJ137" s="1439"/>
      <c r="FK137" s="1442"/>
      <c r="FL137" s="37"/>
      <c r="FM137" s="38"/>
      <c r="FN137" s="38"/>
      <c r="FO137" s="1439"/>
      <c r="FP137" s="1442"/>
      <c r="FQ137" s="37"/>
      <c r="FR137" s="38"/>
      <c r="FS137" s="38"/>
      <c r="FT137" s="1439"/>
      <c r="FU137" s="1442"/>
      <c r="FV137" s="37"/>
      <c r="FW137" s="38"/>
      <c r="FX137" s="38"/>
      <c r="FY137" s="1439"/>
      <c r="FZ137" s="1442"/>
      <c r="GA137" s="37"/>
      <c r="GB137" s="38"/>
      <c r="GC137" s="38"/>
      <c r="GD137" s="1439"/>
      <c r="GE137" s="1442"/>
      <c r="GF137" s="37"/>
      <c r="GG137" s="38"/>
      <c r="GH137" s="38"/>
      <c r="GI137" s="1439"/>
      <c r="GJ137" s="1556"/>
      <c r="GK137" s="37"/>
      <c r="GL137" s="38">
        <f>2517.62+26.96</f>
        <v>2544.58</v>
      </c>
      <c r="GM137" s="38"/>
      <c r="GN137" s="1439"/>
      <c r="GO137" s="1442"/>
      <c r="GP137" s="37"/>
      <c r="GQ137" s="38">
        <v>3512.44</v>
      </c>
      <c r="GR137" s="38"/>
      <c r="GS137" s="1439"/>
      <c r="GT137" s="1442"/>
      <c r="GU137" s="37"/>
      <c r="GV137" s="38"/>
      <c r="GW137" s="38"/>
      <c r="GX137" s="1439"/>
      <c r="GY137" s="1442"/>
      <c r="GZ137" s="37"/>
      <c r="HA137" s="38">
        <v>3512.44</v>
      </c>
      <c r="HB137" s="38"/>
      <c r="HC137" s="1439"/>
      <c r="HD137" s="1442"/>
      <c r="HE137" s="37"/>
      <c r="HF137" s="38"/>
      <c r="HG137" s="38"/>
      <c r="HH137" s="1439"/>
      <c r="HI137" s="1442"/>
      <c r="HJ137" s="37"/>
      <c r="HK137" s="38"/>
      <c r="HL137" s="38"/>
      <c r="HM137" s="1439"/>
      <c r="HN137" s="1442"/>
      <c r="HO137" s="37"/>
      <c r="HP137" s="38"/>
      <c r="HQ137" s="38"/>
      <c r="HR137" s="1439"/>
      <c r="HS137" s="1442"/>
      <c r="HT137" s="37"/>
      <c r="HU137" s="38"/>
      <c r="HV137" s="38"/>
      <c r="HW137" s="1439"/>
      <c r="HX137" s="1442"/>
      <c r="HY137" s="37"/>
      <c r="HZ137" s="38"/>
      <c r="IA137" s="38"/>
      <c r="IB137" s="1439"/>
      <c r="IC137" s="1442"/>
      <c r="ID137" s="37"/>
      <c r="IE137" s="38"/>
      <c r="IF137" s="38"/>
      <c r="IG137" s="1439"/>
      <c r="IH137" s="1442"/>
      <c r="II137" s="37"/>
      <c r="IJ137" s="38"/>
      <c r="IK137" s="38"/>
      <c r="IL137" s="1439"/>
      <c r="IM137" s="1442"/>
      <c r="IN137" s="37"/>
      <c r="IO137" s="38"/>
      <c r="IP137" s="38"/>
      <c r="IQ137" s="1439"/>
    </row>
    <row r="138" spans="1:251" s="1443" customFormat="1" ht="15" customHeight="1">
      <c r="A138" s="1428"/>
      <c r="B138" s="1429"/>
      <c r="C138" s="1430"/>
      <c r="D138" s="1431" t="s">
        <v>80</v>
      </c>
      <c r="E138" s="1432" t="s">
        <v>33</v>
      </c>
      <c r="F138" s="1432"/>
      <c r="G138" s="1433"/>
      <c r="H138" s="1434"/>
      <c r="I138" s="1435"/>
      <c r="J138" s="1435"/>
      <c r="K138" s="1436"/>
      <c r="L138" s="1437"/>
      <c r="M138" s="1438"/>
      <c r="N138" s="1439"/>
      <c r="O138" s="1439"/>
      <c r="P138" s="1440"/>
      <c r="Q138" s="1437"/>
      <c r="R138" s="1438"/>
      <c r="S138" s="1439"/>
      <c r="T138" s="1439"/>
      <c r="U138" s="1440"/>
      <c r="V138" s="1441"/>
      <c r="W138" s="1438"/>
      <c r="X138" s="1439"/>
      <c r="Y138" s="1439"/>
      <c r="Z138" s="1439"/>
      <c r="AA138" s="1442"/>
      <c r="AB138" s="1438"/>
      <c r="AC138" s="1439"/>
      <c r="AD138" s="1439"/>
      <c r="AE138" s="1439"/>
      <c r="AF138" s="1442"/>
      <c r="AG138" s="1438"/>
      <c r="AH138" s="1439"/>
      <c r="AI138" s="1439"/>
      <c r="AJ138" s="1439"/>
      <c r="AK138" s="1442"/>
      <c r="AL138" s="1438"/>
      <c r="AM138" s="1439"/>
      <c r="AN138" s="1439"/>
      <c r="AO138" s="1439"/>
      <c r="AP138" s="1442"/>
      <c r="AQ138" s="1438"/>
      <c r="AR138" s="1439"/>
      <c r="AS138" s="1439"/>
      <c r="AT138" s="1439"/>
      <c r="AU138" s="1442"/>
      <c r="AV138" s="1438"/>
      <c r="AW138" s="1439"/>
      <c r="AX138" s="1439"/>
      <c r="AY138" s="1439"/>
      <c r="AZ138" s="1442"/>
      <c r="BA138" s="1438"/>
      <c r="BB138" s="1439"/>
      <c r="BC138" s="1439"/>
      <c r="BD138" s="1439"/>
      <c r="BE138" s="1442"/>
      <c r="BF138" s="1438"/>
      <c r="BG138" s="1439"/>
      <c r="BH138" s="1439"/>
      <c r="BI138" s="1439"/>
      <c r="BJ138" s="1442"/>
      <c r="BK138" s="1438"/>
      <c r="BL138" s="1439"/>
      <c r="BM138" s="1439"/>
      <c r="BN138" s="1439"/>
      <c r="BO138" s="1442"/>
      <c r="BP138" s="1438">
        <v>8.8111999999999995</v>
      </c>
      <c r="BQ138" s="1439">
        <v>14357.41</v>
      </c>
      <c r="BR138" s="1439"/>
      <c r="BS138" s="1439"/>
      <c r="BT138" s="1442"/>
      <c r="BU138" s="1438"/>
      <c r="BV138" s="1439"/>
      <c r="BW138" s="1439"/>
      <c r="BX138" s="1439"/>
      <c r="BY138" s="1442"/>
      <c r="BZ138" s="1438"/>
      <c r="CA138" s="1439"/>
      <c r="CB138" s="1439"/>
      <c r="CC138" s="1439"/>
      <c r="CD138" s="1442"/>
      <c r="CE138" s="1438"/>
      <c r="CF138" s="1439"/>
      <c r="CG138" s="1439"/>
      <c r="CH138" s="1439"/>
      <c r="CI138" s="1442"/>
      <c r="CJ138" s="1438"/>
      <c r="CK138" s="1444">
        <v>-14876.55</v>
      </c>
      <c r="CL138" s="1439"/>
      <c r="CM138" s="1439"/>
      <c r="CN138" s="1442"/>
      <c r="CO138" s="1438"/>
      <c r="CP138" s="1439"/>
      <c r="CQ138" s="1439"/>
      <c r="CR138" s="1439"/>
      <c r="CS138" s="1442"/>
      <c r="CT138" s="1438"/>
      <c r="CU138" s="1439"/>
      <c r="CV138" s="1439"/>
      <c r="CW138" s="1439"/>
      <c r="CX138" s="1442"/>
      <c r="CY138" s="1438"/>
      <c r="CZ138" s="1439"/>
      <c r="DA138" s="1439"/>
      <c r="DB138" s="1439"/>
      <c r="DC138" s="1442"/>
      <c r="DD138" s="1438"/>
      <c r="DE138" s="1439"/>
      <c r="DF138" s="1439"/>
      <c r="DG138" s="1439"/>
      <c r="DH138" s="1442"/>
      <c r="DI138" s="1438"/>
      <c r="DJ138" s="1439"/>
      <c r="DK138" s="1439"/>
      <c r="DL138" s="1439"/>
      <c r="DM138" s="1442"/>
      <c r="DN138" s="1438"/>
      <c r="DO138" s="1439"/>
      <c r="DP138" s="1439"/>
      <c r="DQ138" s="1439"/>
      <c r="DR138" s="1442"/>
      <c r="DS138" s="1438"/>
      <c r="DT138" s="1439"/>
      <c r="DU138" s="1439"/>
      <c r="DV138" s="1439"/>
      <c r="DW138" s="1442"/>
      <c r="DX138" s="1438"/>
      <c r="DY138" s="1439"/>
      <c r="DZ138" s="1439"/>
      <c r="EA138" s="1439"/>
      <c r="EB138" s="1442"/>
      <c r="EC138" s="1466"/>
      <c r="ED138" s="427"/>
      <c r="EE138" s="427"/>
      <c r="EF138" s="1439"/>
      <c r="EG138" s="1442"/>
      <c r="EH138" s="37"/>
      <c r="EI138" s="38"/>
      <c r="EJ138" s="38"/>
      <c r="EK138" s="1439"/>
      <c r="EL138" s="1442"/>
      <c r="EM138" s="37"/>
      <c r="EN138" s="38"/>
      <c r="EO138" s="38"/>
      <c r="EP138" s="1439"/>
      <c r="EQ138" s="1442"/>
      <c r="ER138" s="37"/>
      <c r="ES138" s="1453">
        <v>-14876.55</v>
      </c>
      <c r="ET138" s="38"/>
      <c r="EU138" s="1439"/>
      <c r="EV138" s="1442"/>
      <c r="EW138" s="37"/>
      <c r="EX138" s="38"/>
      <c r="EY138" s="38"/>
      <c r="EZ138" s="1439"/>
      <c r="FA138" s="1442"/>
      <c r="FB138" s="37"/>
      <c r="FC138" s="38"/>
      <c r="FD138" s="38"/>
      <c r="FE138" s="1439"/>
      <c r="FF138" s="1442"/>
      <c r="FG138" s="37"/>
      <c r="FH138" s="38"/>
      <c r="FI138" s="38"/>
      <c r="FJ138" s="1439"/>
      <c r="FK138" s="1442"/>
      <c r="FL138" s="37"/>
      <c r="FM138" s="38"/>
      <c r="FN138" s="38"/>
      <c r="FO138" s="1439"/>
      <c r="FP138" s="1442"/>
      <c r="FQ138" s="37"/>
      <c r="FR138" s="38"/>
      <c r="FS138" s="38"/>
      <c r="FT138" s="1439"/>
      <c r="FU138" s="1442"/>
      <c r="FV138" s="37"/>
      <c r="FW138" s="38"/>
      <c r="FX138" s="38"/>
      <c r="FY138" s="1439"/>
      <c r="FZ138" s="1442"/>
      <c r="GA138" s="37"/>
      <c r="GB138" s="38"/>
      <c r="GC138" s="38"/>
      <c r="GD138" s="1439"/>
      <c r="GE138" s="1442"/>
      <c r="GF138" s="37"/>
      <c r="GG138" s="38"/>
      <c r="GH138" s="38"/>
      <c r="GI138" s="1439"/>
      <c r="GJ138" s="1556"/>
      <c r="GK138" s="37"/>
      <c r="GL138" s="38"/>
      <c r="GM138" s="38"/>
      <c r="GN138" s="1439"/>
      <c r="GO138" s="1442"/>
      <c r="GP138" s="37"/>
      <c r="GQ138" s="38"/>
      <c r="GR138" s="38"/>
      <c r="GS138" s="1439"/>
      <c r="GT138" s="1442"/>
      <c r="GU138" s="37"/>
      <c r="GV138" s="38"/>
      <c r="GW138" s="38"/>
      <c r="GX138" s="1439"/>
      <c r="GY138" s="1442"/>
      <c r="GZ138" s="37"/>
      <c r="HA138" s="1453">
        <v>-14876.55</v>
      </c>
      <c r="HB138" s="38"/>
      <c r="HC138" s="1439"/>
      <c r="HD138" s="1442"/>
      <c r="HE138" s="37"/>
      <c r="HF138" s="38"/>
      <c r="HG138" s="38"/>
      <c r="HH138" s="1439"/>
      <c r="HI138" s="1442"/>
      <c r="HJ138" s="37"/>
      <c r="HK138" s="38"/>
      <c r="HL138" s="38"/>
      <c r="HM138" s="1439"/>
      <c r="HN138" s="1442"/>
      <c r="HO138" s="37"/>
      <c r="HP138" s="38"/>
      <c r="HQ138" s="38"/>
      <c r="HR138" s="1439"/>
      <c r="HS138" s="1442"/>
      <c r="HT138" s="37"/>
      <c r="HU138" s="38"/>
      <c r="HV138" s="38"/>
      <c r="HW138" s="1439"/>
      <c r="HX138" s="1442"/>
      <c r="HY138" s="37"/>
      <c r="HZ138" s="38"/>
      <c r="IA138" s="38"/>
      <c r="IB138" s="1439"/>
      <c r="IC138" s="1442"/>
      <c r="ID138" s="37"/>
      <c r="IE138" s="38"/>
      <c r="IF138" s="38"/>
      <c r="IG138" s="1439"/>
      <c r="IH138" s="1442"/>
      <c r="II138" s="37"/>
      <c r="IJ138" s="38"/>
      <c r="IK138" s="38"/>
      <c r="IL138" s="1439"/>
      <c r="IM138" s="1442"/>
      <c r="IN138" s="37"/>
      <c r="IO138" s="38"/>
      <c r="IP138" s="38"/>
      <c r="IQ138" s="1439"/>
    </row>
    <row r="139" spans="1:251" ht="15" customHeight="1">
      <c r="A139" s="647"/>
      <c r="B139" s="256"/>
      <c r="C139" s="215">
        <v>39018680</v>
      </c>
      <c r="D139" s="45" t="s">
        <v>80</v>
      </c>
      <c r="E139" s="216" t="s">
        <v>11</v>
      </c>
      <c r="F139" s="22"/>
      <c r="G139" s="103"/>
      <c r="H139" s="128">
        <v>1</v>
      </c>
      <c r="I139" s="70">
        <f>(5861.61+883.33+116.42)</f>
        <v>6861.36</v>
      </c>
      <c r="J139" s="81"/>
      <c r="K139" s="88"/>
      <c r="L139" s="103"/>
      <c r="M139" s="128">
        <v>1</v>
      </c>
      <c r="N139" s="69">
        <f>7613.05-N142</f>
        <v>6900.17</v>
      </c>
      <c r="O139" s="81"/>
      <c r="P139" s="88"/>
      <c r="Q139" s="103"/>
      <c r="R139" s="128">
        <v>1</v>
      </c>
      <c r="S139" s="70">
        <f>5861.61+850.37+160.78</f>
        <v>6872.7599999999993</v>
      </c>
      <c r="T139" s="81"/>
      <c r="U139" s="88"/>
      <c r="V139" s="47"/>
      <c r="W139" s="128">
        <v>1</v>
      </c>
      <c r="X139" s="70">
        <f>7787.84-840.18</f>
        <v>6947.66</v>
      </c>
      <c r="Y139" s="81"/>
      <c r="Z139" s="403">
        <f>SUM(X136:X142)*1</f>
        <v>174416.44</v>
      </c>
      <c r="AA139" s="46"/>
      <c r="AB139" s="128">
        <v>1</v>
      </c>
      <c r="AC139" s="70">
        <f>5861.61+870.17+116.42</f>
        <v>6848.2</v>
      </c>
      <c r="AD139" s="81"/>
      <c r="AE139" s="403">
        <f>SUM(AC136:AC142)*1</f>
        <v>123482.86</v>
      </c>
      <c r="AF139" s="46"/>
      <c r="AG139" s="128">
        <v>1</v>
      </c>
      <c r="AH139" s="70">
        <f>(5861.61+916.29+138.6)</f>
        <v>6916.5</v>
      </c>
      <c r="AI139" s="81"/>
      <c r="AJ139" s="403">
        <f>SUM(AH136:AH142)*1</f>
        <v>154456.79999999999</v>
      </c>
      <c r="AK139" s="46"/>
      <c r="AL139" s="128">
        <v>1</v>
      </c>
      <c r="AM139" s="70">
        <f>6486.53+850.37+144.14</f>
        <v>7481.04</v>
      </c>
      <c r="AN139" s="81"/>
      <c r="AO139" s="403">
        <f>SUM(AM136:AM142)*1</f>
        <v>101775.40000000001</v>
      </c>
      <c r="AP139" s="46"/>
      <c r="AQ139" s="56">
        <v>1</v>
      </c>
      <c r="AR139" s="70">
        <f>6486.53+149.69</f>
        <v>6636.2199999999993</v>
      </c>
      <c r="AS139" s="81"/>
      <c r="AT139" s="403">
        <f>SUM(AR136:AR142)*1</f>
        <v>148371.26</v>
      </c>
      <c r="AU139" s="46"/>
      <c r="AV139" s="56">
        <v>1</v>
      </c>
      <c r="AW139" s="70">
        <f>6486.53+144.14</f>
        <v>6630.67</v>
      </c>
      <c r="AX139" s="81"/>
      <c r="AY139" s="403">
        <f>SUM(AW136:AW142)*1</f>
        <v>129196.6</v>
      </c>
      <c r="AZ139" s="46"/>
      <c r="BA139" s="128">
        <v>1</v>
      </c>
      <c r="BB139" s="70">
        <f>(6486.53+133.06)</f>
        <v>6619.59</v>
      </c>
      <c r="BC139" s="81"/>
      <c r="BD139" s="403">
        <f>SUM(BB136:BB142)*1</f>
        <v>288669.21999999997</v>
      </c>
      <c r="BE139" s="46"/>
      <c r="BF139" s="128">
        <v>1</v>
      </c>
      <c r="BG139" s="70">
        <f>(6486.53+155.23)</f>
        <v>6641.7599999999993</v>
      </c>
      <c r="BH139" s="81"/>
      <c r="BI139" s="403">
        <f>SUM(BG136:BG142)*1</f>
        <v>126209.15999999999</v>
      </c>
      <c r="BJ139" s="46"/>
      <c r="BK139" s="56">
        <v>1</v>
      </c>
      <c r="BL139" s="62">
        <f>1.2*(5861.61+883.33+116.42)</f>
        <v>8233.6319999999996</v>
      </c>
      <c r="BM139" s="44"/>
      <c r="BN139" s="403">
        <f>SUM(BL136:BL142)*1</f>
        <v>81723.224000000002</v>
      </c>
      <c r="BO139" s="46"/>
      <c r="BP139" s="128">
        <v>1</v>
      </c>
      <c r="BQ139" s="70">
        <v>6486.53</v>
      </c>
      <c r="BR139" s="81"/>
      <c r="BS139" s="403">
        <f>SUM(BQ136:BQ142)*1</f>
        <v>275354.48</v>
      </c>
      <c r="BT139" s="46"/>
      <c r="BU139" s="128">
        <v>1</v>
      </c>
      <c r="BV139" s="70">
        <v>7366.88</v>
      </c>
      <c r="BW139" s="81"/>
      <c r="BX139" s="403">
        <f>SUM(BV136:BV142)*1</f>
        <v>191765.11000000002</v>
      </c>
      <c r="BY139" s="46"/>
      <c r="BZ139" s="128">
        <v>1</v>
      </c>
      <c r="CA139" s="70">
        <v>8449.91</v>
      </c>
      <c r="CB139" s="81"/>
      <c r="CC139" s="403">
        <f>SUM(CA136:CA142)*1</f>
        <v>185844.36000000002</v>
      </c>
      <c r="CD139" s="46"/>
      <c r="CE139" s="56">
        <v>1</v>
      </c>
      <c r="CF139" s="62">
        <f>1.2*(5861.61+883.33+116.42)</f>
        <v>8233.6319999999996</v>
      </c>
      <c r="CG139" s="44"/>
      <c r="CH139" s="403">
        <f>SUM(CF136:CF142)*1</f>
        <v>183091.22400000002</v>
      </c>
      <c r="CI139" s="46"/>
      <c r="CJ139" s="56">
        <v>1</v>
      </c>
      <c r="CK139" s="70">
        <v>7396.22</v>
      </c>
      <c r="CL139" s="44"/>
      <c r="CM139" s="403">
        <f>SUM(CK136:CK142)*1</f>
        <v>160352.85</v>
      </c>
      <c r="CN139" s="46"/>
      <c r="CO139" s="128">
        <v>1</v>
      </c>
      <c r="CP139" s="70">
        <f>7396.22+26.96</f>
        <v>7423.18</v>
      </c>
      <c r="CQ139" s="81"/>
      <c r="CR139" s="403">
        <f>SUM(CP136:CP142)*1</f>
        <v>119351.78199999999</v>
      </c>
      <c r="CS139" s="46"/>
      <c r="CT139" s="56">
        <v>1</v>
      </c>
      <c r="CU139" s="70">
        <v>9881.76</v>
      </c>
      <c r="CV139" s="44"/>
      <c r="CW139" s="403">
        <f>SUM(CU136:CU142)*1</f>
        <v>155803.60799999998</v>
      </c>
      <c r="CX139" s="46"/>
      <c r="CY139" s="56">
        <v>1</v>
      </c>
      <c r="CZ139" s="62">
        <f>1.2*(5861.61+883.33+116.42)</f>
        <v>8233.6319999999996</v>
      </c>
      <c r="DA139" s="44"/>
      <c r="DB139" s="403">
        <f>SUM(CZ136:CZ142)*1</f>
        <v>157971.87600000002</v>
      </c>
      <c r="DC139" s="46"/>
      <c r="DD139" s="128">
        <v>1</v>
      </c>
      <c r="DE139" s="70">
        <f>1.2*(8991.49+26.96)</f>
        <v>10822.139999999998</v>
      </c>
      <c r="DF139" s="81"/>
      <c r="DG139" s="403">
        <f>SUM(DE136:DE142)*1</f>
        <v>217300.72400000002</v>
      </c>
      <c r="DH139" s="46"/>
      <c r="DI139" s="56">
        <v>1</v>
      </c>
      <c r="DJ139" s="62">
        <f>1.2*(5861.61+883.33+116.42)</f>
        <v>8233.6319999999996</v>
      </c>
      <c r="DK139" s="44"/>
      <c r="DL139" s="403">
        <f>SUM(DJ136:DJ142)*1</f>
        <v>188381.76</v>
      </c>
      <c r="DM139" s="46"/>
      <c r="DN139" s="56">
        <v>1</v>
      </c>
      <c r="DO139" s="62">
        <f>1.2*(5861.61+883.33+116.42)</f>
        <v>8233.6319999999996</v>
      </c>
      <c r="DP139" s="81">
        <v>249151.14</v>
      </c>
      <c r="DQ139" s="403">
        <f>SUM(DO136:DO142)*1</f>
        <v>216934.86000000002</v>
      </c>
      <c r="DR139" s="46"/>
      <c r="DS139" s="56">
        <v>1</v>
      </c>
      <c r="DT139" s="62">
        <f>1.2*(5861.61+883.33+116.42)</f>
        <v>8233.6319999999996</v>
      </c>
      <c r="DU139" s="44"/>
      <c r="DV139" s="403">
        <f>SUM(DT136:DT142)*1</f>
        <v>232587.09800000003</v>
      </c>
      <c r="DW139" s="46"/>
      <c r="DX139" s="56">
        <v>1</v>
      </c>
      <c r="DY139" s="62">
        <f>1.2*(5861.61+883.33+116.42)</f>
        <v>8233.6319999999996</v>
      </c>
      <c r="DZ139" s="44"/>
      <c r="EA139" s="403">
        <f>SUM(DY136:DY142)*1</f>
        <v>213877.81200000001</v>
      </c>
      <c r="EB139" s="46"/>
      <c r="EC139" s="128">
        <v>1</v>
      </c>
      <c r="ED139" s="70">
        <v>8991.49</v>
      </c>
      <c r="EE139" s="81"/>
      <c r="EF139" s="403">
        <f>SUM(ED136:ED142)*1</f>
        <v>193682.98</v>
      </c>
      <c r="EG139" s="46"/>
      <c r="EH139" s="56">
        <v>1</v>
      </c>
      <c r="EI139" s="62">
        <v>8449.91</v>
      </c>
      <c r="EJ139" s="44"/>
      <c r="EK139" s="403">
        <f>SUM(EI136:EI142)*1</f>
        <v>243387.75599999999</v>
      </c>
      <c r="EL139" s="46"/>
      <c r="EM139" s="56">
        <v>1</v>
      </c>
      <c r="EN139" s="62">
        <f>1.2*(5861.61+883.33+116.42)</f>
        <v>8233.6319999999996</v>
      </c>
      <c r="EO139" s="44"/>
      <c r="EP139" s="403">
        <f>SUM(EN136:EN142)*1</f>
        <v>233773.96799999999</v>
      </c>
      <c r="EQ139" s="46"/>
      <c r="ER139" s="56">
        <v>1</v>
      </c>
      <c r="ES139" s="62">
        <v>7396.22</v>
      </c>
      <c r="ET139" s="44"/>
      <c r="EU139" s="403">
        <f>SUM(ES136:ES142)*1</f>
        <v>160352.85</v>
      </c>
      <c r="EV139" s="46"/>
      <c r="EW139" s="56">
        <v>1</v>
      </c>
      <c r="EX139" s="62">
        <f>7396.22+26.96</f>
        <v>7423.18</v>
      </c>
      <c r="EY139" s="44"/>
      <c r="EZ139" s="403">
        <f>SUM(EX136:EX142)*1</f>
        <v>213823.97799999997</v>
      </c>
      <c r="FA139" s="46"/>
      <c r="FB139" s="128">
        <v>1</v>
      </c>
      <c r="FC139" s="70">
        <f>8991.49+26.96</f>
        <v>9018.4499999999989</v>
      </c>
      <c r="FD139" s="81"/>
      <c r="FE139" s="403">
        <f>SUM(FC136:FC142)*1</f>
        <v>11631.21</v>
      </c>
      <c r="FF139" s="46"/>
      <c r="FG139" s="128">
        <v>1</v>
      </c>
      <c r="FH139" s="70">
        <f>8991.49+26.96</f>
        <v>9018.4499999999989</v>
      </c>
      <c r="FI139" s="81"/>
      <c r="FJ139" s="403">
        <f>SUM(FH136:FH142)*1</f>
        <v>11644.399999999998</v>
      </c>
      <c r="FK139" s="46"/>
      <c r="FL139" s="56">
        <v>1</v>
      </c>
      <c r="FM139" s="62">
        <f>1.2*(8991.49+26.96)</f>
        <v>10822.139999999998</v>
      </c>
      <c r="FN139" s="44"/>
      <c r="FO139" s="403">
        <f>SUM(FM136:FM142)*1</f>
        <v>232001.204</v>
      </c>
      <c r="FP139" s="46"/>
      <c r="FQ139" s="128">
        <v>1</v>
      </c>
      <c r="FR139" s="70">
        <f>8991.49+26.96</f>
        <v>9018.4499999999989</v>
      </c>
      <c r="FS139" s="81"/>
      <c r="FT139" s="403">
        <f>SUM(FR136:FR142)*1</f>
        <v>215843.65599999999</v>
      </c>
      <c r="FU139" s="46"/>
      <c r="FV139" s="56">
        <v>1</v>
      </c>
      <c r="FW139" s="62">
        <f>1.2*(5861.61+883.33+116.42)</f>
        <v>8233.6319999999996</v>
      </c>
      <c r="FX139" s="44">
        <v>249151.14</v>
      </c>
      <c r="FY139" s="403">
        <f>SUM(FW136:FW142)*1</f>
        <v>248733.03600000002</v>
      </c>
      <c r="FZ139" s="46"/>
      <c r="GA139" s="56">
        <v>1</v>
      </c>
      <c r="GB139" s="62">
        <f>1.2*(5861.61+883.33+116.42)</f>
        <v>8233.6319999999996</v>
      </c>
      <c r="GC139" s="44"/>
      <c r="GD139" s="403">
        <f>SUM(GB136:GB142)*1</f>
        <v>213015.62600000002</v>
      </c>
      <c r="GE139" s="46"/>
      <c r="GF139" s="56">
        <v>1</v>
      </c>
      <c r="GG139" s="62">
        <f>1.2*(5861.61+883.33+116.42)</f>
        <v>8233.6319999999996</v>
      </c>
      <c r="GH139" s="44"/>
      <c r="GI139" s="403">
        <f>SUM(GG136:GG142)*1</f>
        <v>186487.09200000003</v>
      </c>
      <c r="GJ139" s="97"/>
      <c r="GK139" s="56">
        <v>1</v>
      </c>
      <c r="GL139" s="62">
        <v>8991.49</v>
      </c>
      <c r="GM139" s="44"/>
      <c r="GN139" s="403">
        <f>SUM(GL136:GL142)*1</f>
        <v>193682.98</v>
      </c>
      <c r="GO139" s="46"/>
      <c r="GP139" s="56">
        <v>1</v>
      </c>
      <c r="GQ139" s="62">
        <v>8449.91</v>
      </c>
      <c r="GR139" s="44"/>
      <c r="GS139" s="403">
        <f>SUM(GQ136:GQ142)*1</f>
        <v>154393.68</v>
      </c>
      <c r="GT139" s="46"/>
      <c r="GU139" s="56">
        <v>1</v>
      </c>
      <c r="GV139" s="62">
        <f>1.2*(5861.61+883.33+116.42)</f>
        <v>8233.6319999999996</v>
      </c>
      <c r="GW139" s="44"/>
      <c r="GX139" s="403">
        <f>SUM(GV136:GV142)*1</f>
        <v>236772.55200000003</v>
      </c>
      <c r="GY139" s="46"/>
      <c r="GZ139" s="56">
        <v>1</v>
      </c>
      <c r="HA139" s="62">
        <v>7396.22</v>
      </c>
      <c r="HB139" s="44"/>
      <c r="HC139" s="403">
        <f>SUM(HA136:HA142)*1</f>
        <v>160352.85</v>
      </c>
      <c r="HD139" s="46"/>
      <c r="HE139" s="56">
        <v>1</v>
      </c>
      <c r="HF139" s="62">
        <f>7396.22+26.96</f>
        <v>7423.18</v>
      </c>
      <c r="HG139" s="44"/>
      <c r="HH139" s="403">
        <f>SUM(HF136:HF142)*1</f>
        <v>213823.97799999997</v>
      </c>
      <c r="HI139" s="46"/>
      <c r="HJ139" s="56">
        <v>1</v>
      </c>
      <c r="HK139" s="62">
        <f>8991.49+26.96</f>
        <v>9018.4499999999989</v>
      </c>
      <c r="HL139" s="44"/>
      <c r="HM139" s="403">
        <f>SUM(HK136:HK142)*1</f>
        <v>11631.21</v>
      </c>
      <c r="HN139" s="46"/>
      <c r="HO139" s="56">
        <v>1</v>
      </c>
      <c r="HP139" s="62">
        <f>8991.49+26.96</f>
        <v>9018.4499999999989</v>
      </c>
      <c r="HQ139" s="44"/>
      <c r="HR139" s="403">
        <f>SUM(HP136:HP142)*1</f>
        <v>11644.399999999998</v>
      </c>
      <c r="HS139" s="46"/>
      <c r="HT139" s="56">
        <v>1</v>
      </c>
      <c r="HU139" s="62">
        <f>1.2*(8991.49+26.96)</f>
        <v>10822.139999999998</v>
      </c>
      <c r="HV139" s="44"/>
      <c r="HW139" s="403">
        <f>SUM(HU136:HU142)*1</f>
        <v>232001.204</v>
      </c>
      <c r="HX139" s="46"/>
      <c r="HY139" s="56">
        <v>1</v>
      </c>
      <c r="HZ139" s="62">
        <f>8991.49+26.96</f>
        <v>9018.4499999999989</v>
      </c>
      <c r="IA139" s="44"/>
      <c r="IB139" s="403">
        <f>SUM(HZ136:HZ142)*1</f>
        <v>215843.65599999999</v>
      </c>
      <c r="IC139" s="46"/>
      <c r="ID139" s="56">
        <v>1</v>
      </c>
      <c r="IE139" s="62">
        <f>1.2*(5861.61+883.33+116.42)</f>
        <v>8233.6319999999996</v>
      </c>
      <c r="IF139" s="44">
        <v>249151.14</v>
      </c>
      <c r="IG139" s="403">
        <f>SUM(IE136:IE142)*1</f>
        <v>248733.03600000002</v>
      </c>
      <c r="IH139" s="46"/>
      <c r="II139" s="56">
        <v>1</v>
      </c>
      <c r="IJ139" s="62">
        <f>1.2*(5861.61+883.33+116.42)</f>
        <v>8233.6319999999996</v>
      </c>
      <c r="IK139" s="44"/>
      <c r="IL139" s="403">
        <f>SUM(IJ136:IJ142)*1</f>
        <v>85620.513999999996</v>
      </c>
      <c r="IM139" s="46"/>
      <c r="IN139" s="56">
        <v>1</v>
      </c>
      <c r="IO139" s="62">
        <f>1.2*(5861.61+883.33+116.42)</f>
        <v>8233.6319999999996</v>
      </c>
      <c r="IP139" s="44"/>
      <c r="IQ139" s="403">
        <f>SUM(IO136:IO142)*1</f>
        <v>81723.224000000002</v>
      </c>
    </row>
    <row r="140" spans="1:251" ht="15" customHeight="1">
      <c r="A140" s="647"/>
      <c r="B140" s="256" t="s">
        <v>336</v>
      </c>
      <c r="C140" s="215">
        <v>44878589</v>
      </c>
      <c r="D140" s="222" t="s">
        <v>378</v>
      </c>
      <c r="E140" s="216" t="s">
        <v>13</v>
      </c>
      <c r="F140" s="22"/>
      <c r="G140" s="104">
        <f>I140/H140</f>
        <v>5.8</v>
      </c>
      <c r="H140" s="69">
        <v>12560</v>
      </c>
      <c r="I140" s="70">
        <v>72848</v>
      </c>
      <c r="J140" s="81"/>
      <c r="K140" s="88"/>
      <c r="L140" s="104">
        <f>N140/M140</f>
        <v>5.92</v>
      </c>
      <c r="M140" s="69">
        <v>21880</v>
      </c>
      <c r="N140" s="70">
        <v>129529.60000000001</v>
      </c>
      <c r="O140" s="81"/>
      <c r="P140" s="88"/>
      <c r="Q140" s="104">
        <f>S140/R140</f>
        <v>5.86</v>
      </c>
      <c r="R140" s="69">
        <v>23800</v>
      </c>
      <c r="S140" s="70">
        <v>139468</v>
      </c>
      <c r="T140" s="81"/>
      <c r="U140" s="88"/>
      <c r="V140" s="115">
        <f>X140/W140</f>
        <v>5.86</v>
      </c>
      <c r="W140" s="69">
        <v>27960</v>
      </c>
      <c r="X140" s="70">
        <v>163845.6</v>
      </c>
      <c r="Y140" s="81"/>
      <c r="Z140" s="81"/>
      <c r="AA140" s="92">
        <f>AC140/AB140</f>
        <v>5.65</v>
      </c>
      <c r="AB140" s="69">
        <v>20280</v>
      </c>
      <c r="AC140" s="70">
        <v>114582</v>
      </c>
      <c r="AD140" s="81"/>
      <c r="AE140" s="81"/>
      <c r="AF140" s="92">
        <f>AH140/AG140</f>
        <v>5.47</v>
      </c>
      <c r="AG140" s="69">
        <v>26440</v>
      </c>
      <c r="AH140" s="70">
        <v>144626.79999999999</v>
      </c>
      <c r="AI140" s="81"/>
      <c r="AJ140" s="81"/>
      <c r="AK140" s="92">
        <f>AM140/AL140</f>
        <v>5.8699999999999992</v>
      </c>
      <c r="AL140" s="69">
        <v>15520</v>
      </c>
      <c r="AM140" s="70">
        <v>91102.399999999994</v>
      </c>
      <c r="AN140" s="81"/>
      <c r="AO140" s="81"/>
      <c r="AP140" s="92">
        <f>AR140/AQ140</f>
        <v>6.64</v>
      </c>
      <c r="AQ140" s="69">
        <v>21120</v>
      </c>
      <c r="AR140" s="70">
        <v>140236.79999999999</v>
      </c>
      <c r="AS140" s="81"/>
      <c r="AT140" s="81"/>
      <c r="AU140" s="92">
        <f>AW140/AV140</f>
        <v>7.3100000000000005</v>
      </c>
      <c r="AV140" s="69">
        <v>16560</v>
      </c>
      <c r="AW140" s="70">
        <v>121053.6</v>
      </c>
      <c r="AX140" s="81"/>
      <c r="AY140" s="81"/>
      <c r="AZ140" s="92">
        <f>BB140/BA140</f>
        <v>7.4</v>
      </c>
      <c r="BA140" s="69">
        <v>37920</v>
      </c>
      <c r="BB140" s="70">
        <v>280608</v>
      </c>
      <c r="BC140" s="81"/>
      <c r="BD140" s="81"/>
      <c r="BE140" s="92">
        <f>BG140/BF140</f>
        <v>7.55</v>
      </c>
      <c r="BF140" s="69">
        <v>15600</v>
      </c>
      <c r="BG140" s="70">
        <v>117780</v>
      </c>
      <c r="BH140" s="81"/>
      <c r="BI140" s="81"/>
      <c r="BJ140" s="92">
        <f>BL140/BK140</f>
        <v>4.3156398104265401</v>
      </c>
      <c r="BK140" s="69">
        <v>16880</v>
      </c>
      <c r="BL140" s="62">
        <v>72848</v>
      </c>
      <c r="BM140" s="44"/>
      <c r="BN140" s="81"/>
      <c r="BO140" s="92">
        <f>BQ140/BP140</f>
        <v>7.3</v>
      </c>
      <c r="BP140" s="69">
        <v>34160</v>
      </c>
      <c r="BQ140" s="70">
        <v>249368</v>
      </c>
      <c r="BR140" s="81"/>
      <c r="BS140" s="81"/>
      <c r="BT140" s="92">
        <f>BV140/BU140</f>
        <v>7.24</v>
      </c>
      <c r="BU140" s="69">
        <v>24680</v>
      </c>
      <c r="BV140" s="70">
        <v>178683.2</v>
      </c>
      <c r="BW140" s="81"/>
      <c r="BX140" s="81"/>
      <c r="BY140" s="92">
        <f>CA140/BZ140</f>
        <v>6.7</v>
      </c>
      <c r="BZ140" s="69">
        <v>25800</v>
      </c>
      <c r="CA140" s="70">
        <v>172860</v>
      </c>
      <c r="CB140" s="81"/>
      <c r="CC140" s="81"/>
      <c r="CD140" s="92">
        <f>CF140/CE140</f>
        <v>6.1</v>
      </c>
      <c r="CE140" s="69">
        <v>28560</v>
      </c>
      <c r="CF140" s="70">
        <v>174216</v>
      </c>
      <c r="CG140" s="81"/>
      <c r="CH140" s="81"/>
      <c r="CI140" s="92">
        <f>CK140/CJ140</f>
        <v>6.27</v>
      </c>
      <c r="CJ140" s="69">
        <v>26000</v>
      </c>
      <c r="CK140" s="70">
        <v>163020</v>
      </c>
      <c r="CL140" s="81">
        <v>159504.48000000001</v>
      </c>
      <c r="CM140" s="81"/>
      <c r="CN140" s="92">
        <f>CP140/CO140</f>
        <v>7.6846324210526307</v>
      </c>
      <c r="CO140" s="410">
        <v>14250</v>
      </c>
      <c r="CP140" s="414">
        <f>91255.01*1.2</f>
        <v>109506.01199999999</v>
      </c>
      <c r="CQ140" s="81">
        <v>166469.04</v>
      </c>
      <c r="CR140" s="81"/>
      <c r="CS140" s="92">
        <f>CU140/CT140</f>
        <v>8.6037357863501462</v>
      </c>
      <c r="CT140" s="410">
        <v>16850</v>
      </c>
      <c r="CU140" s="414">
        <f>1.2*120810.79</f>
        <v>144972.94799999997</v>
      </c>
      <c r="CV140" s="372">
        <v>185109</v>
      </c>
      <c r="CW140" s="81"/>
      <c r="CX140" s="92">
        <f>CZ140/CY140</f>
        <v>9.4514517908082407</v>
      </c>
      <c r="CY140" s="410">
        <v>15775</v>
      </c>
      <c r="CZ140" s="761">
        <f>1.2*124247.21</f>
        <v>149096.652</v>
      </c>
      <c r="DA140" s="81">
        <v>205109.1</v>
      </c>
      <c r="DB140" s="81"/>
      <c r="DC140" s="92">
        <f>DE140/DD140</f>
        <v>9.350676013745705</v>
      </c>
      <c r="DD140" s="410">
        <v>21825</v>
      </c>
      <c r="DE140" s="761">
        <f>1.2*170065.42</f>
        <v>204078.50400000002</v>
      </c>
      <c r="DF140" s="372">
        <v>290742.84000000003</v>
      </c>
      <c r="DG140" s="81"/>
      <c r="DH140" s="92">
        <f>DJ140/DI140</f>
        <v>9.4576678609062164</v>
      </c>
      <c r="DI140" s="410">
        <v>18980</v>
      </c>
      <c r="DJ140" s="761">
        <f>1.2*149588.78</f>
        <v>179506.53599999999</v>
      </c>
      <c r="DK140" s="44"/>
      <c r="DL140" s="81"/>
      <c r="DM140" s="92">
        <f>DO140/DN140</f>
        <v>9.5571720716582451</v>
      </c>
      <c r="DN140" s="410">
        <v>21770</v>
      </c>
      <c r="DO140" s="761">
        <f>1.2*173383.03</f>
        <v>208059.636</v>
      </c>
      <c r="DP140" s="44"/>
      <c r="DQ140" s="81"/>
      <c r="DR140" s="92">
        <f>DT140/DS140</f>
        <v>9.3549359488272916</v>
      </c>
      <c r="DS140" s="410">
        <v>23450</v>
      </c>
      <c r="DT140" s="414">
        <f>1.2*182811.04</f>
        <v>219373.24799999999</v>
      </c>
      <c r="DU140" s="81">
        <v>161486.85</v>
      </c>
      <c r="DV140" s="81"/>
      <c r="DW140" s="92">
        <f>DY140/DX140</f>
        <v>9.8748838150289018</v>
      </c>
      <c r="DX140" s="410">
        <v>20760</v>
      </c>
      <c r="DY140" s="414">
        <f>1.2*170835.49</f>
        <v>205002.58799999999</v>
      </c>
      <c r="DZ140" s="81">
        <v>160019.37</v>
      </c>
      <c r="EA140" s="81"/>
      <c r="EB140" s="92">
        <f>ED140/EC140</f>
        <v>7.24</v>
      </c>
      <c r="EC140" s="58">
        <v>24680</v>
      </c>
      <c r="ED140" s="62">
        <v>178683.2</v>
      </c>
      <c r="EE140" s="81">
        <v>307737</v>
      </c>
      <c r="EF140" s="81"/>
      <c r="EG140" s="92">
        <f>EI140/EH140</f>
        <v>10.265243751392291</v>
      </c>
      <c r="EH140" s="410">
        <v>22445</v>
      </c>
      <c r="EI140" s="414">
        <f>1.2*192002.83</f>
        <v>230403.39599999998</v>
      </c>
      <c r="EJ140" s="44"/>
      <c r="EK140" s="81"/>
      <c r="EL140" s="92">
        <f>EN140/EM140</f>
        <v>9.4934041367665678</v>
      </c>
      <c r="EM140" s="410">
        <v>23690</v>
      </c>
      <c r="EN140" s="414">
        <f>1.2*187415.62</f>
        <v>224898.74399999998</v>
      </c>
      <c r="EO140" s="44"/>
      <c r="EP140" s="81"/>
      <c r="EQ140" s="92">
        <f>ES140/ER140</f>
        <v>6.27</v>
      </c>
      <c r="ER140" s="58">
        <v>26000</v>
      </c>
      <c r="ES140" s="62">
        <v>163020</v>
      </c>
      <c r="ET140" s="44">
        <v>159504.48000000001</v>
      </c>
      <c r="EU140" s="81"/>
      <c r="EV140" s="92">
        <f>EX140/EW140</f>
        <v>8.705856081946223</v>
      </c>
      <c r="EW140" s="410">
        <v>23430</v>
      </c>
      <c r="EX140" s="414">
        <f>169981.84*1.2</f>
        <v>203978.20799999998</v>
      </c>
      <c r="EY140" s="44">
        <v>166469.04</v>
      </c>
      <c r="EZ140" s="81"/>
      <c r="FA140" s="92"/>
      <c r="FB140" s="58"/>
      <c r="FC140" s="63"/>
      <c r="FD140" s="509"/>
      <c r="FE140" s="81"/>
      <c r="FF140" s="92"/>
      <c r="FG140" s="58"/>
      <c r="FH140" s="62"/>
      <c r="FI140" s="44"/>
      <c r="FJ140" s="81"/>
      <c r="FK140" s="92">
        <f>FM140/FL140</f>
        <v>9.4873800520381604</v>
      </c>
      <c r="FL140" s="410">
        <v>23060</v>
      </c>
      <c r="FM140" s="761">
        <f>1.2*182315.82</f>
        <v>218778.984</v>
      </c>
      <c r="FN140" s="372">
        <v>273493.43999999994</v>
      </c>
      <c r="FO140" s="81"/>
      <c r="FP140" s="92">
        <f>FR140/FQ140</f>
        <v>8.9276760476400536</v>
      </c>
      <c r="FQ140" s="410">
        <v>22670</v>
      </c>
      <c r="FR140" s="761">
        <f>1.2*168658.68</f>
        <v>202390.416</v>
      </c>
      <c r="FS140" s="81">
        <v>146384.63999999998</v>
      </c>
      <c r="FT140" s="81"/>
      <c r="FU140" s="92">
        <f>FW140/FV140</f>
        <v>11.073767867036011</v>
      </c>
      <c r="FV140" s="410">
        <v>21660</v>
      </c>
      <c r="FW140" s="761">
        <f>1.2*199881.51</f>
        <v>239857.81200000001</v>
      </c>
      <c r="FX140" s="44"/>
      <c r="FY140" s="81"/>
      <c r="FZ140" s="92">
        <f>GB140/GA140</f>
        <v>11.608296347826087</v>
      </c>
      <c r="GA140" s="410">
        <f>17250</f>
        <v>17250</v>
      </c>
      <c r="GB140" s="761">
        <f>1.2*166869.26</f>
        <v>200243.11199999999</v>
      </c>
      <c r="GC140" s="44">
        <v>161486.85</v>
      </c>
      <c r="GD140" s="81"/>
      <c r="GE140" s="92">
        <f>GG140/GF140</f>
        <v>11.723555643564358</v>
      </c>
      <c r="GF140" s="410">
        <v>15150</v>
      </c>
      <c r="GG140" s="414">
        <f>1.2*148009.89</f>
        <v>177611.86800000002</v>
      </c>
      <c r="GH140" s="44"/>
      <c r="GI140" s="81"/>
      <c r="GJ140" s="98">
        <f>GL140/GK140</f>
        <v>7.24</v>
      </c>
      <c r="GK140" s="58">
        <v>24680</v>
      </c>
      <c r="GL140" s="62">
        <v>178683.2</v>
      </c>
      <c r="GM140" s="44">
        <v>307737</v>
      </c>
      <c r="GN140" s="81"/>
      <c r="GO140" s="92">
        <f>GQ140/GP140</f>
        <v>15.532103867403313</v>
      </c>
      <c r="GP140" s="410">
        <v>9050</v>
      </c>
      <c r="GQ140" s="414">
        <f>1.2*117137.95</f>
        <v>140565.53999999998</v>
      </c>
      <c r="GR140" s="44"/>
      <c r="GS140" s="81"/>
      <c r="GT140" s="92">
        <f>GV140/GU140</f>
        <v>12.436416261937245</v>
      </c>
      <c r="GU140" s="410">
        <v>18325</v>
      </c>
      <c r="GV140" s="414">
        <f>1.2*189914.44</f>
        <v>227897.32800000001</v>
      </c>
      <c r="GW140" s="44"/>
      <c r="GX140" s="81"/>
      <c r="GY140" s="92">
        <f>HA140/GZ140</f>
        <v>6.27</v>
      </c>
      <c r="GZ140" s="58">
        <v>26000</v>
      </c>
      <c r="HA140" s="62">
        <v>163020</v>
      </c>
      <c r="HB140" s="44">
        <v>159504.48000000001</v>
      </c>
      <c r="HC140" s="81"/>
      <c r="HD140" s="92">
        <f>HF140/HE140</f>
        <v>8.705856081946223</v>
      </c>
      <c r="HE140" s="58">
        <v>23430</v>
      </c>
      <c r="HF140" s="63">
        <f>169981.84*1.2</f>
        <v>203978.20799999998</v>
      </c>
      <c r="HG140" s="44">
        <v>166469.04</v>
      </c>
      <c r="HH140" s="81"/>
      <c r="HI140" s="92"/>
      <c r="HJ140" s="58"/>
      <c r="HK140" s="63"/>
      <c r="HL140" s="509"/>
      <c r="HM140" s="81"/>
      <c r="HN140" s="92"/>
      <c r="HO140" s="58"/>
      <c r="HP140" s="62"/>
      <c r="HQ140" s="44"/>
      <c r="HR140" s="81"/>
      <c r="HS140" s="92">
        <f>HU140/HT140</f>
        <v>9.4873800520381604</v>
      </c>
      <c r="HT140" s="58">
        <v>23060</v>
      </c>
      <c r="HU140" s="62">
        <f>1.2*182315.82</f>
        <v>218778.984</v>
      </c>
      <c r="HV140" s="509">
        <v>273493.43999999994</v>
      </c>
      <c r="HW140" s="81"/>
      <c r="HX140" s="92">
        <f>HZ140/HY140</f>
        <v>8.9276760476400536</v>
      </c>
      <c r="HY140" s="58">
        <v>22670</v>
      </c>
      <c r="HZ140" s="62">
        <f>1.2*168658.68</f>
        <v>202390.416</v>
      </c>
      <c r="IA140" s="44">
        <v>146384.63999999998</v>
      </c>
      <c r="IB140" s="81"/>
      <c r="IC140" s="92">
        <f>IE140/ID140</f>
        <v>11.073767867036011</v>
      </c>
      <c r="ID140" s="58">
        <v>21660</v>
      </c>
      <c r="IE140" s="62">
        <f>1.2*199881.51</f>
        <v>239857.81200000001</v>
      </c>
      <c r="IF140" s="44"/>
      <c r="IG140" s="81"/>
      <c r="IH140" s="92">
        <f>IJ140/II140</f>
        <v>5.8</v>
      </c>
      <c r="II140" s="58">
        <v>12560</v>
      </c>
      <c r="IJ140" s="62">
        <v>72848</v>
      </c>
      <c r="IK140" s="44">
        <v>161486.85</v>
      </c>
      <c r="IL140" s="81"/>
      <c r="IM140" s="92">
        <f>IO140/IN140</f>
        <v>5.8</v>
      </c>
      <c r="IN140" s="58">
        <v>12560</v>
      </c>
      <c r="IO140" s="62">
        <v>72848</v>
      </c>
      <c r="IP140" s="44"/>
      <c r="IQ140" s="81"/>
    </row>
    <row r="141" spans="1:251" s="705" customFormat="1" ht="15" customHeight="1">
      <c r="A141" s="654"/>
      <c r="B141" s="706"/>
      <c r="C141" s="781"/>
      <c r="D141" s="1408" t="s">
        <v>200</v>
      </c>
      <c r="E141" s="785" t="s">
        <v>15</v>
      </c>
      <c r="F141" s="785"/>
      <c r="G141" s="1416"/>
      <c r="H141" s="783"/>
      <c r="I141" s="1417"/>
      <c r="J141" s="784"/>
      <c r="K141" s="1418"/>
      <c r="L141" s="695"/>
      <c r="M141" s="1409"/>
      <c r="N141" s="1410"/>
      <c r="O141" s="697"/>
      <c r="P141" s="698"/>
      <c r="Q141" s="695"/>
      <c r="R141" s="1409"/>
      <c r="S141" s="1410"/>
      <c r="T141" s="697"/>
      <c r="U141" s="698"/>
      <c r="V141" s="699"/>
      <c r="W141" s="1409"/>
      <c r="X141" s="1410"/>
      <c r="Y141" s="697"/>
      <c r="Z141" s="697"/>
      <c r="AA141" s="701"/>
      <c r="AB141" s="1409"/>
      <c r="AC141" s="1410"/>
      <c r="AD141" s="697"/>
      <c r="AE141" s="697"/>
      <c r="AF141" s="701"/>
      <c r="AG141" s="1409"/>
      <c r="AH141" s="1410"/>
      <c r="AI141" s="697"/>
      <c r="AJ141" s="697"/>
      <c r="AK141" s="701"/>
      <c r="AL141" s="1409"/>
      <c r="AM141" s="1410"/>
      <c r="AN141" s="697"/>
      <c r="AO141" s="697"/>
      <c r="AP141" s="701"/>
      <c r="AQ141" s="1409"/>
      <c r="AR141" s="1410"/>
      <c r="AS141" s="697"/>
      <c r="AT141" s="697"/>
      <c r="AU141" s="701"/>
      <c r="AV141" s="1409"/>
      <c r="AW141" s="1410"/>
      <c r="AX141" s="697"/>
      <c r="AY141" s="697"/>
      <c r="AZ141" s="701"/>
      <c r="BA141" s="1409"/>
      <c r="BB141" s="1410"/>
      <c r="BC141" s="697"/>
      <c r="BD141" s="697"/>
      <c r="BE141" s="701"/>
      <c r="BF141" s="1409"/>
      <c r="BG141" s="1410"/>
      <c r="BH141" s="697"/>
      <c r="BI141" s="697"/>
      <c r="BJ141" s="701"/>
      <c r="BK141" s="1409"/>
      <c r="BL141" s="1411"/>
      <c r="BM141" s="704"/>
      <c r="BN141" s="697"/>
      <c r="BO141" s="701"/>
      <c r="BP141" s="1409"/>
      <c r="BQ141" s="1410"/>
      <c r="BR141" s="697"/>
      <c r="BS141" s="697"/>
      <c r="BT141" s="701"/>
      <c r="BU141" s="1409"/>
      <c r="BV141" s="1410"/>
      <c r="BW141" s="697"/>
      <c r="BX141" s="697"/>
      <c r="BY141" s="701"/>
      <c r="BZ141" s="1409"/>
      <c r="CA141" s="1410"/>
      <c r="CB141" s="697"/>
      <c r="CC141" s="697"/>
      <c r="CD141" s="701"/>
      <c r="CE141" s="1409"/>
      <c r="CF141" s="1410"/>
      <c r="CG141" s="697"/>
      <c r="CH141" s="697"/>
      <c r="CI141" s="701"/>
      <c r="CJ141" s="1409"/>
      <c r="CK141" s="1410"/>
      <c r="CL141" s="697"/>
      <c r="CM141" s="697"/>
      <c r="CN141" s="701"/>
      <c r="CO141" s="1412"/>
      <c r="CP141" s="1413"/>
      <c r="CQ141" s="697"/>
      <c r="CR141" s="697"/>
      <c r="CS141" s="701"/>
      <c r="CT141" s="1412"/>
      <c r="CU141" s="1413"/>
      <c r="CV141" s="372"/>
      <c r="CW141" s="697"/>
      <c r="CX141" s="701"/>
      <c r="CY141" s="1412"/>
      <c r="CZ141" s="1414"/>
      <c r="DA141" s="697"/>
      <c r="DB141" s="697"/>
      <c r="DC141" s="701"/>
      <c r="DD141" s="1412"/>
      <c r="DE141" s="1414"/>
      <c r="DF141" s="372"/>
      <c r="DG141" s="697"/>
      <c r="DH141" s="701"/>
      <c r="DI141" s="1412"/>
      <c r="DJ141" s="1414"/>
      <c r="DK141" s="704"/>
      <c r="DL141" s="697"/>
      <c r="DM141" s="701"/>
      <c r="DN141" s="1412"/>
      <c r="DO141" s="1411"/>
      <c r="DP141" s="704"/>
      <c r="DQ141" s="697"/>
      <c r="DR141" s="701"/>
      <c r="DS141" s="1409">
        <v>1</v>
      </c>
      <c r="DT141" s="1410">
        <v>3897.29</v>
      </c>
      <c r="DU141" s="697"/>
      <c r="DV141" s="697"/>
      <c r="DW141" s="701"/>
      <c r="DX141" s="1415"/>
      <c r="DY141" s="1411"/>
      <c r="DZ141" s="704"/>
      <c r="EA141" s="697"/>
      <c r="EB141" s="701"/>
      <c r="EC141" s="1415"/>
      <c r="ED141" s="1411"/>
      <c r="EE141" s="704"/>
      <c r="EF141" s="697"/>
      <c r="EG141" s="701"/>
      <c r="EH141" s="1415"/>
      <c r="EI141" s="1411"/>
      <c r="EJ141" s="704"/>
      <c r="EK141" s="697"/>
      <c r="EL141" s="701"/>
      <c r="EM141" s="1415"/>
      <c r="EN141" s="1411"/>
      <c r="EO141" s="704"/>
      <c r="EP141" s="697"/>
      <c r="EQ141" s="701"/>
      <c r="ER141" s="1415"/>
      <c r="ES141" s="1411"/>
      <c r="ET141" s="704"/>
      <c r="EU141" s="697"/>
      <c r="EV141" s="701"/>
      <c r="EW141" s="1409"/>
      <c r="EX141" s="1476" t="s">
        <v>1195</v>
      </c>
      <c r="EY141" s="697"/>
      <c r="EZ141" s="697"/>
      <c r="FA141" s="701"/>
      <c r="FB141" s="1415"/>
      <c r="FC141" s="1455"/>
      <c r="FD141" s="509"/>
      <c r="FE141" s="697"/>
      <c r="FF141" s="701"/>
      <c r="FG141" s="1415"/>
      <c r="FH141" s="1411"/>
      <c r="FI141" s="704"/>
      <c r="FJ141" s="697"/>
      <c r="FK141" s="701"/>
      <c r="FL141" s="1415"/>
      <c r="FM141" s="1411"/>
      <c r="FN141" s="509"/>
      <c r="FO141" s="697"/>
      <c r="FP141" s="701"/>
      <c r="FQ141" s="1409"/>
      <c r="FR141" s="1410">
        <v>1992.66</v>
      </c>
      <c r="FS141" s="697">
        <v>4691.34</v>
      </c>
      <c r="FT141" s="697"/>
      <c r="FU141" s="701"/>
      <c r="FV141" s="1415"/>
      <c r="FW141" s="1411"/>
      <c r="FX141" s="704"/>
      <c r="FY141" s="697"/>
      <c r="FZ141" s="701"/>
      <c r="GA141" s="1415">
        <v>1</v>
      </c>
      <c r="GB141" s="1411">
        <v>3897.29</v>
      </c>
      <c r="GC141" s="704"/>
      <c r="GD141" s="697"/>
      <c r="GE141" s="701"/>
      <c r="GF141" s="1415"/>
      <c r="GG141" s="1411"/>
      <c r="GH141" s="704"/>
      <c r="GI141" s="697"/>
      <c r="GJ141" s="1446"/>
      <c r="GK141" s="1415"/>
      <c r="GL141" s="1411"/>
      <c r="GM141" s="704"/>
      <c r="GN141" s="697"/>
      <c r="GO141" s="701"/>
      <c r="GP141" s="1415"/>
      <c r="GQ141" s="1411"/>
      <c r="GR141" s="704"/>
      <c r="GS141" s="697"/>
      <c r="GT141" s="701"/>
      <c r="GU141" s="1415"/>
      <c r="GV141" s="1411"/>
      <c r="GW141" s="704"/>
      <c r="GX141" s="697"/>
      <c r="GY141" s="701"/>
      <c r="GZ141" s="1415"/>
      <c r="HA141" s="1411"/>
      <c r="HB141" s="704"/>
      <c r="HC141" s="697"/>
      <c r="HD141" s="701"/>
      <c r="HE141" s="1415"/>
      <c r="HF141" s="1455" t="s">
        <v>1195</v>
      </c>
      <c r="HG141" s="704"/>
      <c r="HH141" s="697"/>
      <c r="HI141" s="701"/>
      <c r="HJ141" s="1415"/>
      <c r="HK141" s="1455"/>
      <c r="HL141" s="509"/>
      <c r="HM141" s="697"/>
      <c r="HN141" s="701"/>
      <c r="HO141" s="1415"/>
      <c r="HP141" s="1411"/>
      <c r="HQ141" s="704"/>
      <c r="HR141" s="697"/>
      <c r="HS141" s="701"/>
      <c r="HT141" s="1415"/>
      <c r="HU141" s="1411"/>
      <c r="HV141" s="509"/>
      <c r="HW141" s="697"/>
      <c r="HX141" s="701"/>
      <c r="HY141" s="1415"/>
      <c r="HZ141" s="1411">
        <v>1992.66</v>
      </c>
      <c r="IA141" s="704">
        <v>4691.34</v>
      </c>
      <c r="IB141" s="697"/>
      <c r="IC141" s="701"/>
      <c r="ID141" s="1415"/>
      <c r="IE141" s="1411"/>
      <c r="IF141" s="704"/>
      <c r="IG141" s="697"/>
      <c r="IH141" s="701"/>
      <c r="II141" s="1415">
        <v>1</v>
      </c>
      <c r="IJ141" s="1411">
        <v>3897.29</v>
      </c>
      <c r="IK141" s="704"/>
      <c r="IL141" s="697"/>
      <c r="IM141" s="701"/>
      <c r="IN141" s="1415"/>
      <c r="IO141" s="1411"/>
      <c r="IP141" s="704"/>
      <c r="IQ141" s="697"/>
    </row>
    <row r="142" spans="1:251" s="264" customFormat="1" ht="15" customHeight="1" thickBot="1">
      <c r="A142" s="648"/>
      <c r="B142" s="257"/>
      <c r="C142" s="258"/>
      <c r="D142" s="20" t="s">
        <v>80</v>
      </c>
      <c r="E142" s="259" t="s">
        <v>17</v>
      </c>
      <c r="F142" s="23"/>
      <c r="G142" s="168">
        <f>I142/H142</f>
        <v>25.459999999999997</v>
      </c>
      <c r="H142" s="172">
        <v>21</v>
      </c>
      <c r="I142" s="172">
        <f>(340.62+194.04)</f>
        <v>534.66</v>
      </c>
      <c r="J142" s="179"/>
      <c r="K142" s="182"/>
      <c r="L142" s="168">
        <f>N142/M142</f>
        <v>25.46</v>
      </c>
      <c r="M142" s="172">
        <v>28</v>
      </c>
      <c r="N142" s="172">
        <v>712.88</v>
      </c>
      <c r="O142" s="179"/>
      <c r="P142" s="182"/>
      <c r="Q142" s="168">
        <f>S142/R142</f>
        <v>25.459999999999997</v>
      </c>
      <c r="R142" s="172">
        <v>29</v>
      </c>
      <c r="S142" s="172">
        <f>470.38+267.96</f>
        <v>738.33999999999992</v>
      </c>
      <c r="T142" s="179"/>
      <c r="U142" s="182"/>
      <c r="V142" s="209">
        <f>X142/W142</f>
        <v>25.46</v>
      </c>
      <c r="W142" s="172">
        <v>33</v>
      </c>
      <c r="X142" s="172">
        <f>535.26+304.92</f>
        <v>840.18000000000006</v>
      </c>
      <c r="Y142" s="179"/>
      <c r="Z142" s="179"/>
      <c r="AA142" s="3">
        <f>AC142/AB142</f>
        <v>25.459999999999997</v>
      </c>
      <c r="AB142" s="172">
        <v>21</v>
      </c>
      <c r="AC142" s="172">
        <f>340.62+194.04</f>
        <v>534.66</v>
      </c>
      <c r="AD142" s="179"/>
      <c r="AE142" s="179"/>
      <c r="AF142" s="3">
        <f>AH142/AG142</f>
        <v>30.30952380952381</v>
      </c>
      <c r="AG142" s="172">
        <v>21</v>
      </c>
      <c r="AH142" s="172">
        <f>(405.5+231)</f>
        <v>636.5</v>
      </c>
      <c r="AI142" s="179"/>
      <c r="AJ142" s="179"/>
      <c r="AK142" s="3">
        <f>AM142/AL142</f>
        <v>25.46</v>
      </c>
      <c r="AL142" s="172">
        <v>26</v>
      </c>
      <c r="AM142" s="172">
        <f>421.72+240.24</f>
        <v>661.96</v>
      </c>
      <c r="AN142" s="179"/>
      <c r="AO142" s="179"/>
      <c r="AP142" s="3">
        <f>AR142/AQ142</f>
        <v>25.459999999999997</v>
      </c>
      <c r="AQ142" s="172">
        <v>27</v>
      </c>
      <c r="AR142" s="172">
        <f>437.94+249.48</f>
        <v>687.42</v>
      </c>
      <c r="AS142" s="179"/>
      <c r="AT142" s="179"/>
      <c r="AU142" s="3">
        <f>AW142/AV142</f>
        <v>25.46</v>
      </c>
      <c r="AV142" s="172">
        <v>26</v>
      </c>
      <c r="AW142" s="172">
        <f>(421.72+240.24)</f>
        <v>661.96</v>
      </c>
      <c r="AX142" s="179"/>
      <c r="AY142" s="179"/>
      <c r="AZ142" s="3">
        <f>BB142/BA142</f>
        <v>29.097142857142856</v>
      </c>
      <c r="BA142" s="172">
        <v>21</v>
      </c>
      <c r="BB142" s="172">
        <f>(389.28+221.76)</f>
        <v>611.04</v>
      </c>
      <c r="BC142" s="179"/>
      <c r="BD142" s="179"/>
      <c r="BE142" s="3">
        <f>BG142/BF142</f>
        <v>25.460714285714289</v>
      </c>
      <c r="BF142" s="172">
        <v>28</v>
      </c>
      <c r="BG142" s="172">
        <f>(454.18+258.72)</f>
        <v>712.90000000000009</v>
      </c>
      <c r="BH142" s="179"/>
      <c r="BI142" s="179"/>
      <c r="BJ142" s="3">
        <f>BL142/BK142</f>
        <v>30.552</v>
      </c>
      <c r="BK142" s="177">
        <v>21</v>
      </c>
      <c r="BL142" s="177">
        <f>1.2*(340.62+194.04)</f>
        <v>641.59199999999998</v>
      </c>
      <c r="BM142" s="48"/>
      <c r="BN142" s="179"/>
      <c r="BO142" s="3">
        <f>BQ142/BP142</f>
        <v>31.003846153846155</v>
      </c>
      <c r="BP142" s="172">
        <v>26</v>
      </c>
      <c r="BQ142" s="172">
        <f>661.96+144.14</f>
        <v>806.1</v>
      </c>
      <c r="BR142" s="179"/>
      <c r="BS142" s="179"/>
      <c r="BT142" s="3">
        <f>BV142/BU142</f>
        <v>31.003999999999998</v>
      </c>
      <c r="BU142" s="172">
        <v>40</v>
      </c>
      <c r="BV142" s="172">
        <f>648.8+369.6+221.76</f>
        <v>1240.1599999999999</v>
      </c>
      <c r="BW142" s="179"/>
      <c r="BX142" s="179"/>
      <c r="BY142" s="3">
        <f>CA142/BZ142</f>
        <v>31.9378125</v>
      </c>
      <c r="BZ142" s="172">
        <v>32</v>
      </c>
      <c r="CA142" s="172">
        <v>1022.01</v>
      </c>
      <c r="CB142" s="179"/>
      <c r="CC142" s="179"/>
      <c r="CD142" s="3">
        <f>CF142/CE142</f>
        <v>30.552</v>
      </c>
      <c r="CE142" s="177">
        <v>21</v>
      </c>
      <c r="CF142" s="177">
        <f>1.2*(340.62+194.04)</f>
        <v>641.59199999999998</v>
      </c>
      <c r="CG142" s="48"/>
      <c r="CH142" s="179"/>
      <c r="CI142" s="3">
        <f>CK142/CJ142</f>
        <v>30.97</v>
      </c>
      <c r="CJ142" s="172">
        <v>42</v>
      </c>
      <c r="CK142" s="172">
        <f>627.9+672.84</f>
        <v>1300.74</v>
      </c>
      <c r="CL142" s="48"/>
      <c r="CM142" s="179"/>
      <c r="CN142" s="3">
        <f>CP142/CO142</f>
        <v>36.504000000000005</v>
      </c>
      <c r="CO142" s="172">
        <v>40</v>
      </c>
      <c r="CP142" s="172">
        <f>(640.8+597.6)+221.76</f>
        <v>1460.16</v>
      </c>
      <c r="CQ142" s="179"/>
      <c r="CR142" s="179"/>
      <c r="CS142" s="3">
        <f>CU142/CT142</f>
        <v>31.63</v>
      </c>
      <c r="CT142" s="172">
        <v>30</v>
      </c>
      <c r="CU142" s="172">
        <f>448.2+500.7</f>
        <v>948.9</v>
      </c>
      <c r="CV142" s="179"/>
      <c r="CW142" s="179"/>
      <c r="CX142" s="3">
        <f>CZ142/CY142</f>
        <v>30.552</v>
      </c>
      <c r="CY142" s="177">
        <v>21</v>
      </c>
      <c r="CZ142" s="177">
        <f>1.2*(340.62+194.04)</f>
        <v>641.59199999999998</v>
      </c>
      <c r="DA142" s="48"/>
      <c r="DB142" s="179"/>
      <c r="DC142" s="3">
        <f>DE142/DD142</f>
        <v>67.83142857142856</v>
      </c>
      <c r="DD142" s="172">
        <v>21</v>
      </c>
      <c r="DE142" s="172">
        <f>1.2*(160.78+109+484.01+433.26)</f>
        <v>1424.4599999999998</v>
      </c>
      <c r="DF142" s="179"/>
      <c r="DG142" s="179"/>
      <c r="DH142" s="3">
        <f>DJ142/DI142</f>
        <v>30.552</v>
      </c>
      <c r="DI142" s="177">
        <v>21</v>
      </c>
      <c r="DJ142" s="177">
        <f>1.2*(340.62+194.04)</f>
        <v>641.59199999999998</v>
      </c>
      <c r="DK142" s="48"/>
      <c r="DL142" s="179"/>
      <c r="DM142" s="3">
        <f>DO142/DN142</f>
        <v>30.552</v>
      </c>
      <c r="DN142" s="177">
        <v>21</v>
      </c>
      <c r="DO142" s="177">
        <f>1.2*(340.62+194.04)</f>
        <v>641.59199999999998</v>
      </c>
      <c r="DP142" s="48"/>
      <c r="DQ142" s="179"/>
      <c r="DR142" s="3">
        <f>DT142/DS142</f>
        <v>49.224000000000004</v>
      </c>
      <c r="DS142" s="172">
        <v>22</v>
      </c>
      <c r="DT142" s="172">
        <f>1.2*(430.98+471.46)</f>
        <v>1082.9280000000001</v>
      </c>
      <c r="DU142" s="179"/>
      <c r="DV142" s="179"/>
      <c r="DW142" s="3">
        <f>DY142/DX142</f>
        <v>30.552</v>
      </c>
      <c r="DX142" s="177">
        <v>21</v>
      </c>
      <c r="DY142" s="177">
        <f>1.2*(340.62+194.04)</f>
        <v>641.59199999999998</v>
      </c>
      <c r="DZ142" s="48"/>
      <c r="EA142" s="179"/>
      <c r="EB142" s="3">
        <f>ED142/EC142</f>
        <v>62.861499999999999</v>
      </c>
      <c r="EC142" s="172">
        <v>40</v>
      </c>
      <c r="ED142" s="172">
        <f>299.38+1157.22+1057.86</f>
        <v>2514.46</v>
      </c>
      <c r="EE142" s="179"/>
      <c r="EF142" s="179"/>
      <c r="EG142" s="3">
        <f>EI142/EH142</f>
        <v>31.9378125</v>
      </c>
      <c r="EH142" s="177">
        <v>32</v>
      </c>
      <c r="EI142" s="177">
        <v>1022.01</v>
      </c>
      <c r="EJ142" s="48"/>
      <c r="EK142" s="179"/>
      <c r="EL142" s="3">
        <f>EN142/EM142</f>
        <v>30.552</v>
      </c>
      <c r="EM142" s="177">
        <v>21</v>
      </c>
      <c r="EN142" s="177">
        <f>1.2*(340.62+194.04)</f>
        <v>641.59199999999998</v>
      </c>
      <c r="EO142" s="48"/>
      <c r="EP142" s="179"/>
      <c r="EQ142" s="3">
        <f>ES142/ER142</f>
        <v>30.97</v>
      </c>
      <c r="ER142" s="177">
        <v>42</v>
      </c>
      <c r="ES142" s="177">
        <f>627.9+672.84</f>
        <v>1300.74</v>
      </c>
      <c r="ET142" s="48"/>
      <c r="EU142" s="179"/>
      <c r="EV142" s="3">
        <f>EX142/EW142</f>
        <v>36.504000000000005</v>
      </c>
      <c r="EW142" s="177">
        <v>40</v>
      </c>
      <c r="EX142" s="177">
        <f>(640.8+597.6)+221.76</f>
        <v>1460.16</v>
      </c>
      <c r="EY142" s="48"/>
      <c r="EZ142" s="179"/>
      <c r="FA142" s="3">
        <f>FC142/FB142</f>
        <v>56.98866666666666</v>
      </c>
      <c r="FB142" s="172">
        <v>30</v>
      </c>
      <c r="FC142" s="172">
        <f>688.16+833+188.5</f>
        <v>1709.6599999999999</v>
      </c>
      <c r="FD142" s="179"/>
      <c r="FE142" s="179"/>
      <c r="FF142" s="3">
        <f>FH142/FG142</f>
        <v>50.284117647058821</v>
      </c>
      <c r="FG142" s="172">
        <v>34</v>
      </c>
      <c r="FH142" s="172">
        <f>688.16+833+188.5</f>
        <v>1709.6599999999999</v>
      </c>
      <c r="FI142" s="179"/>
      <c r="FJ142" s="179"/>
      <c r="FK142" s="3">
        <f>FM142/FL142</f>
        <v>67.83142857142856</v>
      </c>
      <c r="FL142" s="177">
        <v>21</v>
      </c>
      <c r="FM142" s="177">
        <f>1.2*(160.78+109+484.01+433.26)</f>
        <v>1424.4599999999998</v>
      </c>
      <c r="FN142" s="48"/>
      <c r="FO142" s="179"/>
      <c r="FP142" s="3">
        <f>FR142/FQ142</f>
        <v>50.28387096774194</v>
      </c>
      <c r="FQ142" s="172">
        <v>31</v>
      </c>
      <c r="FR142" s="172">
        <f>(759.5+171.86+627.44)</f>
        <v>1558.8000000000002</v>
      </c>
      <c r="FS142" s="179"/>
      <c r="FT142" s="179"/>
      <c r="FU142" s="3">
        <f>FW142/FV142</f>
        <v>30.552</v>
      </c>
      <c r="FV142" s="177">
        <v>21</v>
      </c>
      <c r="FW142" s="177">
        <f>1.2*(340.62+194.04)</f>
        <v>641.59199999999998</v>
      </c>
      <c r="FX142" s="48"/>
      <c r="FY142" s="179"/>
      <c r="FZ142" s="3">
        <f>GB142/GA142</f>
        <v>30.552</v>
      </c>
      <c r="GA142" s="177">
        <v>21</v>
      </c>
      <c r="GB142" s="177">
        <f>1.2*(340.62+194.04)</f>
        <v>641.59199999999998</v>
      </c>
      <c r="GC142" s="48"/>
      <c r="GD142" s="179"/>
      <c r="GE142" s="3">
        <f>GG142/GF142</f>
        <v>30.552</v>
      </c>
      <c r="GF142" s="177">
        <v>21</v>
      </c>
      <c r="GG142" s="177">
        <f>1.2*(340.62+194.04)</f>
        <v>641.59199999999998</v>
      </c>
      <c r="GH142" s="48"/>
      <c r="GI142" s="179"/>
      <c r="GJ142" s="285">
        <f>GL142/GK142</f>
        <v>62.861499999999999</v>
      </c>
      <c r="GK142" s="177">
        <v>40</v>
      </c>
      <c r="GL142" s="177">
        <f>299.38+1157.22+1057.86</f>
        <v>2514.46</v>
      </c>
      <c r="GM142" s="48"/>
      <c r="GN142" s="179"/>
      <c r="GO142" s="3">
        <f>GQ142/GP142</f>
        <v>73.000714285714281</v>
      </c>
      <c r="GP142" s="177">
        <v>14</v>
      </c>
      <c r="GQ142" s="177">
        <v>1022.01</v>
      </c>
      <c r="GR142" s="48"/>
      <c r="GS142" s="179"/>
      <c r="GT142" s="3">
        <f>GV142/GU142</f>
        <v>30.552</v>
      </c>
      <c r="GU142" s="177">
        <v>21</v>
      </c>
      <c r="GV142" s="177">
        <f>1.2*(340.62+194.04)</f>
        <v>641.59199999999998</v>
      </c>
      <c r="GW142" s="48"/>
      <c r="GX142" s="179"/>
      <c r="GY142" s="3">
        <f>HA142/GZ142</f>
        <v>30.97</v>
      </c>
      <c r="GZ142" s="177">
        <v>42</v>
      </c>
      <c r="HA142" s="177">
        <f>627.9+672.84</f>
        <v>1300.74</v>
      </c>
      <c r="HB142" s="48"/>
      <c r="HC142" s="179"/>
      <c r="HD142" s="3">
        <f>HF142/HE142</f>
        <v>36.504000000000005</v>
      </c>
      <c r="HE142" s="177">
        <v>40</v>
      </c>
      <c r="HF142" s="177">
        <f>(640.8+597.6)+221.76</f>
        <v>1460.16</v>
      </c>
      <c r="HG142" s="48"/>
      <c r="HH142" s="179"/>
      <c r="HI142" s="3">
        <f>HK142/HJ142</f>
        <v>56.98866666666666</v>
      </c>
      <c r="HJ142" s="177">
        <v>30</v>
      </c>
      <c r="HK142" s="177">
        <f>688.16+833+188.5</f>
        <v>1709.6599999999999</v>
      </c>
      <c r="HL142" s="48"/>
      <c r="HM142" s="179"/>
      <c r="HN142" s="3">
        <f>HP142/HO142</f>
        <v>50.284117647058821</v>
      </c>
      <c r="HO142" s="177">
        <v>34</v>
      </c>
      <c r="HP142" s="177">
        <f>688.16+833+188.5</f>
        <v>1709.6599999999999</v>
      </c>
      <c r="HQ142" s="48"/>
      <c r="HR142" s="179"/>
      <c r="HS142" s="3">
        <f>HU142/HT142</f>
        <v>67.83142857142856</v>
      </c>
      <c r="HT142" s="177">
        <v>21</v>
      </c>
      <c r="HU142" s="177">
        <f>1.2*(160.78+109+484.01+433.26)</f>
        <v>1424.4599999999998</v>
      </c>
      <c r="HV142" s="48"/>
      <c r="HW142" s="179"/>
      <c r="HX142" s="3">
        <f>HZ142/HY142</f>
        <v>50.28387096774194</v>
      </c>
      <c r="HY142" s="177">
        <v>31</v>
      </c>
      <c r="HZ142" s="177">
        <f>(759.5+171.86+627.44)</f>
        <v>1558.8000000000002</v>
      </c>
      <c r="IA142" s="48"/>
      <c r="IB142" s="179"/>
      <c r="IC142" s="3">
        <f>IE142/ID142</f>
        <v>30.552</v>
      </c>
      <c r="ID142" s="177">
        <v>21</v>
      </c>
      <c r="IE142" s="177">
        <f>1.2*(340.62+194.04)</f>
        <v>641.59199999999998</v>
      </c>
      <c r="IF142" s="48"/>
      <c r="IG142" s="179"/>
      <c r="IH142" s="3">
        <f>IJ142/II142</f>
        <v>30.552</v>
      </c>
      <c r="II142" s="177">
        <v>21</v>
      </c>
      <c r="IJ142" s="177">
        <f>1.2*(340.62+194.04)</f>
        <v>641.59199999999998</v>
      </c>
      <c r="IK142" s="48"/>
      <c r="IL142" s="179"/>
      <c r="IM142" s="3">
        <f>IO142/IN142</f>
        <v>30.552</v>
      </c>
      <c r="IN142" s="177">
        <v>21</v>
      </c>
      <c r="IO142" s="177">
        <f>1.2*(340.62+194.04)</f>
        <v>641.59199999999998</v>
      </c>
      <c r="IP142" s="48"/>
      <c r="IQ142" s="179"/>
    </row>
    <row r="143" spans="1:251" s="249" customFormat="1" ht="15" customHeight="1">
      <c r="A143" s="649"/>
      <c r="B143" s="265" t="s">
        <v>150</v>
      </c>
      <c r="C143" s="5" t="s">
        <v>81</v>
      </c>
      <c r="D143" s="6" t="s">
        <v>25</v>
      </c>
      <c r="E143" s="7" t="s">
        <v>10</v>
      </c>
      <c r="F143" s="4"/>
      <c r="G143" s="196"/>
      <c r="H143" s="197"/>
      <c r="I143" s="197"/>
      <c r="J143" s="38"/>
      <c r="K143" s="206"/>
      <c r="L143" s="196"/>
      <c r="M143" s="197"/>
      <c r="N143" s="197"/>
      <c r="O143" s="38"/>
      <c r="P143" s="206"/>
      <c r="Q143" s="196"/>
      <c r="R143" s="197"/>
      <c r="S143" s="197"/>
      <c r="T143" s="38"/>
      <c r="U143" s="206"/>
      <c r="V143" s="207"/>
      <c r="W143" s="197"/>
      <c r="X143" s="204">
        <v>2530</v>
      </c>
      <c r="Y143" s="38"/>
      <c r="Z143" s="384">
        <f>SUM(X143:X147)*1.1</f>
        <v>77486.64</v>
      </c>
      <c r="AA143" s="36"/>
      <c r="AB143" s="197"/>
      <c r="AC143" s="204">
        <v>2530</v>
      </c>
      <c r="AD143" s="38"/>
      <c r="AE143" s="384">
        <f>SUM(AC143:AC147)*1.1</f>
        <v>80414.523199999996</v>
      </c>
      <c r="AF143" s="36"/>
      <c r="AG143" s="197"/>
      <c r="AH143" s="204">
        <v>2024</v>
      </c>
      <c r="AI143" s="38"/>
      <c r="AJ143" s="384">
        <f>AJ144*1.1</f>
        <v>90369.07</v>
      </c>
      <c r="AK143" s="36"/>
      <c r="AL143" s="197"/>
      <c r="AM143" s="204">
        <v>1265</v>
      </c>
      <c r="AN143" s="38"/>
      <c r="AO143" s="384">
        <f>AO144*1.1</f>
        <v>95424.641400000008</v>
      </c>
      <c r="AP143" s="36"/>
      <c r="AQ143" s="197"/>
      <c r="AR143" s="197"/>
      <c r="AS143" s="38"/>
      <c r="AT143" s="384">
        <f>SUM(AR143:AR147)*1.1</f>
        <v>112771.81300000001</v>
      </c>
      <c r="AU143" s="36"/>
      <c r="AV143" s="197"/>
      <c r="AW143" s="197"/>
      <c r="AX143" s="38"/>
      <c r="AY143" s="384">
        <f>SUM(AW143:AW147)*1.1</f>
        <v>136808.38819999999</v>
      </c>
      <c r="AZ143" s="36"/>
      <c r="BA143" s="197"/>
      <c r="BB143" s="197"/>
      <c r="BC143" s="38"/>
      <c r="BD143" s="384">
        <f>SUM(BB143:BB147)*1.1</f>
        <v>124065.56140000001</v>
      </c>
      <c r="BE143" s="36"/>
      <c r="BF143" s="197"/>
      <c r="BG143" s="197"/>
      <c r="BH143" s="38"/>
      <c r="BI143" s="384">
        <f>SUM(BG143:BG147)*1.1</f>
        <v>118392.56880000001</v>
      </c>
      <c r="BJ143" s="36"/>
      <c r="BK143" s="197"/>
      <c r="BL143" s="197"/>
      <c r="BM143" s="38"/>
      <c r="BN143" s="384">
        <f>SUM(BL143:BL147)*1.1</f>
        <v>72860.895800000013</v>
      </c>
      <c r="BO143" s="36"/>
      <c r="BP143" s="197"/>
      <c r="BQ143" s="197"/>
      <c r="BR143" s="38"/>
      <c r="BS143" s="384">
        <f>SUM(BQ143:BQ147)*1.1</f>
        <v>161418.63099999999</v>
      </c>
      <c r="BT143" s="36"/>
      <c r="BU143" s="197"/>
      <c r="BV143" s="197"/>
      <c r="BW143" s="38"/>
      <c r="BX143" s="384">
        <f>SUM(BV143:BV147)*1.1</f>
        <v>115234.81419999999</v>
      </c>
      <c r="BY143" s="36"/>
      <c r="BZ143" s="197"/>
      <c r="CA143" s="197"/>
      <c r="CB143" s="38"/>
      <c r="CC143" s="384">
        <f>SUM(CA143:CA147)*1.1</f>
        <v>98236.934400000027</v>
      </c>
      <c r="CD143" s="36"/>
      <c r="CE143" s="197"/>
      <c r="CF143" s="197"/>
      <c r="CG143" s="38"/>
      <c r="CH143" s="384">
        <f>SUM(CF143:CF147)*1.1</f>
        <v>111142.65140000002</v>
      </c>
      <c r="CI143" s="36"/>
      <c r="CJ143" s="197"/>
      <c r="CK143" s="197"/>
      <c r="CL143" s="38"/>
      <c r="CM143" s="384">
        <f>SUM(CK143:CK147)*1.1</f>
        <v>105439.07660000001</v>
      </c>
      <c r="CN143" s="36"/>
      <c r="CO143" s="197"/>
      <c r="CP143" s="197"/>
      <c r="CQ143" s="38"/>
      <c r="CR143" s="384">
        <f>SUM(CP143:CP147)*1.1</f>
        <v>129674.45259999999</v>
      </c>
      <c r="CS143" s="36"/>
      <c r="CT143" s="197"/>
      <c r="CU143" s="197"/>
      <c r="CV143" s="38"/>
      <c r="CW143" s="384">
        <f>SUM(CU143:CU147)*1.1</f>
        <v>146764.8798</v>
      </c>
      <c r="CX143" s="36"/>
      <c r="CY143" s="197"/>
      <c r="CZ143" s="197"/>
      <c r="DA143" s="38"/>
      <c r="DB143" s="384">
        <f>SUM(CZ143:CZ147)*1.1</f>
        <v>145779.88699999999</v>
      </c>
      <c r="DC143" s="36"/>
      <c r="DD143" s="197"/>
      <c r="DE143" s="197"/>
      <c r="DF143" s="38"/>
      <c r="DG143" s="384">
        <f>SUM(DE143:DE147)*1.1</f>
        <v>168671.59100000001</v>
      </c>
      <c r="DH143" s="36"/>
      <c r="DI143" s="197"/>
      <c r="DJ143" s="197"/>
      <c r="DK143" s="38"/>
      <c r="DL143" s="384">
        <f>SUM(DJ143:DJ147)*1.1</f>
        <v>166539.97580000001</v>
      </c>
      <c r="DM143" s="36"/>
      <c r="DN143" s="197"/>
      <c r="DO143" s="197"/>
      <c r="DP143" s="38"/>
      <c r="DQ143" s="384">
        <f>SUM(DO143:DO147)*1.1</f>
        <v>151051.04299999998</v>
      </c>
      <c r="DR143" s="36"/>
      <c r="DS143" s="197"/>
      <c r="DT143" s="197"/>
      <c r="DU143" s="38"/>
      <c r="DV143" s="384">
        <f>SUM(DT143:DT147)*1.1</f>
        <v>147673.0068</v>
      </c>
      <c r="DW143" s="36"/>
      <c r="DX143" s="197"/>
      <c r="DY143" s="197"/>
      <c r="DZ143" s="38"/>
      <c r="EA143" s="384">
        <f>SUM(DY143:DY147)*1.1</f>
        <v>134878.89800000002</v>
      </c>
      <c r="EB143" s="36"/>
      <c r="EC143" s="197"/>
      <c r="ED143" s="197"/>
      <c r="EE143" s="38"/>
      <c r="EF143" s="384">
        <f>SUM(ED143:ED147)*1.1</f>
        <v>188026.7928</v>
      </c>
      <c r="EG143" s="36"/>
      <c r="EH143" s="197"/>
      <c r="EI143" s="197"/>
      <c r="EJ143" s="38"/>
      <c r="EK143" s="384">
        <f>SUM(EI143:EI147)*1.1</f>
        <v>99429.477400000033</v>
      </c>
      <c r="EL143" s="36"/>
      <c r="EM143" s="197"/>
      <c r="EN143" s="197"/>
      <c r="EO143" s="38"/>
      <c r="EP143" s="384">
        <f>SUM(EN143:EN147)*1.1</f>
        <v>111142.65140000002</v>
      </c>
      <c r="EQ143" s="36"/>
      <c r="ER143" s="197"/>
      <c r="ES143" s="197"/>
      <c r="ET143" s="38"/>
      <c r="EU143" s="384">
        <f>SUM(ES143:ES147)*1.1</f>
        <v>111264.04960000003</v>
      </c>
      <c r="EV143" s="36"/>
      <c r="EW143" s="197"/>
      <c r="EX143" s="197"/>
      <c r="EY143" s="38"/>
      <c r="EZ143" s="384">
        <f>SUM(EX143:EX147)*1.1</f>
        <v>129828.30959999999</v>
      </c>
      <c r="FA143" s="36"/>
      <c r="FB143" s="197"/>
      <c r="FC143" s="197"/>
      <c r="FD143" s="38"/>
      <c r="FE143" s="384">
        <f>SUM(FC143:FC147)*1.1</f>
        <v>158169.429</v>
      </c>
      <c r="FF143" s="36"/>
      <c r="FG143" s="197"/>
      <c r="FH143" s="197"/>
      <c r="FI143" s="38"/>
      <c r="FJ143" s="384">
        <f>SUM(FH143:FH147)*1.1</f>
        <v>144022.6502</v>
      </c>
      <c r="FK143" s="36"/>
      <c r="FL143" s="197"/>
      <c r="FM143" s="197"/>
      <c r="FN143" s="38"/>
      <c r="FO143" s="384">
        <f>SUM(FM143:FM147)*1.1</f>
        <v>194545.75580000004</v>
      </c>
      <c r="FP143" s="36"/>
      <c r="FQ143" s="197"/>
      <c r="FR143" s="197"/>
      <c r="FS143" s="38"/>
      <c r="FT143" s="384">
        <f>SUM(FR143:FR147)*1.1</f>
        <v>219844.07720000003</v>
      </c>
      <c r="FU143" s="36"/>
      <c r="FV143" s="197"/>
      <c r="FW143" s="197"/>
      <c r="FX143" s="38"/>
      <c r="FY143" s="384">
        <f>SUM(FW143:FW147)*1.1</f>
        <v>44646.582200000004</v>
      </c>
      <c r="FZ143" s="36"/>
      <c r="GA143" s="197"/>
      <c r="GB143" s="197"/>
      <c r="GC143" s="38"/>
      <c r="GD143" s="384">
        <f>SUM(GB143:GB147)*1.1</f>
        <v>13835.976000000002</v>
      </c>
      <c r="GE143" s="36"/>
      <c r="GF143" s="197"/>
      <c r="GG143" s="197"/>
      <c r="GH143" s="38"/>
      <c r="GI143" s="384">
        <f>SUM(GG143:GG147)*1.1</f>
        <v>93366.8076</v>
      </c>
      <c r="GJ143" s="280"/>
      <c r="GK143" s="197"/>
      <c r="GL143" s="197"/>
      <c r="GM143" s="38"/>
      <c r="GN143" s="384">
        <f>SUM(GL143:GL147)*1.1</f>
        <v>188026.7928</v>
      </c>
      <c r="GO143" s="36"/>
      <c r="GP143" s="197"/>
      <c r="GQ143" s="197"/>
      <c r="GR143" s="38"/>
      <c r="GS143" s="384">
        <f>SUM(GQ143:GQ147)*1.1</f>
        <v>212342.71299999996</v>
      </c>
      <c r="GT143" s="36"/>
      <c r="GU143" s="197"/>
      <c r="GV143" s="197"/>
      <c r="GW143" s="38"/>
      <c r="GX143" s="384">
        <f>SUM(GV143:GV147)*1.1</f>
        <v>200816.29700000005</v>
      </c>
      <c r="GY143" s="36"/>
      <c r="GZ143" s="197"/>
      <c r="HA143" s="197"/>
      <c r="HB143" s="38"/>
      <c r="HC143" s="384">
        <f>SUM(HA143:HA147)*1.1</f>
        <v>111264.04960000003</v>
      </c>
      <c r="HD143" s="36"/>
      <c r="HE143" s="197"/>
      <c r="HF143" s="197"/>
      <c r="HG143" s="38"/>
      <c r="HH143" s="384">
        <f>SUM(HF143:HF147)*1.1</f>
        <v>129828.30959999999</v>
      </c>
      <c r="HI143" s="36"/>
      <c r="HJ143" s="197"/>
      <c r="HK143" s="197"/>
      <c r="HL143" s="38"/>
      <c r="HM143" s="384">
        <f>SUM(HK143:HK147)*1.1</f>
        <v>158169.429</v>
      </c>
      <c r="HN143" s="36"/>
      <c r="HO143" s="197"/>
      <c r="HP143" s="197"/>
      <c r="HQ143" s="38"/>
      <c r="HR143" s="384">
        <f>SUM(HP143:HP147)*1.1</f>
        <v>144022.6502</v>
      </c>
      <c r="HS143" s="36"/>
      <c r="HT143" s="197"/>
      <c r="HU143" s="197"/>
      <c r="HV143" s="38"/>
      <c r="HW143" s="384">
        <f>SUM(HU143:HU147)*1.1</f>
        <v>196972.57580000002</v>
      </c>
      <c r="HX143" s="36"/>
      <c r="HY143" s="197"/>
      <c r="HZ143" s="197"/>
      <c r="IA143" s="38"/>
      <c r="IB143" s="384">
        <f>SUM(HZ143:HZ147)*1.1</f>
        <v>210009.35119999998</v>
      </c>
      <c r="IC143" s="36"/>
      <c r="ID143" s="197"/>
      <c r="IE143" s="197"/>
      <c r="IF143" s="38"/>
      <c r="IG143" s="384">
        <f>SUM(IE143:IE147)*1.1</f>
        <v>46565.070200000009</v>
      </c>
      <c r="IH143" s="36"/>
      <c r="II143" s="197"/>
      <c r="IJ143" s="197"/>
      <c r="IK143" s="38"/>
      <c r="IL143" s="384">
        <f>SUM(IJ143:IJ147)*1.1</f>
        <v>93632.435600000012</v>
      </c>
      <c r="IM143" s="36"/>
      <c r="IN143" s="197"/>
      <c r="IO143" s="197"/>
      <c r="IP143" s="38"/>
      <c r="IQ143" s="384">
        <f>SUM(IO143:IO147)*1.1</f>
        <v>93366.8076</v>
      </c>
    </row>
    <row r="144" spans="1:251" ht="15" customHeight="1">
      <c r="A144" s="647"/>
      <c r="B144" s="256"/>
      <c r="C144" s="215">
        <v>42962597</v>
      </c>
      <c r="D144" s="45" t="s">
        <v>82</v>
      </c>
      <c r="E144" s="216" t="s">
        <v>11</v>
      </c>
      <c r="F144" s="22"/>
      <c r="G144" s="103"/>
      <c r="H144" s="128">
        <v>1</v>
      </c>
      <c r="I144" s="128">
        <v>3790.93</v>
      </c>
      <c r="J144" s="81"/>
      <c r="K144" s="88"/>
      <c r="L144" s="103"/>
      <c r="M144" s="156">
        <v>1</v>
      </c>
      <c r="N144" s="156">
        <v>3790.93</v>
      </c>
      <c r="O144" s="81"/>
      <c r="P144" s="88"/>
      <c r="Q144" s="103"/>
      <c r="R144" s="156">
        <v>1</v>
      </c>
      <c r="S144" s="156">
        <v>3790.93</v>
      </c>
      <c r="T144" s="81"/>
      <c r="U144" s="88"/>
      <c r="V144" s="47"/>
      <c r="W144" s="128">
        <v>1</v>
      </c>
      <c r="X144" s="128" t="s">
        <v>227</v>
      </c>
      <c r="Y144" s="81"/>
      <c r="Z144" s="403">
        <f>SUM(X143:X147)*1</f>
        <v>70442.399999999994</v>
      </c>
      <c r="AA144" s="46"/>
      <c r="AB144" s="128">
        <v>1</v>
      </c>
      <c r="AC144" s="128" t="s">
        <v>227</v>
      </c>
      <c r="AD144" s="81"/>
      <c r="AE144" s="403">
        <f>SUM(AC143:AC147)*1</f>
        <v>73104.111999999994</v>
      </c>
      <c r="AF144" s="46"/>
      <c r="AG144" s="128">
        <v>1</v>
      </c>
      <c r="AH144" s="128">
        <v>3790.93</v>
      </c>
      <c r="AI144" s="81"/>
      <c r="AJ144" s="403">
        <f>SUM(AH146:AH147)+AI145+AH143:AH144*1</f>
        <v>82153.7</v>
      </c>
      <c r="AK144" s="46"/>
      <c r="AL144" s="56">
        <v>1</v>
      </c>
      <c r="AM144" s="128">
        <v>3790.93</v>
      </c>
      <c r="AN144" s="44"/>
      <c r="AO144" s="403">
        <f>SUM(AM146:AM147)+AN145+AM143:AM144*1</f>
        <v>86749.673999999999</v>
      </c>
      <c r="AP144" s="46"/>
      <c r="AQ144" s="128">
        <v>1</v>
      </c>
      <c r="AR144" s="128">
        <v>3790.93</v>
      </c>
      <c r="AS144" s="81"/>
      <c r="AT144" s="403">
        <f>SUM(AR143:AR144)+AS145+AR146*1</f>
        <v>112519.83</v>
      </c>
      <c r="AU144" s="46"/>
      <c r="AV144" s="128">
        <v>1</v>
      </c>
      <c r="AW144" s="128">
        <v>3790.93</v>
      </c>
      <c r="AX144" s="81"/>
      <c r="AY144" s="403">
        <f>SUM(AW143:AW147)*1</f>
        <v>124371.26199999999</v>
      </c>
      <c r="AZ144" s="46"/>
      <c r="BA144" s="128">
        <v>1</v>
      </c>
      <c r="BB144" s="128">
        <v>3790.93</v>
      </c>
      <c r="BC144" s="81"/>
      <c r="BD144" s="403">
        <f>SUM(BB143:BB147)*1</f>
        <v>112786.874</v>
      </c>
      <c r="BE144" s="46"/>
      <c r="BF144" s="128">
        <v>1</v>
      </c>
      <c r="BG144" s="128">
        <v>3790.93</v>
      </c>
      <c r="BH144" s="81"/>
      <c r="BI144" s="403">
        <f>SUM(BG143:BG147)*1</f>
        <v>107629.60799999999</v>
      </c>
      <c r="BJ144" s="46"/>
      <c r="BK144" s="128">
        <v>1</v>
      </c>
      <c r="BL144" s="128">
        <v>3790.93</v>
      </c>
      <c r="BM144" s="81"/>
      <c r="BN144" s="403">
        <f>SUM(BL143:BL147)*1</f>
        <v>66237.178</v>
      </c>
      <c r="BO144" s="46"/>
      <c r="BP144" s="128">
        <v>1</v>
      </c>
      <c r="BQ144" s="128">
        <v>3790.93</v>
      </c>
      <c r="BR144" s="81"/>
      <c r="BS144" s="403">
        <f>SUM(BQ143:BQ147)*1</f>
        <v>146744.21</v>
      </c>
      <c r="BT144" s="46"/>
      <c r="BU144" s="128">
        <v>1</v>
      </c>
      <c r="BV144" s="128">
        <v>3836.51</v>
      </c>
      <c r="BW144" s="81"/>
      <c r="BX144" s="403">
        <f>SUM(BV143:BV147)*1</f>
        <v>104758.92199999999</v>
      </c>
      <c r="BY144" s="46"/>
      <c r="BZ144" s="56">
        <v>1</v>
      </c>
      <c r="CA144" s="56">
        <f>4884.67*1.2</f>
        <v>5861.6040000000003</v>
      </c>
      <c r="CB144" s="44"/>
      <c r="CC144" s="403">
        <f>SUM(CA143:CA147)*1</f>
        <v>89306.304000000018</v>
      </c>
      <c r="CD144" s="46"/>
      <c r="CE144" s="128">
        <v>1</v>
      </c>
      <c r="CF144" s="128">
        <v>7545.3</v>
      </c>
      <c r="CG144" s="44"/>
      <c r="CH144" s="403">
        <f>SUM(CF143:CF147)*1</f>
        <v>101038.774</v>
      </c>
      <c r="CI144" s="46"/>
      <c r="CJ144" s="128">
        <v>1</v>
      </c>
      <c r="CK144" s="128">
        <v>7670.95</v>
      </c>
      <c r="CL144" s="81"/>
      <c r="CM144" s="403">
        <f>SUM(CK143:CK147)*1</f>
        <v>95853.706000000006</v>
      </c>
      <c r="CN144" s="46"/>
      <c r="CO144" s="128">
        <v>1</v>
      </c>
      <c r="CP144" s="128">
        <v>7670.95</v>
      </c>
      <c r="CQ144" s="81"/>
      <c r="CR144" s="403">
        <f>SUM(CP143:CP147)*1</f>
        <v>117885.86599999998</v>
      </c>
      <c r="CS144" s="46"/>
      <c r="CT144" s="128">
        <v>1</v>
      </c>
      <c r="CU144" s="128">
        <v>9690.15</v>
      </c>
      <c r="CV144" s="81"/>
      <c r="CW144" s="403">
        <f>SUM(CU143:CU147)*1</f>
        <v>133422.61799999999</v>
      </c>
      <c r="CX144" s="46"/>
      <c r="CY144" s="128">
        <v>1</v>
      </c>
      <c r="CZ144" s="128">
        <v>10670.95</v>
      </c>
      <c r="DA144" s="81"/>
      <c r="DB144" s="403">
        <f>SUM(CZ143:CZ147)*1</f>
        <v>132527.16999999998</v>
      </c>
      <c r="DC144" s="46"/>
      <c r="DD144" s="128">
        <v>1</v>
      </c>
      <c r="DE144" s="128">
        <v>10670.95</v>
      </c>
      <c r="DF144" s="81"/>
      <c r="DG144" s="403">
        <f>SUM(DE143:DE147)*1</f>
        <v>153337.81</v>
      </c>
      <c r="DH144" s="46"/>
      <c r="DI144" s="128">
        <v>1</v>
      </c>
      <c r="DJ144" s="128">
        <v>8999.9500000000007</v>
      </c>
      <c r="DK144" s="81"/>
      <c r="DL144" s="403">
        <f>SUM(DJ143:DJ147)*1</f>
        <v>151399.978</v>
      </c>
      <c r="DM144" s="46"/>
      <c r="DN144" s="128">
        <v>1</v>
      </c>
      <c r="DO144" s="128">
        <v>7670.95</v>
      </c>
      <c r="DP144" s="81"/>
      <c r="DQ144" s="403">
        <f>SUM(DO143:DO147)*1</f>
        <v>137319.12999999998</v>
      </c>
      <c r="DR144" s="46"/>
      <c r="DS144" s="128">
        <v>1</v>
      </c>
      <c r="DT144" s="128">
        <v>7670.95</v>
      </c>
      <c r="DU144" s="81"/>
      <c r="DV144" s="403">
        <f>SUM(DT143:DT147)*1</f>
        <v>134248.18799999999</v>
      </c>
      <c r="DW144" s="46"/>
      <c r="DX144" s="128">
        <v>1</v>
      </c>
      <c r="DY144" s="128">
        <f>7423.5+247.45</f>
        <v>7670.95</v>
      </c>
      <c r="DZ144" s="81"/>
      <c r="EA144" s="403">
        <f>SUM(DY143:DY147)*1</f>
        <v>122617.18</v>
      </c>
      <c r="EB144" s="46"/>
      <c r="EC144" s="56">
        <v>1</v>
      </c>
      <c r="ED144" s="56">
        <v>3836.51</v>
      </c>
      <c r="EE144" s="44"/>
      <c r="EF144" s="403">
        <f>SUM(ED143:ED147)*1</f>
        <v>170933.44799999997</v>
      </c>
      <c r="EG144" s="46"/>
      <c r="EH144" s="56">
        <v>1</v>
      </c>
      <c r="EI144" s="56">
        <f>4884.67*1.2</f>
        <v>5861.6040000000003</v>
      </c>
      <c r="EJ144" s="44"/>
      <c r="EK144" s="403">
        <f>SUM(EI143:EI147)*1</f>
        <v>90390.434000000023</v>
      </c>
      <c r="EL144" s="46"/>
      <c r="EM144" s="56">
        <v>1</v>
      </c>
      <c r="EN144" s="56">
        <v>7545.3</v>
      </c>
      <c r="EO144" s="44"/>
      <c r="EP144" s="403">
        <f>SUM(EN143:EN147)*1</f>
        <v>101038.774</v>
      </c>
      <c r="EQ144" s="46"/>
      <c r="ER144" s="128">
        <v>1</v>
      </c>
      <c r="ES144" s="128">
        <v>12966.38</v>
      </c>
      <c r="ET144" s="81"/>
      <c r="EU144" s="403">
        <f>SUM(ES143:ES147)*1</f>
        <v>101149.13600000001</v>
      </c>
      <c r="EV144" s="46"/>
      <c r="EW144" s="128">
        <v>1</v>
      </c>
      <c r="EX144" s="128">
        <v>7670.95</v>
      </c>
      <c r="EY144" s="81"/>
      <c r="EZ144" s="403">
        <f>SUM(EX143:EX147)*1</f>
        <v>118025.73599999999</v>
      </c>
      <c r="FA144" s="46"/>
      <c r="FB144" s="128">
        <v>1</v>
      </c>
      <c r="FC144" s="128">
        <v>10824.69</v>
      </c>
      <c r="FD144" s="81"/>
      <c r="FE144" s="403">
        <f>SUM(FC143:FC147)*1</f>
        <v>143790.38999999998</v>
      </c>
      <c r="FF144" s="46"/>
      <c r="FG144" s="128">
        <v>1</v>
      </c>
      <c r="FH144" s="128">
        <v>7670.95</v>
      </c>
      <c r="FI144" s="81"/>
      <c r="FJ144" s="403">
        <f>SUM(FH143:FH147)*1</f>
        <v>130929.68199999999</v>
      </c>
      <c r="FK144" s="46"/>
      <c r="FL144" s="128">
        <v>1</v>
      </c>
      <c r="FM144" s="128">
        <v>7670.95</v>
      </c>
      <c r="FN144" s="81"/>
      <c r="FO144" s="403">
        <f>SUM(FM143:FM147)*1</f>
        <v>176859.77800000002</v>
      </c>
      <c r="FP144" s="46"/>
      <c r="FQ144" s="128">
        <v>1</v>
      </c>
      <c r="FR144" s="128">
        <f>7423.5+247.45</f>
        <v>7670.95</v>
      </c>
      <c r="FS144" s="81"/>
      <c r="FT144" s="403">
        <f>SUM(FR143:FR147)*1</f>
        <v>199858.25200000001</v>
      </c>
      <c r="FU144" s="46"/>
      <c r="FV144" s="128">
        <v>1</v>
      </c>
      <c r="FW144" s="128">
        <v>7670.95</v>
      </c>
      <c r="FX144" s="81"/>
      <c r="FY144" s="403">
        <f>SUM(FW143:FW147)*1</f>
        <v>40587.802000000003</v>
      </c>
      <c r="FZ144" s="46"/>
      <c r="GA144" s="128">
        <v>1</v>
      </c>
      <c r="GB144" s="128">
        <v>7670.95</v>
      </c>
      <c r="GC144" s="81"/>
      <c r="GD144" s="403">
        <f>SUM(GB143:GB147)*1</f>
        <v>12578.160000000002</v>
      </c>
      <c r="GE144" s="46"/>
      <c r="GF144" s="56">
        <v>1</v>
      </c>
      <c r="GG144" s="56">
        <f>4884.67*1.2</f>
        <v>5861.6040000000003</v>
      </c>
      <c r="GH144" s="44"/>
      <c r="GI144" s="403">
        <f>SUM(GG143:GG147)*1</f>
        <v>84878.915999999997</v>
      </c>
      <c r="GJ144" s="97"/>
      <c r="GK144" s="56">
        <v>1</v>
      </c>
      <c r="GL144" s="56">
        <v>3836.51</v>
      </c>
      <c r="GM144" s="44"/>
      <c r="GN144" s="403">
        <f>SUM(GL143:GL147)*1</f>
        <v>170933.44799999997</v>
      </c>
      <c r="GO144" s="46"/>
      <c r="GP144" s="56">
        <v>1</v>
      </c>
      <c r="GQ144" s="56">
        <f>4884.67*1.2</f>
        <v>5861.6040000000003</v>
      </c>
      <c r="GR144" s="44"/>
      <c r="GS144" s="403">
        <f>SUM(GQ143:GQ147)*1</f>
        <v>193038.82999999996</v>
      </c>
      <c r="GT144" s="46"/>
      <c r="GU144" s="128">
        <v>1</v>
      </c>
      <c r="GV144" s="128">
        <v>9622.94</v>
      </c>
      <c r="GW144" s="81"/>
      <c r="GX144" s="403">
        <f>SUM(GV143:GV147)*1</f>
        <v>182560.27000000002</v>
      </c>
      <c r="GY144" s="46"/>
      <c r="GZ144" s="56">
        <v>1</v>
      </c>
      <c r="HA144" s="56">
        <v>12966.38</v>
      </c>
      <c r="HB144" s="44"/>
      <c r="HC144" s="403">
        <f>SUM(HA143:HA147)*1</f>
        <v>101149.13600000001</v>
      </c>
      <c r="HD144" s="46"/>
      <c r="HE144" s="56">
        <v>1</v>
      </c>
      <c r="HF144" s="56">
        <v>7670.95</v>
      </c>
      <c r="HG144" s="44"/>
      <c r="HH144" s="403">
        <f>SUM(HF143:HF147)*1</f>
        <v>118025.73599999999</v>
      </c>
      <c r="HI144" s="46"/>
      <c r="HJ144" s="56">
        <v>1</v>
      </c>
      <c r="HK144" s="56">
        <v>10824.69</v>
      </c>
      <c r="HL144" s="44"/>
      <c r="HM144" s="403">
        <f>SUM(HK143:HK147)*1</f>
        <v>143790.38999999998</v>
      </c>
      <c r="HN144" s="46"/>
      <c r="HO144" s="56">
        <v>1</v>
      </c>
      <c r="HP144" s="56">
        <v>7670.95</v>
      </c>
      <c r="HQ144" s="44"/>
      <c r="HR144" s="403">
        <f>SUM(HP143:HP147)*1</f>
        <v>130929.68199999999</v>
      </c>
      <c r="HS144" s="46"/>
      <c r="HT144" s="56">
        <v>1</v>
      </c>
      <c r="HU144" s="56">
        <v>7670.95</v>
      </c>
      <c r="HV144" s="44"/>
      <c r="HW144" s="403">
        <f>SUM(HU143:HU147)*1</f>
        <v>179065.978</v>
      </c>
      <c r="HX144" s="46"/>
      <c r="HY144" s="56">
        <v>1</v>
      </c>
      <c r="HZ144" s="56">
        <v>7</v>
      </c>
      <c r="IA144" s="44"/>
      <c r="IB144" s="403">
        <f>SUM(HZ143:HZ147)*1</f>
        <v>190917.59199999998</v>
      </c>
      <c r="IC144" s="46"/>
      <c r="ID144" s="56">
        <v>1</v>
      </c>
      <c r="IE144" s="56">
        <v>7670.95</v>
      </c>
      <c r="IF144" s="44"/>
      <c r="IG144" s="403">
        <f>SUM(IE143:IE147)*1</f>
        <v>42331.882000000005</v>
      </c>
      <c r="IH144" s="46"/>
      <c r="II144" s="56">
        <v>1</v>
      </c>
      <c r="IJ144" s="56">
        <f>4884.67*1.2</f>
        <v>5861.6040000000003</v>
      </c>
      <c r="IK144" s="44"/>
      <c r="IL144" s="403">
        <f>SUM(IJ143:IJ147)*1</f>
        <v>85120.396000000008</v>
      </c>
      <c r="IM144" s="46"/>
      <c r="IN144" s="56">
        <v>1</v>
      </c>
      <c r="IO144" s="56">
        <f>4884.67*1.2</f>
        <v>5861.6040000000003</v>
      </c>
      <c r="IP144" s="44"/>
      <c r="IQ144" s="403">
        <f>SUM(IO143:IO147)*1</f>
        <v>84878.915999999997</v>
      </c>
    </row>
    <row r="145" spans="1:251" ht="15" customHeight="1">
      <c r="A145" s="647"/>
      <c r="B145" s="256"/>
      <c r="C145" s="215">
        <v>45179093</v>
      </c>
      <c r="D145" s="45" t="s">
        <v>453</v>
      </c>
      <c r="E145" s="216" t="s">
        <v>13</v>
      </c>
      <c r="F145" s="22"/>
      <c r="G145" s="110">
        <f>I145/H145</f>
        <v>5.3077193407658756</v>
      </c>
      <c r="H145" s="128">
        <v>8252</v>
      </c>
      <c r="I145" s="128">
        <v>43799.3</v>
      </c>
      <c r="J145" s="81"/>
      <c r="K145" s="88"/>
      <c r="L145" s="110">
        <f>N145/M145</f>
        <v>5.3685475406919867</v>
      </c>
      <c r="M145" s="128">
        <v>11243</v>
      </c>
      <c r="N145" s="128">
        <v>60358.58</v>
      </c>
      <c r="O145" s="81" t="s">
        <v>201</v>
      </c>
      <c r="P145" s="88"/>
      <c r="Q145" s="110">
        <f>S145/R145</f>
        <v>4.9663927837813695</v>
      </c>
      <c r="R145" s="128">
        <v>11197</v>
      </c>
      <c r="S145" s="128">
        <v>55608.7</v>
      </c>
      <c r="T145" s="128" t="s">
        <v>205</v>
      </c>
      <c r="U145" s="88"/>
      <c r="V145" s="121">
        <f>X145/W145</f>
        <v>5.1477596404069077</v>
      </c>
      <c r="W145" s="128">
        <v>12681</v>
      </c>
      <c r="X145" s="128">
        <v>65278.74</v>
      </c>
      <c r="Y145" s="81">
        <f>50000+66039.14</f>
        <v>116039.14</v>
      </c>
      <c r="Z145" s="81"/>
      <c r="AA145" s="98">
        <f>AC145/AB145</f>
        <v>4.6829522383997819</v>
      </c>
      <c r="AB145" s="128">
        <v>14698</v>
      </c>
      <c r="AC145" s="128">
        <f>1.2*57358.36</f>
        <v>68830.031999999992</v>
      </c>
      <c r="AD145" s="81" t="s">
        <v>226</v>
      </c>
      <c r="AE145" s="81"/>
      <c r="AF145" s="98">
        <f>AH145/AG145</f>
        <v>4.8199437901498934</v>
      </c>
      <c r="AG145" s="408">
        <v>14944</v>
      </c>
      <c r="AH145" s="408">
        <v>72029.240000000005</v>
      </c>
      <c r="AI145" s="81">
        <v>73781.820000000007</v>
      </c>
      <c r="AJ145" s="81"/>
      <c r="AK145" s="98">
        <f>AM145/AL145</f>
        <v>4.9792196509372983</v>
      </c>
      <c r="AL145" s="408">
        <v>15470</v>
      </c>
      <c r="AM145" s="408">
        <f>1.2*64190.44</f>
        <v>77028.528000000006</v>
      </c>
      <c r="AN145" s="81">
        <f>1.2*67306.57</f>
        <v>80767.884000000005</v>
      </c>
      <c r="AO145" s="44"/>
      <c r="AP145" s="98">
        <f>AR145/AQ145</f>
        <v>5.9466964507321922</v>
      </c>
      <c r="AQ145" s="408">
        <v>16116</v>
      </c>
      <c r="AR145" s="408">
        <v>95836.96</v>
      </c>
      <c r="AS145" s="81">
        <v>105836.96</v>
      </c>
      <c r="AT145" s="44"/>
      <c r="AU145" s="98">
        <f>AW145/AV145</f>
        <v>6.6107638157894737</v>
      </c>
      <c r="AV145" s="408">
        <v>18240</v>
      </c>
      <c r="AW145" s="408">
        <f>1.2*100483.61</f>
        <v>120580.33199999999</v>
      </c>
      <c r="AX145" s="44"/>
      <c r="AY145" s="81"/>
      <c r="AZ145" s="98">
        <f>BB145/BA145</f>
        <v>6.2413441984056686</v>
      </c>
      <c r="BA145" s="408">
        <v>16935</v>
      </c>
      <c r="BB145" s="408">
        <f>1.2*88080.97</f>
        <v>105697.164</v>
      </c>
      <c r="BC145" s="81" t="s">
        <v>348</v>
      </c>
      <c r="BD145" s="81"/>
      <c r="BE145" s="98">
        <f>BG145/BF145</f>
        <v>6.3628443423319929</v>
      </c>
      <c r="BF145" s="408">
        <v>15669</v>
      </c>
      <c r="BG145" s="408">
        <v>99699.407999999996</v>
      </c>
      <c r="BH145" s="81" t="s">
        <v>348</v>
      </c>
      <c r="BI145" s="81"/>
      <c r="BJ145" s="98">
        <f>BL145/BK145</f>
        <v>6.7715881294964024</v>
      </c>
      <c r="BK145" s="408">
        <v>8896</v>
      </c>
      <c r="BL145" s="408">
        <f>1.2*50200.04</f>
        <v>60240.047999999995</v>
      </c>
      <c r="BM145" s="372" t="s">
        <v>366</v>
      </c>
      <c r="BN145" s="81"/>
      <c r="BO145" s="98">
        <f>BQ145/BP145</f>
        <v>6.3746282121377797</v>
      </c>
      <c r="BP145" s="408">
        <v>21948</v>
      </c>
      <c r="BQ145" s="408">
        <f>1.2*116591.95</f>
        <v>139910.34</v>
      </c>
      <c r="BR145" s="372" t="s">
        <v>388</v>
      </c>
      <c r="BS145" s="81"/>
      <c r="BT145" s="98">
        <f>BV145/BU145</f>
        <v>6.0268796791443844</v>
      </c>
      <c r="BU145" s="408">
        <v>16456</v>
      </c>
      <c r="BV145" s="408">
        <f>1.2*82648.61</f>
        <v>99178.331999999995</v>
      </c>
      <c r="BW145" s="81" t="s">
        <v>431</v>
      </c>
      <c r="BX145" s="81"/>
      <c r="BY145" s="98">
        <f>CA145/BZ145</f>
        <v>5.4806882672569941</v>
      </c>
      <c r="BZ145" s="408">
        <v>14907</v>
      </c>
      <c r="CA145" s="408">
        <v>81700.62000000001</v>
      </c>
      <c r="CB145" s="44"/>
      <c r="CC145" s="81"/>
      <c r="CD145" s="98">
        <f>CF145/CE145</f>
        <v>5.2738676757523795</v>
      </c>
      <c r="CE145" s="408">
        <v>16913</v>
      </c>
      <c r="CF145" s="408">
        <f>1.2*74330.77</f>
        <v>89196.923999999999</v>
      </c>
      <c r="CG145" s="44"/>
      <c r="CH145" s="81"/>
      <c r="CI145" s="98">
        <f>CK145/CJ145</f>
        <v>5.5512118075522334</v>
      </c>
      <c r="CJ145" s="408">
        <v>15651</v>
      </c>
      <c r="CK145" s="408">
        <v>86882.016000000003</v>
      </c>
      <c r="CL145" s="81">
        <v>103589.32</v>
      </c>
      <c r="CM145" s="81"/>
      <c r="CN145" s="98">
        <f>CP145/CO145</f>
        <v>6.5632803081249609</v>
      </c>
      <c r="CO145" s="408">
        <v>16357</v>
      </c>
      <c r="CP145" s="408">
        <f>1.2*89462.98</f>
        <v>107355.57599999999</v>
      </c>
      <c r="CQ145" s="81">
        <v>40000</v>
      </c>
      <c r="CR145" s="81"/>
      <c r="CS145" s="98">
        <f>CU145/CT145</f>
        <v>7.5064681962320456</v>
      </c>
      <c r="CT145" s="408">
        <v>16083</v>
      </c>
      <c r="CU145" s="408">
        <v>120726.52799999999</v>
      </c>
      <c r="CV145" s="81">
        <v>159709.35999999999</v>
      </c>
      <c r="CW145" s="81"/>
      <c r="CX145" s="98">
        <f>CZ145/CY145</f>
        <v>7.9506957272908503</v>
      </c>
      <c r="CY145" s="408">
        <v>15049</v>
      </c>
      <c r="CZ145" s="408">
        <f>1.2*99708.35</f>
        <v>119650.02</v>
      </c>
      <c r="DA145" s="81">
        <v>171115.66800000001</v>
      </c>
      <c r="DB145" s="81"/>
      <c r="DC145" s="98">
        <f>DE145/DD145</f>
        <v>8.0084759678430935</v>
      </c>
      <c r="DD145" s="408">
        <v>17539</v>
      </c>
      <c r="DE145" s="408">
        <f>1.2*117050.55</f>
        <v>140460.66</v>
      </c>
      <c r="DF145" s="81" t="s">
        <v>547</v>
      </c>
      <c r="DG145" s="81"/>
      <c r="DH145" s="98">
        <f>DJ145/DI145</f>
        <v>8.1712320335723039</v>
      </c>
      <c r="DI145" s="408">
        <v>17157</v>
      </c>
      <c r="DJ145" s="408">
        <f>1.2*116828.19</f>
        <v>140193.82800000001</v>
      </c>
      <c r="DK145" s="44"/>
      <c r="DL145" s="81"/>
      <c r="DM145" s="98">
        <f>DO145/DN145</f>
        <v>8.2268401007036331</v>
      </c>
      <c r="DN145" s="408">
        <v>15491</v>
      </c>
      <c r="DO145" s="408">
        <f>1.2*106201.65</f>
        <v>127441.97999999998</v>
      </c>
      <c r="DP145" s="372" t="s">
        <v>554</v>
      </c>
      <c r="DQ145" s="81"/>
      <c r="DR145" s="98">
        <f>DT145/DS145</f>
        <v>8.1744597510373449</v>
      </c>
      <c r="DS145" s="408">
        <v>14460</v>
      </c>
      <c r="DT145" s="408">
        <f>1.2*98502.24</f>
        <v>118202.68799999999</v>
      </c>
      <c r="DU145" s="81">
        <v>127913.65</v>
      </c>
      <c r="DV145" s="81"/>
      <c r="DW145" s="98">
        <f>DY145/DX145</f>
        <v>8.7144958664915393</v>
      </c>
      <c r="DX145" s="408">
        <v>12943</v>
      </c>
      <c r="DY145" s="408">
        <f>1.2*93993.1</f>
        <v>112791.72</v>
      </c>
      <c r="DZ145" s="81">
        <v>127913.65</v>
      </c>
      <c r="EA145" s="81"/>
      <c r="EB145" s="98">
        <f>ED145/EC145</f>
        <v>8.5936440163333661</v>
      </c>
      <c r="EC145" s="408">
        <f>16803+2299</f>
        <v>19102</v>
      </c>
      <c r="ED145" s="408">
        <f>1.2*(120332.5+16463.99)</f>
        <v>164155.78799999997</v>
      </c>
      <c r="EE145" s="44" t="s">
        <v>431</v>
      </c>
      <c r="EF145" s="81"/>
      <c r="EG145" s="98">
        <f>EI145/EH145</f>
        <v>5.4806882672569941</v>
      </c>
      <c r="EH145" s="56">
        <v>14907</v>
      </c>
      <c r="EI145" s="56">
        <v>81700.62000000001</v>
      </c>
      <c r="EJ145" s="44"/>
      <c r="EK145" s="81"/>
      <c r="EL145" s="98">
        <f>EN145/EM145</f>
        <v>5.2738676757523795</v>
      </c>
      <c r="EM145" s="56">
        <v>16913</v>
      </c>
      <c r="EN145" s="56">
        <f>1.2*74330.77</f>
        <v>89196.923999999999</v>
      </c>
      <c r="EO145" s="81">
        <v>130717.61</v>
      </c>
      <c r="EP145" s="81"/>
      <c r="EQ145" s="98">
        <f>ES145/ER145</f>
        <v>5.5512118075522334</v>
      </c>
      <c r="ER145" s="56">
        <v>15651</v>
      </c>
      <c r="ES145" s="56">
        <v>86882.016000000003</v>
      </c>
      <c r="ET145" s="81">
        <v>111859.45</v>
      </c>
      <c r="EU145" s="81"/>
      <c r="EV145" s="98">
        <f>EX145/EW145</f>
        <v>6.5632803081249609</v>
      </c>
      <c r="EW145" s="56">
        <v>16357</v>
      </c>
      <c r="EX145" s="56">
        <f>1.2*89462.98</f>
        <v>107355.57599999999</v>
      </c>
      <c r="EY145" s="44">
        <v>40000</v>
      </c>
      <c r="EZ145" s="81"/>
      <c r="FA145" s="98">
        <f>FC145/FB145</f>
        <v>7.2239999999999993</v>
      </c>
      <c r="FB145" s="408">
        <v>17990</v>
      </c>
      <c r="FC145" s="408">
        <f>1.2*108299.8</f>
        <v>129959.76</v>
      </c>
      <c r="FD145" s="81">
        <v>127958.06</v>
      </c>
      <c r="FE145" s="81"/>
      <c r="FF145" s="98">
        <f>FH145/FG145</f>
        <v>7.9415162369612275</v>
      </c>
      <c r="FG145" s="408">
        <v>15243</v>
      </c>
      <c r="FH145" s="408">
        <f>1.2*100877.11</f>
        <v>121052.53199999999</v>
      </c>
      <c r="FI145" s="44">
        <v>171115.66800000001</v>
      </c>
      <c r="FJ145" s="81"/>
      <c r="FK145" s="98">
        <f>FM145/FL145</f>
        <v>7.9877639393796329</v>
      </c>
      <c r="FL145" s="408">
        <v>21181</v>
      </c>
      <c r="FM145" s="408">
        <f>1.2*140990.69</f>
        <v>169188.82800000001</v>
      </c>
      <c r="FN145" s="81">
        <v>121052.53</v>
      </c>
      <c r="FO145" s="81"/>
      <c r="FP145" s="98">
        <f>FR145/FQ145</f>
        <v>7.2019079459583235</v>
      </c>
      <c r="FQ145" s="408">
        <v>26202</v>
      </c>
      <c r="FR145" s="408">
        <f>1.2*157253.66</f>
        <v>188704.39199999999</v>
      </c>
      <c r="FS145" s="81">
        <v>171422.24</v>
      </c>
      <c r="FT145" s="81"/>
      <c r="FU145" s="98">
        <f>FW145/FV145</f>
        <v>9.5370943285336462</v>
      </c>
      <c r="FV145" s="408">
        <v>3403</v>
      </c>
      <c r="FW145" s="408">
        <f>1.2*27045.61</f>
        <v>32454.732</v>
      </c>
      <c r="FX145" s="509" t="s">
        <v>554</v>
      </c>
      <c r="FY145" s="81"/>
      <c r="FZ145" s="98">
        <f>GB145/GA145</f>
        <v>10.118056265984654</v>
      </c>
      <c r="GA145" s="408">
        <v>391</v>
      </c>
      <c r="GB145" s="408">
        <f>1.2*3296.8</f>
        <v>3956.16</v>
      </c>
      <c r="GC145" s="44">
        <v>127913.65</v>
      </c>
      <c r="GD145" s="81"/>
      <c r="GE145" s="98">
        <f>GG145/GF145</f>
        <v>4.6710722451958153</v>
      </c>
      <c r="GF145" s="56">
        <v>16444</v>
      </c>
      <c r="GG145" s="56">
        <f>1.2*64009.26</f>
        <v>76811.111999999994</v>
      </c>
      <c r="GH145" s="372">
        <v>5146.76</v>
      </c>
      <c r="GI145" s="81"/>
      <c r="GJ145" s="98">
        <f>GL145/GK145</f>
        <v>8.5936440163333661</v>
      </c>
      <c r="GK145" s="56">
        <f>16803+2299</f>
        <v>19102</v>
      </c>
      <c r="GL145" s="56">
        <f>1.2*(120332.5+16463.99)</f>
        <v>164155.78799999997</v>
      </c>
      <c r="GM145" s="44" t="s">
        <v>431</v>
      </c>
      <c r="GN145" s="81"/>
      <c r="GO145" s="98">
        <f>GQ145/GP145</f>
        <v>13.755336218474852</v>
      </c>
      <c r="GP145" s="408">
        <v>13402</v>
      </c>
      <c r="GQ145" s="408">
        <f>1.2*153624.18</f>
        <v>184349.01599999997</v>
      </c>
      <c r="GR145" s="44"/>
      <c r="GS145" s="81"/>
      <c r="GT145" s="98">
        <f>GV145/GU145</f>
        <v>10.48259977620291</v>
      </c>
      <c r="GU145" s="408">
        <v>16086</v>
      </c>
      <c r="GV145" s="408">
        <f>1.2*140519.25</f>
        <v>168623.1</v>
      </c>
      <c r="GW145" s="44">
        <v>130717.61</v>
      </c>
      <c r="GX145" s="81"/>
      <c r="GY145" s="98">
        <f>HA145/GZ145</f>
        <v>5.5512118075522334</v>
      </c>
      <c r="GZ145" s="56">
        <v>15651</v>
      </c>
      <c r="HA145" s="56">
        <v>86882.016000000003</v>
      </c>
      <c r="HB145" s="44">
        <v>111859.45</v>
      </c>
      <c r="HC145" s="81"/>
      <c r="HD145" s="98">
        <f>HF145/HE145</f>
        <v>6.5632803081249609</v>
      </c>
      <c r="HE145" s="56">
        <v>16357</v>
      </c>
      <c r="HF145" s="56">
        <f>1.2*89462.98</f>
        <v>107355.57599999999</v>
      </c>
      <c r="HG145" s="44">
        <v>40000</v>
      </c>
      <c r="HH145" s="81"/>
      <c r="HI145" s="98">
        <f>HK145/HJ145</f>
        <v>7.2239999999999993</v>
      </c>
      <c r="HJ145" s="56">
        <v>17990</v>
      </c>
      <c r="HK145" s="56">
        <f>1.2*108299.8</f>
        <v>129959.76</v>
      </c>
      <c r="HL145" s="44">
        <v>127958.06</v>
      </c>
      <c r="HM145" s="81"/>
      <c r="HN145" s="98">
        <f>HP145/HO145</f>
        <v>7.9415162369612275</v>
      </c>
      <c r="HO145" s="56">
        <v>15243</v>
      </c>
      <c r="HP145" s="56">
        <f>1.2*100877.11</f>
        <v>121052.53199999999</v>
      </c>
      <c r="HQ145" s="44">
        <v>171115.66800000001</v>
      </c>
      <c r="HR145" s="81"/>
      <c r="HS145" s="98">
        <f>HU145/HT145</f>
        <v>7.9877639393796329</v>
      </c>
      <c r="HT145" s="56">
        <v>21181</v>
      </c>
      <c r="HU145" s="56">
        <f>1.2*140990.69</f>
        <v>169188.82800000001</v>
      </c>
      <c r="HV145" s="44">
        <v>121052.53</v>
      </c>
      <c r="HW145" s="81"/>
      <c r="HX145" s="98">
        <f>HZ145/HY145</f>
        <v>7.2019079459583235</v>
      </c>
      <c r="HY145" s="56">
        <v>26202</v>
      </c>
      <c r="HZ145" s="56">
        <f>1.2*157253.66</f>
        <v>188704.39199999999</v>
      </c>
      <c r="IA145" s="44">
        <v>171422.24</v>
      </c>
      <c r="IB145" s="81"/>
      <c r="IC145" s="98">
        <f>IE145/ID145</f>
        <v>9.5370943285336462</v>
      </c>
      <c r="ID145" s="56">
        <v>3403</v>
      </c>
      <c r="IE145" s="56">
        <f>1.2*27045.61</f>
        <v>32454.732</v>
      </c>
      <c r="IF145" s="509" t="s">
        <v>554</v>
      </c>
      <c r="IG145" s="81"/>
      <c r="IH145" s="98">
        <f>IJ145/II145</f>
        <v>4.6710722451958153</v>
      </c>
      <c r="II145" s="56">
        <v>16444</v>
      </c>
      <c r="IJ145" s="56">
        <f>1.2*64009.26</f>
        <v>76811.111999999994</v>
      </c>
      <c r="IK145" s="44">
        <v>127913.65</v>
      </c>
      <c r="IL145" s="81"/>
      <c r="IM145" s="98">
        <f>IO145/IN145</f>
        <v>4.6710722451958153</v>
      </c>
      <c r="IN145" s="56">
        <v>16444</v>
      </c>
      <c r="IO145" s="56">
        <f>1.2*64009.26</f>
        <v>76811.111999999994</v>
      </c>
      <c r="IP145" s="44"/>
      <c r="IQ145" s="81"/>
    </row>
    <row r="146" spans="1:251" ht="15" customHeight="1">
      <c r="A146" s="647"/>
      <c r="B146" s="256"/>
      <c r="C146" s="215">
        <v>41946011</v>
      </c>
      <c r="D146" s="45" t="s">
        <v>200</v>
      </c>
      <c r="E146" s="216" t="s">
        <v>15</v>
      </c>
      <c r="F146" s="22"/>
      <c r="G146" s="103"/>
      <c r="H146" s="128">
        <v>0</v>
      </c>
      <c r="I146" s="128">
        <v>462.12</v>
      </c>
      <c r="J146" s="81"/>
      <c r="K146" s="88"/>
      <c r="L146" s="103"/>
      <c r="M146" s="128">
        <v>0</v>
      </c>
      <c r="N146" s="128">
        <v>646.85</v>
      </c>
      <c r="O146" s="81"/>
      <c r="P146" s="88"/>
      <c r="Q146" s="103"/>
      <c r="R146" s="128">
        <v>0</v>
      </c>
      <c r="S146" s="128">
        <v>691.92</v>
      </c>
      <c r="T146" s="81"/>
      <c r="U146" s="88"/>
      <c r="V146" s="47"/>
      <c r="W146" s="128">
        <v>0</v>
      </c>
      <c r="X146" s="128">
        <v>889.58</v>
      </c>
      <c r="Y146" s="81"/>
      <c r="Z146" s="81"/>
      <c r="AA146" s="46"/>
      <c r="AB146" s="128">
        <v>1</v>
      </c>
      <c r="AC146" s="128" t="s">
        <v>232</v>
      </c>
      <c r="AD146" s="81"/>
      <c r="AE146" s="81"/>
      <c r="AF146" s="406"/>
      <c r="AG146" s="128">
        <v>0</v>
      </c>
      <c r="AH146" s="128">
        <v>1299.48</v>
      </c>
      <c r="AI146" s="81"/>
      <c r="AJ146" s="81"/>
      <c r="AK146" s="46"/>
      <c r="AL146" s="128">
        <v>0</v>
      </c>
      <c r="AM146" s="128">
        <v>1229.9000000000001</v>
      </c>
      <c r="AN146" s="81"/>
      <c r="AO146" s="81"/>
      <c r="AP146" s="46"/>
      <c r="AQ146" s="128">
        <v>0</v>
      </c>
      <c r="AR146" s="128">
        <v>2891.94</v>
      </c>
      <c r="AS146" s="81"/>
      <c r="AT146" s="81"/>
      <c r="AU146" s="46"/>
      <c r="AV146" s="128">
        <v>0</v>
      </c>
      <c r="AW146" s="128" t="s">
        <v>332</v>
      </c>
      <c r="AX146" s="81"/>
      <c r="AY146" s="81"/>
      <c r="AZ146" s="46"/>
      <c r="BA146" s="408">
        <v>0</v>
      </c>
      <c r="BB146" s="408">
        <v>3298.78</v>
      </c>
      <c r="BC146" s="44"/>
      <c r="BD146" s="81"/>
      <c r="BE146" s="46"/>
      <c r="BF146" s="408">
        <v>0</v>
      </c>
      <c r="BG146" s="525">
        <v>2395.19</v>
      </c>
      <c r="BH146" s="511"/>
      <c r="BI146" s="81"/>
      <c r="BJ146" s="46"/>
      <c r="BK146" s="56">
        <v>0</v>
      </c>
      <c r="BL146" s="56">
        <v>462.12</v>
      </c>
      <c r="BM146" s="44"/>
      <c r="BN146" s="81"/>
      <c r="BO146" s="46"/>
      <c r="BP146" s="56">
        <v>0</v>
      </c>
      <c r="BQ146" s="56">
        <v>462.12</v>
      </c>
      <c r="BR146" s="44"/>
      <c r="BS146" s="81"/>
      <c r="BT146" s="46"/>
      <c r="BU146" s="408">
        <v>0</v>
      </c>
      <c r="BV146" s="408" t="s">
        <v>451</v>
      </c>
      <c r="BW146" s="44"/>
      <c r="BX146" s="81"/>
      <c r="BY146" s="46"/>
      <c r="BZ146" s="128">
        <v>0</v>
      </c>
      <c r="CA146" s="128" t="s">
        <v>457</v>
      </c>
      <c r="CB146" s="81">
        <v>60000</v>
      </c>
      <c r="CC146" s="81"/>
      <c r="CD146" s="46"/>
      <c r="CE146" s="128">
        <v>0</v>
      </c>
      <c r="CF146" s="372">
        <v>2133.8200000000002</v>
      </c>
      <c r="CG146" s="81"/>
      <c r="CH146" s="81"/>
      <c r="CI146" s="46"/>
      <c r="CJ146" s="56">
        <v>0</v>
      </c>
      <c r="CK146" s="56">
        <v>0</v>
      </c>
      <c r="CL146" s="44"/>
      <c r="CM146" s="81"/>
      <c r="CN146" s="46"/>
      <c r="CO146" s="128">
        <v>0</v>
      </c>
      <c r="CP146" s="128">
        <v>1115.26</v>
      </c>
      <c r="CQ146" s="44"/>
      <c r="CR146" s="81"/>
      <c r="CS146" s="46"/>
      <c r="CT146" s="128">
        <v>0</v>
      </c>
      <c r="CU146" s="128">
        <v>1486.74</v>
      </c>
      <c r="CV146" s="81"/>
      <c r="CW146" s="81"/>
      <c r="CX146" s="46"/>
      <c r="CY146" s="56">
        <v>0</v>
      </c>
      <c r="CZ146" s="56">
        <v>462.12</v>
      </c>
      <c r="DA146" s="44"/>
      <c r="DB146" s="81"/>
      <c r="DC146" s="46"/>
      <c r="DD146" s="56">
        <v>0</v>
      </c>
      <c r="DE146" s="56">
        <v>462.12</v>
      </c>
      <c r="DF146" s="44"/>
      <c r="DG146" s="81"/>
      <c r="DH146" s="46"/>
      <c r="DI146" s="56">
        <v>0</v>
      </c>
      <c r="DJ146" s="56">
        <v>462.12</v>
      </c>
      <c r="DK146" s="44"/>
      <c r="DL146" s="81"/>
      <c r="DM146" s="46"/>
      <c r="DN146" s="56">
        <v>0</v>
      </c>
      <c r="DO146" s="56">
        <v>462.12</v>
      </c>
      <c r="DP146" s="44"/>
      <c r="DQ146" s="81"/>
      <c r="DR146" s="46"/>
      <c r="DS146" s="128">
        <v>1</v>
      </c>
      <c r="DT146" s="128">
        <v>703.6</v>
      </c>
      <c r="DU146" s="81"/>
      <c r="DV146" s="81"/>
      <c r="DW146" s="46"/>
      <c r="DX146" s="56">
        <v>0</v>
      </c>
      <c r="DY146" s="56">
        <v>462.12</v>
      </c>
      <c r="DZ146" s="44"/>
      <c r="EA146" s="81"/>
      <c r="EB146" s="46"/>
      <c r="EC146" s="128">
        <v>0</v>
      </c>
      <c r="ED146" s="128">
        <v>1197.07</v>
      </c>
      <c r="EE146" s="81"/>
      <c r="EF146" s="81"/>
      <c r="EG146" s="46"/>
      <c r="EH146" s="128">
        <v>0</v>
      </c>
      <c r="EI146" s="372">
        <v>1084.1300000000001</v>
      </c>
      <c r="EJ146" s="81"/>
      <c r="EK146" s="81"/>
      <c r="EL146" s="46"/>
      <c r="EM146" s="56">
        <v>0</v>
      </c>
      <c r="EN146" s="509">
        <v>2133.8200000000002</v>
      </c>
      <c r="EO146" s="44"/>
      <c r="EP146" s="81"/>
      <c r="EQ146" s="46"/>
      <c r="ER146" s="56">
        <v>0</v>
      </c>
      <c r="ES146" s="56">
        <v>0</v>
      </c>
      <c r="ET146" s="44"/>
      <c r="EU146" s="81"/>
      <c r="EV146" s="46"/>
      <c r="EW146" s="128">
        <v>1</v>
      </c>
      <c r="EX146" s="128">
        <v>1255.1300000000001</v>
      </c>
      <c r="EY146" s="81"/>
      <c r="EZ146" s="81"/>
      <c r="FA146" s="46"/>
      <c r="FB146" s="56">
        <v>0</v>
      </c>
      <c r="FC146" s="56">
        <v>1486.74</v>
      </c>
      <c r="FD146" s="44"/>
      <c r="FE146" s="81"/>
      <c r="FF146" s="46"/>
      <c r="FG146" s="56">
        <v>0</v>
      </c>
      <c r="FH146" s="56">
        <v>462.12</v>
      </c>
      <c r="FI146" s="44"/>
      <c r="FJ146" s="81"/>
      <c r="FK146" s="46"/>
      <c r="FL146" s="56">
        <v>0</v>
      </c>
      <c r="FM146" s="56">
        <v>0</v>
      </c>
      <c r="FN146" s="44">
        <f>FM145-FN145</f>
        <v>48136.29800000001</v>
      </c>
      <c r="FO146" s="81"/>
      <c r="FP146" s="46"/>
      <c r="FQ146" s="56">
        <v>0</v>
      </c>
      <c r="FR146" s="56">
        <v>462.12</v>
      </c>
      <c r="FS146" s="44"/>
      <c r="FT146" s="81"/>
      <c r="FU146" s="46"/>
      <c r="FV146" s="56">
        <v>0</v>
      </c>
      <c r="FW146" s="56">
        <v>462.12</v>
      </c>
      <c r="FX146" s="44"/>
      <c r="FY146" s="81"/>
      <c r="FZ146" s="46"/>
      <c r="GA146" s="56">
        <v>1</v>
      </c>
      <c r="GB146" s="56">
        <v>703.6</v>
      </c>
      <c r="GC146" s="44"/>
      <c r="GD146" s="81"/>
      <c r="GE146" s="46"/>
      <c r="GF146" s="56">
        <v>0</v>
      </c>
      <c r="GG146" s="56">
        <v>462.12</v>
      </c>
      <c r="GH146" s="44"/>
      <c r="GI146" s="81"/>
      <c r="GJ146" s="97"/>
      <c r="GK146" s="56">
        <v>0</v>
      </c>
      <c r="GL146" s="56">
        <v>1197.07</v>
      </c>
      <c r="GM146" s="44"/>
      <c r="GN146" s="81"/>
      <c r="GO146" s="46"/>
      <c r="GP146" s="56">
        <v>0</v>
      </c>
      <c r="GQ146" s="509">
        <v>1084.1300000000001</v>
      </c>
      <c r="GR146" s="44"/>
      <c r="GS146" s="81"/>
      <c r="GT146" s="46"/>
      <c r="GU146" s="56">
        <v>0</v>
      </c>
      <c r="GV146" s="509">
        <v>2133.8200000000002</v>
      </c>
      <c r="GW146" s="44"/>
      <c r="GX146" s="81"/>
      <c r="GY146" s="46"/>
      <c r="GZ146" s="56">
        <v>0</v>
      </c>
      <c r="HA146" s="56">
        <v>0</v>
      </c>
      <c r="HB146" s="44"/>
      <c r="HC146" s="81"/>
      <c r="HD146" s="46"/>
      <c r="HE146" s="56">
        <v>1</v>
      </c>
      <c r="HF146" s="56">
        <v>1255.1300000000001</v>
      </c>
      <c r="HG146" s="44"/>
      <c r="HH146" s="81"/>
      <c r="HI146" s="46"/>
      <c r="HJ146" s="56">
        <v>0</v>
      </c>
      <c r="HK146" s="56">
        <v>1486.74</v>
      </c>
      <c r="HL146" s="44"/>
      <c r="HM146" s="81"/>
      <c r="HN146" s="46"/>
      <c r="HO146" s="56">
        <v>0</v>
      </c>
      <c r="HP146" s="56">
        <v>462.12</v>
      </c>
      <c r="HQ146" s="44"/>
      <c r="HR146" s="81"/>
      <c r="HS146" s="46"/>
      <c r="HT146" s="56">
        <v>0</v>
      </c>
      <c r="HU146" s="56">
        <v>462.12</v>
      </c>
      <c r="HV146" s="44">
        <f>HU145-HV145</f>
        <v>48136.29800000001</v>
      </c>
      <c r="HW146" s="81"/>
      <c r="HX146" s="46"/>
      <c r="HY146" s="56">
        <v>0</v>
      </c>
      <c r="HZ146" s="56">
        <v>462.12</v>
      </c>
      <c r="IA146" s="44"/>
      <c r="IB146" s="81"/>
      <c r="IC146" s="46"/>
      <c r="ID146" s="56">
        <v>0</v>
      </c>
      <c r="IE146" s="56">
        <v>462.12</v>
      </c>
      <c r="IF146" s="44"/>
      <c r="IG146" s="81"/>
      <c r="IH146" s="46"/>
      <c r="II146" s="56">
        <v>1</v>
      </c>
      <c r="IJ146" s="56">
        <v>703.6</v>
      </c>
      <c r="IK146" s="44"/>
      <c r="IL146" s="81"/>
      <c r="IM146" s="46"/>
      <c r="IN146" s="56">
        <v>0</v>
      </c>
      <c r="IO146" s="56">
        <v>462.12</v>
      </c>
      <c r="IP146" s="44"/>
      <c r="IQ146" s="81"/>
    </row>
    <row r="147" spans="1:251" s="264" customFormat="1" ht="15" customHeight="1" thickBot="1">
      <c r="A147" s="648"/>
      <c r="B147" s="257"/>
      <c r="C147" s="258">
        <v>42962597</v>
      </c>
      <c r="D147" s="20" t="s">
        <v>82</v>
      </c>
      <c r="E147" s="259" t="s">
        <v>17</v>
      </c>
      <c r="F147" s="23"/>
      <c r="G147" s="168">
        <f>I147/H147</f>
        <v>33.540000000000006</v>
      </c>
      <c r="H147" s="177">
        <v>52</v>
      </c>
      <c r="I147" s="177">
        <f>(481+240.24+732.16)*1.2</f>
        <v>1744.0800000000002</v>
      </c>
      <c r="J147" s="48"/>
      <c r="K147" s="49"/>
      <c r="L147" s="168">
        <f>N147/M147</f>
        <v>33.540000000000006</v>
      </c>
      <c r="M147" s="177">
        <v>52</v>
      </c>
      <c r="N147" s="177">
        <f>(481+240.24+732.16)*1.2</f>
        <v>1744.0800000000002</v>
      </c>
      <c r="O147" s="48"/>
      <c r="P147" s="49"/>
      <c r="Q147" s="168" t="e">
        <f>S147/R147</f>
        <v>#DIV/0!</v>
      </c>
      <c r="R147" s="172">
        <v>0</v>
      </c>
      <c r="S147" s="172">
        <v>0</v>
      </c>
      <c r="T147" s="179"/>
      <c r="U147" s="182"/>
      <c r="V147" s="209">
        <f>X147/W147</f>
        <v>33.540000000000006</v>
      </c>
      <c r="W147" s="397">
        <v>52</v>
      </c>
      <c r="X147" s="397">
        <f>(481+240.24+732.16)*1.2</f>
        <v>1744.0800000000002</v>
      </c>
      <c r="Y147" s="399"/>
      <c r="Z147" s="399"/>
      <c r="AA147" s="3">
        <f>AC147/AB147</f>
        <v>33.540000000000006</v>
      </c>
      <c r="AB147" s="397">
        <v>52</v>
      </c>
      <c r="AC147" s="397">
        <f>(481+240.24+732.16)*1.2</f>
        <v>1744.0800000000002</v>
      </c>
      <c r="AD147" s="399"/>
      <c r="AE147" s="399"/>
      <c r="AF147" s="3">
        <f>AH147/AG147</f>
        <v>30.383981481481481</v>
      </c>
      <c r="AG147" s="172">
        <v>108</v>
      </c>
      <c r="AH147" s="172">
        <v>3281.47</v>
      </c>
      <c r="AI147" s="179"/>
      <c r="AJ147" s="179"/>
      <c r="AK147" s="3">
        <f>AM147/AL147</f>
        <v>43.68</v>
      </c>
      <c r="AL147" s="177">
        <v>22</v>
      </c>
      <c r="AM147" s="177">
        <v>960.96</v>
      </c>
      <c r="AN147" s="48"/>
      <c r="AO147" s="48"/>
      <c r="AP147" s="3"/>
      <c r="AQ147" s="177"/>
      <c r="AR147" s="177"/>
      <c r="AS147" s="48"/>
      <c r="AT147" s="48"/>
      <c r="AU147" s="3"/>
      <c r="AV147" s="177"/>
      <c r="AW147" s="177"/>
      <c r="AX147" s="48"/>
      <c r="AY147" s="399"/>
      <c r="AZ147" s="3"/>
      <c r="BA147" s="177"/>
      <c r="BB147" s="177"/>
      <c r="BC147" s="48"/>
      <c r="BD147" s="399"/>
      <c r="BE147" s="3">
        <f>BG147/BF147</f>
        <v>33.540000000000006</v>
      </c>
      <c r="BF147" s="177">
        <v>52</v>
      </c>
      <c r="BG147" s="177">
        <f>(481+240.24+732.16)*1.2</f>
        <v>1744.0800000000002</v>
      </c>
      <c r="BH147" s="48"/>
      <c r="BI147" s="399"/>
      <c r="BJ147" s="3">
        <f>BL147/BK147</f>
        <v>33.540000000000006</v>
      </c>
      <c r="BK147" s="177">
        <v>52</v>
      </c>
      <c r="BL147" s="177">
        <f>(481+240.24+732.16)*1.2</f>
        <v>1744.0800000000002</v>
      </c>
      <c r="BM147" s="48"/>
      <c r="BN147" s="399"/>
      <c r="BO147" s="3">
        <f>BQ147/BP147</f>
        <v>49.63115384615385</v>
      </c>
      <c r="BP147" s="172">
        <v>52</v>
      </c>
      <c r="BQ147" s="172">
        <v>2580.8200000000002</v>
      </c>
      <c r="BR147" s="179"/>
      <c r="BS147" s="399"/>
      <c r="BT147" s="3">
        <f>BV147/BU147</f>
        <v>33.540000000000006</v>
      </c>
      <c r="BU147" s="177">
        <v>52</v>
      </c>
      <c r="BV147" s="177">
        <f>(481+240.24+732.16)*1.2</f>
        <v>1744.0800000000002</v>
      </c>
      <c r="BW147" s="48"/>
      <c r="BX147" s="399"/>
      <c r="BY147" s="3">
        <f>CA147/BZ147</f>
        <v>33.540000000000006</v>
      </c>
      <c r="BZ147" s="177">
        <v>52</v>
      </c>
      <c r="CA147" s="177">
        <f>(481+240.24+732.16)*1.2</f>
        <v>1744.0800000000002</v>
      </c>
      <c r="CB147" s="48"/>
      <c r="CC147" s="399"/>
      <c r="CD147" s="3">
        <f>CF147/CE147</f>
        <v>30.460985915492959</v>
      </c>
      <c r="CE147" s="172">
        <v>71</v>
      </c>
      <c r="CF147" s="172">
        <v>2162.73</v>
      </c>
      <c r="CG147" s="179"/>
      <c r="CH147" s="399"/>
      <c r="CI147" s="3">
        <f>CK147/CJ147</f>
        <v>25.014230769230771</v>
      </c>
      <c r="CJ147" s="177">
        <v>52</v>
      </c>
      <c r="CK147" s="177">
        <f>627.9+672.84</f>
        <v>1300.74</v>
      </c>
      <c r="CL147" s="48"/>
      <c r="CM147" s="399"/>
      <c r="CN147" s="3">
        <f>CP147/CO147</f>
        <v>33.540000000000006</v>
      </c>
      <c r="CO147" s="177">
        <v>52</v>
      </c>
      <c r="CP147" s="177">
        <f>(481+240.24+732.16)*1.2</f>
        <v>1744.0800000000002</v>
      </c>
      <c r="CQ147" s="48"/>
      <c r="CR147" s="399"/>
      <c r="CS147" s="3">
        <f>CU147/CT147</f>
        <v>30.384</v>
      </c>
      <c r="CT147" s="172">
        <v>50</v>
      </c>
      <c r="CU147" s="172">
        <v>1519.2</v>
      </c>
      <c r="CV147" s="179"/>
      <c r="CW147" s="399"/>
      <c r="CX147" s="3">
        <f>CZ147/CY147</f>
        <v>33.540000000000006</v>
      </c>
      <c r="CY147" s="177">
        <v>52</v>
      </c>
      <c r="CZ147" s="177">
        <f>(481+240.24+732.16)*1.2</f>
        <v>1744.0800000000002</v>
      </c>
      <c r="DA147" s="48"/>
      <c r="DB147" s="399"/>
      <c r="DC147" s="3">
        <f>DE147/DD147</f>
        <v>33.540000000000006</v>
      </c>
      <c r="DD147" s="177">
        <v>52</v>
      </c>
      <c r="DE147" s="177">
        <f>(481+240.24+732.16)*1.2</f>
        <v>1744.0800000000002</v>
      </c>
      <c r="DF147" s="48"/>
      <c r="DG147" s="399"/>
      <c r="DH147" s="3">
        <f>DJ147/DI147</f>
        <v>33.540000000000006</v>
      </c>
      <c r="DI147" s="177">
        <v>52</v>
      </c>
      <c r="DJ147" s="177">
        <f>(481+240.24+732.16)*1.2</f>
        <v>1744.0800000000002</v>
      </c>
      <c r="DK147" s="48"/>
      <c r="DL147" s="399"/>
      <c r="DM147" s="3">
        <f>DO147/DN147</f>
        <v>33.540000000000006</v>
      </c>
      <c r="DN147" s="177">
        <v>52</v>
      </c>
      <c r="DO147" s="177">
        <f>(481+240.24+732.16)*1.2</f>
        <v>1744.0800000000002</v>
      </c>
      <c r="DP147" s="48"/>
      <c r="DQ147" s="399"/>
      <c r="DR147" s="3">
        <f>DT147/DS147</f>
        <v>147.51826923076922</v>
      </c>
      <c r="DS147" s="177">
        <v>52</v>
      </c>
      <c r="DT147" s="177">
        <v>7670.95</v>
      </c>
      <c r="DU147" s="48"/>
      <c r="DV147" s="399"/>
      <c r="DW147" s="3">
        <f>DY147/DX147</f>
        <v>30.384021543985636</v>
      </c>
      <c r="DX147" s="172">
        <v>55.7</v>
      </c>
      <c r="DY147" s="172">
        <v>1692.39</v>
      </c>
      <c r="DZ147" s="179"/>
      <c r="EA147" s="399"/>
      <c r="EB147" s="3">
        <f>ED147/EC147</f>
        <v>33.540000000000006</v>
      </c>
      <c r="EC147" s="177">
        <v>52</v>
      </c>
      <c r="ED147" s="177">
        <f>(481+240.24+732.16)*1.2</f>
        <v>1744.0800000000002</v>
      </c>
      <c r="EE147" s="48"/>
      <c r="EF147" s="399"/>
      <c r="EG147" s="3">
        <f>EI147/EH147</f>
        <v>33.540000000000006</v>
      </c>
      <c r="EH147" s="177">
        <v>52</v>
      </c>
      <c r="EI147" s="177">
        <f>(481+240.24+732.16)*1.2</f>
        <v>1744.0800000000002</v>
      </c>
      <c r="EJ147" s="48"/>
      <c r="EK147" s="399"/>
      <c r="EL147" s="3">
        <f>EN147/EM147</f>
        <v>30.460985915492959</v>
      </c>
      <c r="EM147" s="177">
        <v>71</v>
      </c>
      <c r="EN147" s="177">
        <v>2162.73</v>
      </c>
      <c r="EO147" s="48"/>
      <c r="EP147" s="399"/>
      <c r="EQ147" s="3">
        <f>ES147/ER147</f>
        <v>25.014230769230771</v>
      </c>
      <c r="ER147" s="177">
        <v>52</v>
      </c>
      <c r="ES147" s="177">
        <f>627.9+672.84</f>
        <v>1300.74</v>
      </c>
      <c r="ET147" s="48"/>
      <c r="EU147" s="399"/>
      <c r="EV147" s="3">
        <f>EX147/EW147</f>
        <v>33.540000000000006</v>
      </c>
      <c r="EW147" s="177">
        <v>52</v>
      </c>
      <c r="EX147" s="177">
        <f>(481+240.24+732.16)*1.2</f>
        <v>1744.0800000000002</v>
      </c>
      <c r="EY147" s="48"/>
      <c r="EZ147" s="399"/>
      <c r="FA147" s="3">
        <f>FC147/FB147</f>
        <v>30.384</v>
      </c>
      <c r="FB147" s="177">
        <v>50</v>
      </c>
      <c r="FC147" s="177">
        <v>1519.2</v>
      </c>
      <c r="FD147" s="48"/>
      <c r="FE147" s="399"/>
      <c r="FF147" s="3">
        <f>FH147/FG147</f>
        <v>33.540000000000006</v>
      </c>
      <c r="FG147" s="177">
        <v>52</v>
      </c>
      <c r="FH147" s="177">
        <f>(481+240.24+732.16)*1.2</f>
        <v>1744.0800000000002</v>
      </c>
      <c r="FI147" s="48"/>
      <c r="FJ147" s="399"/>
      <c r="FK147" s="3" t="e">
        <f>FM147/FL147</f>
        <v>#DIV/0!</v>
      </c>
      <c r="FL147" s="177">
        <v>0</v>
      </c>
      <c r="FM147" s="177">
        <v>0</v>
      </c>
      <c r="FN147" s="48"/>
      <c r="FO147" s="399"/>
      <c r="FP147" s="3">
        <f>FR147/FQ147</f>
        <v>49.979980145598944</v>
      </c>
      <c r="FQ147" s="172">
        <v>60.44</v>
      </c>
      <c r="FR147" s="172">
        <f>3020.79</f>
        <v>3020.79</v>
      </c>
      <c r="FS147" s="179"/>
      <c r="FT147" s="399"/>
      <c r="FU147" s="3" t="e">
        <f>FW147/FV147</f>
        <v>#DIV/0!</v>
      </c>
      <c r="FV147" s="177">
        <v>0</v>
      </c>
      <c r="FW147" s="177">
        <v>0</v>
      </c>
      <c r="FX147" s="48"/>
      <c r="FY147" s="399"/>
      <c r="FZ147" s="3">
        <f>GB147/GA147</f>
        <v>4.7586538461538463</v>
      </c>
      <c r="GA147" s="177">
        <v>52</v>
      </c>
      <c r="GB147" s="177">
        <v>247.45</v>
      </c>
      <c r="GC147" s="48"/>
      <c r="GD147" s="399"/>
      <c r="GE147" s="3">
        <f>GG147/GF147</f>
        <v>33.540000000000006</v>
      </c>
      <c r="GF147" s="177">
        <v>52</v>
      </c>
      <c r="GG147" s="177">
        <f>(481+240.24+732.16)*1.2</f>
        <v>1744.0800000000002</v>
      </c>
      <c r="GH147" s="48"/>
      <c r="GI147" s="399"/>
      <c r="GJ147" s="285">
        <f>GL147/GK147</f>
        <v>33.540000000000006</v>
      </c>
      <c r="GK147" s="177">
        <v>52</v>
      </c>
      <c r="GL147" s="177">
        <f>(481+240.24+732.16)*1.2</f>
        <v>1744.0800000000002</v>
      </c>
      <c r="GM147" s="48"/>
      <c r="GN147" s="399"/>
      <c r="GO147" s="3">
        <f>GQ147/GP147</f>
        <v>33.540000000000006</v>
      </c>
      <c r="GP147" s="177">
        <v>52</v>
      </c>
      <c r="GQ147" s="177">
        <f>(481+240.24+732.16)*1.2</f>
        <v>1744.0800000000002</v>
      </c>
      <c r="GR147" s="48"/>
      <c r="GS147" s="399"/>
      <c r="GT147" s="3">
        <f>GV147/GU147</f>
        <v>64.129705882352937</v>
      </c>
      <c r="GU147" s="172">
        <v>34</v>
      </c>
      <c r="GV147" s="172">
        <v>2180.41</v>
      </c>
      <c r="GW147" s="179"/>
      <c r="GX147" s="399"/>
      <c r="GY147" s="3">
        <f>HA147/GZ147</f>
        <v>25.014230769230771</v>
      </c>
      <c r="GZ147" s="177">
        <v>52</v>
      </c>
      <c r="HA147" s="177">
        <f>627.9+672.84</f>
        <v>1300.74</v>
      </c>
      <c r="HB147" s="48"/>
      <c r="HC147" s="399"/>
      <c r="HD147" s="3">
        <f>HF147/HE147</f>
        <v>33.540000000000006</v>
      </c>
      <c r="HE147" s="177">
        <v>52</v>
      </c>
      <c r="HF147" s="177">
        <f>(481+240.24+732.16)*1.2</f>
        <v>1744.0800000000002</v>
      </c>
      <c r="HG147" s="48"/>
      <c r="HH147" s="399"/>
      <c r="HI147" s="3">
        <f>HK147/HJ147</f>
        <v>30.384</v>
      </c>
      <c r="HJ147" s="177">
        <v>50</v>
      </c>
      <c r="HK147" s="177">
        <v>1519.2</v>
      </c>
      <c r="HL147" s="48"/>
      <c r="HM147" s="399"/>
      <c r="HN147" s="3">
        <f>HP147/HO147</f>
        <v>33.540000000000006</v>
      </c>
      <c r="HO147" s="177">
        <v>52</v>
      </c>
      <c r="HP147" s="177">
        <f>(481+240.24+732.16)*1.2</f>
        <v>1744.0800000000002</v>
      </c>
      <c r="HQ147" s="48"/>
      <c r="HR147" s="399"/>
      <c r="HS147" s="3">
        <f>HU147/HT147</f>
        <v>33.540000000000006</v>
      </c>
      <c r="HT147" s="177">
        <v>52</v>
      </c>
      <c r="HU147" s="177">
        <f>(481+240.24+732.16)*1.2</f>
        <v>1744.0800000000002</v>
      </c>
      <c r="HV147" s="48"/>
      <c r="HW147" s="399"/>
      <c r="HX147" s="3">
        <f>HZ147/HY147</f>
        <v>33.540000000000006</v>
      </c>
      <c r="HY147" s="177">
        <v>52</v>
      </c>
      <c r="HZ147" s="177">
        <f>(481+240.24+732.16)*1.2</f>
        <v>1744.0800000000002</v>
      </c>
      <c r="IA147" s="48"/>
      <c r="IB147" s="399"/>
      <c r="IC147" s="3">
        <f>IE147/ID147</f>
        <v>33.540000000000006</v>
      </c>
      <c r="ID147" s="177">
        <v>52</v>
      </c>
      <c r="IE147" s="177">
        <f>(481+240.24+732.16)*1.2</f>
        <v>1744.0800000000002</v>
      </c>
      <c r="IF147" s="48"/>
      <c r="IG147" s="399"/>
      <c r="IH147" s="3">
        <f>IJ147/II147</f>
        <v>33.540000000000006</v>
      </c>
      <c r="II147" s="177">
        <v>52</v>
      </c>
      <c r="IJ147" s="177">
        <f>(481+240.24+732.16)*1.2</f>
        <v>1744.0800000000002</v>
      </c>
      <c r="IK147" s="48"/>
      <c r="IL147" s="399"/>
      <c r="IM147" s="3">
        <f>IO147/IN147</f>
        <v>33.540000000000006</v>
      </c>
      <c r="IN147" s="177">
        <v>52</v>
      </c>
      <c r="IO147" s="177">
        <f>(481+240.24+732.16)*1.2</f>
        <v>1744.0800000000002</v>
      </c>
      <c r="IP147" s="48"/>
      <c r="IQ147" s="399"/>
    </row>
    <row r="148" spans="1:251" s="249" customFormat="1" ht="15" customHeight="1">
      <c r="A148" s="649"/>
      <c r="B148" s="265" t="s">
        <v>152</v>
      </c>
      <c r="C148" s="11" t="s">
        <v>83</v>
      </c>
      <c r="D148" s="6" t="s">
        <v>25</v>
      </c>
      <c r="E148" s="7" t="s">
        <v>10</v>
      </c>
      <c r="F148" s="4"/>
      <c r="G148" s="196"/>
      <c r="H148" s="200"/>
      <c r="I148" s="197"/>
      <c r="J148" s="38"/>
      <c r="K148" s="206"/>
      <c r="L148" s="196"/>
      <c r="M148" s="200"/>
      <c r="N148" s="197"/>
      <c r="O148" s="38"/>
      <c r="P148" s="206"/>
      <c r="Q148" s="196"/>
      <c r="R148" s="200"/>
      <c r="S148" s="197"/>
      <c r="T148" s="38"/>
      <c r="U148" s="206"/>
      <c r="V148" s="207"/>
      <c r="W148" s="200"/>
      <c r="X148" s="197"/>
      <c r="Y148" s="38"/>
      <c r="Z148" s="384">
        <f>SUM(X148:X151)*1.1</f>
        <v>77812.328000000009</v>
      </c>
      <c r="AA148" s="36"/>
      <c r="AB148" s="200"/>
      <c r="AC148" s="197"/>
      <c r="AD148" s="38"/>
      <c r="AE148" s="384">
        <f>SUM(AC148:AC151)*1.1</f>
        <v>75151.857000000004</v>
      </c>
      <c r="AF148" s="36"/>
      <c r="AG148" s="200"/>
      <c r="AH148" s="197"/>
      <c r="AI148" s="38"/>
      <c r="AJ148" s="384">
        <f>AJ149*1.1</f>
        <v>85648.44200000001</v>
      </c>
      <c r="AK148" s="36"/>
      <c r="AL148" s="200"/>
      <c r="AM148" s="197"/>
      <c r="AN148" s="38"/>
      <c r="AO148" s="384">
        <f>AO149*1.1</f>
        <v>85177.377999999997</v>
      </c>
      <c r="AP148" s="36"/>
      <c r="AQ148" s="200"/>
      <c r="AR148" s="197"/>
      <c r="AS148" s="38"/>
      <c r="AT148" s="384">
        <f>SUM(AR148:AR151)*1.1</f>
        <v>103679.092</v>
      </c>
      <c r="AU148" s="36"/>
      <c r="AV148" s="200"/>
      <c r="AW148" s="197"/>
      <c r="AX148" s="38"/>
      <c r="AY148" s="384">
        <f>SUM(AW148:AW151)*1.1</f>
        <v>136592.929</v>
      </c>
      <c r="AZ148" s="36"/>
      <c r="BA148" s="200"/>
      <c r="BB148" s="197"/>
      <c r="BC148" s="38"/>
      <c r="BD148" s="384">
        <f>SUM(BB148:BB151)*1.1</f>
        <v>110530.31000000001</v>
      </c>
      <c r="BE148" s="36"/>
      <c r="BF148" s="200"/>
      <c r="BG148" s="197"/>
      <c r="BH148" s="38"/>
      <c r="BI148" s="384">
        <f>SUM(BG148:BG151)*1.1</f>
        <v>121247.21400000002</v>
      </c>
      <c r="BJ148" s="36"/>
      <c r="BK148" s="200"/>
      <c r="BL148" s="197"/>
      <c r="BM148" s="38"/>
      <c r="BN148" s="384">
        <f>SUM(BL148:BL151)*1.1</f>
        <v>116715.44500000001</v>
      </c>
      <c r="BO148" s="36"/>
      <c r="BP148" s="200"/>
      <c r="BQ148" s="197"/>
      <c r="BR148" s="38"/>
      <c r="BS148" s="384">
        <f>SUM(BQ148:BQ151)*1.1</f>
        <v>119484.299</v>
      </c>
      <c r="BT148" s="36"/>
      <c r="BU148" s="200"/>
      <c r="BV148" s="197"/>
      <c r="BW148" s="38"/>
      <c r="BX148" s="384">
        <f>SUM(BV148:BV151)*1.1</f>
        <v>152501.63500000004</v>
      </c>
      <c r="BY148" s="36"/>
      <c r="BZ148" s="200"/>
      <c r="CA148" s="197"/>
      <c r="CB148" s="38"/>
      <c r="CC148" s="384">
        <f>SUM(CA148:CA151)*1.1</f>
        <v>127412.47199999999</v>
      </c>
      <c r="CD148" s="36"/>
      <c r="CE148" s="200"/>
      <c r="CF148" s="197"/>
      <c r="CG148" s="38"/>
      <c r="CH148" s="384">
        <f>SUM(CF148:CF151)*1.1</f>
        <v>100516.81200000001</v>
      </c>
      <c r="CI148" s="36"/>
      <c r="CJ148" s="200"/>
      <c r="CK148" s="197"/>
      <c r="CL148" s="38"/>
      <c r="CM148" s="384">
        <f>SUM(CK148:CK151)*1.1</f>
        <v>110751.685</v>
      </c>
      <c r="CN148" s="36"/>
      <c r="CO148" s="200"/>
      <c r="CP148" s="197"/>
      <c r="CQ148" s="38"/>
      <c r="CR148" s="384">
        <f>SUM(CP148:CP151)*1.1</f>
        <v>114349.07</v>
      </c>
      <c r="CS148" s="36"/>
      <c r="CT148" s="200"/>
      <c r="CU148" s="197"/>
      <c r="CV148" s="38"/>
      <c r="CW148" s="384">
        <f>SUM(CU148:CU151)*1.1</f>
        <v>109644.04000000001</v>
      </c>
      <c r="CX148" s="36"/>
      <c r="CY148" s="200"/>
      <c r="CZ148" s="197"/>
      <c r="DA148" s="38"/>
      <c r="DB148" s="384">
        <f>SUM(CZ148:CZ151)*1.1</f>
        <v>120155.728</v>
      </c>
      <c r="DC148" s="36"/>
      <c r="DD148" s="200"/>
      <c r="DE148" s="197"/>
      <c r="DF148" s="38"/>
      <c r="DG148" s="384">
        <f>SUM(DE148:DE151)*1.1</f>
        <v>134872.67199999999</v>
      </c>
      <c r="DH148" s="36"/>
      <c r="DI148" s="200"/>
      <c r="DJ148" s="197"/>
      <c r="DK148" s="38"/>
      <c r="DL148" s="384">
        <f>SUM(DJ148:DJ151)*1.1</f>
        <v>128952.24100000001</v>
      </c>
      <c r="DM148" s="36"/>
      <c r="DN148" s="200"/>
      <c r="DO148" s="197"/>
      <c r="DP148" s="38"/>
      <c r="DQ148" s="384">
        <f>SUM(DO148:DO151)*1.1</f>
        <v>128207.29900000003</v>
      </c>
      <c r="DR148" s="36"/>
      <c r="DS148" s="200"/>
      <c r="DT148" s="197"/>
      <c r="DU148" s="38"/>
      <c r="DV148" s="384">
        <f>SUM(DT148:DT151)*1.1</f>
        <v>129599.94300000001</v>
      </c>
      <c r="DW148" s="36"/>
      <c r="DX148" s="200"/>
      <c r="DY148" s="197"/>
      <c r="DZ148" s="38"/>
      <c r="EA148" s="384">
        <f>SUM(DY148:DY151)*1.1</f>
        <v>167855.215</v>
      </c>
      <c r="EB148" s="36"/>
      <c r="EC148" s="200"/>
      <c r="ED148" s="197"/>
      <c r="EE148" s="38"/>
      <c r="EF148" s="384">
        <f>SUM(ED148:ED151)*1.1</f>
        <v>194899.44100000002</v>
      </c>
      <c r="EG148" s="36"/>
      <c r="EH148" s="200"/>
      <c r="EI148" s="197"/>
      <c r="EJ148" s="38"/>
      <c r="EK148" s="384">
        <f>SUM(EI148:EI151)*1.1</f>
        <v>215159.23000000004</v>
      </c>
      <c r="EL148" s="36"/>
      <c r="EM148" s="200"/>
      <c r="EN148" s="197"/>
      <c r="EO148" s="38"/>
      <c r="EP148" s="384">
        <f>SUM(EN148:EN151)*1.1</f>
        <v>185197.02300000004</v>
      </c>
      <c r="EQ148" s="36"/>
      <c r="ER148" s="200"/>
      <c r="ES148" s="197"/>
      <c r="ET148" s="38"/>
      <c r="EU148" s="384">
        <f>SUM(ES148:ES151)*1.1</f>
        <v>139133.40100000001</v>
      </c>
      <c r="EV148" s="36"/>
      <c r="EW148" s="200"/>
      <c r="EX148" s="197"/>
      <c r="EY148" s="38"/>
      <c r="EZ148" s="384">
        <f>SUM(EX148:EX151)*1.1</f>
        <v>137065.36799999999</v>
      </c>
      <c r="FA148" s="36"/>
      <c r="FB148" s="200"/>
      <c r="FC148" s="197"/>
      <c r="FD148" s="38"/>
      <c r="FE148" s="384">
        <f>SUM(FC148:FC151)*1.1</f>
        <v>139733.41800000001</v>
      </c>
      <c r="FF148" s="36"/>
      <c r="FG148" s="200"/>
      <c r="FH148" s="197"/>
      <c r="FI148" s="38"/>
      <c r="FJ148" s="384">
        <f>SUM(FH148:FH151)*1.1</f>
        <v>198851.34500000003</v>
      </c>
      <c r="FK148" s="36"/>
      <c r="FL148" s="200"/>
      <c r="FM148" s="197"/>
      <c r="FN148" s="38"/>
      <c r="FO148" s="384">
        <f>SUM(FM148:FM151)*1.1</f>
        <v>169395.95200000002</v>
      </c>
      <c r="FP148" s="36"/>
      <c r="FQ148" s="200"/>
      <c r="FR148" s="197"/>
      <c r="FS148" s="38"/>
      <c r="FT148" s="384">
        <f>SUM(FR148:FR151)*1.1</f>
        <v>147040.92700000003</v>
      </c>
      <c r="FU148" s="36"/>
      <c r="FV148" s="200"/>
      <c r="FW148" s="197"/>
      <c r="FX148" s="38"/>
      <c r="FY148" s="384">
        <f>SUM(FW148:FW151)*1.1</f>
        <v>128207.29900000003</v>
      </c>
      <c r="FZ148" s="36"/>
      <c r="GA148" s="200"/>
      <c r="GB148" s="197"/>
      <c r="GC148" s="38"/>
      <c r="GD148" s="384">
        <f>SUM(GB148:GB151)*1.1</f>
        <v>123550.69100000001</v>
      </c>
      <c r="GE148" s="36"/>
      <c r="GF148" s="200"/>
      <c r="GG148" s="197"/>
      <c r="GH148" s="38"/>
      <c r="GI148" s="384">
        <f>SUM(GG148:GG151)*1.1</f>
        <v>128811.452</v>
      </c>
      <c r="GJ148" s="280"/>
      <c r="GK148" s="200"/>
      <c r="GL148" s="197"/>
      <c r="GM148" s="38"/>
      <c r="GN148" s="384">
        <f>SUM(GL148:GL151)*1.1</f>
        <v>207758.74900000004</v>
      </c>
      <c r="GO148" s="36"/>
      <c r="GP148" s="200"/>
      <c r="GQ148" s="197"/>
      <c r="GR148" s="38"/>
      <c r="GS148" s="384">
        <f>SUM(GQ148:GQ151)*1.1</f>
        <v>247196.07000000004</v>
      </c>
      <c r="GT148" s="36"/>
      <c r="GU148" s="200"/>
      <c r="GV148" s="197"/>
      <c r="GW148" s="38"/>
      <c r="GX148" s="384">
        <f>SUM(GV148:GV151)*1.1</f>
        <v>169050.56300000002</v>
      </c>
      <c r="GY148" s="36"/>
      <c r="GZ148" s="200"/>
      <c r="HA148" s="197"/>
      <c r="HB148" s="38"/>
      <c r="HC148" s="384">
        <f>SUM(HA148:HA151)*1.1</f>
        <v>139133.40100000001</v>
      </c>
      <c r="HD148" s="36"/>
      <c r="HE148" s="200"/>
      <c r="HF148" s="197"/>
      <c r="HG148" s="38"/>
      <c r="HH148" s="384">
        <f>SUM(HF148:HF151)*1.1</f>
        <v>137065.36799999999</v>
      </c>
      <c r="HI148" s="36"/>
      <c r="HJ148" s="200"/>
      <c r="HK148" s="197"/>
      <c r="HL148" s="38"/>
      <c r="HM148" s="384">
        <f>SUM(HK148:HK151)*1.1</f>
        <v>139733.41800000001</v>
      </c>
      <c r="HN148" s="36"/>
      <c r="HO148" s="200"/>
      <c r="HP148" s="197"/>
      <c r="HQ148" s="38"/>
      <c r="HR148" s="384">
        <f>SUM(HP148:HP151)*1.1</f>
        <v>198851.34500000003</v>
      </c>
      <c r="HS148" s="36"/>
      <c r="HT148" s="200"/>
      <c r="HU148" s="197"/>
      <c r="HV148" s="38"/>
      <c r="HW148" s="384">
        <f>SUM(HU148:HU151)*1.1</f>
        <v>169395.95200000002</v>
      </c>
      <c r="HX148" s="36"/>
      <c r="HY148" s="200"/>
      <c r="HZ148" s="197"/>
      <c r="IA148" s="38"/>
      <c r="IB148" s="384">
        <f>SUM(HZ148:HZ151)*1.1</f>
        <v>147040.92700000003</v>
      </c>
      <c r="IC148" s="36"/>
      <c r="ID148" s="200"/>
      <c r="IE148" s="197"/>
      <c r="IF148" s="38"/>
      <c r="IG148" s="384">
        <f>SUM(IE148:IE151)*1.1</f>
        <v>128207.29900000003</v>
      </c>
      <c r="IH148" s="36"/>
      <c r="II148" s="200"/>
      <c r="IJ148" s="197"/>
      <c r="IK148" s="38"/>
      <c r="IL148" s="384">
        <f>SUM(IJ148:IJ151)*1.1</f>
        <v>41943.968000000001</v>
      </c>
      <c r="IM148" s="36"/>
      <c r="IN148" s="200"/>
      <c r="IO148" s="197"/>
      <c r="IP148" s="38"/>
      <c r="IQ148" s="384">
        <f>SUM(IO148:IO151)*1.1</f>
        <v>41943.968000000001</v>
      </c>
    </row>
    <row r="149" spans="1:251" ht="15" customHeight="1">
      <c r="A149" s="647"/>
      <c r="B149" s="256" t="s">
        <v>333</v>
      </c>
      <c r="C149" s="232">
        <v>43594384</v>
      </c>
      <c r="D149" s="233" t="s">
        <v>84</v>
      </c>
      <c r="E149" s="216" t="s">
        <v>11</v>
      </c>
      <c r="F149" s="22"/>
      <c r="G149" s="103"/>
      <c r="H149" s="128">
        <v>571.20000000000005</v>
      </c>
      <c r="I149" s="74">
        <f>5751.98</f>
        <v>5751.98</v>
      </c>
      <c r="J149" s="81"/>
      <c r="K149" s="88"/>
      <c r="L149" s="103"/>
      <c r="M149" s="128">
        <v>571.20000000000005</v>
      </c>
      <c r="N149" s="74">
        <f>5751.98</f>
        <v>5751.98</v>
      </c>
      <c r="O149" s="81"/>
      <c r="P149" s="88"/>
      <c r="Q149" s="103"/>
      <c r="R149" s="128">
        <v>571.20000000000005</v>
      </c>
      <c r="S149" s="74">
        <f>5751.98</f>
        <v>5751.98</v>
      </c>
      <c r="T149" s="81"/>
      <c r="U149" s="88"/>
      <c r="V149" s="47"/>
      <c r="W149" s="128">
        <v>571.20000000000005</v>
      </c>
      <c r="X149" s="74">
        <f>5751.98</f>
        <v>5751.98</v>
      </c>
      <c r="Y149" s="81"/>
      <c r="Z149" s="403">
        <f>SUM(X148:X151)*1</f>
        <v>70738.48</v>
      </c>
      <c r="AA149" s="46"/>
      <c r="AB149" s="128">
        <v>571.20000000000005</v>
      </c>
      <c r="AC149" s="74">
        <f>5751.98</f>
        <v>5751.98</v>
      </c>
      <c r="AD149" s="81"/>
      <c r="AE149" s="403">
        <f>SUM(AC148:AC151)*1</f>
        <v>68319.87</v>
      </c>
      <c r="AF149" s="46"/>
      <c r="AG149" s="128">
        <v>571.20000000000005</v>
      </c>
      <c r="AH149" s="74">
        <f>5751.98</f>
        <v>5751.98</v>
      </c>
      <c r="AI149" s="81"/>
      <c r="AJ149" s="403">
        <f>SUM(AH148:AH151)*1</f>
        <v>77862.22</v>
      </c>
      <c r="AK149" s="46"/>
      <c r="AL149" s="128">
        <v>571.20000000000005</v>
      </c>
      <c r="AM149" s="74">
        <f>5751.98</f>
        <v>5751.98</v>
      </c>
      <c r="AN149" s="81"/>
      <c r="AO149" s="403">
        <f>SUM(AM148:AM151)*1</f>
        <v>77433.98</v>
      </c>
      <c r="AP149" s="46"/>
      <c r="AQ149" s="128">
        <v>571.20000000000005</v>
      </c>
      <c r="AR149" s="74">
        <f>5751.98</f>
        <v>5751.98</v>
      </c>
      <c r="AS149" s="81"/>
      <c r="AT149" s="403">
        <f>SUM(AR148:AR151)*1</f>
        <v>94253.72</v>
      </c>
      <c r="AU149" s="46"/>
      <c r="AV149" s="128">
        <v>571.20000000000005</v>
      </c>
      <c r="AW149" s="74">
        <f>5751.98</f>
        <v>5751.98</v>
      </c>
      <c r="AX149" s="81"/>
      <c r="AY149" s="403">
        <f>SUM(AW148:AW151)*1</f>
        <v>124175.39</v>
      </c>
      <c r="AZ149" s="46"/>
      <c r="BA149" s="128">
        <v>571.20000000000005</v>
      </c>
      <c r="BB149" s="74">
        <f>5751.98</f>
        <v>5751.98</v>
      </c>
      <c r="BC149" s="81"/>
      <c r="BD149" s="403">
        <f>SUM(BB148:BB151)*1</f>
        <v>100482.1</v>
      </c>
      <c r="BE149" s="46"/>
      <c r="BF149" s="128">
        <v>571.20000000000005</v>
      </c>
      <c r="BG149" s="74">
        <f>5751.98</f>
        <v>5751.98</v>
      </c>
      <c r="BH149" s="81">
        <v>114408</v>
      </c>
      <c r="BI149" s="403">
        <f>SUM(BG148:BG151)*1</f>
        <v>110224.74</v>
      </c>
      <c r="BJ149" s="46"/>
      <c r="BK149" s="128">
        <v>571.20000000000005</v>
      </c>
      <c r="BL149" s="74">
        <f>5751.98</f>
        <v>5751.98</v>
      </c>
      <c r="BM149" s="81"/>
      <c r="BN149" s="403">
        <f>SUM(BL148:BL151)*1</f>
        <v>106104.95</v>
      </c>
      <c r="BO149" s="46"/>
      <c r="BP149" s="128">
        <v>571.20000000000005</v>
      </c>
      <c r="BQ149" s="74">
        <f>5751.98</f>
        <v>5751.98</v>
      </c>
      <c r="BR149" s="81"/>
      <c r="BS149" s="403">
        <f>SUM(BQ148:BQ151)*1</f>
        <v>108622.09</v>
      </c>
      <c r="BT149" s="46"/>
      <c r="BU149" s="128">
        <v>571.20000000000005</v>
      </c>
      <c r="BV149" s="74">
        <f>5751.98</f>
        <v>5751.98</v>
      </c>
      <c r="BW149" s="81"/>
      <c r="BX149" s="403">
        <f>SUM(BV148:BV151)*1</f>
        <v>138637.85000000003</v>
      </c>
      <c r="BY149" s="46"/>
      <c r="BZ149" s="128">
        <v>571.20000000000005</v>
      </c>
      <c r="CA149" s="74">
        <f>5751.98</f>
        <v>5751.98</v>
      </c>
      <c r="CB149" s="81"/>
      <c r="CC149" s="403">
        <f>SUM(CA148:CA151)*1</f>
        <v>115829.51999999999</v>
      </c>
      <c r="CD149" s="46"/>
      <c r="CE149" s="56">
        <v>571.20000000000005</v>
      </c>
      <c r="CF149" s="57">
        <f>5751.98</f>
        <v>5751.98</v>
      </c>
      <c r="CG149" s="44"/>
      <c r="CH149" s="403">
        <f>SUM(CF148:CF151)*1</f>
        <v>91378.92</v>
      </c>
      <c r="CI149" s="46"/>
      <c r="CJ149" s="128">
        <v>571.20000000000005</v>
      </c>
      <c r="CK149" s="74">
        <f>5751.98</f>
        <v>5751.98</v>
      </c>
      <c r="CL149" s="81"/>
      <c r="CM149" s="403">
        <f>SUM(CK148:CK151)*1</f>
        <v>100683.34999999999</v>
      </c>
      <c r="CN149" s="46"/>
      <c r="CO149" s="128">
        <v>571.20000000000005</v>
      </c>
      <c r="CP149" s="74">
        <f>5751.98</f>
        <v>5751.98</v>
      </c>
      <c r="CQ149" s="81"/>
      <c r="CR149" s="403">
        <f>SUM(CP148:CP151)*1</f>
        <v>103953.7</v>
      </c>
      <c r="CS149" s="46"/>
      <c r="CT149" s="128">
        <v>571.20000000000005</v>
      </c>
      <c r="CU149" s="74">
        <f>5751.98</f>
        <v>5751.98</v>
      </c>
      <c r="CV149" s="81"/>
      <c r="CW149" s="403">
        <f>SUM(CU148:CU151)*1</f>
        <v>99676.4</v>
      </c>
      <c r="CX149" s="46"/>
      <c r="CY149" s="128">
        <v>571.20000000000005</v>
      </c>
      <c r="CZ149" s="74">
        <f>5751.98</f>
        <v>5751.98</v>
      </c>
      <c r="DA149" s="81"/>
      <c r="DB149" s="403">
        <f>SUM(CZ148:CZ151)*1</f>
        <v>109232.48</v>
      </c>
      <c r="DC149" s="46"/>
      <c r="DD149" s="128">
        <v>571.20000000000005</v>
      </c>
      <c r="DE149" s="74">
        <f>5751.98</f>
        <v>5751.98</v>
      </c>
      <c r="DF149" s="81"/>
      <c r="DG149" s="403">
        <f>SUM(DE148:DE151)*1</f>
        <v>122611.51999999999</v>
      </c>
      <c r="DH149" s="46"/>
      <c r="DI149" s="128">
        <v>571.20000000000005</v>
      </c>
      <c r="DJ149" s="74">
        <f>5751.98</f>
        <v>5751.98</v>
      </c>
      <c r="DK149" s="81"/>
      <c r="DL149" s="403">
        <f>SUM(DJ148:DJ151)*1</f>
        <v>117229.31</v>
      </c>
      <c r="DM149" s="46"/>
      <c r="DN149" s="128">
        <v>571.20000000000005</v>
      </c>
      <c r="DO149" s="74">
        <f>5751.98</f>
        <v>5751.98</v>
      </c>
      <c r="DP149" s="81"/>
      <c r="DQ149" s="403">
        <f>SUM(DO148:DO151)*1</f>
        <v>116552.09000000001</v>
      </c>
      <c r="DR149" s="46"/>
      <c r="DS149" s="128">
        <v>571.20000000000005</v>
      </c>
      <c r="DT149" s="74">
        <v>5751.98</v>
      </c>
      <c r="DU149" s="81"/>
      <c r="DV149" s="403">
        <f>SUM(DT148:DT151)*1</f>
        <v>117818.13</v>
      </c>
      <c r="DW149" s="46"/>
      <c r="DX149" s="128">
        <v>571.20000000000005</v>
      </c>
      <c r="DY149" s="74">
        <f>5751.98</f>
        <v>5751.98</v>
      </c>
      <c r="DZ149" s="81"/>
      <c r="EA149" s="403">
        <f>SUM(DY148:DY151)*1</f>
        <v>152595.65</v>
      </c>
      <c r="EB149" s="46"/>
      <c r="EC149" s="128">
        <v>571.20000000000005</v>
      </c>
      <c r="ED149" s="74">
        <f>5751.98</f>
        <v>5751.98</v>
      </c>
      <c r="EE149" s="81"/>
      <c r="EF149" s="403">
        <f>SUM(ED148:ED151)*1</f>
        <v>177181.31</v>
      </c>
      <c r="EG149" s="46"/>
      <c r="EH149" s="128">
        <v>571.20000000000005</v>
      </c>
      <c r="EI149" s="74">
        <f>5751.98</f>
        <v>5751.98</v>
      </c>
      <c r="EJ149" s="81"/>
      <c r="EK149" s="403">
        <f>SUM(EI148:EI151)*1</f>
        <v>195599.30000000002</v>
      </c>
      <c r="EL149" s="46"/>
      <c r="EM149" s="128">
        <v>571.20000000000005</v>
      </c>
      <c r="EN149" s="74">
        <f>5751.98</f>
        <v>5751.98</v>
      </c>
      <c r="EO149" s="81"/>
      <c r="EP149" s="403">
        <f>SUM(EN148:EN151)*1</f>
        <v>168360.93000000002</v>
      </c>
      <c r="EQ149" s="46"/>
      <c r="ER149" s="128">
        <v>571.20000000000005</v>
      </c>
      <c r="ES149" s="74">
        <f>5751.98</f>
        <v>5751.98</v>
      </c>
      <c r="ET149" s="81"/>
      <c r="EU149" s="403">
        <f>SUM(ES148:ES151)*1</f>
        <v>126484.90999999999</v>
      </c>
      <c r="EV149" s="46"/>
      <c r="EW149" s="128">
        <v>571.20000000000005</v>
      </c>
      <c r="EX149" s="74">
        <f>5751.98</f>
        <v>5751.98</v>
      </c>
      <c r="EY149" s="81"/>
      <c r="EZ149" s="403">
        <f>SUM(EX148:EX151)*1</f>
        <v>124604.87999999999</v>
      </c>
      <c r="FA149" s="46"/>
      <c r="FB149" s="128">
        <v>571.20000000000005</v>
      </c>
      <c r="FC149" s="74">
        <f>5751.98</f>
        <v>5751.98</v>
      </c>
      <c r="FD149" s="81"/>
      <c r="FE149" s="403">
        <f>SUM(FC148:FC151)*1</f>
        <v>127030.38</v>
      </c>
      <c r="FF149" s="46"/>
      <c r="FG149" s="128">
        <v>571.20000000000005</v>
      </c>
      <c r="FH149" s="74">
        <f>5751.98</f>
        <v>5751.98</v>
      </c>
      <c r="FI149" s="81"/>
      <c r="FJ149" s="403">
        <f>SUM(FH148:FH151)*1</f>
        <v>180773.95</v>
      </c>
      <c r="FK149" s="46"/>
      <c r="FL149" s="128">
        <v>571.20000000000005</v>
      </c>
      <c r="FM149" s="74">
        <f>5751.98</f>
        <v>5751.98</v>
      </c>
      <c r="FN149" s="81"/>
      <c r="FO149" s="403">
        <f>SUM(FM148:FM151)*1</f>
        <v>153996.32</v>
      </c>
      <c r="FP149" s="46"/>
      <c r="FQ149" s="128">
        <v>571.20000000000005</v>
      </c>
      <c r="FR149" s="74">
        <f>5751.98</f>
        <v>5751.98</v>
      </c>
      <c r="FS149" s="81"/>
      <c r="FT149" s="403">
        <f>SUM(FR148:FR151)*1</f>
        <v>133673.57</v>
      </c>
      <c r="FU149" s="46"/>
      <c r="FV149" s="56">
        <v>571.20000000000005</v>
      </c>
      <c r="FW149" s="57">
        <f>5751.98</f>
        <v>5751.98</v>
      </c>
      <c r="FX149" s="44"/>
      <c r="FY149" s="403">
        <f>SUM(FW148:FW151)*1</f>
        <v>116552.09000000001</v>
      </c>
      <c r="FZ149" s="46"/>
      <c r="GA149" s="128">
        <v>571.20000000000005</v>
      </c>
      <c r="GB149" s="74">
        <f>5751.98</f>
        <v>5751.98</v>
      </c>
      <c r="GC149" s="81"/>
      <c r="GD149" s="403">
        <f>SUM(GB148:GB151)*1</f>
        <v>112318.81</v>
      </c>
      <c r="GE149" s="46"/>
      <c r="GF149" s="128">
        <v>571.20000000000005</v>
      </c>
      <c r="GG149" s="74">
        <v>5751.98</v>
      </c>
      <c r="GH149" s="81"/>
      <c r="GI149" s="403">
        <f>SUM(GG148:GG151)*1</f>
        <v>117101.31999999999</v>
      </c>
      <c r="GJ149" s="97"/>
      <c r="GK149" s="128">
        <v>571.20000000000005</v>
      </c>
      <c r="GL149" s="74">
        <f>5751.98</f>
        <v>5751.98</v>
      </c>
      <c r="GM149" s="81"/>
      <c r="GN149" s="403">
        <f>SUM(GL148:GL151)*1</f>
        <v>188871.59000000003</v>
      </c>
      <c r="GO149" s="46"/>
      <c r="GP149" s="128">
        <v>571.20000000000005</v>
      </c>
      <c r="GQ149" s="74">
        <f>5751.98</f>
        <v>5751.98</v>
      </c>
      <c r="GR149" s="81"/>
      <c r="GS149" s="403">
        <f>SUM(GQ148:GQ151)*1</f>
        <v>224723.7</v>
      </c>
      <c r="GT149" s="46"/>
      <c r="GU149" s="128">
        <v>571.20000000000005</v>
      </c>
      <c r="GV149" s="74">
        <f>5751.98</f>
        <v>5751.98</v>
      </c>
      <c r="GW149" s="44"/>
      <c r="GX149" s="403">
        <f>SUM(GV148:GV151)*1</f>
        <v>153682.33000000002</v>
      </c>
      <c r="GY149" s="46"/>
      <c r="GZ149" s="56">
        <v>571.20000000000005</v>
      </c>
      <c r="HA149" s="57">
        <f>5751.98</f>
        <v>5751.98</v>
      </c>
      <c r="HB149" s="44"/>
      <c r="HC149" s="403">
        <f>SUM(HA148:HA151)*1</f>
        <v>126484.90999999999</v>
      </c>
      <c r="HD149" s="46"/>
      <c r="HE149" s="56">
        <v>571.20000000000005</v>
      </c>
      <c r="HF149" s="57">
        <f>5751.98</f>
        <v>5751.98</v>
      </c>
      <c r="HG149" s="44"/>
      <c r="HH149" s="403">
        <f>SUM(HF148:HF151)*1</f>
        <v>124604.87999999999</v>
      </c>
      <c r="HI149" s="46"/>
      <c r="HJ149" s="56">
        <v>571.20000000000005</v>
      </c>
      <c r="HK149" s="57">
        <f>5751.98</f>
        <v>5751.98</v>
      </c>
      <c r="HL149" s="44"/>
      <c r="HM149" s="403">
        <f>SUM(HK148:HK151)*1</f>
        <v>127030.38</v>
      </c>
      <c r="HN149" s="46"/>
      <c r="HO149" s="56">
        <v>571.20000000000005</v>
      </c>
      <c r="HP149" s="57">
        <f>5751.98</f>
        <v>5751.98</v>
      </c>
      <c r="HQ149" s="44"/>
      <c r="HR149" s="403">
        <f>SUM(HP148:HP151)*1</f>
        <v>180773.95</v>
      </c>
      <c r="HS149" s="46"/>
      <c r="HT149" s="56">
        <v>571.20000000000005</v>
      </c>
      <c r="HU149" s="57">
        <f>5751.98</f>
        <v>5751.98</v>
      </c>
      <c r="HV149" s="44"/>
      <c r="HW149" s="403">
        <f>SUM(HU148:HU151)*1</f>
        <v>153996.32</v>
      </c>
      <c r="HX149" s="46"/>
      <c r="HY149" s="56">
        <v>571.20000000000005</v>
      </c>
      <c r="HZ149" s="57">
        <f>5751.98</f>
        <v>5751.98</v>
      </c>
      <c r="IA149" s="44"/>
      <c r="IB149" s="403">
        <f>SUM(HZ148:HZ151)*1</f>
        <v>133673.57</v>
      </c>
      <c r="IC149" s="46"/>
      <c r="ID149" s="56">
        <v>571.20000000000005</v>
      </c>
      <c r="IE149" s="57">
        <f>5751.98</f>
        <v>5751.98</v>
      </c>
      <c r="IF149" s="44"/>
      <c r="IG149" s="403">
        <f>SUM(IE148:IE151)*1</f>
        <v>116552.09000000001</v>
      </c>
      <c r="IH149" s="46"/>
      <c r="II149" s="56">
        <v>571.20000000000005</v>
      </c>
      <c r="IJ149" s="57">
        <f>5751.98</f>
        <v>5751.98</v>
      </c>
      <c r="IK149" s="44"/>
      <c r="IL149" s="403">
        <f>SUM(IJ148:IJ151)*1</f>
        <v>38130.879999999997</v>
      </c>
      <c r="IM149" s="46"/>
      <c r="IN149" s="56">
        <v>571.20000000000005</v>
      </c>
      <c r="IO149" s="57">
        <f>5751.98</f>
        <v>5751.98</v>
      </c>
      <c r="IP149" s="44"/>
      <c r="IQ149" s="403">
        <f>SUM(IO148:IO151)*1</f>
        <v>38130.879999999997</v>
      </c>
    </row>
    <row r="150" spans="1:251" ht="15" customHeight="1">
      <c r="A150" s="647"/>
      <c r="B150" s="256"/>
      <c r="C150" s="232"/>
      <c r="D150" s="233"/>
      <c r="E150" s="216" t="s">
        <v>13</v>
      </c>
      <c r="F150" s="22"/>
      <c r="G150" s="104">
        <f>I150/H150</f>
        <v>5.12</v>
      </c>
      <c r="H150" s="128">
        <f>2696+3539</f>
        <v>6235</v>
      </c>
      <c r="I150" s="128">
        <f>13803.52+18119.68</f>
        <v>31923.200000000001</v>
      </c>
      <c r="J150" s="81"/>
      <c r="K150" s="88"/>
      <c r="L150" s="104">
        <f>N150/M150</f>
        <v>5.28</v>
      </c>
      <c r="M150" s="128">
        <f>3589+5058</f>
        <v>8647</v>
      </c>
      <c r="N150" s="128">
        <f>18949.92+26706.24</f>
        <v>45656.160000000003</v>
      </c>
      <c r="O150" s="81"/>
      <c r="P150" s="88"/>
      <c r="Q150" s="104">
        <f>S150/R150</f>
        <v>4.8899999999999997</v>
      </c>
      <c r="R150" s="128">
        <v>13135</v>
      </c>
      <c r="S150" s="128">
        <f>20919.42+43310.73</f>
        <v>64230.15</v>
      </c>
      <c r="T150" s="81"/>
      <c r="U150" s="88"/>
      <c r="V150" s="115">
        <f>X150/W150</f>
        <v>5.07</v>
      </c>
      <c r="W150" s="128">
        <f>4657+8047</f>
        <v>12704</v>
      </c>
      <c r="X150" s="128">
        <f>23610.99+40798.29</f>
        <v>64409.279999999999</v>
      </c>
      <c r="Y150" s="81"/>
      <c r="Z150" s="81"/>
      <c r="AA150" s="92">
        <f>AC150/AB150</f>
        <v>4.6099999999999994</v>
      </c>
      <c r="AB150" s="128">
        <f>4819+8628</f>
        <v>13447</v>
      </c>
      <c r="AC150" s="128">
        <f>22215.59+39775.08</f>
        <v>61990.67</v>
      </c>
      <c r="AD150" s="81"/>
      <c r="AE150" s="81"/>
      <c r="AF150" s="92">
        <f>AH150/AG150</f>
        <v>4.75</v>
      </c>
      <c r="AG150" s="128">
        <f>5662+9372</f>
        <v>15034</v>
      </c>
      <c r="AH150" s="128">
        <f>26894.5+44517</f>
        <v>71411.5</v>
      </c>
      <c r="AI150" s="81"/>
      <c r="AJ150" s="81"/>
      <c r="AK150" s="92">
        <f>AM150/AL150</f>
        <v>4.9099999999999993</v>
      </c>
      <c r="AL150" s="128">
        <f>5130+9364</f>
        <v>14494</v>
      </c>
      <c r="AM150" s="128">
        <f>25188.3+45977.24</f>
        <v>71165.539999999994</v>
      </c>
      <c r="AN150" s="81"/>
      <c r="AO150" s="81"/>
      <c r="AP150" s="92">
        <f>AR150/AQ150</f>
        <v>5.86</v>
      </c>
      <c r="AQ150" s="128">
        <f>5080+9919</f>
        <v>14999</v>
      </c>
      <c r="AR150" s="128">
        <f>29768.8+58125.34</f>
        <v>87894.14</v>
      </c>
      <c r="AS150" s="81"/>
      <c r="AT150" s="81"/>
      <c r="AU150" s="92">
        <f>AW150/AV150</f>
        <v>6.5100000000000007</v>
      </c>
      <c r="AV150" s="128">
        <f>5661+12432</f>
        <v>18093</v>
      </c>
      <c r="AW150" s="128">
        <f>36853.11+80932.32</f>
        <v>117785.43000000001</v>
      </c>
      <c r="AX150" s="81"/>
      <c r="AY150" s="81"/>
      <c r="AZ150" s="92">
        <f>BB150/BA150</f>
        <v>6.24</v>
      </c>
      <c r="BA150" s="128">
        <f>5040+10034</f>
        <v>15074</v>
      </c>
      <c r="BB150" s="128">
        <f>31449.6+62612.16</f>
        <v>94061.760000000009</v>
      </c>
      <c r="BC150" s="81"/>
      <c r="BD150" s="81"/>
      <c r="BE150" s="92">
        <f>BG150/BF150</f>
        <v>6.36</v>
      </c>
      <c r="BF150" s="128">
        <f>10391+5940</f>
        <v>16331</v>
      </c>
      <c r="BG150" s="128">
        <f>66086.76+37778.4</f>
        <v>103865.16</v>
      </c>
      <c r="BH150" s="81"/>
      <c r="BI150" s="81"/>
      <c r="BJ150" s="92">
        <f>BL150/BK150</f>
        <v>6.7700000000000005</v>
      </c>
      <c r="BK150" s="128">
        <v>14711</v>
      </c>
      <c r="BL150" s="128">
        <f>35095.68+64497.79</f>
        <v>99593.47</v>
      </c>
      <c r="BM150" s="81"/>
      <c r="BN150" s="81"/>
      <c r="BO150" s="92">
        <f>BQ150/BP150</f>
        <v>6.37</v>
      </c>
      <c r="BP150" s="128">
        <f>5186+10863</f>
        <v>16049</v>
      </c>
      <c r="BQ150" s="128">
        <f>33034.82+69197.31</f>
        <v>102232.13</v>
      </c>
      <c r="BR150" s="81"/>
      <c r="BS150" s="81"/>
      <c r="BT150" s="92">
        <f>BV150/BU150</f>
        <v>7.2900000000000009</v>
      </c>
      <c r="BU150" s="128">
        <f>5948+12193</f>
        <v>18141</v>
      </c>
      <c r="BV150" s="128">
        <f>88886.97+43360.92</f>
        <v>132247.89000000001</v>
      </c>
      <c r="BW150" s="81"/>
      <c r="BX150" s="81"/>
      <c r="BY150" s="92">
        <f>CA150/BZ150</f>
        <v>6.46</v>
      </c>
      <c r="BZ150" s="128">
        <f>5448+11479</f>
        <v>16927</v>
      </c>
      <c r="CA150" s="128">
        <f>35194.08+74154.34</f>
        <v>109348.42</v>
      </c>
      <c r="CB150" s="81"/>
      <c r="CC150" s="81"/>
      <c r="CD150" s="92">
        <f>CF150/CE150</f>
        <v>5.6693896026093329</v>
      </c>
      <c r="CE150" s="128">
        <v>15023</v>
      </c>
      <c r="CF150" s="396">
        <v>85171.24</v>
      </c>
      <c r="CG150" s="81"/>
      <c r="CH150" s="81"/>
      <c r="CI150" s="92">
        <f>CK150/CJ150</f>
        <v>5.75</v>
      </c>
      <c r="CJ150" s="128">
        <f>10847+5536</f>
        <v>16383</v>
      </c>
      <c r="CK150" s="128">
        <f>31832+62370.25</f>
        <v>94202.25</v>
      </c>
      <c r="CL150" s="81"/>
      <c r="CM150" s="81"/>
      <c r="CN150" s="92">
        <f>CP150/CO150</f>
        <v>6.76</v>
      </c>
      <c r="CO150" s="128">
        <v>14437</v>
      </c>
      <c r="CP150" s="128">
        <v>97594.12</v>
      </c>
      <c r="CQ150" s="81"/>
      <c r="CR150" s="81"/>
      <c r="CS150" s="92">
        <f>CU150/CT150</f>
        <v>6.82</v>
      </c>
      <c r="CT150" s="128">
        <v>13665</v>
      </c>
      <c r="CU150" s="128">
        <v>93195.3</v>
      </c>
      <c r="CV150" s="81"/>
      <c r="CW150" s="81"/>
      <c r="CX150" s="92">
        <f>CZ150/CY150</f>
        <v>7.48</v>
      </c>
      <c r="CY150" s="128">
        <f>3006+10743</f>
        <v>13749</v>
      </c>
      <c r="CZ150" s="128">
        <f>22484.88+80357.64</f>
        <v>102842.52</v>
      </c>
      <c r="DA150" s="81"/>
      <c r="DB150" s="81"/>
      <c r="DC150" s="92">
        <f>DE150/DD150</f>
        <v>7.54</v>
      </c>
      <c r="DD150" s="128">
        <f>3842+11572</f>
        <v>15414</v>
      </c>
      <c r="DE150" s="128">
        <f>28968.68+87252.88</f>
        <v>116221.56</v>
      </c>
      <c r="DF150" s="81"/>
      <c r="DG150" s="81"/>
      <c r="DH150" s="92">
        <f>DJ150/DI150</f>
        <v>7.72</v>
      </c>
      <c r="DI150" s="128">
        <f>10896+3453</f>
        <v>14349</v>
      </c>
      <c r="DJ150" s="128">
        <f>26657.16+84117.12</f>
        <v>110774.28</v>
      </c>
      <c r="DK150" s="81"/>
      <c r="DL150" s="81"/>
      <c r="DM150" s="92">
        <f>DO150/DN150</f>
        <v>7.7800000000000011</v>
      </c>
      <c r="DN150" s="128">
        <f>4133+9946</f>
        <v>14079</v>
      </c>
      <c r="DO150" s="128">
        <f>32154.74+77379.88</f>
        <v>109534.62000000001</v>
      </c>
      <c r="DP150" s="81"/>
      <c r="DQ150" s="81"/>
      <c r="DR150" s="92">
        <f>DT150/DS150</f>
        <v>8.64</v>
      </c>
      <c r="DS150" s="128">
        <v>12835</v>
      </c>
      <c r="DT150" s="128">
        <v>110894.40000000001</v>
      </c>
      <c r="DU150" s="81"/>
      <c r="DV150" s="81"/>
      <c r="DW150" s="92">
        <f>DY150/DX150</f>
        <v>9.2099999999999991</v>
      </c>
      <c r="DX150" s="128">
        <f>4226+11550</f>
        <v>15776</v>
      </c>
      <c r="DY150" s="128">
        <f>38921.46+106375.5</f>
        <v>145296.95999999999</v>
      </c>
      <c r="DZ150" s="81"/>
      <c r="EA150" s="81"/>
      <c r="EB150" s="92">
        <f>ED150/EC150</f>
        <v>9.07</v>
      </c>
      <c r="EC150" s="128">
        <f>14031+4694</f>
        <v>18725</v>
      </c>
      <c r="ED150" s="128">
        <f>127261.17+42574.58</f>
        <v>169835.75</v>
      </c>
      <c r="EE150" s="81"/>
      <c r="EF150" s="81"/>
      <c r="EG150" s="92">
        <f>EI150/EH150</f>
        <v>10.048598130841121</v>
      </c>
      <c r="EH150" s="128">
        <f>4694+14031</f>
        <v>18725</v>
      </c>
      <c r="EI150" s="128">
        <f>47030.2+141129.8</f>
        <v>188160</v>
      </c>
      <c r="EJ150" s="81"/>
      <c r="EK150" s="81"/>
      <c r="EL150" s="92">
        <f>EN150/EM150</f>
        <v>8.6100000000000012</v>
      </c>
      <c r="EM150" s="128">
        <f>5168+13337</f>
        <v>18505</v>
      </c>
      <c r="EN150" s="128">
        <f>44496.48+114831.57</f>
        <v>159328.05000000002</v>
      </c>
      <c r="EO150" s="81"/>
      <c r="EP150" s="81"/>
      <c r="EQ150" s="92">
        <f>ES150/ER150</f>
        <v>7.5</v>
      </c>
      <c r="ER150" s="128">
        <f>4822+11032</f>
        <v>15854</v>
      </c>
      <c r="ES150" s="128">
        <f>36165+82740</f>
        <v>118905</v>
      </c>
      <c r="ET150" s="81"/>
      <c r="EU150" s="81"/>
      <c r="EV150" s="92">
        <f>EX150/EW150</f>
        <v>7.64</v>
      </c>
      <c r="EW150" s="128">
        <f>4574+10725</f>
        <v>15299</v>
      </c>
      <c r="EX150" s="128">
        <f>34945.36+81939</f>
        <v>116884.36</v>
      </c>
      <c r="EY150" s="81"/>
      <c r="EZ150" s="81"/>
      <c r="FA150" s="92">
        <f>FC150/FB150</f>
        <v>7.6000000000000005</v>
      </c>
      <c r="FB150" s="128">
        <f>11293+4418</f>
        <v>15711</v>
      </c>
      <c r="FC150" s="128">
        <f>33576.8+85826.8</f>
        <v>119403.6</v>
      </c>
      <c r="FD150" s="81"/>
      <c r="FE150" s="81"/>
      <c r="FF150" s="92">
        <f>FH150/FG150</f>
        <v>9.01</v>
      </c>
      <c r="FG150" s="128">
        <f>5055+14105</f>
        <v>19160</v>
      </c>
      <c r="FH150" s="128">
        <f>45545.55+127086.05</f>
        <v>172631.6</v>
      </c>
      <c r="FI150" s="81"/>
      <c r="FJ150" s="81"/>
      <c r="FK150" s="92">
        <f>FM150/FL150</f>
        <v>9.01</v>
      </c>
      <c r="FL150" s="128">
        <f>4589+11573</f>
        <v>16162</v>
      </c>
      <c r="FM150" s="128">
        <f>104272.73+41346.89</f>
        <v>145619.62</v>
      </c>
      <c r="FN150" s="81"/>
      <c r="FO150" s="81"/>
      <c r="FP150" s="92">
        <f>FR150/FQ150</f>
        <v>7.5</v>
      </c>
      <c r="FQ150" s="128">
        <f>11789+4911</f>
        <v>16700</v>
      </c>
      <c r="FR150" s="128">
        <f>36832.5+88417.5</f>
        <v>125250</v>
      </c>
      <c r="FS150" s="81"/>
      <c r="FT150" s="81"/>
      <c r="FU150" s="92">
        <f>FW150/FV150</f>
        <v>7.7800000000000011</v>
      </c>
      <c r="FV150" s="56">
        <f>4133+9946</f>
        <v>14079</v>
      </c>
      <c r="FW150" s="56">
        <f>32154.74+77379.88</f>
        <v>109534.62000000001</v>
      </c>
      <c r="FX150" s="44"/>
      <c r="FY150" s="81"/>
      <c r="FZ150" s="92">
        <f>GB150/GA150</f>
        <v>10.950000000000001</v>
      </c>
      <c r="GA150" s="128">
        <f>2775+6833</f>
        <v>9608</v>
      </c>
      <c r="GB150" s="128">
        <f>30386.25+74821.35</f>
        <v>105207.6</v>
      </c>
      <c r="GC150" s="81"/>
      <c r="GD150" s="81"/>
      <c r="GE150" s="92">
        <f>GG150/GF150</f>
        <v>11.68</v>
      </c>
      <c r="GF150" s="128">
        <f>2620+6809</f>
        <v>9429</v>
      </c>
      <c r="GG150" s="128">
        <f>30601.6+79529.12</f>
        <v>110130.72</v>
      </c>
      <c r="GH150" s="81"/>
      <c r="GI150" s="81"/>
      <c r="GJ150" s="98">
        <f>GL150/GK150</f>
        <v>11.93</v>
      </c>
      <c r="GK150" s="128">
        <f>11626+3586</f>
        <v>15212</v>
      </c>
      <c r="GL150" s="128">
        <f>138698.18+42780.98</f>
        <v>181479.16</v>
      </c>
      <c r="GM150" s="81"/>
      <c r="GN150" s="81"/>
      <c r="GO150" s="92">
        <f>GQ150/GP150</f>
        <v>18.16</v>
      </c>
      <c r="GP150" s="128">
        <f>2941+9024</f>
        <v>11965</v>
      </c>
      <c r="GQ150" s="128">
        <f>53408.56+163875.84</f>
        <v>217284.4</v>
      </c>
      <c r="GR150" s="81"/>
      <c r="GS150" s="81"/>
      <c r="GT150" s="92">
        <f>GV150/GU150</f>
        <v>11.120000000000001</v>
      </c>
      <c r="GU150" s="128">
        <f>3956+9066</f>
        <v>13022</v>
      </c>
      <c r="GV150" s="128">
        <f>43990.72+100813.92</f>
        <v>144804.64000000001</v>
      </c>
      <c r="GW150" s="44"/>
      <c r="GX150" s="81"/>
      <c r="GY150" s="92">
        <f>HA150/GZ150</f>
        <v>7.5</v>
      </c>
      <c r="GZ150" s="56">
        <f>4822+11032</f>
        <v>15854</v>
      </c>
      <c r="HA150" s="56">
        <f>36165+82740</f>
        <v>118905</v>
      </c>
      <c r="HB150" s="44"/>
      <c r="HC150" s="81"/>
      <c r="HD150" s="92">
        <f>HF150/HE150</f>
        <v>7.64</v>
      </c>
      <c r="HE150" s="56">
        <f>4574+10725</f>
        <v>15299</v>
      </c>
      <c r="HF150" s="56">
        <f>34945.36+81939</f>
        <v>116884.36</v>
      </c>
      <c r="HG150" s="44"/>
      <c r="HH150" s="81"/>
      <c r="HI150" s="92">
        <f>HK150/HJ150</f>
        <v>7.6000000000000005</v>
      </c>
      <c r="HJ150" s="56">
        <f>11293+4418</f>
        <v>15711</v>
      </c>
      <c r="HK150" s="56">
        <f>33576.8+85826.8</f>
        <v>119403.6</v>
      </c>
      <c r="HL150" s="44"/>
      <c r="HM150" s="81"/>
      <c r="HN150" s="92">
        <f>HP150/HO150</f>
        <v>9.01</v>
      </c>
      <c r="HO150" s="56">
        <f>5055+14105</f>
        <v>19160</v>
      </c>
      <c r="HP150" s="56">
        <f>45545.55+127086.05</f>
        <v>172631.6</v>
      </c>
      <c r="HQ150" s="44"/>
      <c r="HR150" s="81"/>
      <c r="HS150" s="92">
        <f>HU150/HT150</f>
        <v>9.01</v>
      </c>
      <c r="HT150" s="56">
        <f>4589+11573</f>
        <v>16162</v>
      </c>
      <c r="HU150" s="56">
        <f>104272.73+41346.89</f>
        <v>145619.62</v>
      </c>
      <c r="HV150" s="44"/>
      <c r="HW150" s="81"/>
      <c r="HX150" s="92">
        <f>HZ150/HY150</f>
        <v>7.5</v>
      </c>
      <c r="HY150" s="56">
        <f>11789+4911</f>
        <v>16700</v>
      </c>
      <c r="HZ150" s="56">
        <f>36832.5+88417.5</f>
        <v>125250</v>
      </c>
      <c r="IA150" s="44"/>
      <c r="IB150" s="81"/>
      <c r="IC150" s="92">
        <f>IE150/ID150</f>
        <v>7.7800000000000011</v>
      </c>
      <c r="ID150" s="56">
        <f>4133+9946</f>
        <v>14079</v>
      </c>
      <c r="IE150" s="56">
        <f>32154.74+77379.88</f>
        <v>109534.62000000001</v>
      </c>
      <c r="IF150" s="44"/>
      <c r="IG150" s="81"/>
      <c r="IH150" s="92">
        <f>IJ150/II150</f>
        <v>5.12</v>
      </c>
      <c r="II150" s="56">
        <f>2696+3539</f>
        <v>6235</v>
      </c>
      <c r="IJ150" s="56">
        <f>13803.52+18119.68</f>
        <v>31923.200000000001</v>
      </c>
      <c r="IK150" s="44"/>
      <c r="IL150" s="81"/>
      <c r="IM150" s="92">
        <f>IO150/IN150</f>
        <v>5.12</v>
      </c>
      <c r="IN150" s="56">
        <f>2696+3539</f>
        <v>6235</v>
      </c>
      <c r="IO150" s="56">
        <f>13803.52+18119.68</f>
        <v>31923.200000000001</v>
      </c>
      <c r="IP150" s="44"/>
      <c r="IQ150" s="81"/>
    </row>
    <row r="151" spans="1:251" s="264" customFormat="1" ht="15" customHeight="1" thickBot="1">
      <c r="A151" s="648"/>
      <c r="B151" s="257"/>
      <c r="C151" s="8"/>
      <c r="D151" s="287"/>
      <c r="E151" s="259" t="s">
        <v>17</v>
      </c>
      <c r="F151" s="23"/>
      <c r="G151" s="168">
        <f>I151/H151</f>
        <v>30.38</v>
      </c>
      <c r="H151" s="172">
        <f>11+4</f>
        <v>15</v>
      </c>
      <c r="I151" s="172">
        <f>334.18+121.52</f>
        <v>455.7</v>
      </c>
      <c r="J151" s="179"/>
      <c r="K151" s="182"/>
      <c r="L151" s="168">
        <f>N151/M151</f>
        <v>30.380000000000003</v>
      </c>
      <c r="M151" s="172">
        <f>5+12</f>
        <v>17</v>
      </c>
      <c r="N151" s="172">
        <f>151.9+364.56</f>
        <v>516.46</v>
      </c>
      <c r="O151" s="179"/>
      <c r="P151" s="182"/>
      <c r="Q151" s="168">
        <f>S151/R151</f>
        <v>30.380000000000003</v>
      </c>
      <c r="R151" s="172">
        <f>13+7</f>
        <v>20</v>
      </c>
      <c r="S151" s="172">
        <f>212.66+394.94</f>
        <v>607.6</v>
      </c>
      <c r="T151" s="179"/>
      <c r="U151" s="182"/>
      <c r="V151" s="209">
        <f>X151/W151</f>
        <v>30.380000000000003</v>
      </c>
      <c r="W151" s="172">
        <f>6+13</f>
        <v>19</v>
      </c>
      <c r="X151" s="172">
        <f>182.28+394.94</f>
        <v>577.22</v>
      </c>
      <c r="Y151" s="179"/>
      <c r="Z151" s="179"/>
      <c r="AA151" s="3">
        <f>AC151/AB151</f>
        <v>30.380000000000003</v>
      </c>
      <c r="AB151" s="172">
        <f>13+6</f>
        <v>19</v>
      </c>
      <c r="AC151" s="172">
        <f>394.94+182.28</f>
        <v>577.22</v>
      </c>
      <c r="AD151" s="179"/>
      <c r="AE151" s="179"/>
      <c r="AF151" s="3">
        <f>AH151/AG151</f>
        <v>30.38</v>
      </c>
      <c r="AG151" s="172">
        <f>16+7</f>
        <v>23</v>
      </c>
      <c r="AH151" s="172">
        <f>212.66+486.08</f>
        <v>698.74</v>
      </c>
      <c r="AI151" s="179"/>
      <c r="AJ151" s="179"/>
      <c r="AK151" s="3">
        <f>AM151/AL151</f>
        <v>30.380000000000003</v>
      </c>
      <c r="AL151" s="172">
        <f>10+7</f>
        <v>17</v>
      </c>
      <c r="AM151" s="172">
        <f>212.66+303.8</f>
        <v>516.46</v>
      </c>
      <c r="AN151" s="179"/>
      <c r="AO151" s="179"/>
      <c r="AP151" s="3">
        <f>AR151/AQ151</f>
        <v>30.380000000000003</v>
      </c>
      <c r="AQ151" s="172">
        <f>14+6</f>
        <v>20</v>
      </c>
      <c r="AR151" s="172">
        <f>425.32+182.28</f>
        <v>607.6</v>
      </c>
      <c r="AS151" s="179"/>
      <c r="AT151" s="179"/>
      <c r="AU151" s="3">
        <f>AW151/AV151</f>
        <v>30.380000000000003</v>
      </c>
      <c r="AV151" s="172">
        <f>13+8</f>
        <v>21</v>
      </c>
      <c r="AW151" s="172">
        <f>394.94+243.04</f>
        <v>637.98</v>
      </c>
      <c r="AX151" s="179"/>
      <c r="AY151" s="179"/>
      <c r="AZ151" s="3">
        <f>BB151/BA151</f>
        <v>30.38</v>
      </c>
      <c r="BA151" s="172">
        <f>15+7</f>
        <v>22</v>
      </c>
      <c r="BB151" s="172">
        <f>212.66+455.7</f>
        <v>668.36</v>
      </c>
      <c r="BC151" s="179"/>
      <c r="BD151" s="179"/>
      <c r="BE151" s="3">
        <f>BG151/BF151</f>
        <v>30.380000000000003</v>
      </c>
      <c r="BF151" s="172">
        <f>13+7</f>
        <v>20</v>
      </c>
      <c r="BG151" s="172">
        <f>212.66+394.94</f>
        <v>607.6</v>
      </c>
      <c r="BH151" s="179"/>
      <c r="BI151" s="179"/>
      <c r="BJ151" s="3">
        <f>BL151/BK151</f>
        <v>30.38</v>
      </c>
      <c r="BK151" s="172">
        <f>18+7</f>
        <v>25</v>
      </c>
      <c r="BL151" s="172">
        <f>546.84+212.66</f>
        <v>759.5</v>
      </c>
      <c r="BM151" s="179"/>
      <c r="BN151" s="179"/>
      <c r="BO151" s="3">
        <f>BQ151/BP151</f>
        <v>30.380000000000003</v>
      </c>
      <c r="BP151" s="172">
        <f>13+8</f>
        <v>21</v>
      </c>
      <c r="BQ151" s="172">
        <f>394.94+243.04</f>
        <v>637.98</v>
      </c>
      <c r="BR151" s="179"/>
      <c r="BS151" s="179"/>
      <c r="BT151" s="3">
        <f>BV151/BU151</f>
        <v>30.380000000000003</v>
      </c>
      <c r="BU151" s="172">
        <f>14+7</f>
        <v>21</v>
      </c>
      <c r="BV151" s="172">
        <f>425.32+212.66</f>
        <v>637.98</v>
      </c>
      <c r="BW151" s="179"/>
      <c r="BX151" s="179"/>
      <c r="BY151" s="3">
        <f>CA151/BZ151</f>
        <v>30.38</v>
      </c>
      <c r="BZ151" s="172">
        <f>17+7</f>
        <v>24</v>
      </c>
      <c r="CA151" s="172">
        <f>212.66+516.46</f>
        <v>729.12</v>
      </c>
      <c r="CB151" s="179"/>
      <c r="CC151" s="179"/>
      <c r="CD151" s="3">
        <f>CF151/CE151</f>
        <v>30.38</v>
      </c>
      <c r="CE151" s="177">
        <f>11+4</f>
        <v>15</v>
      </c>
      <c r="CF151" s="177">
        <f>334.18+121.52</f>
        <v>455.7</v>
      </c>
      <c r="CG151" s="48"/>
      <c r="CH151" s="179"/>
      <c r="CI151" s="3">
        <f>CK151/CJ151</f>
        <v>30.38</v>
      </c>
      <c r="CJ151" s="172">
        <f>18+6</f>
        <v>24</v>
      </c>
      <c r="CK151" s="172">
        <f>546.84+182.28</f>
        <v>729.12</v>
      </c>
      <c r="CL151" s="179"/>
      <c r="CM151" s="179"/>
      <c r="CN151" s="3">
        <f>CP151/CO151</f>
        <v>30.380000000000003</v>
      </c>
      <c r="CO151" s="172">
        <v>20</v>
      </c>
      <c r="CP151" s="172">
        <v>607.6</v>
      </c>
      <c r="CQ151" s="179"/>
      <c r="CR151" s="179"/>
      <c r="CS151" s="3">
        <f>CU151/CT151</f>
        <v>30.38</v>
      </c>
      <c r="CT151" s="172">
        <v>24</v>
      </c>
      <c r="CU151" s="172">
        <v>729.12</v>
      </c>
      <c r="CV151" s="179"/>
      <c r="CW151" s="179"/>
      <c r="CX151" s="3">
        <f>CZ151/CY151</f>
        <v>30.380000000000003</v>
      </c>
      <c r="CY151" s="172">
        <f>18+3</f>
        <v>21</v>
      </c>
      <c r="CZ151" s="172">
        <f>91.14+546.84</f>
        <v>637.98</v>
      </c>
      <c r="DA151" s="179"/>
      <c r="DB151" s="179"/>
      <c r="DC151" s="3">
        <f>DE151/DD151</f>
        <v>30.380000000000003</v>
      </c>
      <c r="DD151" s="172">
        <f>18+3</f>
        <v>21</v>
      </c>
      <c r="DE151" s="172">
        <f>91.14+546.84</f>
        <v>637.98</v>
      </c>
      <c r="DF151" s="179"/>
      <c r="DG151" s="179"/>
      <c r="DH151" s="3">
        <f>DJ151/DI151</f>
        <v>46.870000000000005</v>
      </c>
      <c r="DI151" s="172">
        <f>11+4</f>
        <v>15</v>
      </c>
      <c r="DJ151" s="172">
        <f>515.57+187.48</f>
        <v>703.05000000000007</v>
      </c>
      <c r="DK151" s="179"/>
      <c r="DL151" s="179"/>
      <c r="DM151" s="3">
        <f>DO151/DN151</f>
        <v>46.87</v>
      </c>
      <c r="DN151" s="172">
        <f>18+9</f>
        <v>27</v>
      </c>
      <c r="DO151" s="172">
        <f>421.83+843.66</f>
        <v>1265.49</v>
      </c>
      <c r="DP151" s="179"/>
      <c r="DQ151" s="179"/>
      <c r="DR151" s="3">
        <f>DT151/DS151</f>
        <v>46.87</v>
      </c>
      <c r="DS151" s="172">
        <v>25</v>
      </c>
      <c r="DT151" s="172">
        <v>1171.75</v>
      </c>
      <c r="DU151" s="179"/>
      <c r="DV151" s="179"/>
      <c r="DW151" s="3">
        <f>DY151/DX151</f>
        <v>46.870000000000005</v>
      </c>
      <c r="DX151" s="172">
        <f>19+14</f>
        <v>33</v>
      </c>
      <c r="DY151" s="172">
        <f>890.53+656.18</f>
        <v>1546.71</v>
      </c>
      <c r="DZ151" s="179"/>
      <c r="EA151" s="179"/>
      <c r="EB151" s="3">
        <f>ED151/EC151</f>
        <v>46.87</v>
      </c>
      <c r="EC151" s="172">
        <f>21+13</f>
        <v>34</v>
      </c>
      <c r="ED151" s="172">
        <f>609.31+984.27</f>
        <v>1593.58</v>
      </c>
      <c r="EE151" s="179"/>
      <c r="EF151" s="179"/>
      <c r="EG151" s="3">
        <f>EI151/EH151</f>
        <v>46.87</v>
      </c>
      <c r="EH151" s="172">
        <f>23+13</f>
        <v>36</v>
      </c>
      <c r="EI151" s="172">
        <f>1078.01+609.31</f>
        <v>1687.32</v>
      </c>
      <c r="EJ151" s="179"/>
      <c r="EK151" s="179"/>
      <c r="EL151" s="3">
        <f>EN151/EM151</f>
        <v>46.87</v>
      </c>
      <c r="EM151" s="172">
        <f>55+15</f>
        <v>70</v>
      </c>
      <c r="EN151" s="172">
        <f>2577.85+703.05</f>
        <v>3280.8999999999996</v>
      </c>
      <c r="EO151" s="179"/>
      <c r="EP151" s="179"/>
      <c r="EQ151" s="3">
        <f>ES151/ER151</f>
        <v>46.87</v>
      </c>
      <c r="ER151" s="172">
        <f>25+14</f>
        <v>39</v>
      </c>
      <c r="ES151" s="172">
        <f>1171.75+656.18</f>
        <v>1827.9299999999998</v>
      </c>
      <c r="ET151" s="179"/>
      <c r="EU151" s="179"/>
      <c r="EV151" s="3">
        <f>EX151/EW151</f>
        <v>46.87</v>
      </c>
      <c r="EW151" s="172">
        <f>27+15</f>
        <v>42</v>
      </c>
      <c r="EX151" s="172">
        <f>1265.49+703.05</f>
        <v>1968.54</v>
      </c>
      <c r="EY151" s="179"/>
      <c r="EZ151" s="179"/>
      <c r="FA151" s="3">
        <f>FC151/FB151</f>
        <v>46.87</v>
      </c>
      <c r="FB151" s="172">
        <f>25+15</f>
        <v>40</v>
      </c>
      <c r="FC151" s="172">
        <f>1171.75+703.05</f>
        <v>1874.8</v>
      </c>
      <c r="FD151" s="179"/>
      <c r="FE151" s="179"/>
      <c r="FF151" s="3">
        <f>FH151/FG151</f>
        <v>46.87</v>
      </c>
      <c r="FG151" s="172">
        <f>35+16</f>
        <v>51</v>
      </c>
      <c r="FH151" s="172">
        <f>1640.45+749.92</f>
        <v>2390.37</v>
      </c>
      <c r="FI151" s="179"/>
      <c r="FJ151" s="179"/>
      <c r="FK151" s="3">
        <f>FM151/FL151</f>
        <v>46.870000000000005</v>
      </c>
      <c r="FL151" s="172">
        <v>56</v>
      </c>
      <c r="FM151" s="172">
        <f>1499.84+1124.88</f>
        <v>2624.7200000000003</v>
      </c>
      <c r="FN151" s="179"/>
      <c r="FO151" s="179"/>
      <c r="FP151" s="3">
        <f>FR151/FQ151</f>
        <v>46.870000000000005</v>
      </c>
      <c r="FQ151" s="172">
        <f>33+24</f>
        <v>57</v>
      </c>
      <c r="FR151" s="172">
        <f>1546.71+1124.88</f>
        <v>2671.59</v>
      </c>
      <c r="FS151" s="179"/>
      <c r="FT151" s="179"/>
      <c r="FU151" s="3">
        <f>FW151/FV151</f>
        <v>46.87</v>
      </c>
      <c r="FV151" s="177">
        <f>18+9</f>
        <v>27</v>
      </c>
      <c r="FW151" s="177">
        <f>421.83+843.66</f>
        <v>1265.49</v>
      </c>
      <c r="FX151" s="48"/>
      <c r="FY151" s="179"/>
      <c r="FZ151" s="3">
        <f>GB151/GA151</f>
        <v>46.87</v>
      </c>
      <c r="GA151" s="172">
        <f>15+14</f>
        <v>29</v>
      </c>
      <c r="GB151" s="172">
        <f>703.05+656.18</f>
        <v>1359.23</v>
      </c>
      <c r="GC151" s="179"/>
      <c r="GD151" s="179"/>
      <c r="GE151" s="3">
        <f>GG151/GF151</f>
        <v>46.87</v>
      </c>
      <c r="GF151" s="172">
        <f>15+11</f>
        <v>26</v>
      </c>
      <c r="GG151" s="172">
        <f>703.05+515.57</f>
        <v>1218.6199999999999</v>
      </c>
      <c r="GH151" s="179"/>
      <c r="GI151" s="179"/>
      <c r="GJ151" s="285">
        <f>GL151/GK151</f>
        <v>46.87</v>
      </c>
      <c r="GK151" s="172">
        <f>20+15</f>
        <v>35</v>
      </c>
      <c r="GL151" s="172">
        <f>937.4+703.05</f>
        <v>1640.4499999999998</v>
      </c>
      <c r="GM151" s="179"/>
      <c r="GN151" s="179"/>
      <c r="GO151" s="3">
        <f>GQ151/GP151</f>
        <v>46.87</v>
      </c>
      <c r="GP151" s="172">
        <f>23+13</f>
        <v>36</v>
      </c>
      <c r="GQ151" s="172">
        <f>1078.01+609.31</f>
        <v>1687.32</v>
      </c>
      <c r="GR151" s="179"/>
      <c r="GS151" s="179"/>
      <c r="GT151" s="3">
        <f>GV151/GU151</f>
        <v>63.79</v>
      </c>
      <c r="GU151" s="172">
        <f>33+16</f>
        <v>49</v>
      </c>
      <c r="GV151" s="172">
        <f>2105.07+1020.64</f>
        <v>3125.71</v>
      </c>
      <c r="GW151" s="48"/>
      <c r="GX151" s="179"/>
      <c r="GY151" s="3">
        <f>HA151/GZ151</f>
        <v>46.87</v>
      </c>
      <c r="GZ151" s="177">
        <f>25+14</f>
        <v>39</v>
      </c>
      <c r="HA151" s="177">
        <f>1171.75+656.18</f>
        <v>1827.9299999999998</v>
      </c>
      <c r="HB151" s="48"/>
      <c r="HC151" s="179"/>
      <c r="HD151" s="3">
        <f>HF151/HE151</f>
        <v>46.87</v>
      </c>
      <c r="HE151" s="177">
        <f>27+15</f>
        <v>42</v>
      </c>
      <c r="HF151" s="177">
        <f>1265.49+703.05</f>
        <v>1968.54</v>
      </c>
      <c r="HG151" s="48"/>
      <c r="HH151" s="179"/>
      <c r="HI151" s="3">
        <f>HK151/HJ151</f>
        <v>46.87</v>
      </c>
      <c r="HJ151" s="177">
        <f>25+15</f>
        <v>40</v>
      </c>
      <c r="HK151" s="177">
        <f>1171.75+703.05</f>
        <v>1874.8</v>
      </c>
      <c r="HL151" s="48"/>
      <c r="HM151" s="179"/>
      <c r="HN151" s="3">
        <f>HP151/HO151</f>
        <v>46.87</v>
      </c>
      <c r="HO151" s="177">
        <f>35+16</f>
        <v>51</v>
      </c>
      <c r="HP151" s="177">
        <f>1640.45+749.92</f>
        <v>2390.37</v>
      </c>
      <c r="HQ151" s="48"/>
      <c r="HR151" s="179"/>
      <c r="HS151" s="3">
        <f>HU151/HT151</f>
        <v>46.870000000000005</v>
      </c>
      <c r="HT151" s="177">
        <v>56</v>
      </c>
      <c r="HU151" s="177">
        <f>1499.84+1124.88</f>
        <v>2624.7200000000003</v>
      </c>
      <c r="HV151" s="48"/>
      <c r="HW151" s="179"/>
      <c r="HX151" s="3">
        <f>HZ151/HY151</f>
        <v>46.870000000000005</v>
      </c>
      <c r="HY151" s="177">
        <f>33+24</f>
        <v>57</v>
      </c>
      <c r="HZ151" s="177">
        <f>1546.71+1124.88</f>
        <v>2671.59</v>
      </c>
      <c r="IA151" s="48"/>
      <c r="IB151" s="179"/>
      <c r="IC151" s="3">
        <f>IE151/ID151</f>
        <v>46.87</v>
      </c>
      <c r="ID151" s="177">
        <f>18+9</f>
        <v>27</v>
      </c>
      <c r="IE151" s="177">
        <f>421.83+843.66</f>
        <v>1265.49</v>
      </c>
      <c r="IF151" s="48"/>
      <c r="IG151" s="179"/>
      <c r="IH151" s="3">
        <f>IJ151/II151</f>
        <v>30.38</v>
      </c>
      <c r="II151" s="177">
        <f>11+4</f>
        <v>15</v>
      </c>
      <c r="IJ151" s="177">
        <f>334.18+121.52</f>
        <v>455.7</v>
      </c>
      <c r="IK151" s="48"/>
      <c r="IL151" s="179"/>
      <c r="IM151" s="3">
        <f>IO151/IN151</f>
        <v>30.38</v>
      </c>
      <c r="IN151" s="177">
        <f>11+4</f>
        <v>15</v>
      </c>
      <c r="IO151" s="177">
        <f>334.18+121.52</f>
        <v>455.7</v>
      </c>
      <c r="IP151" s="48"/>
      <c r="IQ151" s="179"/>
    </row>
    <row r="152" spans="1:251" s="249" customFormat="1" ht="33">
      <c r="A152" s="649"/>
      <c r="B152" s="288" t="s">
        <v>314</v>
      </c>
      <c r="C152" s="5" t="s">
        <v>85</v>
      </c>
      <c r="D152" s="6" t="s">
        <v>86</v>
      </c>
      <c r="E152" s="7" t="s">
        <v>10</v>
      </c>
      <c r="F152" s="4"/>
      <c r="G152" s="196"/>
      <c r="H152" s="200">
        <v>0</v>
      </c>
      <c r="I152" s="200">
        <v>0</v>
      </c>
      <c r="J152" s="38"/>
      <c r="K152" s="206"/>
      <c r="L152" s="196"/>
      <c r="M152" s="200">
        <v>0</v>
      </c>
      <c r="N152" s="200">
        <v>0</v>
      </c>
      <c r="O152" s="38"/>
      <c r="P152" s="206"/>
      <c r="Q152" s="196"/>
      <c r="R152" s="200">
        <v>0</v>
      </c>
      <c r="S152" s="200">
        <v>0</v>
      </c>
      <c r="T152" s="38"/>
      <c r="U152" s="206"/>
      <c r="V152" s="207"/>
      <c r="W152" s="200">
        <v>0</v>
      </c>
      <c r="X152" s="200">
        <v>0</v>
      </c>
      <c r="Y152" s="38"/>
      <c r="Z152" s="38"/>
      <c r="AA152" s="36"/>
      <c r="AB152" s="200">
        <v>0</v>
      </c>
      <c r="AC152" s="200">
        <v>0</v>
      </c>
      <c r="AD152" s="38"/>
      <c r="AE152" s="38"/>
      <c r="AF152" s="36"/>
      <c r="AG152" s="200">
        <v>0</v>
      </c>
      <c r="AH152" s="200">
        <v>0</v>
      </c>
      <c r="AI152" s="38"/>
      <c r="AJ152" s="38"/>
      <c r="AK152" s="36"/>
      <c r="AL152" s="200">
        <v>0</v>
      </c>
      <c r="AM152" s="200">
        <v>0</v>
      </c>
      <c r="AN152" s="38"/>
      <c r="AO152" s="38"/>
      <c r="AP152" s="36"/>
      <c r="AQ152" s="200">
        <v>0</v>
      </c>
      <c r="AR152" s="200">
        <v>0</v>
      </c>
      <c r="AS152" s="38"/>
      <c r="AT152" s="38"/>
      <c r="AU152" s="36"/>
      <c r="AV152" s="200">
        <v>0</v>
      </c>
      <c r="AW152" s="200">
        <v>0</v>
      </c>
      <c r="AX152" s="38"/>
      <c r="AY152" s="38"/>
      <c r="AZ152" s="36"/>
      <c r="BA152" s="200">
        <v>0</v>
      </c>
      <c r="BB152" s="200">
        <v>0</v>
      </c>
      <c r="BC152" s="38"/>
      <c r="BD152" s="38"/>
      <c r="BE152" s="36"/>
      <c r="BF152" s="200">
        <v>0</v>
      </c>
      <c r="BG152" s="200">
        <v>0</v>
      </c>
      <c r="BH152" s="38"/>
      <c r="BI152" s="38"/>
      <c r="BJ152" s="36"/>
      <c r="BK152" s="200">
        <v>0</v>
      </c>
      <c r="BL152" s="200">
        <v>0</v>
      </c>
      <c r="BM152" s="38"/>
      <c r="BN152" s="38"/>
      <c r="BO152" s="36"/>
      <c r="BP152" s="200">
        <v>0</v>
      </c>
      <c r="BQ152" s="200">
        <v>0</v>
      </c>
      <c r="BR152" s="38"/>
      <c r="BS152" s="38"/>
      <c r="BT152" s="36"/>
      <c r="BU152" s="200"/>
      <c r="BV152" s="200"/>
      <c r="BW152" s="38"/>
      <c r="BX152" s="38"/>
      <c r="BY152" s="36"/>
      <c r="BZ152" s="200"/>
      <c r="CA152" s="200"/>
      <c r="CB152" s="38"/>
      <c r="CC152" s="38"/>
      <c r="CD152" s="36"/>
      <c r="CE152" s="200"/>
      <c r="CF152" s="200"/>
      <c r="CG152" s="38"/>
      <c r="CH152" s="38"/>
      <c r="CI152" s="36"/>
      <c r="CJ152" s="200"/>
      <c r="CK152" s="200"/>
      <c r="CL152" s="38"/>
      <c r="CM152" s="38"/>
      <c r="CN152" s="36"/>
      <c r="CO152" s="200"/>
      <c r="CP152" s="200"/>
      <c r="CQ152" s="38"/>
      <c r="CR152" s="38"/>
      <c r="CS152" s="36"/>
      <c r="CT152" s="200"/>
      <c r="CU152" s="200"/>
      <c r="CV152" s="38"/>
      <c r="CW152" s="38"/>
      <c r="CX152" s="36"/>
      <c r="CY152" s="200"/>
      <c r="CZ152" s="200"/>
      <c r="DA152" s="38"/>
      <c r="DB152" s="38"/>
      <c r="DC152" s="36"/>
      <c r="DD152" s="200"/>
      <c r="DE152" s="200"/>
      <c r="DF152" s="38"/>
      <c r="DG152" s="38"/>
      <c r="DH152" s="36"/>
      <c r="DI152" s="200"/>
      <c r="DJ152" s="200"/>
      <c r="DK152" s="38"/>
      <c r="DL152" s="38"/>
      <c r="DM152" s="36"/>
      <c r="DN152" s="200"/>
      <c r="DO152" s="200"/>
      <c r="DP152" s="38"/>
      <c r="DQ152" s="38"/>
      <c r="DR152" s="36"/>
      <c r="DS152" s="200"/>
      <c r="DT152" s="200"/>
      <c r="DU152" s="38"/>
      <c r="DV152" s="38"/>
      <c r="DW152" s="36"/>
      <c r="DX152" s="200"/>
      <c r="DY152" s="200"/>
      <c r="DZ152" s="38"/>
      <c r="EA152" s="38"/>
      <c r="EB152" s="36"/>
      <c r="EC152" s="200"/>
      <c r="ED152" s="200"/>
      <c r="EE152" s="38"/>
      <c r="EF152" s="38"/>
      <c r="EG152" s="36"/>
      <c r="EH152" s="200"/>
      <c r="EI152" s="200"/>
      <c r="EJ152" s="38"/>
      <c r="EK152" s="38"/>
      <c r="EL152" s="36"/>
      <c r="EM152" s="200"/>
      <c r="EN152" s="200"/>
      <c r="EO152" s="38"/>
      <c r="EP152" s="38"/>
      <c r="EQ152" s="36"/>
      <c r="ER152" s="200"/>
      <c r="ES152" s="200"/>
      <c r="ET152" s="38"/>
      <c r="EU152" s="38"/>
      <c r="EV152" s="36"/>
      <c r="EW152" s="200"/>
      <c r="EX152" s="200"/>
      <c r="EY152" s="38"/>
      <c r="EZ152" s="38"/>
      <c r="FA152" s="36"/>
      <c r="FB152" s="200"/>
      <c r="FC152" s="200"/>
      <c r="FD152" s="38"/>
      <c r="FE152" s="38"/>
      <c r="FF152" s="36"/>
      <c r="FG152" s="200"/>
      <c r="FH152" s="200"/>
      <c r="FI152" s="38"/>
      <c r="FJ152" s="38"/>
      <c r="FK152" s="36"/>
      <c r="FL152" s="200"/>
      <c r="FM152" s="200"/>
      <c r="FN152" s="38"/>
      <c r="FO152" s="38"/>
      <c r="FP152" s="36"/>
      <c r="FQ152" s="200"/>
      <c r="FR152" s="200"/>
      <c r="FS152" s="38"/>
      <c r="FT152" s="38"/>
      <c r="FU152" s="36"/>
      <c r="FV152" s="200"/>
      <c r="FW152" s="200"/>
      <c r="FX152" s="38"/>
      <c r="FY152" s="38"/>
      <c r="FZ152" s="36"/>
      <c r="GA152" s="200"/>
      <c r="GB152" s="200"/>
      <c r="GC152" s="38"/>
      <c r="GD152" s="38"/>
      <c r="GE152" s="36"/>
      <c r="GF152" s="200"/>
      <c r="GG152" s="200"/>
      <c r="GH152" s="38"/>
      <c r="GI152" s="38"/>
      <c r="GJ152" s="280"/>
      <c r="GK152" s="200"/>
      <c r="GL152" s="200"/>
      <c r="GM152" s="38"/>
      <c r="GN152" s="38"/>
      <c r="GO152" s="36"/>
      <c r="GP152" s="200"/>
      <c r="GQ152" s="200"/>
      <c r="GR152" s="38"/>
      <c r="GS152" s="38"/>
      <c r="GT152" s="36"/>
      <c r="GU152" s="200"/>
      <c r="GV152" s="200"/>
      <c r="GW152" s="38"/>
      <c r="GX152" s="38"/>
      <c r="GY152" s="36"/>
      <c r="GZ152" s="200"/>
      <c r="HA152" s="200"/>
      <c r="HB152" s="38"/>
      <c r="HC152" s="38"/>
      <c r="HD152" s="36"/>
      <c r="HE152" s="200"/>
      <c r="HF152" s="200"/>
      <c r="HG152" s="38"/>
      <c r="HH152" s="38"/>
      <c r="HI152" s="36"/>
      <c r="HJ152" s="200"/>
      <c r="HK152" s="200"/>
      <c r="HL152" s="38"/>
      <c r="HM152" s="38"/>
      <c r="HN152" s="36"/>
      <c r="HO152" s="200"/>
      <c r="HP152" s="200"/>
      <c r="HQ152" s="38"/>
      <c r="HR152" s="38"/>
      <c r="HS152" s="36"/>
      <c r="HT152" s="200"/>
      <c r="HU152" s="200"/>
      <c r="HV152" s="38"/>
      <c r="HW152" s="38"/>
      <c r="HX152" s="36"/>
      <c r="HY152" s="200"/>
      <c r="HZ152" s="200"/>
      <c r="IA152" s="38"/>
      <c r="IB152" s="38"/>
      <c r="IC152" s="36"/>
      <c r="ID152" s="200"/>
      <c r="IE152" s="200"/>
      <c r="IF152" s="38"/>
      <c r="IG152" s="38"/>
      <c r="IH152" s="36"/>
      <c r="II152" s="200"/>
      <c r="IJ152" s="200"/>
      <c r="IK152" s="38"/>
      <c r="IL152" s="38"/>
      <c r="IM152" s="36"/>
      <c r="IN152" s="200"/>
      <c r="IO152" s="200"/>
      <c r="IP152" s="38"/>
      <c r="IQ152" s="38"/>
    </row>
    <row r="153" spans="1:251" ht="13.5" customHeight="1">
      <c r="A153" s="647"/>
      <c r="B153" s="276"/>
      <c r="C153" s="215"/>
      <c r="D153" s="45" t="s">
        <v>86</v>
      </c>
      <c r="E153" s="216" t="s">
        <v>11</v>
      </c>
      <c r="F153" s="22"/>
      <c r="G153" s="103"/>
      <c r="H153" s="57">
        <v>0</v>
      </c>
      <c r="I153" s="57">
        <v>0</v>
      </c>
      <c r="J153" s="44"/>
      <c r="K153" s="86"/>
      <c r="L153" s="103"/>
      <c r="M153" s="57">
        <v>0</v>
      </c>
      <c r="N153" s="57">
        <v>0</v>
      </c>
      <c r="O153" s="44"/>
      <c r="P153" s="86"/>
      <c r="Q153" s="103"/>
      <c r="R153" s="57">
        <v>0</v>
      </c>
      <c r="S153" s="57">
        <v>0</v>
      </c>
      <c r="T153" s="44"/>
      <c r="U153" s="86"/>
      <c r="V153" s="47"/>
      <c r="W153" s="57">
        <v>0</v>
      </c>
      <c r="X153" s="57">
        <v>0</v>
      </c>
      <c r="Y153" s="44"/>
      <c r="Z153" s="44"/>
      <c r="AA153" s="46"/>
      <c r="AB153" s="57">
        <v>0</v>
      </c>
      <c r="AC153" s="57">
        <v>0</v>
      </c>
      <c r="AD153" s="44"/>
      <c r="AE153" s="44"/>
      <c r="AF153" s="46"/>
      <c r="AG153" s="57">
        <v>0</v>
      </c>
      <c r="AH153" s="57">
        <v>0</v>
      </c>
      <c r="AI153" s="44"/>
      <c r="AJ153" s="44"/>
      <c r="AK153" s="46"/>
      <c r="AL153" s="57">
        <v>0</v>
      </c>
      <c r="AM153" s="57">
        <v>0</v>
      </c>
      <c r="AN153" s="44"/>
      <c r="AO153" s="44"/>
      <c r="AP153" s="46"/>
      <c r="AQ153" s="57">
        <v>0</v>
      </c>
      <c r="AR153" s="57">
        <v>0</v>
      </c>
      <c r="AS153" s="44"/>
      <c r="AT153" s="44"/>
      <c r="AU153" s="46"/>
      <c r="AV153" s="57">
        <v>0</v>
      </c>
      <c r="AW153" s="57">
        <v>0</v>
      </c>
      <c r="AX153" s="44"/>
      <c r="AY153" s="44"/>
      <c r="AZ153" s="46"/>
      <c r="BA153" s="57">
        <v>0</v>
      </c>
      <c r="BB153" s="57">
        <v>0</v>
      </c>
      <c r="BC153" s="44"/>
      <c r="BD153" s="44"/>
      <c r="BE153" s="46"/>
      <c r="BF153" s="57">
        <v>0</v>
      </c>
      <c r="BG153" s="57">
        <v>0</v>
      </c>
      <c r="BH153" s="44"/>
      <c r="BI153" s="44"/>
      <c r="BJ153" s="46"/>
      <c r="BK153" s="57">
        <v>0</v>
      </c>
      <c r="BL153" s="57">
        <v>0</v>
      </c>
      <c r="BM153" s="44"/>
      <c r="BN153" s="44"/>
      <c r="BO153" s="46"/>
      <c r="BP153" s="57">
        <v>0</v>
      </c>
      <c r="BQ153" s="57">
        <v>0</v>
      </c>
      <c r="BR153" s="44"/>
      <c r="BS153" s="44"/>
      <c r="BT153" s="46"/>
      <c r="BU153" s="57"/>
      <c r="BV153" s="57"/>
      <c r="BW153" s="44"/>
      <c r="BX153" s="44"/>
      <c r="BY153" s="46"/>
      <c r="BZ153" s="57"/>
      <c r="CA153" s="57"/>
      <c r="CB153" s="44"/>
      <c r="CC153" s="44"/>
      <c r="CD153" s="46"/>
      <c r="CE153" s="57"/>
      <c r="CF153" s="57"/>
      <c r="CG153" s="44"/>
      <c r="CH153" s="44"/>
      <c r="CI153" s="46"/>
      <c r="CJ153" s="57"/>
      <c r="CK153" s="57"/>
      <c r="CL153" s="44"/>
      <c r="CM153" s="44"/>
      <c r="CN153" s="46"/>
      <c r="CO153" s="57"/>
      <c r="CP153" s="57"/>
      <c r="CQ153" s="44"/>
      <c r="CR153" s="44"/>
      <c r="CS153" s="46"/>
      <c r="CT153" s="57"/>
      <c r="CU153" s="57"/>
      <c r="CV153" s="44"/>
      <c r="CW153" s="44"/>
      <c r="CX153" s="46"/>
      <c r="CY153" s="57"/>
      <c r="CZ153" s="57"/>
      <c r="DA153" s="44"/>
      <c r="DB153" s="44"/>
      <c r="DC153" s="46"/>
      <c r="DD153" s="57"/>
      <c r="DE153" s="57"/>
      <c r="DF153" s="44"/>
      <c r="DG153" s="44"/>
      <c r="DH153" s="46"/>
      <c r="DI153" s="57"/>
      <c r="DJ153" s="57"/>
      <c r="DK153" s="44"/>
      <c r="DL153" s="44"/>
      <c r="DM153" s="46"/>
      <c r="DN153" s="57"/>
      <c r="DO153" s="57"/>
      <c r="DP153" s="44"/>
      <c r="DQ153" s="44"/>
      <c r="DR153" s="46"/>
      <c r="DS153" s="57"/>
      <c r="DT153" s="57"/>
      <c r="DU153" s="44"/>
      <c r="DV153" s="44"/>
      <c r="DW153" s="46"/>
      <c r="DX153" s="57"/>
      <c r="DY153" s="57"/>
      <c r="DZ153" s="44"/>
      <c r="EA153" s="44"/>
      <c r="EB153" s="46"/>
      <c r="EC153" s="57"/>
      <c r="ED153" s="57"/>
      <c r="EE153" s="44"/>
      <c r="EF153" s="44"/>
      <c r="EG153" s="46"/>
      <c r="EH153" s="57"/>
      <c r="EI153" s="57"/>
      <c r="EJ153" s="44"/>
      <c r="EK153" s="44"/>
      <c r="EL153" s="46"/>
      <c r="EM153" s="57"/>
      <c r="EN153" s="57"/>
      <c r="EO153" s="44"/>
      <c r="EP153" s="44"/>
      <c r="EQ153" s="46"/>
      <c r="ER153" s="57"/>
      <c r="ES153" s="57"/>
      <c r="ET153" s="44"/>
      <c r="EU153" s="44"/>
      <c r="EV153" s="46"/>
      <c r="EW153" s="57"/>
      <c r="EX153" s="57"/>
      <c r="EY153" s="44"/>
      <c r="EZ153" s="44"/>
      <c r="FA153" s="46"/>
      <c r="FB153" s="57"/>
      <c r="FC153" s="57"/>
      <c r="FD153" s="44"/>
      <c r="FE153" s="44"/>
      <c r="FF153" s="46"/>
      <c r="FG153" s="57"/>
      <c r="FH153" s="57"/>
      <c r="FI153" s="44"/>
      <c r="FJ153" s="44"/>
      <c r="FK153" s="46"/>
      <c r="FL153" s="57"/>
      <c r="FM153" s="57"/>
      <c r="FN153" s="44"/>
      <c r="FO153" s="44"/>
      <c r="FP153" s="46"/>
      <c r="FQ153" s="57"/>
      <c r="FR153" s="57"/>
      <c r="FS153" s="44"/>
      <c r="FT153" s="44"/>
      <c r="FU153" s="46"/>
      <c r="FV153" s="57"/>
      <c r="FW153" s="57"/>
      <c r="FX153" s="44"/>
      <c r="FY153" s="44"/>
      <c r="FZ153" s="46"/>
      <c r="GA153" s="57"/>
      <c r="GB153" s="57"/>
      <c r="GC153" s="44"/>
      <c r="GD153" s="44"/>
      <c r="GE153" s="46"/>
      <c r="GF153" s="57"/>
      <c r="GG153" s="57"/>
      <c r="GH153" s="44"/>
      <c r="GI153" s="44"/>
      <c r="GJ153" s="97"/>
      <c r="GK153" s="57"/>
      <c r="GL153" s="57"/>
      <c r="GM153" s="44"/>
      <c r="GN153" s="44"/>
      <c r="GO153" s="46"/>
      <c r="GP153" s="57"/>
      <c r="GQ153" s="57"/>
      <c r="GR153" s="44"/>
      <c r="GS153" s="44"/>
      <c r="GT153" s="46"/>
      <c r="GU153" s="57"/>
      <c r="GV153" s="57"/>
      <c r="GW153" s="44"/>
      <c r="GX153" s="44"/>
      <c r="GY153" s="46"/>
      <c r="GZ153" s="57"/>
      <c r="HA153" s="57"/>
      <c r="HB153" s="44"/>
      <c r="HC153" s="44"/>
      <c r="HD153" s="46"/>
      <c r="HE153" s="57"/>
      <c r="HF153" s="57"/>
      <c r="HG153" s="44"/>
      <c r="HH153" s="44"/>
      <c r="HI153" s="46"/>
      <c r="HJ153" s="57"/>
      <c r="HK153" s="57"/>
      <c r="HL153" s="44"/>
      <c r="HM153" s="44"/>
      <c r="HN153" s="46"/>
      <c r="HO153" s="57"/>
      <c r="HP153" s="57"/>
      <c r="HQ153" s="44"/>
      <c r="HR153" s="44"/>
      <c r="HS153" s="46"/>
      <c r="HT153" s="57"/>
      <c r="HU153" s="57"/>
      <c r="HV153" s="44"/>
      <c r="HW153" s="44"/>
      <c r="HX153" s="46"/>
      <c r="HY153" s="57"/>
      <c r="HZ153" s="57"/>
      <c r="IA153" s="44"/>
      <c r="IB153" s="44"/>
      <c r="IC153" s="46"/>
      <c r="ID153" s="57"/>
      <c r="IE153" s="57"/>
      <c r="IF153" s="44"/>
      <c r="IG153" s="44"/>
      <c r="IH153" s="46"/>
      <c r="II153" s="57"/>
      <c r="IJ153" s="57"/>
      <c r="IK153" s="44"/>
      <c r="IL153" s="44"/>
      <c r="IM153" s="46"/>
      <c r="IN153" s="57"/>
      <c r="IO153" s="57"/>
      <c r="IP153" s="44"/>
      <c r="IQ153" s="44"/>
    </row>
    <row r="154" spans="1:251" ht="16.5">
      <c r="A154" s="647"/>
      <c r="B154" s="276"/>
      <c r="C154" s="215"/>
      <c r="D154" s="45" t="s">
        <v>69</v>
      </c>
      <c r="E154" s="216" t="s">
        <v>13</v>
      </c>
      <c r="F154" s="22"/>
      <c r="G154" s="104"/>
      <c r="H154" s="56">
        <v>0</v>
      </c>
      <c r="I154" s="56">
        <v>0</v>
      </c>
      <c r="J154" s="44"/>
      <c r="K154" s="86"/>
      <c r="L154" s="104"/>
      <c r="M154" s="56">
        <v>0</v>
      </c>
      <c r="N154" s="56">
        <v>0</v>
      </c>
      <c r="O154" s="44"/>
      <c r="P154" s="86"/>
      <c r="Q154" s="104"/>
      <c r="R154" s="56">
        <v>0</v>
      </c>
      <c r="S154" s="56">
        <v>0</v>
      </c>
      <c r="T154" s="44"/>
      <c r="U154" s="86"/>
      <c r="V154" s="115"/>
      <c r="W154" s="56">
        <v>0</v>
      </c>
      <c r="X154" s="56">
        <v>0</v>
      </c>
      <c r="Y154" s="44"/>
      <c r="Z154" s="44"/>
      <c r="AA154" s="92"/>
      <c r="AB154" s="56">
        <v>0</v>
      </c>
      <c r="AC154" s="56">
        <v>0</v>
      </c>
      <c r="AD154" s="44"/>
      <c r="AE154" s="44"/>
      <c r="AF154" s="92"/>
      <c r="AG154" s="56">
        <v>0</v>
      </c>
      <c r="AH154" s="56">
        <v>0</v>
      </c>
      <c r="AI154" s="44"/>
      <c r="AJ154" s="44"/>
      <c r="AK154" s="92"/>
      <c r="AL154" s="56">
        <v>0</v>
      </c>
      <c r="AM154" s="56">
        <v>0</v>
      </c>
      <c r="AN154" s="44"/>
      <c r="AO154" s="44"/>
      <c r="AP154" s="92"/>
      <c r="AQ154" s="56">
        <v>0</v>
      </c>
      <c r="AR154" s="56">
        <v>0</v>
      </c>
      <c r="AS154" s="44"/>
      <c r="AT154" s="44"/>
      <c r="AU154" s="92"/>
      <c r="AV154" s="56">
        <v>0</v>
      </c>
      <c r="AW154" s="56">
        <v>0</v>
      </c>
      <c r="AX154" s="44"/>
      <c r="AY154" s="44"/>
      <c r="AZ154" s="92"/>
      <c r="BA154" s="56">
        <v>0</v>
      </c>
      <c r="BB154" s="56">
        <v>0</v>
      </c>
      <c r="BC154" s="44"/>
      <c r="BD154" s="44"/>
      <c r="BE154" s="92"/>
      <c r="BF154" s="56">
        <v>0</v>
      </c>
      <c r="BG154" s="56">
        <v>0</v>
      </c>
      <c r="BH154" s="44"/>
      <c r="BI154" s="44"/>
      <c r="BJ154" s="92"/>
      <c r="BK154" s="56">
        <v>0</v>
      </c>
      <c r="BL154" s="56">
        <v>0</v>
      </c>
      <c r="BM154" s="44"/>
      <c r="BN154" s="44"/>
      <c r="BO154" s="92"/>
      <c r="BP154" s="56">
        <v>0</v>
      </c>
      <c r="BQ154" s="56">
        <v>0</v>
      </c>
      <c r="BR154" s="44"/>
      <c r="BS154" s="44"/>
      <c r="BT154" s="92"/>
      <c r="BU154" s="56"/>
      <c r="BV154" s="56"/>
      <c r="BW154" s="44"/>
      <c r="BX154" s="44"/>
      <c r="BY154" s="92"/>
      <c r="BZ154" s="56"/>
      <c r="CA154" s="56"/>
      <c r="CB154" s="44"/>
      <c r="CC154" s="44"/>
      <c r="CD154" s="92"/>
      <c r="CE154" s="56"/>
      <c r="CF154" s="56"/>
      <c r="CG154" s="44"/>
      <c r="CH154" s="44"/>
      <c r="CI154" s="92"/>
      <c r="CJ154" s="56"/>
      <c r="CK154" s="56"/>
      <c r="CL154" s="44"/>
      <c r="CM154" s="44"/>
      <c r="CN154" s="92"/>
      <c r="CO154" s="56"/>
      <c r="CP154" s="56"/>
      <c r="CQ154" s="44"/>
      <c r="CR154" s="44"/>
      <c r="CS154" s="92"/>
      <c r="CT154" s="56"/>
      <c r="CU154" s="56"/>
      <c r="CV154" s="44"/>
      <c r="CW154" s="44"/>
      <c r="CX154" s="92"/>
      <c r="CY154" s="56"/>
      <c r="CZ154" s="56"/>
      <c r="DA154" s="44"/>
      <c r="DB154" s="44"/>
      <c r="DC154" s="92"/>
      <c r="DD154" s="56"/>
      <c r="DE154" s="56"/>
      <c r="DF154" s="44"/>
      <c r="DG154" s="44"/>
      <c r="DH154" s="92"/>
      <c r="DI154" s="56"/>
      <c r="DJ154" s="56"/>
      <c r="DK154" s="44"/>
      <c r="DL154" s="44"/>
      <c r="DM154" s="92"/>
      <c r="DN154" s="56"/>
      <c r="DO154" s="56"/>
      <c r="DP154" s="44"/>
      <c r="DQ154" s="44"/>
      <c r="DR154" s="92"/>
      <c r="DS154" s="56"/>
      <c r="DT154" s="56"/>
      <c r="DU154" s="44"/>
      <c r="DV154" s="44"/>
      <c r="DW154" s="92"/>
      <c r="DX154" s="56"/>
      <c r="DY154" s="56"/>
      <c r="DZ154" s="44"/>
      <c r="EA154" s="44"/>
      <c r="EB154" s="92"/>
      <c r="EC154" s="56"/>
      <c r="ED154" s="56"/>
      <c r="EE154" s="44"/>
      <c r="EF154" s="44"/>
      <c r="EG154" s="92"/>
      <c r="EH154" s="56"/>
      <c r="EI154" s="56"/>
      <c r="EJ154" s="44"/>
      <c r="EK154" s="44"/>
      <c r="EL154" s="92"/>
      <c r="EM154" s="56"/>
      <c r="EN154" s="56"/>
      <c r="EO154" s="44"/>
      <c r="EP154" s="44"/>
      <c r="EQ154" s="92"/>
      <c r="ER154" s="56"/>
      <c r="ES154" s="56"/>
      <c r="ET154" s="44"/>
      <c r="EU154" s="44"/>
      <c r="EV154" s="92"/>
      <c r="EW154" s="56"/>
      <c r="EX154" s="56"/>
      <c r="EY154" s="44"/>
      <c r="EZ154" s="44"/>
      <c r="FA154" s="92"/>
      <c r="FB154" s="56"/>
      <c r="FC154" s="56"/>
      <c r="FD154" s="44"/>
      <c r="FE154" s="44"/>
      <c r="FF154" s="92"/>
      <c r="FG154" s="56"/>
      <c r="FH154" s="56"/>
      <c r="FI154" s="44"/>
      <c r="FJ154" s="44"/>
      <c r="FK154" s="92"/>
      <c r="FL154" s="56"/>
      <c r="FM154" s="56"/>
      <c r="FN154" s="44"/>
      <c r="FO154" s="44"/>
      <c r="FP154" s="92"/>
      <c r="FQ154" s="56"/>
      <c r="FR154" s="56"/>
      <c r="FS154" s="44"/>
      <c r="FT154" s="44"/>
      <c r="FU154" s="92"/>
      <c r="FV154" s="56"/>
      <c r="FW154" s="56"/>
      <c r="FX154" s="44"/>
      <c r="FY154" s="44"/>
      <c r="FZ154" s="92"/>
      <c r="GA154" s="56"/>
      <c r="GB154" s="56"/>
      <c r="GC154" s="44"/>
      <c r="GD154" s="44"/>
      <c r="GE154" s="92"/>
      <c r="GF154" s="56"/>
      <c r="GG154" s="56"/>
      <c r="GH154" s="44"/>
      <c r="GI154" s="44"/>
      <c r="GJ154" s="98"/>
      <c r="GK154" s="56"/>
      <c r="GL154" s="56"/>
      <c r="GM154" s="44"/>
      <c r="GN154" s="44"/>
      <c r="GO154" s="92"/>
      <c r="GP154" s="56"/>
      <c r="GQ154" s="56"/>
      <c r="GR154" s="44"/>
      <c r="GS154" s="44"/>
      <c r="GT154" s="92"/>
      <c r="GU154" s="56"/>
      <c r="GV154" s="56"/>
      <c r="GW154" s="44"/>
      <c r="GX154" s="44"/>
      <c r="GY154" s="92"/>
      <c r="GZ154" s="56"/>
      <c r="HA154" s="56"/>
      <c r="HB154" s="44"/>
      <c r="HC154" s="44"/>
      <c r="HD154" s="92"/>
      <c r="HE154" s="56"/>
      <c r="HF154" s="56"/>
      <c r="HG154" s="44"/>
      <c r="HH154" s="44"/>
      <c r="HI154" s="92"/>
      <c r="HJ154" s="56"/>
      <c r="HK154" s="56"/>
      <c r="HL154" s="44"/>
      <c r="HM154" s="44"/>
      <c r="HN154" s="92"/>
      <c r="HO154" s="56"/>
      <c r="HP154" s="56"/>
      <c r="HQ154" s="44"/>
      <c r="HR154" s="44"/>
      <c r="HS154" s="92"/>
      <c r="HT154" s="56"/>
      <c r="HU154" s="56"/>
      <c r="HV154" s="44"/>
      <c r="HW154" s="44"/>
      <c r="HX154" s="92"/>
      <c r="HY154" s="56"/>
      <c r="HZ154" s="56"/>
      <c r="IA154" s="44"/>
      <c r="IB154" s="44"/>
      <c r="IC154" s="92"/>
      <c r="ID154" s="56"/>
      <c r="IE154" s="56"/>
      <c r="IF154" s="44"/>
      <c r="IG154" s="44"/>
      <c r="IH154" s="92"/>
      <c r="II154" s="56"/>
      <c r="IJ154" s="56"/>
      <c r="IK154" s="44"/>
      <c r="IL154" s="44"/>
      <c r="IM154" s="92"/>
      <c r="IN154" s="56"/>
      <c r="IO154" s="56"/>
      <c r="IP154" s="44"/>
      <c r="IQ154" s="44"/>
    </row>
    <row r="155" spans="1:251" ht="16.5">
      <c r="A155" s="647"/>
      <c r="B155" s="276"/>
      <c r="C155" s="215"/>
      <c r="D155" s="45" t="s">
        <v>38</v>
      </c>
      <c r="E155" s="216" t="s">
        <v>15</v>
      </c>
      <c r="F155" s="22"/>
      <c r="G155" s="103"/>
      <c r="H155" s="56">
        <v>0</v>
      </c>
      <c r="I155" s="56">
        <v>0</v>
      </c>
      <c r="J155" s="44"/>
      <c r="K155" s="86"/>
      <c r="L155" s="103"/>
      <c r="M155" s="56">
        <v>0</v>
      </c>
      <c r="N155" s="56">
        <v>0</v>
      </c>
      <c r="O155" s="44"/>
      <c r="P155" s="86"/>
      <c r="Q155" s="103"/>
      <c r="R155" s="56">
        <v>0</v>
      </c>
      <c r="S155" s="56">
        <v>0</v>
      </c>
      <c r="T155" s="44"/>
      <c r="U155" s="86"/>
      <c r="V155" s="47"/>
      <c r="W155" s="56">
        <v>0</v>
      </c>
      <c r="X155" s="56">
        <v>0</v>
      </c>
      <c r="Y155" s="44"/>
      <c r="Z155" s="44"/>
      <c r="AA155" s="46"/>
      <c r="AB155" s="56">
        <v>0</v>
      </c>
      <c r="AC155" s="56">
        <v>0</v>
      </c>
      <c r="AD155" s="44"/>
      <c r="AE155" s="44"/>
      <c r="AF155" s="46"/>
      <c r="AG155" s="56">
        <v>0</v>
      </c>
      <c r="AH155" s="56">
        <v>0</v>
      </c>
      <c r="AI155" s="44"/>
      <c r="AJ155" s="44"/>
      <c r="AK155" s="46"/>
      <c r="AL155" s="56">
        <v>0</v>
      </c>
      <c r="AM155" s="56">
        <v>0</v>
      </c>
      <c r="AN155" s="44"/>
      <c r="AO155" s="44"/>
      <c r="AP155" s="46"/>
      <c r="AQ155" s="56">
        <v>0</v>
      </c>
      <c r="AR155" s="56">
        <v>0</v>
      </c>
      <c r="AS155" s="44"/>
      <c r="AT155" s="44"/>
      <c r="AU155" s="46"/>
      <c r="AV155" s="56">
        <v>0</v>
      </c>
      <c r="AW155" s="56">
        <v>0</v>
      </c>
      <c r="AX155" s="44"/>
      <c r="AY155" s="44"/>
      <c r="AZ155" s="46"/>
      <c r="BA155" s="56">
        <v>0</v>
      </c>
      <c r="BB155" s="56">
        <v>0</v>
      </c>
      <c r="BC155" s="44"/>
      <c r="BD155" s="44"/>
      <c r="BE155" s="46"/>
      <c r="BF155" s="56">
        <v>0</v>
      </c>
      <c r="BG155" s="56">
        <v>0</v>
      </c>
      <c r="BH155" s="44"/>
      <c r="BI155" s="44"/>
      <c r="BJ155" s="46"/>
      <c r="BK155" s="56">
        <v>0</v>
      </c>
      <c r="BL155" s="56">
        <v>0</v>
      </c>
      <c r="BM155" s="44"/>
      <c r="BN155" s="44"/>
      <c r="BO155" s="46"/>
      <c r="BP155" s="56">
        <v>0</v>
      </c>
      <c r="BQ155" s="56">
        <v>0</v>
      </c>
      <c r="BR155" s="44"/>
      <c r="BS155" s="44"/>
      <c r="BT155" s="46"/>
      <c r="BU155" s="56"/>
      <c r="BV155" s="56"/>
      <c r="BW155" s="44"/>
      <c r="BX155" s="44"/>
      <c r="BY155" s="46"/>
      <c r="BZ155" s="56"/>
      <c r="CA155" s="56"/>
      <c r="CB155" s="44"/>
      <c r="CC155" s="44"/>
      <c r="CD155" s="46"/>
      <c r="CE155" s="56"/>
      <c r="CF155" s="56"/>
      <c r="CG155" s="44"/>
      <c r="CH155" s="44"/>
      <c r="CI155" s="46"/>
      <c r="CJ155" s="56"/>
      <c r="CK155" s="56"/>
      <c r="CL155" s="44"/>
      <c r="CM155" s="44"/>
      <c r="CN155" s="46"/>
      <c r="CO155" s="56"/>
      <c r="CP155" s="56"/>
      <c r="CQ155" s="44"/>
      <c r="CR155" s="44"/>
      <c r="CS155" s="46"/>
      <c r="CT155" s="56"/>
      <c r="CU155" s="56"/>
      <c r="CV155" s="44"/>
      <c r="CW155" s="44"/>
      <c r="CX155" s="46"/>
      <c r="CY155" s="56"/>
      <c r="CZ155" s="56"/>
      <c r="DA155" s="44"/>
      <c r="DB155" s="44"/>
      <c r="DC155" s="46"/>
      <c r="DD155" s="56"/>
      <c r="DE155" s="56"/>
      <c r="DF155" s="44"/>
      <c r="DG155" s="44"/>
      <c r="DH155" s="46"/>
      <c r="DI155" s="56"/>
      <c r="DJ155" s="56"/>
      <c r="DK155" s="44"/>
      <c r="DL155" s="44"/>
      <c r="DM155" s="46"/>
      <c r="DN155" s="56"/>
      <c r="DO155" s="56"/>
      <c r="DP155" s="44"/>
      <c r="DQ155" s="44"/>
      <c r="DR155" s="46"/>
      <c r="DS155" s="56"/>
      <c r="DT155" s="56"/>
      <c r="DU155" s="44"/>
      <c r="DV155" s="44"/>
      <c r="DW155" s="46"/>
      <c r="DX155" s="56"/>
      <c r="DY155" s="56"/>
      <c r="DZ155" s="44"/>
      <c r="EA155" s="44"/>
      <c r="EB155" s="46"/>
      <c r="EC155" s="56"/>
      <c r="ED155" s="56"/>
      <c r="EE155" s="44"/>
      <c r="EF155" s="44"/>
      <c r="EG155" s="46"/>
      <c r="EH155" s="56"/>
      <c r="EI155" s="56"/>
      <c r="EJ155" s="44"/>
      <c r="EK155" s="44"/>
      <c r="EL155" s="46"/>
      <c r="EM155" s="56"/>
      <c r="EN155" s="56"/>
      <c r="EO155" s="44"/>
      <c r="EP155" s="44"/>
      <c r="EQ155" s="46"/>
      <c r="ER155" s="56"/>
      <c r="ES155" s="56"/>
      <c r="ET155" s="44"/>
      <c r="EU155" s="44"/>
      <c r="EV155" s="46"/>
      <c r="EW155" s="56"/>
      <c r="EX155" s="56"/>
      <c r="EY155" s="44"/>
      <c r="EZ155" s="44"/>
      <c r="FA155" s="46"/>
      <c r="FB155" s="56"/>
      <c r="FC155" s="56"/>
      <c r="FD155" s="44"/>
      <c r="FE155" s="44"/>
      <c r="FF155" s="46"/>
      <c r="FG155" s="56"/>
      <c r="FH155" s="56"/>
      <c r="FI155" s="44"/>
      <c r="FJ155" s="44"/>
      <c r="FK155" s="46"/>
      <c r="FL155" s="56"/>
      <c r="FM155" s="56"/>
      <c r="FN155" s="44"/>
      <c r="FO155" s="44"/>
      <c r="FP155" s="46"/>
      <c r="FQ155" s="56"/>
      <c r="FR155" s="56"/>
      <c r="FS155" s="44"/>
      <c r="FT155" s="44"/>
      <c r="FU155" s="46"/>
      <c r="FV155" s="56"/>
      <c r="FW155" s="56"/>
      <c r="FX155" s="44"/>
      <c r="FY155" s="44"/>
      <c r="FZ155" s="46"/>
      <c r="GA155" s="56"/>
      <c r="GB155" s="56"/>
      <c r="GC155" s="44"/>
      <c r="GD155" s="44"/>
      <c r="GE155" s="46"/>
      <c r="GF155" s="56"/>
      <c r="GG155" s="56"/>
      <c r="GH155" s="44"/>
      <c r="GI155" s="44"/>
      <c r="GJ155" s="97"/>
      <c r="GK155" s="56"/>
      <c r="GL155" s="56"/>
      <c r="GM155" s="44"/>
      <c r="GN155" s="44"/>
      <c r="GO155" s="46"/>
      <c r="GP155" s="56"/>
      <c r="GQ155" s="56"/>
      <c r="GR155" s="44"/>
      <c r="GS155" s="44"/>
      <c r="GT155" s="46"/>
      <c r="GU155" s="56"/>
      <c r="GV155" s="56"/>
      <c r="GW155" s="44"/>
      <c r="GX155" s="44"/>
      <c r="GY155" s="46"/>
      <c r="GZ155" s="56"/>
      <c r="HA155" s="56"/>
      <c r="HB155" s="44"/>
      <c r="HC155" s="44"/>
      <c r="HD155" s="46"/>
      <c r="HE155" s="56"/>
      <c r="HF155" s="56"/>
      <c r="HG155" s="44"/>
      <c r="HH155" s="44"/>
      <c r="HI155" s="46"/>
      <c r="HJ155" s="56"/>
      <c r="HK155" s="56"/>
      <c r="HL155" s="44"/>
      <c r="HM155" s="44"/>
      <c r="HN155" s="46"/>
      <c r="HO155" s="56"/>
      <c r="HP155" s="56"/>
      <c r="HQ155" s="44"/>
      <c r="HR155" s="44"/>
      <c r="HS155" s="46"/>
      <c r="HT155" s="56"/>
      <c r="HU155" s="56"/>
      <c r="HV155" s="44"/>
      <c r="HW155" s="44"/>
      <c r="HX155" s="46"/>
      <c r="HY155" s="56"/>
      <c r="HZ155" s="56"/>
      <c r="IA155" s="44"/>
      <c r="IB155" s="44"/>
      <c r="IC155" s="46"/>
      <c r="ID155" s="56"/>
      <c r="IE155" s="56"/>
      <c r="IF155" s="44"/>
      <c r="IG155" s="44"/>
      <c r="IH155" s="46"/>
      <c r="II155" s="56"/>
      <c r="IJ155" s="56"/>
      <c r="IK155" s="44"/>
      <c r="IL155" s="44"/>
      <c r="IM155" s="46"/>
      <c r="IN155" s="56"/>
      <c r="IO155" s="56"/>
      <c r="IP155" s="44"/>
      <c r="IQ155" s="44"/>
    </row>
    <row r="156" spans="1:251" s="705" customFormat="1" ht="16.5">
      <c r="A156" s="654"/>
      <c r="B156" s="1600"/>
      <c r="C156" s="1601"/>
      <c r="D156" s="1602" t="s">
        <v>86</v>
      </c>
      <c r="E156" s="1603" t="s">
        <v>17</v>
      </c>
      <c r="F156" s="1597"/>
      <c r="G156" s="717"/>
      <c r="H156" s="769">
        <v>0</v>
      </c>
      <c r="I156" s="769">
        <v>0</v>
      </c>
      <c r="J156" s="704"/>
      <c r="K156" s="1604"/>
      <c r="L156" s="717"/>
      <c r="M156" s="769">
        <v>0</v>
      </c>
      <c r="N156" s="769">
        <v>0</v>
      </c>
      <c r="O156" s="704"/>
      <c r="P156" s="1604"/>
      <c r="Q156" s="717"/>
      <c r="R156" s="769">
        <v>0</v>
      </c>
      <c r="S156" s="769">
        <v>0</v>
      </c>
      <c r="T156" s="704"/>
      <c r="U156" s="1604"/>
      <c r="V156" s="719"/>
      <c r="W156" s="769">
        <v>0</v>
      </c>
      <c r="X156" s="769">
        <v>0</v>
      </c>
      <c r="Y156" s="704"/>
      <c r="Z156" s="704"/>
      <c r="AA156" s="720"/>
      <c r="AB156" s="769">
        <v>0</v>
      </c>
      <c r="AC156" s="769">
        <v>0</v>
      </c>
      <c r="AD156" s="704"/>
      <c r="AE156" s="704"/>
      <c r="AF156" s="720"/>
      <c r="AG156" s="769">
        <v>0</v>
      </c>
      <c r="AH156" s="769">
        <v>0</v>
      </c>
      <c r="AI156" s="704"/>
      <c r="AJ156" s="704"/>
      <c r="AK156" s="720"/>
      <c r="AL156" s="769">
        <v>0</v>
      </c>
      <c r="AM156" s="769">
        <v>0</v>
      </c>
      <c r="AN156" s="704"/>
      <c r="AO156" s="704"/>
      <c r="AP156" s="720"/>
      <c r="AQ156" s="769">
        <v>0</v>
      </c>
      <c r="AR156" s="769">
        <v>0</v>
      </c>
      <c r="AS156" s="704"/>
      <c r="AT156" s="704"/>
      <c r="AU156" s="720"/>
      <c r="AV156" s="769">
        <v>0</v>
      </c>
      <c r="AW156" s="769">
        <v>0</v>
      </c>
      <c r="AX156" s="704"/>
      <c r="AY156" s="704"/>
      <c r="AZ156" s="720"/>
      <c r="BA156" s="769">
        <v>0</v>
      </c>
      <c r="BB156" s="769">
        <v>0</v>
      </c>
      <c r="BC156" s="704"/>
      <c r="BD156" s="704"/>
      <c r="BE156" s="720"/>
      <c r="BF156" s="769">
        <v>0</v>
      </c>
      <c r="BG156" s="769">
        <v>0</v>
      </c>
      <c r="BH156" s="704"/>
      <c r="BI156" s="704"/>
      <c r="BJ156" s="720"/>
      <c r="BK156" s="769">
        <v>0</v>
      </c>
      <c r="BL156" s="769">
        <v>0</v>
      </c>
      <c r="BM156" s="704"/>
      <c r="BN156" s="704"/>
      <c r="BO156" s="720"/>
      <c r="BP156" s="769">
        <v>0</v>
      </c>
      <c r="BQ156" s="769">
        <v>0</v>
      </c>
      <c r="BR156" s="704"/>
      <c r="BS156" s="704"/>
      <c r="BT156" s="720"/>
      <c r="BU156" s="769"/>
      <c r="BV156" s="769"/>
      <c r="BW156" s="704"/>
      <c r="BX156" s="704"/>
      <c r="BY156" s="720"/>
      <c r="BZ156" s="769"/>
      <c r="CA156" s="769"/>
      <c r="CB156" s="704"/>
      <c r="CC156" s="704"/>
      <c r="CD156" s="720"/>
      <c r="CE156" s="769"/>
      <c r="CF156" s="769"/>
      <c r="CG156" s="704"/>
      <c r="CH156" s="704"/>
      <c r="CI156" s="720"/>
      <c r="CJ156" s="769"/>
      <c r="CK156" s="769"/>
      <c r="CL156" s="704"/>
      <c r="CM156" s="704"/>
      <c r="CN156" s="720"/>
      <c r="CO156" s="769"/>
      <c r="CP156" s="769"/>
      <c r="CQ156" s="704"/>
      <c r="CR156" s="704"/>
      <c r="CS156" s="720"/>
      <c r="CT156" s="769"/>
      <c r="CU156" s="769"/>
      <c r="CV156" s="704"/>
      <c r="CW156" s="704"/>
      <c r="CX156" s="720"/>
      <c r="CY156" s="769"/>
      <c r="CZ156" s="769"/>
      <c r="DA156" s="704"/>
      <c r="DB156" s="704"/>
      <c r="DC156" s="720"/>
      <c r="DD156" s="769"/>
      <c r="DE156" s="769"/>
      <c r="DF156" s="704"/>
      <c r="DG156" s="704"/>
      <c r="DH156" s="720"/>
      <c r="DI156" s="769"/>
      <c r="DJ156" s="769"/>
      <c r="DK156" s="704"/>
      <c r="DL156" s="704"/>
      <c r="DM156" s="720"/>
      <c r="DN156" s="769"/>
      <c r="DO156" s="769"/>
      <c r="DP156" s="704"/>
      <c r="DQ156" s="704"/>
      <c r="DR156" s="720"/>
      <c r="DS156" s="769"/>
      <c r="DT156" s="769"/>
      <c r="DU156" s="704"/>
      <c r="DV156" s="704"/>
      <c r="DW156" s="720"/>
      <c r="DX156" s="769"/>
      <c r="DY156" s="769"/>
      <c r="DZ156" s="704"/>
      <c r="EA156" s="704"/>
      <c r="EB156" s="720"/>
      <c r="EC156" s="769"/>
      <c r="ED156" s="769"/>
      <c r="EE156" s="704"/>
      <c r="EF156" s="704"/>
      <c r="EG156" s="720"/>
      <c r="EH156" s="769"/>
      <c r="EI156" s="769"/>
      <c r="EJ156" s="704"/>
      <c r="EK156" s="704"/>
      <c r="EL156" s="720"/>
      <c r="EM156" s="769"/>
      <c r="EN156" s="769"/>
      <c r="EO156" s="704"/>
      <c r="EP156" s="704"/>
      <c r="EQ156" s="720"/>
      <c r="ER156" s="769"/>
      <c r="ES156" s="769"/>
      <c r="ET156" s="704"/>
      <c r="EU156" s="704"/>
      <c r="EV156" s="720"/>
      <c r="EW156" s="769"/>
      <c r="EX156" s="769"/>
      <c r="EY156" s="704"/>
      <c r="EZ156" s="704"/>
      <c r="FA156" s="720"/>
      <c r="FB156" s="769"/>
      <c r="FC156" s="769"/>
      <c r="FD156" s="704"/>
      <c r="FE156" s="704"/>
      <c r="FF156" s="720"/>
      <c r="FG156" s="769"/>
      <c r="FH156" s="769"/>
      <c r="FI156" s="704"/>
      <c r="FJ156" s="704"/>
      <c r="FK156" s="720"/>
      <c r="FL156" s="769"/>
      <c r="FM156" s="769"/>
      <c r="FN156" s="704"/>
      <c r="FO156" s="704"/>
      <c r="FP156" s="720"/>
      <c r="FQ156" s="769"/>
      <c r="FR156" s="769"/>
      <c r="FS156" s="704"/>
      <c r="FT156" s="704"/>
      <c r="FU156" s="720"/>
      <c r="FV156" s="769"/>
      <c r="FW156" s="769"/>
      <c r="FX156" s="704"/>
      <c r="FY156" s="704"/>
      <c r="FZ156" s="720"/>
      <c r="GA156" s="769"/>
      <c r="GB156" s="769"/>
      <c r="GC156" s="704"/>
      <c r="GD156" s="704"/>
      <c r="GE156" s="720"/>
      <c r="GF156" s="769"/>
      <c r="GG156" s="769"/>
      <c r="GH156" s="704"/>
      <c r="GI156" s="704"/>
      <c r="GJ156" s="764"/>
      <c r="GK156" s="769"/>
      <c r="GL156" s="769"/>
      <c r="GM156" s="704"/>
      <c r="GN156" s="704"/>
      <c r="GO156" s="720"/>
      <c r="GP156" s="769"/>
      <c r="GQ156" s="769"/>
      <c r="GR156" s="704"/>
      <c r="GS156" s="704"/>
      <c r="GT156" s="720"/>
      <c r="GU156" s="769"/>
      <c r="GV156" s="769"/>
      <c r="GW156" s="704"/>
      <c r="GX156" s="704"/>
      <c r="GY156" s="720"/>
      <c r="GZ156" s="769"/>
      <c r="HA156" s="769"/>
      <c r="HB156" s="704"/>
      <c r="HC156" s="704"/>
      <c r="HD156" s="720"/>
      <c r="HE156" s="769"/>
      <c r="HF156" s="769"/>
      <c r="HG156" s="704"/>
      <c r="HH156" s="704"/>
      <c r="HI156" s="720"/>
      <c r="HJ156" s="769"/>
      <c r="HK156" s="769"/>
      <c r="HL156" s="704"/>
      <c r="HM156" s="704"/>
      <c r="HN156" s="720"/>
      <c r="HO156" s="769"/>
      <c r="HP156" s="769"/>
      <c r="HQ156" s="704"/>
      <c r="HR156" s="704"/>
      <c r="HS156" s="720"/>
      <c r="HT156" s="769"/>
      <c r="HU156" s="769"/>
      <c r="HV156" s="704"/>
      <c r="HW156" s="704"/>
      <c r="HX156" s="720"/>
      <c r="HY156" s="769"/>
      <c r="HZ156" s="769"/>
      <c r="IA156" s="704"/>
      <c r="IB156" s="704"/>
      <c r="IC156" s="720"/>
      <c r="ID156" s="769"/>
      <c r="IE156" s="769"/>
      <c r="IF156" s="704"/>
      <c r="IG156" s="704"/>
      <c r="IH156" s="720"/>
      <c r="II156" s="769"/>
      <c r="IJ156" s="769"/>
      <c r="IK156" s="704"/>
      <c r="IL156" s="704"/>
      <c r="IM156" s="720"/>
      <c r="IN156" s="769"/>
      <c r="IO156" s="769"/>
      <c r="IP156" s="704"/>
      <c r="IQ156" s="704"/>
    </row>
    <row r="157" spans="1:251" s="789" customFormat="1" ht="16.5">
      <c r="A157" s="647"/>
      <c r="B157" s="1605" t="s">
        <v>114</v>
      </c>
      <c r="C157" s="781" t="s">
        <v>87</v>
      </c>
      <c r="D157" s="1598" t="s">
        <v>35</v>
      </c>
      <c r="E157" s="785" t="s">
        <v>10</v>
      </c>
      <c r="F157" s="624"/>
      <c r="G157" s="1606"/>
      <c r="H157" s="783"/>
      <c r="I157" s="783"/>
      <c r="J157" s="784"/>
      <c r="K157" s="1418"/>
      <c r="L157" s="1606"/>
      <c r="M157" s="783"/>
      <c r="N157" s="783"/>
      <c r="O157" s="784"/>
      <c r="P157" s="1418"/>
      <c r="Q157" s="1606"/>
      <c r="R157" s="783"/>
      <c r="S157" s="783"/>
      <c r="T157" s="784"/>
      <c r="U157" s="1418"/>
      <c r="V157" s="630"/>
      <c r="W157" s="783"/>
      <c r="X157" s="783"/>
      <c r="Y157" s="784"/>
      <c r="Z157" s="784"/>
      <c r="AA157" s="792"/>
      <c r="AB157" s="783"/>
      <c r="AC157" s="783"/>
      <c r="AD157" s="784"/>
      <c r="AE157" s="784"/>
      <c r="AF157" s="792"/>
      <c r="AG157" s="783"/>
      <c r="AH157" s="783"/>
      <c r="AI157" s="784"/>
      <c r="AJ157" s="784"/>
      <c r="AK157" s="792"/>
      <c r="AL157" s="783"/>
      <c r="AM157" s="783"/>
      <c r="AN157" s="784"/>
      <c r="AO157" s="784"/>
      <c r="AP157" s="792"/>
      <c r="AQ157" s="783"/>
      <c r="AR157" s="783"/>
      <c r="AS157" s="784"/>
      <c r="AT157" s="784"/>
      <c r="AU157" s="792"/>
      <c r="AV157" s="783"/>
      <c r="AW157" s="783"/>
      <c r="AX157" s="784"/>
      <c r="AY157" s="784"/>
      <c r="AZ157" s="792"/>
      <c r="BA157" s="783"/>
      <c r="BB157" s="783"/>
      <c r="BC157" s="784"/>
      <c r="BD157" s="784"/>
      <c r="BE157" s="792"/>
      <c r="BF157" s="783"/>
      <c r="BG157" s="783"/>
      <c r="BH157" s="784"/>
      <c r="BI157" s="784"/>
      <c r="BJ157" s="792"/>
      <c r="BK157" s="783"/>
      <c r="BL157" s="783"/>
      <c r="BM157" s="784"/>
      <c r="BN157" s="784"/>
      <c r="BO157" s="792"/>
      <c r="BP157" s="783"/>
      <c r="BQ157" s="783"/>
      <c r="BR157" s="784"/>
      <c r="BS157" s="784"/>
      <c r="BT157" s="792"/>
      <c r="BU157" s="783"/>
      <c r="BV157" s="783"/>
      <c r="BW157" s="784"/>
      <c r="BX157" s="784"/>
      <c r="BY157" s="792"/>
      <c r="BZ157" s="783"/>
      <c r="CA157" s="783"/>
      <c r="CB157" s="784"/>
      <c r="CC157" s="784"/>
      <c r="CD157" s="792"/>
      <c r="CE157" s="783"/>
      <c r="CF157" s="783"/>
      <c r="CG157" s="784"/>
      <c r="CH157" s="784"/>
      <c r="CI157" s="792"/>
      <c r="CJ157" s="783"/>
      <c r="CK157" s="783"/>
      <c r="CL157" s="784"/>
      <c r="CM157" s="784"/>
      <c r="CN157" s="792"/>
      <c r="CO157" s="783"/>
      <c r="CP157" s="783"/>
      <c r="CQ157" s="784"/>
      <c r="CR157" s="784"/>
      <c r="CS157" s="792"/>
      <c r="CT157" s="783"/>
      <c r="CU157" s="783"/>
      <c r="CV157" s="784"/>
      <c r="CW157" s="784"/>
      <c r="CX157" s="792"/>
      <c r="CY157" s="783"/>
      <c r="CZ157" s="783"/>
      <c r="DA157" s="784"/>
      <c r="DB157" s="784"/>
      <c r="DC157" s="792"/>
      <c r="DD157" s="783"/>
      <c r="DE157" s="783"/>
      <c r="DF157" s="784"/>
      <c r="DG157" s="784"/>
      <c r="DH157" s="792"/>
      <c r="DI157" s="783"/>
      <c r="DJ157" s="783"/>
      <c r="DK157" s="784"/>
      <c r="DL157" s="784"/>
      <c r="DM157" s="792"/>
      <c r="DN157" s="783"/>
      <c r="DO157" s="783"/>
      <c r="DP157" s="784"/>
      <c r="DQ157" s="784"/>
      <c r="DR157" s="792"/>
      <c r="DS157" s="783"/>
      <c r="DT157" s="783"/>
      <c r="DU157" s="784"/>
      <c r="DV157" s="784"/>
      <c r="DW157" s="792"/>
      <c r="DX157" s="783"/>
      <c r="DY157" s="783"/>
      <c r="DZ157" s="784"/>
      <c r="EA157" s="784"/>
      <c r="EB157" s="792"/>
      <c r="EC157" s="783"/>
      <c r="ED157" s="783"/>
      <c r="EE157" s="784"/>
      <c r="EF157" s="784"/>
      <c r="EG157" s="792"/>
      <c r="EH157" s="783"/>
      <c r="EI157" s="783"/>
      <c r="EJ157" s="784"/>
      <c r="EK157" s="784"/>
      <c r="EL157" s="792"/>
      <c r="EM157" s="783"/>
      <c r="EN157" s="783"/>
      <c r="EO157" s="784"/>
      <c r="EP157" s="784"/>
      <c r="EQ157" s="792"/>
      <c r="ER157" s="783"/>
      <c r="ES157" s="783"/>
      <c r="ET157" s="784"/>
      <c r="EU157" s="784"/>
      <c r="EV157" s="792"/>
      <c r="EW157" s="783"/>
      <c r="EX157" s="783"/>
      <c r="EY157" s="784"/>
      <c r="EZ157" s="784"/>
      <c r="FA157" s="792"/>
      <c r="FB157" s="783"/>
      <c r="FC157" s="783"/>
      <c r="FD157" s="784"/>
      <c r="FE157" s="784"/>
      <c r="FF157" s="792"/>
      <c r="FG157" s="783"/>
      <c r="FH157" s="783"/>
      <c r="FI157" s="784"/>
      <c r="FJ157" s="784"/>
      <c r="FK157" s="792"/>
      <c r="FL157" s="783"/>
      <c r="FM157" s="783"/>
      <c r="FN157" s="784"/>
      <c r="FO157" s="784"/>
      <c r="FP157" s="792"/>
      <c r="FQ157" s="783"/>
      <c r="FR157" s="783"/>
      <c r="FS157" s="784"/>
      <c r="FT157" s="784"/>
      <c r="FU157" s="792"/>
      <c r="FV157" s="783"/>
      <c r="FW157" s="783"/>
      <c r="FX157" s="784"/>
      <c r="FY157" s="784"/>
      <c r="FZ157" s="792"/>
      <c r="GA157" s="783"/>
      <c r="GB157" s="783"/>
      <c r="GC157" s="784"/>
      <c r="GD157" s="784"/>
      <c r="GE157" s="792"/>
      <c r="GF157" s="783"/>
      <c r="GG157" s="783"/>
      <c r="GH157" s="784"/>
      <c r="GI157" s="784"/>
      <c r="GJ157" s="1551"/>
      <c r="GK157" s="783"/>
      <c r="GL157" s="783"/>
      <c r="GM157" s="784"/>
      <c r="GN157" s="784"/>
      <c r="GO157" s="792"/>
      <c r="GP157" s="783"/>
      <c r="GQ157" s="783"/>
      <c r="GR157" s="784"/>
      <c r="GS157" s="784"/>
      <c r="GT157" s="792"/>
      <c r="GU157" s="783"/>
      <c r="GV157" s="783"/>
      <c r="GW157" s="784"/>
      <c r="GX157" s="784"/>
      <c r="GY157" s="792"/>
      <c r="GZ157" s="783"/>
      <c r="HA157" s="783"/>
      <c r="HB157" s="784"/>
      <c r="HC157" s="784"/>
      <c r="HD157" s="792"/>
      <c r="HE157" s="783"/>
      <c r="HF157" s="783"/>
      <c r="HG157" s="784"/>
      <c r="HH157" s="784"/>
      <c r="HI157" s="792"/>
      <c r="HJ157" s="783"/>
      <c r="HK157" s="783"/>
      <c r="HL157" s="784"/>
      <c r="HM157" s="784"/>
      <c r="HN157" s="792"/>
      <c r="HO157" s="783"/>
      <c r="HP157" s="783"/>
      <c r="HQ157" s="784"/>
      <c r="HR157" s="784"/>
      <c r="HS157" s="792"/>
      <c r="HT157" s="783"/>
      <c r="HU157" s="783"/>
      <c r="HV157" s="784"/>
      <c r="HW157" s="784"/>
      <c r="HX157" s="792"/>
      <c r="HY157" s="783"/>
      <c r="HZ157" s="783"/>
      <c r="IA157" s="784"/>
      <c r="IB157" s="784"/>
      <c r="IC157" s="792"/>
      <c r="ID157" s="783"/>
      <c r="IE157" s="783"/>
      <c r="IF157" s="784"/>
      <c r="IG157" s="784"/>
      <c r="IH157" s="792"/>
      <c r="II157" s="783"/>
      <c r="IJ157" s="783"/>
      <c r="IK157" s="784"/>
      <c r="IL157" s="784"/>
      <c r="IM157" s="792"/>
      <c r="IN157" s="783"/>
      <c r="IO157" s="783"/>
      <c r="IP157" s="784"/>
      <c r="IQ157" s="784"/>
    </row>
    <row r="158" spans="1:251" s="789" customFormat="1" ht="6" customHeight="1">
      <c r="A158" s="647"/>
      <c r="B158" s="1605"/>
      <c r="C158" s="781"/>
      <c r="D158" s="1598" t="s">
        <v>64</v>
      </c>
      <c r="E158" s="785" t="s">
        <v>13</v>
      </c>
      <c r="F158" s="624"/>
      <c r="G158" s="1416"/>
      <c r="H158" s="783">
        <v>0</v>
      </c>
      <c r="I158" s="783">
        <v>0</v>
      </c>
      <c r="J158" s="784"/>
      <c r="K158" s="1418"/>
      <c r="L158" s="1416"/>
      <c r="M158" s="783">
        <v>0</v>
      </c>
      <c r="N158" s="783">
        <v>0</v>
      </c>
      <c r="O158" s="784"/>
      <c r="P158" s="1418"/>
      <c r="Q158" s="1416"/>
      <c r="R158" s="783">
        <v>0</v>
      </c>
      <c r="S158" s="783">
        <v>0</v>
      </c>
      <c r="T158" s="784"/>
      <c r="U158" s="1418"/>
      <c r="V158" s="626"/>
      <c r="W158" s="783">
        <v>0</v>
      </c>
      <c r="X158" s="783">
        <v>0</v>
      </c>
      <c r="Y158" s="784"/>
      <c r="Z158" s="784"/>
      <c r="AA158" s="790"/>
      <c r="AB158" s="783">
        <v>0</v>
      </c>
      <c r="AC158" s="783">
        <v>0</v>
      </c>
      <c r="AD158" s="784"/>
      <c r="AE158" s="784"/>
      <c r="AF158" s="790"/>
      <c r="AG158" s="783">
        <v>0</v>
      </c>
      <c r="AH158" s="783">
        <v>0</v>
      </c>
      <c r="AI158" s="784"/>
      <c r="AJ158" s="784"/>
      <c r="AK158" s="790"/>
      <c r="AL158" s="783">
        <v>0</v>
      </c>
      <c r="AM158" s="783">
        <v>0</v>
      </c>
      <c r="AN158" s="784"/>
      <c r="AO158" s="784"/>
      <c r="AP158" s="790"/>
      <c r="AQ158" s="783">
        <v>0</v>
      </c>
      <c r="AR158" s="783">
        <v>0</v>
      </c>
      <c r="AS158" s="784"/>
      <c r="AT158" s="784"/>
      <c r="AU158" s="790"/>
      <c r="AV158" s="783">
        <v>0</v>
      </c>
      <c r="AW158" s="783">
        <v>0</v>
      </c>
      <c r="AX158" s="784"/>
      <c r="AY158" s="784"/>
      <c r="AZ158" s="790"/>
      <c r="BA158" s="783">
        <v>0</v>
      </c>
      <c r="BB158" s="783">
        <v>0</v>
      </c>
      <c r="BC158" s="784"/>
      <c r="BD158" s="784"/>
      <c r="BE158" s="790"/>
      <c r="BF158" s="783">
        <v>0</v>
      </c>
      <c r="BG158" s="783">
        <v>0</v>
      </c>
      <c r="BH158" s="784"/>
      <c r="BI158" s="784"/>
      <c r="BJ158" s="790"/>
      <c r="BK158" s="783">
        <v>0</v>
      </c>
      <c r="BL158" s="783">
        <v>0</v>
      </c>
      <c r="BM158" s="784"/>
      <c r="BN158" s="784"/>
      <c r="BO158" s="790"/>
      <c r="BP158" s="783">
        <v>0</v>
      </c>
      <c r="BQ158" s="783">
        <v>0</v>
      </c>
      <c r="BR158" s="784"/>
      <c r="BS158" s="784"/>
      <c r="BT158" s="790"/>
      <c r="BU158" s="783"/>
      <c r="BV158" s="783"/>
      <c r="BW158" s="784"/>
      <c r="BX158" s="784"/>
      <c r="BY158" s="790"/>
      <c r="BZ158" s="783"/>
      <c r="CA158" s="783"/>
      <c r="CB158" s="784"/>
      <c r="CC158" s="784"/>
      <c r="CD158" s="790"/>
      <c r="CE158" s="783"/>
      <c r="CF158" s="783"/>
      <c r="CG158" s="784"/>
      <c r="CH158" s="784"/>
      <c r="CI158" s="790"/>
      <c r="CJ158" s="783"/>
      <c r="CK158" s="783"/>
      <c r="CL158" s="784"/>
      <c r="CM158" s="784"/>
      <c r="CN158" s="790"/>
      <c r="CO158" s="783"/>
      <c r="CP158" s="783"/>
      <c r="CQ158" s="784"/>
      <c r="CR158" s="784"/>
      <c r="CS158" s="790"/>
      <c r="CT158" s="783"/>
      <c r="CU158" s="783"/>
      <c r="CV158" s="784"/>
      <c r="CW158" s="784"/>
      <c r="CX158" s="790"/>
      <c r="CY158" s="783"/>
      <c r="CZ158" s="783"/>
      <c r="DA158" s="784"/>
      <c r="DB158" s="784"/>
      <c r="DC158" s="790"/>
      <c r="DD158" s="783"/>
      <c r="DE158" s="783"/>
      <c r="DF158" s="784"/>
      <c r="DG158" s="784"/>
      <c r="DH158" s="790"/>
      <c r="DI158" s="783"/>
      <c r="DJ158" s="783"/>
      <c r="DK158" s="784"/>
      <c r="DL158" s="784"/>
      <c r="DM158" s="790"/>
      <c r="DN158" s="783"/>
      <c r="DO158" s="783"/>
      <c r="DP158" s="784"/>
      <c r="DQ158" s="784"/>
      <c r="DR158" s="790"/>
      <c r="DS158" s="783"/>
      <c r="DT158" s="783"/>
      <c r="DU158" s="784"/>
      <c r="DV158" s="784"/>
      <c r="DW158" s="790"/>
      <c r="DX158" s="783"/>
      <c r="DY158" s="783"/>
      <c r="DZ158" s="784"/>
      <c r="EA158" s="784"/>
      <c r="EB158" s="790"/>
      <c r="EC158" s="783"/>
      <c r="ED158" s="783"/>
      <c r="EE158" s="784"/>
      <c r="EF158" s="784"/>
      <c r="EG158" s="790"/>
      <c r="EH158" s="783"/>
      <c r="EI158" s="783"/>
      <c r="EJ158" s="784"/>
      <c r="EK158" s="784"/>
      <c r="EL158" s="790"/>
      <c r="EM158" s="783"/>
      <c r="EN158" s="783"/>
      <c r="EO158" s="784"/>
      <c r="EP158" s="784"/>
      <c r="EQ158" s="790"/>
      <c r="ER158" s="783"/>
      <c r="ES158" s="783"/>
      <c r="ET158" s="784"/>
      <c r="EU158" s="784"/>
      <c r="EV158" s="790"/>
      <c r="EW158" s="783"/>
      <c r="EX158" s="783"/>
      <c r="EY158" s="784"/>
      <c r="EZ158" s="784"/>
      <c r="FA158" s="790"/>
      <c r="FB158" s="783"/>
      <c r="FC158" s="783"/>
      <c r="FD158" s="784"/>
      <c r="FE158" s="784"/>
      <c r="FF158" s="790"/>
      <c r="FG158" s="783"/>
      <c r="FH158" s="783"/>
      <c r="FI158" s="784"/>
      <c r="FJ158" s="784"/>
      <c r="FK158" s="790"/>
      <c r="FL158" s="783"/>
      <c r="FM158" s="783"/>
      <c r="FN158" s="784"/>
      <c r="FO158" s="784"/>
      <c r="FP158" s="790"/>
      <c r="FQ158" s="783"/>
      <c r="FR158" s="783"/>
      <c r="FS158" s="784"/>
      <c r="FT158" s="784"/>
      <c r="FU158" s="790"/>
      <c r="FV158" s="783"/>
      <c r="FW158" s="783"/>
      <c r="FX158" s="784"/>
      <c r="FY158" s="784"/>
      <c r="FZ158" s="790"/>
      <c r="GA158" s="783"/>
      <c r="GB158" s="783"/>
      <c r="GC158" s="784"/>
      <c r="GD158" s="784"/>
      <c r="GE158" s="790"/>
      <c r="GF158" s="783"/>
      <c r="GG158" s="783"/>
      <c r="GH158" s="784"/>
      <c r="GI158" s="784"/>
      <c r="GJ158" s="1552"/>
      <c r="GK158" s="783"/>
      <c r="GL158" s="783"/>
      <c r="GM158" s="784"/>
      <c r="GN158" s="784"/>
      <c r="GO158" s="790"/>
      <c r="GP158" s="783"/>
      <c r="GQ158" s="783"/>
      <c r="GR158" s="784"/>
      <c r="GS158" s="784"/>
      <c r="GT158" s="790"/>
      <c r="GU158" s="783"/>
      <c r="GV158" s="783"/>
      <c r="GW158" s="784"/>
      <c r="GX158" s="784"/>
      <c r="GY158" s="790"/>
      <c r="GZ158" s="783"/>
      <c r="HA158" s="783"/>
      <c r="HB158" s="784"/>
      <c r="HC158" s="784"/>
      <c r="HD158" s="790"/>
      <c r="HE158" s="783"/>
      <c r="HF158" s="783"/>
      <c r="HG158" s="784"/>
      <c r="HH158" s="784"/>
      <c r="HI158" s="790"/>
      <c r="HJ158" s="783"/>
      <c r="HK158" s="783"/>
      <c r="HL158" s="784"/>
      <c r="HM158" s="784"/>
      <c r="HN158" s="790"/>
      <c r="HO158" s="783"/>
      <c r="HP158" s="783"/>
      <c r="HQ158" s="784"/>
      <c r="HR158" s="784"/>
      <c r="HS158" s="790"/>
      <c r="HT158" s="783"/>
      <c r="HU158" s="783"/>
      <c r="HV158" s="784"/>
      <c r="HW158" s="784"/>
      <c r="HX158" s="790"/>
      <c r="HY158" s="783"/>
      <c r="HZ158" s="783"/>
      <c r="IA158" s="784"/>
      <c r="IB158" s="784"/>
      <c r="IC158" s="790"/>
      <c r="ID158" s="783"/>
      <c r="IE158" s="783"/>
      <c r="IF158" s="784"/>
      <c r="IG158" s="784"/>
      <c r="IH158" s="790"/>
      <c r="II158" s="783"/>
      <c r="IJ158" s="783"/>
      <c r="IK158" s="784"/>
      <c r="IL158" s="784"/>
      <c r="IM158" s="790"/>
      <c r="IN158" s="783"/>
      <c r="IO158" s="783"/>
      <c r="IP158" s="784"/>
      <c r="IQ158" s="784"/>
    </row>
    <row r="159" spans="1:251" s="789" customFormat="1" ht="16.5">
      <c r="A159" s="647"/>
      <c r="B159" s="1605"/>
      <c r="C159" s="781"/>
      <c r="D159" s="1598"/>
      <c r="E159" s="785" t="s">
        <v>15</v>
      </c>
      <c r="F159" s="624"/>
      <c r="G159" s="1606"/>
      <c r="H159" s="783">
        <v>0</v>
      </c>
      <c r="I159" s="783">
        <v>0</v>
      </c>
      <c r="J159" s="784"/>
      <c r="K159" s="1418"/>
      <c r="L159" s="1606"/>
      <c r="M159" s="783">
        <v>0</v>
      </c>
      <c r="N159" s="783">
        <v>0</v>
      </c>
      <c r="O159" s="784"/>
      <c r="P159" s="1418"/>
      <c r="Q159" s="1606"/>
      <c r="R159" s="783">
        <v>0</v>
      </c>
      <c r="S159" s="783">
        <v>0</v>
      </c>
      <c r="T159" s="784"/>
      <c r="U159" s="1418"/>
      <c r="V159" s="630"/>
      <c r="W159" s="783">
        <v>0</v>
      </c>
      <c r="X159" s="783">
        <v>0</v>
      </c>
      <c r="Y159" s="784"/>
      <c r="Z159" s="784"/>
      <c r="AA159" s="792"/>
      <c r="AB159" s="783">
        <v>0</v>
      </c>
      <c r="AC159" s="783">
        <v>0</v>
      </c>
      <c r="AD159" s="784"/>
      <c r="AE159" s="784"/>
      <c r="AF159" s="792"/>
      <c r="AG159" s="783">
        <v>0</v>
      </c>
      <c r="AH159" s="783">
        <v>0</v>
      </c>
      <c r="AI159" s="784"/>
      <c r="AJ159" s="784"/>
      <c r="AK159" s="792"/>
      <c r="AL159" s="783">
        <v>0</v>
      </c>
      <c r="AM159" s="783">
        <v>0</v>
      </c>
      <c r="AN159" s="784"/>
      <c r="AO159" s="784"/>
      <c r="AP159" s="792"/>
      <c r="AQ159" s="783">
        <v>0</v>
      </c>
      <c r="AR159" s="783">
        <v>0</v>
      </c>
      <c r="AS159" s="784"/>
      <c r="AT159" s="784"/>
      <c r="AU159" s="792"/>
      <c r="AV159" s="783">
        <v>0</v>
      </c>
      <c r="AW159" s="783">
        <v>0</v>
      </c>
      <c r="AX159" s="784"/>
      <c r="AY159" s="784"/>
      <c r="AZ159" s="792"/>
      <c r="BA159" s="783">
        <v>0</v>
      </c>
      <c r="BB159" s="783">
        <v>0</v>
      </c>
      <c r="BC159" s="784"/>
      <c r="BD159" s="784"/>
      <c r="BE159" s="792"/>
      <c r="BF159" s="783">
        <v>0</v>
      </c>
      <c r="BG159" s="783">
        <v>0</v>
      </c>
      <c r="BH159" s="784"/>
      <c r="BI159" s="784"/>
      <c r="BJ159" s="792"/>
      <c r="BK159" s="783">
        <v>0</v>
      </c>
      <c r="BL159" s="783">
        <v>0</v>
      </c>
      <c r="BM159" s="784"/>
      <c r="BN159" s="784"/>
      <c r="BO159" s="792"/>
      <c r="BP159" s="783">
        <v>0</v>
      </c>
      <c r="BQ159" s="783">
        <v>0</v>
      </c>
      <c r="BR159" s="784"/>
      <c r="BS159" s="784"/>
      <c r="BT159" s="792"/>
      <c r="BU159" s="783"/>
      <c r="BV159" s="783"/>
      <c r="BW159" s="784"/>
      <c r="BX159" s="784"/>
      <c r="BY159" s="792"/>
      <c r="BZ159" s="783"/>
      <c r="CA159" s="783"/>
      <c r="CB159" s="784"/>
      <c r="CC159" s="784"/>
      <c r="CD159" s="792"/>
      <c r="CE159" s="783"/>
      <c r="CF159" s="783"/>
      <c r="CG159" s="784"/>
      <c r="CH159" s="784"/>
      <c r="CI159" s="792"/>
      <c r="CJ159" s="783"/>
      <c r="CK159" s="783"/>
      <c r="CL159" s="784"/>
      <c r="CM159" s="784"/>
      <c r="CN159" s="792"/>
      <c r="CO159" s="783"/>
      <c r="CP159" s="783"/>
      <c r="CQ159" s="784"/>
      <c r="CR159" s="784"/>
      <c r="CS159" s="792"/>
      <c r="CT159" s="783"/>
      <c r="CU159" s="783"/>
      <c r="CV159" s="784"/>
      <c r="CW159" s="784"/>
      <c r="CX159" s="792"/>
      <c r="CY159" s="783"/>
      <c r="CZ159" s="783"/>
      <c r="DA159" s="784"/>
      <c r="DB159" s="784"/>
      <c r="DC159" s="792"/>
      <c r="DD159" s="783"/>
      <c r="DE159" s="783"/>
      <c r="DF159" s="784"/>
      <c r="DG159" s="784"/>
      <c r="DH159" s="792"/>
      <c r="DI159" s="783"/>
      <c r="DJ159" s="783"/>
      <c r="DK159" s="784"/>
      <c r="DL159" s="784"/>
      <c r="DM159" s="792"/>
      <c r="DN159" s="783"/>
      <c r="DO159" s="783"/>
      <c r="DP159" s="784"/>
      <c r="DQ159" s="784"/>
      <c r="DR159" s="792"/>
      <c r="DS159" s="783"/>
      <c r="DT159" s="783"/>
      <c r="DU159" s="784"/>
      <c r="DV159" s="784"/>
      <c r="DW159" s="792"/>
      <c r="DX159" s="783"/>
      <c r="DY159" s="783"/>
      <c r="DZ159" s="784"/>
      <c r="EA159" s="784"/>
      <c r="EB159" s="792"/>
      <c r="EC159" s="783"/>
      <c r="ED159" s="783"/>
      <c r="EE159" s="784"/>
      <c r="EF159" s="784"/>
      <c r="EG159" s="792"/>
      <c r="EH159" s="783"/>
      <c r="EI159" s="783"/>
      <c r="EJ159" s="784"/>
      <c r="EK159" s="784"/>
      <c r="EL159" s="792"/>
      <c r="EM159" s="783"/>
      <c r="EN159" s="783"/>
      <c r="EO159" s="784"/>
      <c r="EP159" s="784"/>
      <c r="EQ159" s="792"/>
      <c r="ER159" s="783"/>
      <c r="ES159" s="783"/>
      <c r="ET159" s="784"/>
      <c r="EU159" s="784"/>
      <c r="EV159" s="792"/>
      <c r="EW159" s="783"/>
      <c r="EX159" s="783"/>
      <c r="EY159" s="784"/>
      <c r="EZ159" s="784"/>
      <c r="FA159" s="792"/>
      <c r="FB159" s="783"/>
      <c r="FC159" s="783"/>
      <c r="FD159" s="784"/>
      <c r="FE159" s="784"/>
      <c r="FF159" s="792"/>
      <c r="FG159" s="783"/>
      <c r="FH159" s="783"/>
      <c r="FI159" s="784"/>
      <c r="FJ159" s="784"/>
      <c r="FK159" s="792"/>
      <c r="FL159" s="783"/>
      <c r="FM159" s="783"/>
      <c r="FN159" s="784"/>
      <c r="FO159" s="784"/>
      <c r="FP159" s="792"/>
      <c r="FQ159" s="783"/>
      <c r="FR159" s="783"/>
      <c r="FS159" s="784"/>
      <c r="FT159" s="784"/>
      <c r="FU159" s="792"/>
      <c r="FV159" s="783"/>
      <c r="FW159" s="783"/>
      <c r="FX159" s="784"/>
      <c r="FY159" s="784"/>
      <c r="FZ159" s="792"/>
      <c r="GA159" s="783"/>
      <c r="GB159" s="783"/>
      <c r="GC159" s="784"/>
      <c r="GD159" s="784"/>
      <c r="GE159" s="792"/>
      <c r="GF159" s="783"/>
      <c r="GG159" s="783"/>
      <c r="GH159" s="784"/>
      <c r="GI159" s="784"/>
      <c r="GJ159" s="1551"/>
      <c r="GK159" s="783"/>
      <c r="GL159" s="783"/>
      <c r="GM159" s="784"/>
      <c r="GN159" s="784"/>
      <c r="GO159" s="792"/>
      <c r="GP159" s="783"/>
      <c r="GQ159" s="783"/>
      <c r="GR159" s="784"/>
      <c r="GS159" s="784"/>
      <c r="GT159" s="792"/>
      <c r="GU159" s="783"/>
      <c r="GV159" s="783"/>
      <c r="GW159" s="784"/>
      <c r="GX159" s="784"/>
      <c r="GY159" s="792"/>
      <c r="GZ159" s="783"/>
      <c r="HA159" s="783"/>
      <c r="HB159" s="784"/>
      <c r="HC159" s="784"/>
      <c r="HD159" s="792"/>
      <c r="HE159" s="783"/>
      <c r="HF159" s="783"/>
      <c r="HG159" s="784"/>
      <c r="HH159" s="784"/>
      <c r="HI159" s="792"/>
      <c r="HJ159" s="783"/>
      <c r="HK159" s="783"/>
      <c r="HL159" s="784"/>
      <c r="HM159" s="784"/>
      <c r="HN159" s="792"/>
      <c r="HO159" s="783"/>
      <c r="HP159" s="783"/>
      <c r="HQ159" s="784"/>
      <c r="HR159" s="784"/>
      <c r="HS159" s="792"/>
      <c r="HT159" s="783"/>
      <c r="HU159" s="783"/>
      <c r="HV159" s="784"/>
      <c r="HW159" s="784"/>
      <c r="HX159" s="792"/>
      <c r="HY159" s="783"/>
      <c r="HZ159" s="783"/>
      <c r="IA159" s="784"/>
      <c r="IB159" s="784"/>
      <c r="IC159" s="792"/>
      <c r="ID159" s="783"/>
      <c r="IE159" s="783"/>
      <c r="IF159" s="784"/>
      <c r="IG159" s="784"/>
      <c r="IH159" s="792"/>
      <c r="II159" s="783"/>
      <c r="IJ159" s="783"/>
      <c r="IK159" s="784"/>
      <c r="IL159" s="784"/>
      <c r="IM159" s="792"/>
      <c r="IN159" s="783"/>
      <c r="IO159" s="783"/>
      <c r="IP159" s="784"/>
      <c r="IQ159" s="784"/>
    </row>
    <row r="160" spans="1:251" s="264" customFormat="1" ht="17.25" thickBot="1">
      <c r="A160" s="648"/>
      <c r="B160" s="293"/>
      <c r="C160" s="258"/>
      <c r="D160" s="1595" t="s">
        <v>39</v>
      </c>
      <c r="E160" s="259" t="s">
        <v>17</v>
      </c>
      <c r="F160" s="1596"/>
      <c r="G160" s="168"/>
      <c r="H160" s="177">
        <v>0</v>
      </c>
      <c r="I160" s="177">
        <v>0</v>
      </c>
      <c r="J160" s="48"/>
      <c r="K160" s="49"/>
      <c r="L160" s="168"/>
      <c r="M160" s="177">
        <v>0</v>
      </c>
      <c r="N160" s="177">
        <v>0</v>
      </c>
      <c r="O160" s="48"/>
      <c r="P160" s="49"/>
      <c r="Q160" s="168"/>
      <c r="R160" s="177">
        <v>0</v>
      </c>
      <c r="S160" s="177">
        <v>0</v>
      </c>
      <c r="T160" s="48"/>
      <c r="U160" s="49"/>
      <c r="V160" s="209"/>
      <c r="W160" s="177">
        <v>0</v>
      </c>
      <c r="X160" s="177">
        <v>0</v>
      </c>
      <c r="Y160" s="48"/>
      <c r="Z160" s="48"/>
      <c r="AA160" s="3"/>
      <c r="AB160" s="177">
        <v>0</v>
      </c>
      <c r="AC160" s="177">
        <v>0</v>
      </c>
      <c r="AD160" s="48"/>
      <c r="AE160" s="48"/>
      <c r="AF160" s="3"/>
      <c r="AG160" s="177">
        <v>0</v>
      </c>
      <c r="AH160" s="177">
        <v>0</v>
      </c>
      <c r="AI160" s="48"/>
      <c r="AJ160" s="48"/>
      <c r="AK160" s="3"/>
      <c r="AL160" s="177">
        <v>0</v>
      </c>
      <c r="AM160" s="177">
        <v>0</v>
      </c>
      <c r="AN160" s="48"/>
      <c r="AO160" s="48"/>
      <c r="AP160" s="3"/>
      <c r="AQ160" s="177">
        <v>0</v>
      </c>
      <c r="AR160" s="177">
        <v>0</v>
      </c>
      <c r="AS160" s="48"/>
      <c r="AT160" s="48"/>
      <c r="AU160" s="3"/>
      <c r="AV160" s="177">
        <v>0</v>
      </c>
      <c r="AW160" s="177">
        <v>0</v>
      </c>
      <c r="AX160" s="48"/>
      <c r="AY160" s="48"/>
      <c r="AZ160" s="3"/>
      <c r="BA160" s="177">
        <v>0</v>
      </c>
      <c r="BB160" s="177">
        <v>0</v>
      </c>
      <c r="BC160" s="48"/>
      <c r="BD160" s="48"/>
      <c r="BE160" s="3"/>
      <c r="BF160" s="177">
        <v>0</v>
      </c>
      <c r="BG160" s="177">
        <v>0</v>
      </c>
      <c r="BH160" s="48"/>
      <c r="BI160" s="48"/>
      <c r="BJ160" s="3"/>
      <c r="BK160" s="177">
        <v>0</v>
      </c>
      <c r="BL160" s="177">
        <v>0</v>
      </c>
      <c r="BM160" s="48"/>
      <c r="BN160" s="48"/>
      <c r="BO160" s="3"/>
      <c r="BP160" s="177">
        <v>0</v>
      </c>
      <c r="BQ160" s="177">
        <v>0</v>
      </c>
      <c r="BR160" s="48"/>
      <c r="BS160" s="48"/>
      <c r="BT160" s="3"/>
      <c r="BU160" s="177"/>
      <c r="BV160" s="177"/>
      <c r="BW160" s="48"/>
      <c r="BX160" s="48"/>
      <c r="BY160" s="3"/>
      <c r="BZ160" s="177"/>
      <c r="CA160" s="177"/>
      <c r="CB160" s="48"/>
      <c r="CC160" s="48"/>
      <c r="CD160" s="3"/>
      <c r="CE160" s="177"/>
      <c r="CF160" s="177"/>
      <c r="CG160" s="48"/>
      <c r="CH160" s="48"/>
      <c r="CI160" s="3"/>
      <c r="CJ160" s="177"/>
      <c r="CK160" s="177"/>
      <c r="CL160" s="48"/>
      <c r="CM160" s="48"/>
      <c r="CN160" s="3"/>
      <c r="CO160" s="177"/>
      <c r="CP160" s="177"/>
      <c r="CQ160" s="48"/>
      <c r="CR160" s="48"/>
      <c r="CS160" s="3"/>
      <c r="CT160" s="177"/>
      <c r="CU160" s="177"/>
      <c r="CV160" s="48"/>
      <c r="CW160" s="48"/>
      <c r="CX160" s="3"/>
      <c r="CY160" s="177"/>
      <c r="CZ160" s="177"/>
      <c r="DA160" s="48"/>
      <c r="DB160" s="48"/>
      <c r="DC160" s="3"/>
      <c r="DD160" s="177"/>
      <c r="DE160" s="177"/>
      <c r="DF160" s="48"/>
      <c r="DG160" s="48"/>
      <c r="DH160" s="3"/>
      <c r="DI160" s="177"/>
      <c r="DJ160" s="177"/>
      <c r="DK160" s="48"/>
      <c r="DL160" s="48"/>
      <c r="DM160" s="3"/>
      <c r="DN160" s="177"/>
      <c r="DO160" s="177"/>
      <c r="DP160" s="48"/>
      <c r="DQ160" s="48"/>
      <c r="DR160" s="3"/>
      <c r="DS160" s="177"/>
      <c r="DT160" s="177"/>
      <c r="DU160" s="48"/>
      <c r="DV160" s="48"/>
      <c r="DW160" s="3"/>
      <c r="DX160" s="177"/>
      <c r="DY160" s="177"/>
      <c r="DZ160" s="48"/>
      <c r="EA160" s="48"/>
      <c r="EB160" s="3"/>
      <c r="EC160" s="177"/>
      <c r="ED160" s="177"/>
      <c r="EE160" s="48"/>
      <c r="EF160" s="48"/>
      <c r="EG160" s="3"/>
      <c r="EH160" s="177"/>
      <c r="EI160" s="177"/>
      <c r="EJ160" s="48"/>
      <c r="EK160" s="48"/>
      <c r="EL160" s="3"/>
      <c r="EM160" s="177"/>
      <c r="EN160" s="177"/>
      <c r="EO160" s="48"/>
      <c r="EP160" s="48"/>
      <c r="EQ160" s="3"/>
      <c r="ER160" s="177"/>
      <c r="ES160" s="177"/>
      <c r="ET160" s="48"/>
      <c r="EU160" s="48"/>
      <c r="EV160" s="3"/>
      <c r="EW160" s="177"/>
      <c r="EX160" s="177"/>
      <c r="EY160" s="48"/>
      <c r="EZ160" s="48"/>
      <c r="FA160" s="3"/>
      <c r="FB160" s="177"/>
      <c r="FC160" s="177"/>
      <c r="FD160" s="48"/>
      <c r="FE160" s="48"/>
      <c r="FF160" s="3"/>
      <c r="FG160" s="177"/>
      <c r="FH160" s="177"/>
      <c r="FI160" s="48"/>
      <c r="FJ160" s="48"/>
      <c r="FK160" s="3"/>
      <c r="FL160" s="177"/>
      <c r="FM160" s="177"/>
      <c r="FN160" s="48"/>
      <c r="FO160" s="48"/>
      <c r="FP160" s="3"/>
      <c r="FQ160" s="177"/>
      <c r="FR160" s="177"/>
      <c r="FS160" s="48"/>
      <c r="FT160" s="48"/>
      <c r="FU160" s="3"/>
      <c r="FV160" s="177"/>
      <c r="FW160" s="177"/>
      <c r="FX160" s="48"/>
      <c r="FY160" s="48"/>
      <c r="FZ160" s="3"/>
      <c r="GA160" s="177"/>
      <c r="GB160" s="177"/>
      <c r="GC160" s="48"/>
      <c r="GD160" s="48"/>
      <c r="GE160" s="3"/>
      <c r="GF160" s="177"/>
      <c r="GG160" s="177"/>
      <c r="GH160" s="48"/>
      <c r="GI160" s="48"/>
      <c r="GJ160" s="285"/>
      <c r="GK160" s="177"/>
      <c r="GL160" s="177"/>
      <c r="GM160" s="48"/>
      <c r="GN160" s="48"/>
      <c r="GO160" s="3"/>
      <c r="GP160" s="177"/>
      <c r="GQ160" s="177"/>
      <c r="GR160" s="48"/>
      <c r="GS160" s="48"/>
      <c r="GT160" s="3"/>
      <c r="GU160" s="177"/>
      <c r="GV160" s="177"/>
      <c r="GW160" s="48"/>
      <c r="GX160" s="48"/>
      <c r="GY160" s="3"/>
      <c r="GZ160" s="177"/>
      <c r="HA160" s="177"/>
      <c r="HB160" s="48"/>
      <c r="HC160" s="48"/>
      <c r="HD160" s="3"/>
      <c r="HE160" s="177"/>
      <c r="HF160" s="177"/>
      <c r="HG160" s="48"/>
      <c r="HH160" s="48"/>
      <c r="HI160" s="3"/>
      <c r="HJ160" s="177"/>
      <c r="HK160" s="177"/>
      <c r="HL160" s="48"/>
      <c r="HM160" s="48"/>
      <c r="HN160" s="3"/>
      <c r="HO160" s="177"/>
      <c r="HP160" s="177"/>
      <c r="HQ160" s="48"/>
      <c r="HR160" s="48"/>
      <c r="HS160" s="3"/>
      <c r="HT160" s="177"/>
      <c r="HU160" s="177"/>
      <c r="HV160" s="48"/>
      <c r="HW160" s="48"/>
      <c r="HX160" s="3"/>
      <c r="HY160" s="177"/>
      <c r="HZ160" s="177"/>
      <c r="IA160" s="48"/>
      <c r="IB160" s="48"/>
      <c r="IC160" s="3"/>
      <c r="ID160" s="177"/>
      <c r="IE160" s="177"/>
      <c r="IF160" s="48"/>
      <c r="IG160" s="48"/>
      <c r="IH160" s="3"/>
      <c r="II160" s="177"/>
      <c r="IJ160" s="177"/>
      <c r="IK160" s="48"/>
      <c r="IL160" s="48"/>
      <c r="IM160" s="3"/>
      <c r="IN160" s="177"/>
      <c r="IO160" s="177"/>
      <c r="IP160" s="48"/>
      <c r="IQ160" s="48"/>
    </row>
    <row r="161" spans="1:252" s="249" customFormat="1" ht="16.5">
      <c r="A161" s="649"/>
      <c r="B161" s="288" t="s">
        <v>111</v>
      </c>
      <c r="C161" s="5" t="s">
        <v>88</v>
      </c>
      <c r="D161" s="6" t="s">
        <v>35</v>
      </c>
      <c r="E161" s="7" t="s">
        <v>10</v>
      </c>
      <c r="F161" s="4"/>
      <c r="G161" s="196"/>
      <c r="H161" s="200"/>
      <c r="I161" s="200"/>
      <c r="J161" s="38"/>
      <c r="K161" s="206"/>
      <c r="L161" s="196"/>
      <c r="M161" s="200"/>
      <c r="N161" s="200"/>
      <c r="O161" s="38"/>
      <c r="P161" s="206"/>
      <c r="Q161" s="196"/>
      <c r="R161" s="200"/>
      <c r="S161" s="200"/>
      <c r="T161" s="38"/>
      <c r="U161" s="206"/>
      <c r="V161" s="207"/>
      <c r="W161" s="200"/>
      <c r="X161" s="200"/>
      <c r="Y161" s="38"/>
      <c r="Z161" s="38"/>
      <c r="AA161" s="36"/>
      <c r="AB161" s="200"/>
      <c r="AC161" s="200"/>
      <c r="AD161" s="38"/>
      <c r="AE161" s="38"/>
      <c r="AF161" s="36"/>
      <c r="AG161" s="200"/>
      <c r="AH161" s="200"/>
      <c r="AI161" s="38"/>
      <c r="AJ161" s="38"/>
      <c r="AK161" s="36"/>
      <c r="AL161" s="200"/>
      <c r="AM161" s="200"/>
      <c r="AN161" s="38"/>
      <c r="AO161" s="38"/>
      <c r="AP161" s="36"/>
      <c r="AQ161" s="200"/>
      <c r="AR161" s="200"/>
      <c r="AS161" s="38"/>
      <c r="AT161" s="38"/>
      <c r="AU161" s="36"/>
      <c r="AV161" s="200"/>
      <c r="AW161" s="200"/>
      <c r="AX161" s="38"/>
      <c r="AY161" s="38"/>
      <c r="AZ161" s="36"/>
      <c r="BA161" s="200"/>
      <c r="BB161" s="200"/>
      <c r="BC161" s="38"/>
      <c r="BD161" s="38"/>
      <c r="BE161" s="36"/>
      <c r="BF161" s="200"/>
      <c r="BG161" s="200"/>
      <c r="BH161" s="38"/>
      <c r="BI161" s="38"/>
      <c r="BJ161" s="36"/>
      <c r="BK161" s="200"/>
      <c r="BL161" s="200"/>
      <c r="BM161" s="38"/>
      <c r="BN161" s="38"/>
      <c r="BO161" s="36"/>
      <c r="BP161" s="200"/>
      <c r="BQ161" s="200"/>
      <c r="BR161" s="38"/>
      <c r="BS161" s="38"/>
      <c r="BT161" s="36"/>
      <c r="BU161" s="200"/>
      <c r="BV161" s="200"/>
      <c r="BW161" s="38"/>
      <c r="BX161" s="38"/>
      <c r="BY161" s="36"/>
      <c r="BZ161" s="200"/>
      <c r="CA161" s="200"/>
      <c r="CB161" s="38"/>
      <c r="CC161" s="38"/>
      <c r="CD161" s="36"/>
      <c r="CE161" s="200"/>
      <c r="CF161" s="200"/>
      <c r="CG161" s="38"/>
      <c r="CH161" s="38"/>
      <c r="CI161" s="36"/>
      <c r="CJ161" s="200"/>
      <c r="CK161" s="200"/>
      <c r="CL161" s="38"/>
      <c r="CM161" s="38"/>
      <c r="CN161" s="36"/>
      <c r="CO161" s="200"/>
      <c r="CP161" s="200"/>
      <c r="CQ161" s="38"/>
      <c r="CR161" s="38"/>
      <c r="CS161" s="36"/>
      <c r="CT161" s="200"/>
      <c r="CU161" s="200"/>
      <c r="CV161" s="38"/>
      <c r="CW161" s="38"/>
      <c r="CX161" s="36"/>
      <c r="CY161" s="200"/>
      <c r="CZ161" s="200"/>
      <c r="DA161" s="38"/>
      <c r="DB161" s="38"/>
      <c r="DC161" s="36"/>
      <c r="DD161" s="200"/>
      <c r="DE161" s="200"/>
      <c r="DF161" s="38"/>
      <c r="DG161" s="38"/>
      <c r="DH161" s="36"/>
      <c r="DI161" s="200"/>
      <c r="DJ161" s="200"/>
      <c r="DK161" s="38"/>
      <c r="DL161" s="38"/>
      <c r="DM161" s="36"/>
      <c r="DN161" s="200"/>
      <c r="DO161" s="200"/>
      <c r="DP161" s="38"/>
      <c r="DQ161" s="38"/>
      <c r="DR161" s="36"/>
      <c r="DS161" s="200"/>
      <c r="DT161" s="200"/>
      <c r="DU161" s="38"/>
      <c r="DV161" s="38"/>
      <c r="DW161" s="36"/>
      <c r="DX161" s="200"/>
      <c r="DY161" s="200"/>
      <c r="DZ161" s="38"/>
      <c r="EA161" s="38"/>
      <c r="EB161" s="36"/>
      <c r="EC161" s="200"/>
      <c r="ED161" s="200"/>
      <c r="EE161" s="38"/>
      <c r="EF161" s="38"/>
      <c r="EG161" s="36"/>
      <c r="EH161" s="200"/>
      <c r="EI161" s="200"/>
      <c r="EJ161" s="38"/>
      <c r="EK161" s="38"/>
      <c r="EL161" s="36"/>
      <c r="EM161" s="200"/>
      <c r="EN161" s="200"/>
      <c r="EO161" s="38"/>
      <c r="EP161" s="38"/>
      <c r="EQ161" s="36"/>
      <c r="ER161" s="200"/>
      <c r="ES161" s="200"/>
      <c r="ET161" s="38"/>
      <c r="EU161" s="38"/>
      <c r="EV161" s="36"/>
      <c r="EW161" s="200"/>
      <c r="EX161" s="200"/>
      <c r="EY161" s="38"/>
      <c r="EZ161" s="38"/>
      <c r="FA161" s="36"/>
      <c r="FB161" s="200"/>
      <c r="FC161" s="200"/>
      <c r="FD161" s="38"/>
      <c r="FE161" s="38"/>
      <c r="FF161" s="36"/>
      <c r="FG161" s="200"/>
      <c r="FH161" s="200"/>
      <c r="FI161" s="38"/>
      <c r="FJ161" s="38"/>
      <c r="FK161" s="36"/>
      <c r="FL161" s="200"/>
      <c r="FM161" s="200"/>
      <c r="FN161" s="38"/>
      <c r="FO161" s="38"/>
      <c r="FP161" s="36"/>
      <c r="FQ161" s="200"/>
      <c r="FR161" s="200"/>
      <c r="FS161" s="38"/>
      <c r="FT161" s="38"/>
      <c r="FU161" s="36"/>
      <c r="FV161" s="200"/>
      <c r="FW161" s="200"/>
      <c r="FX161" s="38"/>
      <c r="FY161" s="38"/>
      <c r="FZ161" s="36"/>
      <c r="GA161" s="200"/>
      <c r="GB161" s="200"/>
      <c r="GC161" s="38"/>
      <c r="GD161" s="38"/>
      <c r="GE161" s="36"/>
      <c r="GF161" s="200"/>
      <c r="GG161" s="200"/>
      <c r="GH161" s="38"/>
      <c r="GI161" s="38"/>
      <c r="GJ161" s="280"/>
      <c r="GK161" s="200"/>
      <c r="GL161" s="200"/>
      <c r="GM161" s="38"/>
      <c r="GN161" s="38"/>
      <c r="GO161" s="36"/>
      <c r="GP161" s="200"/>
      <c r="GQ161" s="200"/>
      <c r="GR161" s="38"/>
      <c r="GS161" s="38"/>
      <c r="GT161" s="36"/>
      <c r="GU161" s="200"/>
      <c r="GV161" s="200"/>
      <c r="GW161" s="38"/>
      <c r="GX161" s="38"/>
      <c r="GY161" s="36"/>
      <c r="GZ161" s="200"/>
      <c r="HA161" s="200"/>
      <c r="HB161" s="38"/>
      <c r="HC161" s="38"/>
      <c r="HD161" s="36"/>
      <c r="HE161" s="200"/>
      <c r="HF161" s="200"/>
      <c r="HG161" s="38"/>
      <c r="HH161" s="38"/>
      <c r="HI161" s="36"/>
      <c r="HJ161" s="200"/>
      <c r="HK161" s="200"/>
      <c r="HL161" s="38"/>
      <c r="HM161" s="38"/>
      <c r="HN161" s="36"/>
      <c r="HO161" s="200"/>
      <c r="HP161" s="200"/>
      <c r="HQ161" s="38"/>
      <c r="HR161" s="38"/>
      <c r="HS161" s="36"/>
      <c r="HT161" s="200"/>
      <c r="HU161" s="200"/>
      <c r="HV161" s="38"/>
      <c r="HW161" s="38"/>
      <c r="HX161" s="36"/>
      <c r="HY161" s="200"/>
      <c r="HZ161" s="200"/>
      <c r="IA161" s="38"/>
      <c r="IB161" s="38"/>
      <c r="IC161" s="36"/>
      <c r="ID161" s="200"/>
      <c r="IE161" s="200"/>
      <c r="IF161" s="38"/>
      <c r="IG161" s="38"/>
      <c r="IH161" s="36"/>
      <c r="II161" s="200"/>
      <c r="IJ161" s="200"/>
      <c r="IK161" s="38"/>
      <c r="IL161" s="38"/>
      <c r="IM161" s="36"/>
      <c r="IN161" s="200"/>
      <c r="IO161" s="200"/>
      <c r="IP161" s="38"/>
      <c r="IQ161" s="38"/>
    </row>
    <row r="162" spans="1:252" s="789" customFormat="1" ht="10.5" customHeight="1">
      <c r="A162" s="647"/>
      <c r="B162" s="1607"/>
      <c r="C162" s="781"/>
      <c r="D162" s="1598" t="s">
        <v>37</v>
      </c>
      <c r="E162" s="785" t="s">
        <v>13</v>
      </c>
      <c r="F162" s="624"/>
      <c r="G162" s="1416"/>
      <c r="H162" s="1608">
        <v>0</v>
      </c>
      <c r="I162" s="796">
        <v>0</v>
      </c>
      <c r="J162" s="784"/>
      <c r="K162" s="1418"/>
      <c r="L162" s="1416"/>
      <c r="M162" s="1608">
        <v>0</v>
      </c>
      <c r="N162" s="796">
        <v>0</v>
      </c>
      <c r="O162" s="784"/>
      <c r="P162" s="1418"/>
      <c r="Q162" s="1416"/>
      <c r="R162" s="1608">
        <v>0</v>
      </c>
      <c r="S162" s="796">
        <v>0</v>
      </c>
      <c r="T162" s="784"/>
      <c r="U162" s="1418"/>
      <c r="V162" s="626"/>
      <c r="W162" s="1608">
        <v>0</v>
      </c>
      <c r="X162" s="796">
        <v>0</v>
      </c>
      <c r="Y162" s="784"/>
      <c r="Z162" s="784"/>
      <c r="AA162" s="790"/>
      <c r="AB162" s="1608">
        <v>0</v>
      </c>
      <c r="AC162" s="796">
        <v>0</v>
      </c>
      <c r="AD162" s="784"/>
      <c r="AE162" s="784"/>
      <c r="AF162" s="790"/>
      <c r="AG162" s="1608">
        <v>0</v>
      </c>
      <c r="AH162" s="796">
        <v>0</v>
      </c>
      <c r="AI162" s="784"/>
      <c r="AJ162" s="784"/>
      <c r="AK162" s="790"/>
      <c r="AL162" s="1608">
        <v>0</v>
      </c>
      <c r="AM162" s="796">
        <v>0</v>
      </c>
      <c r="AN162" s="784"/>
      <c r="AO162" s="784"/>
      <c r="AP162" s="790"/>
      <c r="AQ162" s="1608">
        <v>0</v>
      </c>
      <c r="AR162" s="796">
        <v>0</v>
      </c>
      <c r="AS162" s="784"/>
      <c r="AT162" s="784"/>
      <c r="AU162" s="790"/>
      <c r="AV162" s="1608">
        <v>0</v>
      </c>
      <c r="AW162" s="796">
        <v>0</v>
      </c>
      <c r="AX162" s="784"/>
      <c r="AY162" s="784"/>
      <c r="AZ162" s="790"/>
      <c r="BA162" s="1608">
        <v>0</v>
      </c>
      <c r="BB162" s="796">
        <v>0</v>
      </c>
      <c r="BC162" s="784"/>
      <c r="BD162" s="784"/>
      <c r="BE162" s="790"/>
      <c r="BF162" s="1608">
        <v>0</v>
      </c>
      <c r="BG162" s="796">
        <v>0</v>
      </c>
      <c r="BH162" s="784"/>
      <c r="BI162" s="784"/>
      <c r="BJ162" s="790"/>
      <c r="BK162" s="1608">
        <v>0</v>
      </c>
      <c r="BL162" s="796">
        <v>0</v>
      </c>
      <c r="BM162" s="784"/>
      <c r="BN162" s="784"/>
      <c r="BO162" s="790"/>
      <c r="BP162" s="1608">
        <v>0</v>
      </c>
      <c r="BQ162" s="796">
        <v>0</v>
      </c>
      <c r="BR162" s="784"/>
      <c r="BS162" s="784"/>
      <c r="BT162" s="790"/>
      <c r="BU162" s="1608"/>
      <c r="BV162" s="796"/>
      <c r="BW162" s="784"/>
      <c r="BX162" s="784"/>
      <c r="BY162" s="790"/>
      <c r="BZ162" s="1608"/>
      <c r="CA162" s="796"/>
      <c r="CB162" s="784"/>
      <c r="CC162" s="784"/>
      <c r="CD162" s="790"/>
      <c r="CE162" s="1608"/>
      <c r="CF162" s="796"/>
      <c r="CG162" s="784"/>
      <c r="CH162" s="784"/>
      <c r="CI162" s="790"/>
      <c r="CJ162" s="1608"/>
      <c r="CK162" s="796"/>
      <c r="CL162" s="784"/>
      <c r="CM162" s="784"/>
      <c r="CN162" s="790"/>
      <c r="CO162" s="1608"/>
      <c r="CP162" s="796"/>
      <c r="CQ162" s="784"/>
      <c r="CR162" s="784"/>
      <c r="CS162" s="790"/>
      <c r="CT162" s="1608"/>
      <c r="CU162" s="796"/>
      <c r="CV162" s="784"/>
      <c r="CW162" s="784"/>
      <c r="CX162" s="790"/>
      <c r="CY162" s="1608"/>
      <c r="CZ162" s="796"/>
      <c r="DA162" s="784"/>
      <c r="DB162" s="784"/>
      <c r="DC162" s="790"/>
      <c r="DD162" s="1608"/>
      <c r="DE162" s="796"/>
      <c r="DF162" s="784"/>
      <c r="DG162" s="784"/>
      <c r="DH162" s="790"/>
      <c r="DI162" s="1608"/>
      <c r="DJ162" s="796"/>
      <c r="DK162" s="784"/>
      <c r="DL162" s="784"/>
      <c r="DM162" s="790"/>
      <c r="DN162" s="1608"/>
      <c r="DO162" s="796"/>
      <c r="DP162" s="784"/>
      <c r="DQ162" s="784"/>
      <c r="DR162" s="790"/>
      <c r="DS162" s="1608"/>
      <c r="DT162" s="796"/>
      <c r="DU162" s="784"/>
      <c r="DV162" s="784"/>
      <c r="DW162" s="790"/>
      <c r="DX162" s="1608"/>
      <c r="DY162" s="796"/>
      <c r="DZ162" s="784"/>
      <c r="EA162" s="784"/>
      <c r="EB162" s="790"/>
      <c r="EC162" s="1608"/>
      <c r="ED162" s="796"/>
      <c r="EE162" s="784"/>
      <c r="EF162" s="784"/>
      <c r="EG162" s="790"/>
      <c r="EH162" s="1608"/>
      <c r="EI162" s="796"/>
      <c r="EJ162" s="784"/>
      <c r="EK162" s="784"/>
      <c r="EL162" s="790"/>
      <c r="EM162" s="1608"/>
      <c r="EN162" s="796"/>
      <c r="EO162" s="784"/>
      <c r="EP162" s="784"/>
      <c r="EQ162" s="790"/>
      <c r="ER162" s="1608"/>
      <c r="ES162" s="796"/>
      <c r="ET162" s="784"/>
      <c r="EU162" s="784"/>
      <c r="EV162" s="790"/>
      <c r="EW162" s="1608"/>
      <c r="EX162" s="796"/>
      <c r="EY162" s="784"/>
      <c r="EZ162" s="784"/>
      <c r="FA162" s="790"/>
      <c r="FB162" s="1608"/>
      <c r="FC162" s="796"/>
      <c r="FD162" s="784"/>
      <c r="FE162" s="784"/>
      <c r="FF162" s="790"/>
      <c r="FG162" s="1608"/>
      <c r="FH162" s="796"/>
      <c r="FI162" s="784"/>
      <c r="FJ162" s="784"/>
      <c r="FK162" s="790"/>
      <c r="FL162" s="1608"/>
      <c r="FM162" s="796"/>
      <c r="FN162" s="784"/>
      <c r="FO162" s="784"/>
      <c r="FP162" s="790"/>
      <c r="FQ162" s="1608"/>
      <c r="FR162" s="796"/>
      <c r="FS162" s="784"/>
      <c r="FT162" s="784"/>
      <c r="FU162" s="790"/>
      <c r="FV162" s="1608"/>
      <c r="FW162" s="796"/>
      <c r="FX162" s="784"/>
      <c r="FY162" s="784"/>
      <c r="FZ162" s="790"/>
      <c r="GA162" s="1608"/>
      <c r="GB162" s="796"/>
      <c r="GC162" s="784"/>
      <c r="GD162" s="784"/>
      <c r="GE162" s="790"/>
      <c r="GF162" s="1608"/>
      <c r="GG162" s="796"/>
      <c r="GH162" s="784"/>
      <c r="GI162" s="784"/>
      <c r="GJ162" s="1552"/>
      <c r="GK162" s="1608"/>
      <c r="GL162" s="796"/>
      <c r="GM162" s="784"/>
      <c r="GN162" s="784"/>
      <c r="GO162" s="790"/>
      <c r="GP162" s="1608"/>
      <c r="GQ162" s="796"/>
      <c r="GR162" s="784"/>
      <c r="GS162" s="784"/>
      <c r="GT162" s="790"/>
      <c r="GU162" s="1608"/>
      <c r="GV162" s="796"/>
      <c r="GW162" s="784"/>
      <c r="GX162" s="784"/>
      <c r="GY162" s="790"/>
      <c r="GZ162" s="1608"/>
      <c r="HA162" s="796"/>
      <c r="HB162" s="784"/>
      <c r="HC162" s="784"/>
      <c r="HD162" s="790"/>
      <c r="HE162" s="1608"/>
      <c r="HF162" s="796"/>
      <c r="HG162" s="784"/>
      <c r="HH162" s="784"/>
      <c r="HI162" s="790"/>
      <c r="HJ162" s="1608"/>
      <c r="HK162" s="796"/>
      <c r="HL162" s="784"/>
      <c r="HM162" s="784"/>
      <c r="HN162" s="790"/>
      <c r="HO162" s="1608"/>
      <c r="HP162" s="796"/>
      <c r="HQ162" s="784"/>
      <c r="HR162" s="784"/>
      <c r="HS162" s="790"/>
      <c r="HT162" s="1608"/>
      <c r="HU162" s="796"/>
      <c r="HV162" s="784"/>
      <c r="HW162" s="784"/>
      <c r="HX162" s="790"/>
      <c r="HY162" s="1608"/>
      <c r="HZ162" s="796"/>
      <c r="IA162" s="784"/>
      <c r="IB162" s="784"/>
      <c r="IC162" s="790"/>
      <c r="ID162" s="1608"/>
      <c r="IE162" s="796"/>
      <c r="IF162" s="784"/>
      <c r="IG162" s="784"/>
      <c r="IH162" s="790"/>
      <c r="II162" s="1608"/>
      <c r="IJ162" s="796"/>
      <c r="IK162" s="784"/>
      <c r="IL162" s="784"/>
      <c r="IM162" s="790"/>
      <c r="IN162" s="1608"/>
      <c r="IO162" s="796"/>
      <c r="IP162" s="784"/>
      <c r="IQ162" s="784"/>
    </row>
    <row r="163" spans="1:252" s="789" customFormat="1" ht="16.5">
      <c r="A163" s="647"/>
      <c r="B163" s="1607"/>
      <c r="C163" s="781"/>
      <c r="D163" s="1598" t="s">
        <v>22</v>
      </c>
      <c r="E163" s="785" t="s">
        <v>15</v>
      </c>
      <c r="F163" s="624"/>
      <c r="G163" s="1416"/>
      <c r="H163" s="1608">
        <v>0</v>
      </c>
      <c r="I163" s="796">
        <v>0</v>
      </c>
      <c r="J163" s="784"/>
      <c r="K163" s="1418"/>
      <c r="L163" s="1416"/>
      <c r="M163" s="1608">
        <v>0</v>
      </c>
      <c r="N163" s="796">
        <v>0</v>
      </c>
      <c r="O163" s="784"/>
      <c r="P163" s="1418"/>
      <c r="Q163" s="1416"/>
      <c r="R163" s="1608">
        <v>0</v>
      </c>
      <c r="S163" s="796">
        <v>0</v>
      </c>
      <c r="T163" s="784"/>
      <c r="U163" s="1418"/>
      <c r="V163" s="626"/>
      <c r="W163" s="1608">
        <v>0</v>
      </c>
      <c r="X163" s="796">
        <v>0</v>
      </c>
      <c r="Y163" s="784"/>
      <c r="Z163" s="784"/>
      <c r="AA163" s="790"/>
      <c r="AB163" s="1608">
        <v>0</v>
      </c>
      <c r="AC163" s="796">
        <v>0</v>
      </c>
      <c r="AD163" s="784"/>
      <c r="AE163" s="784"/>
      <c r="AF163" s="790"/>
      <c r="AG163" s="1608">
        <v>0</v>
      </c>
      <c r="AH163" s="796">
        <v>0</v>
      </c>
      <c r="AI163" s="784"/>
      <c r="AJ163" s="784"/>
      <c r="AK163" s="790"/>
      <c r="AL163" s="1608">
        <v>0</v>
      </c>
      <c r="AM163" s="796">
        <v>0</v>
      </c>
      <c r="AN163" s="784"/>
      <c r="AO163" s="784"/>
      <c r="AP163" s="790"/>
      <c r="AQ163" s="1608">
        <v>0</v>
      </c>
      <c r="AR163" s="796">
        <v>0</v>
      </c>
      <c r="AS163" s="784"/>
      <c r="AT163" s="784"/>
      <c r="AU163" s="790"/>
      <c r="AV163" s="1608">
        <v>0</v>
      </c>
      <c r="AW163" s="796">
        <v>0</v>
      </c>
      <c r="AX163" s="784"/>
      <c r="AY163" s="784"/>
      <c r="AZ163" s="790"/>
      <c r="BA163" s="1608">
        <v>0</v>
      </c>
      <c r="BB163" s="796">
        <v>0</v>
      </c>
      <c r="BC163" s="784"/>
      <c r="BD163" s="784"/>
      <c r="BE163" s="790"/>
      <c r="BF163" s="1608">
        <v>0</v>
      </c>
      <c r="BG163" s="796">
        <v>0</v>
      </c>
      <c r="BH163" s="784"/>
      <c r="BI163" s="784"/>
      <c r="BJ163" s="790"/>
      <c r="BK163" s="1608">
        <v>0</v>
      </c>
      <c r="BL163" s="796">
        <v>0</v>
      </c>
      <c r="BM163" s="784"/>
      <c r="BN163" s="784"/>
      <c r="BO163" s="790"/>
      <c r="BP163" s="1608">
        <v>0</v>
      </c>
      <c r="BQ163" s="796">
        <v>0</v>
      </c>
      <c r="BR163" s="784"/>
      <c r="BS163" s="784"/>
      <c r="BT163" s="790"/>
      <c r="BU163" s="1608"/>
      <c r="BV163" s="796"/>
      <c r="BW163" s="784"/>
      <c r="BX163" s="784"/>
      <c r="BY163" s="790"/>
      <c r="BZ163" s="1608"/>
      <c r="CA163" s="796"/>
      <c r="CB163" s="784"/>
      <c r="CC163" s="784"/>
      <c r="CD163" s="790"/>
      <c r="CE163" s="1608"/>
      <c r="CF163" s="796"/>
      <c r="CG163" s="784"/>
      <c r="CH163" s="784"/>
      <c r="CI163" s="790"/>
      <c r="CJ163" s="1608"/>
      <c r="CK163" s="796"/>
      <c r="CL163" s="784"/>
      <c r="CM163" s="784"/>
      <c r="CN163" s="790"/>
      <c r="CO163" s="1608"/>
      <c r="CP163" s="796"/>
      <c r="CQ163" s="784"/>
      <c r="CR163" s="784"/>
      <c r="CS163" s="790"/>
      <c r="CT163" s="1608"/>
      <c r="CU163" s="796"/>
      <c r="CV163" s="784"/>
      <c r="CW163" s="784"/>
      <c r="CX163" s="790"/>
      <c r="CY163" s="1608"/>
      <c r="CZ163" s="796"/>
      <c r="DA163" s="784"/>
      <c r="DB163" s="784"/>
      <c r="DC163" s="790"/>
      <c r="DD163" s="1608"/>
      <c r="DE163" s="796"/>
      <c r="DF163" s="784"/>
      <c r="DG163" s="784"/>
      <c r="DH163" s="790"/>
      <c r="DI163" s="1608"/>
      <c r="DJ163" s="796"/>
      <c r="DK163" s="784"/>
      <c r="DL163" s="784"/>
      <c r="DM163" s="790"/>
      <c r="DN163" s="1608"/>
      <c r="DO163" s="796"/>
      <c r="DP163" s="784"/>
      <c r="DQ163" s="784"/>
      <c r="DR163" s="790"/>
      <c r="DS163" s="1608"/>
      <c r="DT163" s="796"/>
      <c r="DU163" s="784"/>
      <c r="DV163" s="784"/>
      <c r="DW163" s="790"/>
      <c r="DX163" s="1608"/>
      <c r="DY163" s="796"/>
      <c r="DZ163" s="784"/>
      <c r="EA163" s="784"/>
      <c r="EB163" s="790"/>
      <c r="EC163" s="1608"/>
      <c r="ED163" s="796"/>
      <c r="EE163" s="784"/>
      <c r="EF163" s="784"/>
      <c r="EG163" s="790"/>
      <c r="EH163" s="1608"/>
      <c r="EI163" s="796"/>
      <c r="EJ163" s="784"/>
      <c r="EK163" s="784"/>
      <c r="EL163" s="790"/>
      <c r="EM163" s="1608"/>
      <c r="EN163" s="796"/>
      <c r="EO163" s="784"/>
      <c r="EP163" s="784"/>
      <c r="EQ163" s="790"/>
      <c r="ER163" s="1608"/>
      <c r="ES163" s="796"/>
      <c r="ET163" s="784"/>
      <c r="EU163" s="784"/>
      <c r="EV163" s="790"/>
      <c r="EW163" s="1608"/>
      <c r="EX163" s="796"/>
      <c r="EY163" s="784"/>
      <c r="EZ163" s="784"/>
      <c r="FA163" s="790"/>
      <c r="FB163" s="1608"/>
      <c r="FC163" s="796"/>
      <c r="FD163" s="784"/>
      <c r="FE163" s="784"/>
      <c r="FF163" s="790"/>
      <c r="FG163" s="1608"/>
      <c r="FH163" s="796"/>
      <c r="FI163" s="784"/>
      <c r="FJ163" s="784"/>
      <c r="FK163" s="790"/>
      <c r="FL163" s="1608"/>
      <c r="FM163" s="796"/>
      <c r="FN163" s="784"/>
      <c r="FO163" s="784"/>
      <c r="FP163" s="790"/>
      <c r="FQ163" s="1608"/>
      <c r="FR163" s="796"/>
      <c r="FS163" s="784"/>
      <c r="FT163" s="784"/>
      <c r="FU163" s="790"/>
      <c r="FV163" s="1608"/>
      <c r="FW163" s="796"/>
      <c r="FX163" s="784"/>
      <c r="FY163" s="784"/>
      <c r="FZ163" s="790"/>
      <c r="GA163" s="1608"/>
      <c r="GB163" s="796"/>
      <c r="GC163" s="784"/>
      <c r="GD163" s="784"/>
      <c r="GE163" s="790"/>
      <c r="GF163" s="1608"/>
      <c r="GG163" s="796"/>
      <c r="GH163" s="784"/>
      <c r="GI163" s="784"/>
      <c r="GJ163" s="1552"/>
      <c r="GK163" s="1608"/>
      <c r="GL163" s="796"/>
      <c r="GM163" s="784"/>
      <c r="GN163" s="784"/>
      <c r="GO163" s="790"/>
      <c r="GP163" s="1608"/>
      <c r="GQ163" s="796"/>
      <c r="GR163" s="784"/>
      <c r="GS163" s="784"/>
      <c r="GT163" s="790"/>
      <c r="GU163" s="1608"/>
      <c r="GV163" s="796"/>
      <c r="GW163" s="784"/>
      <c r="GX163" s="784"/>
      <c r="GY163" s="790"/>
      <c r="GZ163" s="1608"/>
      <c r="HA163" s="796"/>
      <c r="HB163" s="784"/>
      <c r="HC163" s="784"/>
      <c r="HD163" s="790"/>
      <c r="HE163" s="1608"/>
      <c r="HF163" s="796"/>
      <c r="HG163" s="784"/>
      <c r="HH163" s="784"/>
      <c r="HI163" s="790"/>
      <c r="HJ163" s="1608"/>
      <c r="HK163" s="796"/>
      <c r="HL163" s="784"/>
      <c r="HM163" s="784"/>
      <c r="HN163" s="790"/>
      <c r="HO163" s="1608"/>
      <c r="HP163" s="796"/>
      <c r="HQ163" s="784"/>
      <c r="HR163" s="784"/>
      <c r="HS163" s="790"/>
      <c r="HT163" s="1608"/>
      <c r="HU163" s="796"/>
      <c r="HV163" s="784"/>
      <c r="HW163" s="784"/>
      <c r="HX163" s="790"/>
      <c r="HY163" s="1608"/>
      <c r="HZ163" s="796"/>
      <c r="IA163" s="784"/>
      <c r="IB163" s="784"/>
      <c r="IC163" s="790"/>
      <c r="ID163" s="1608"/>
      <c r="IE163" s="796"/>
      <c r="IF163" s="784"/>
      <c r="IG163" s="784"/>
      <c r="IH163" s="790"/>
      <c r="II163" s="1608"/>
      <c r="IJ163" s="796"/>
      <c r="IK163" s="784"/>
      <c r="IL163" s="784"/>
      <c r="IM163" s="790"/>
      <c r="IN163" s="1608"/>
      <c r="IO163" s="796"/>
      <c r="IP163" s="784"/>
      <c r="IQ163" s="784"/>
    </row>
    <row r="164" spans="1:252" s="789" customFormat="1" ht="17.25" thickBot="1">
      <c r="A164" s="654"/>
      <c r="B164" s="1600"/>
      <c r="C164" s="1601"/>
      <c r="D164" s="1602" t="s">
        <v>89</v>
      </c>
      <c r="E164" s="1603" t="s">
        <v>17</v>
      </c>
      <c r="F164" s="1597"/>
      <c r="G164" s="695"/>
      <c r="H164" s="716">
        <v>0</v>
      </c>
      <c r="I164" s="716">
        <v>0</v>
      </c>
      <c r="J164" s="704"/>
      <c r="K164" s="1604"/>
      <c r="L164" s="695"/>
      <c r="M164" s="716">
        <v>0</v>
      </c>
      <c r="N164" s="716">
        <v>0</v>
      </c>
      <c r="O164" s="704"/>
      <c r="P164" s="1604"/>
      <c r="Q164" s="695"/>
      <c r="R164" s="716">
        <v>0</v>
      </c>
      <c r="S164" s="716">
        <v>0</v>
      </c>
      <c r="T164" s="704"/>
      <c r="U164" s="1604"/>
      <c r="V164" s="699"/>
      <c r="W164" s="716">
        <v>0</v>
      </c>
      <c r="X164" s="716">
        <v>0</v>
      </c>
      <c r="Y164" s="704"/>
      <c r="Z164" s="704"/>
      <c r="AA164" s="701"/>
      <c r="AB164" s="716">
        <v>0</v>
      </c>
      <c r="AC164" s="716">
        <v>0</v>
      </c>
      <c r="AD164" s="704"/>
      <c r="AE164" s="704"/>
      <c r="AF164" s="701"/>
      <c r="AG164" s="716">
        <v>0</v>
      </c>
      <c r="AH164" s="716">
        <v>0</v>
      </c>
      <c r="AI164" s="704"/>
      <c r="AJ164" s="704"/>
      <c r="AK164" s="701"/>
      <c r="AL164" s="716">
        <v>0</v>
      </c>
      <c r="AM164" s="716">
        <v>0</v>
      </c>
      <c r="AN164" s="704"/>
      <c r="AO164" s="704"/>
      <c r="AP164" s="701"/>
      <c r="AQ164" s="716">
        <v>0</v>
      </c>
      <c r="AR164" s="716">
        <v>0</v>
      </c>
      <c r="AS164" s="704"/>
      <c r="AT164" s="704"/>
      <c r="AU164" s="701"/>
      <c r="AV164" s="716">
        <v>0</v>
      </c>
      <c r="AW164" s="716">
        <v>0</v>
      </c>
      <c r="AX164" s="704"/>
      <c r="AY164" s="704"/>
      <c r="AZ164" s="701"/>
      <c r="BA164" s="716">
        <v>0</v>
      </c>
      <c r="BB164" s="716">
        <v>0</v>
      </c>
      <c r="BC164" s="704"/>
      <c r="BD164" s="704"/>
      <c r="BE164" s="701"/>
      <c r="BF164" s="716">
        <v>0</v>
      </c>
      <c r="BG164" s="716">
        <v>0</v>
      </c>
      <c r="BH164" s="704"/>
      <c r="BI164" s="704"/>
      <c r="BJ164" s="701"/>
      <c r="BK164" s="716">
        <v>0</v>
      </c>
      <c r="BL164" s="716">
        <v>0</v>
      </c>
      <c r="BM164" s="704"/>
      <c r="BN164" s="704"/>
      <c r="BO164" s="701"/>
      <c r="BP164" s="716">
        <v>0</v>
      </c>
      <c r="BQ164" s="716">
        <v>0</v>
      </c>
      <c r="BR164" s="704"/>
      <c r="BS164" s="704"/>
      <c r="BT164" s="701"/>
      <c r="BU164" s="716"/>
      <c r="BV164" s="716"/>
      <c r="BW164" s="704"/>
      <c r="BX164" s="704"/>
      <c r="BY164" s="701"/>
      <c r="BZ164" s="716"/>
      <c r="CA164" s="716"/>
      <c r="CB164" s="704"/>
      <c r="CC164" s="704"/>
      <c r="CD164" s="701"/>
      <c r="CE164" s="716"/>
      <c r="CF164" s="716"/>
      <c r="CG164" s="704"/>
      <c r="CH164" s="704"/>
      <c r="CI164" s="701"/>
      <c r="CJ164" s="716"/>
      <c r="CK164" s="716"/>
      <c r="CL164" s="704"/>
      <c r="CM164" s="704"/>
      <c r="CN164" s="701"/>
      <c r="CO164" s="716"/>
      <c r="CP164" s="716"/>
      <c r="CQ164" s="704"/>
      <c r="CR164" s="704"/>
      <c r="CS164" s="701"/>
      <c r="CT164" s="716"/>
      <c r="CU164" s="716"/>
      <c r="CV164" s="704"/>
      <c r="CW164" s="704"/>
      <c r="CX164" s="701"/>
      <c r="CY164" s="716"/>
      <c r="CZ164" s="716"/>
      <c r="DA164" s="704"/>
      <c r="DB164" s="704"/>
      <c r="DC164" s="701"/>
      <c r="DD164" s="716"/>
      <c r="DE164" s="716"/>
      <c r="DF164" s="704"/>
      <c r="DG164" s="704"/>
      <c r="DH164" s="701"/>
      <c r="DI164" s="716"/>
      <c r="DJ164" s="716"/>
      <c r="DK164" s="704"/>
      <c r="DL164" s="704"/>
      <c r="DM164" s="701"/>
      <c r="DN164" s="716"/>
      <c r="DO164" s="716"/>
      <c r="DP164" s="704"/>
      <c r="DQ164" s="704"/>
      <c r="DR164" s="701"/>
      <c r="DS164" s="716"/>
      <c r="DT164" s="716"/>
      <c r="DU164" s="704"/>
      <c r="DV164" s="704"/>
      <c r="DW164" s="701"/>
      <c r="DX164" s="716"/>
      <c r="DY164" s="716"/>
      <c r="DZ164" s="704"/>
      <c r="EA164" s="704"/>
      <c r="EB164" s="701"/>
      <c r="EC164" s="716"/>
      <c r="ED164" s="716"/>
      <c r="EE164" s="704"/>
      <c r="EF164" s="704"/>
      <c r="EG164" s="701"/>
      <c r="EH164" s="716"/>
      <c r="EI164" s="716"/>
      <c r="EJ164" s="704"/>
      <c r="EK164" s="704"/>
      <c r="EL164" s="701"/>
      <c r="EM164" s="716"/>
      <c r="EN164" s="716"/>
      <c r="EO164" s="704"/>
      <c r="EP164" s="704"/>
      <c r="EQ164" s="701"/>
      <c r="ER164" s="716"/>
      <c r="ES164" s="716"/>
      <c r="ET164" s="704"/>
      <c r="EU164" s="704"/>
      <c r="EV164" s="701"/>
      <c r="EW164" s="716"/>
      <c r="EX164" s="716"/>
      <c r="EY164" s="704"/>
      <c r="EZ164" s="704"/>
      <c r="FA164" s="701"/>
      <c r="FB164" s="716"/>
      <c r="FC164" s="716"/>
      <c r="FD164" s="704"/>
      <c r="FE164" s="704"/>
      <c r="FF164" s="701"/>
      <c r="FG164" s="716"/>
      <c r="FH164" s="716"/>
      <c r="FI164" s="704"/>
      <c r="FJ164" s="704"/>
      <c r="FK164" s="701"/>
      <c r="FL164" s="716"/>
      <c r="FM164" s="716"/>
      <c r="FN164" s="704"/>
      <c r="FO164" s="704"/>
      <c r="FP164" s="701"/>
      <c r="FQ164" s="716"/>
      <c r="FR164" s="716"/>
      <c r="FS164" s="704"/>
      <c r="FT164" s="704"/>
      <c r="FU164" s="701"/>
      <c r="FV164" s="716"/>
      <c r="FW164" s="716"/>
      <c r="FX164" s="704"/>
      <c r="FY164" s="704"/>
      <c r="FZ164" s="701"/>
      <c r="GA164" s="716"/>
      <c r="GB164" s="716"/>
      <c r="GC164" s="704"/>
      <c r="GD164" s="704"/>
      <c r="GE164" s="701"/>
      <c r="GF164" s="716"/>
      <c r="GG164" s="716"/>
      <c r="GH164" s="704"/>
      <c r="GI164" s="704"/>
      <c r="GJ164" s="1446"/>
      <c r="GK164" s="716"/>
      <c r="GL164" s="716"/>
      <c r="GM164" s="704"/>
      <c r="GN164" s="704"/>
      <c r="GO164" s="701"/>
      <c r="GP164" s="716"/>
      <c r="GQ164" s="716"/>
      <c r="GR164" s="704"/>
      <c r="GS164" s="704"/>
      <c r="GT164" s="701"/>
      <c r="GU164" s="716"/>
      <c r="GV164" s="716"/>
      <c r="GW164" s="704"/>
      <c r="GX164" s="704"/>
      <c r="GY164" s="701"/>
      <c r="GZ164" s="716"/>
      <c r="HA164" s="716"/>
      <c r="HB164" s="704"/>
      <c r="HC164" s="704"/>
      <c r="HD164" s="701"/>
      <c r="HE164" s="716"/>
      <c r="HF164" s="716"/>
      <c r="HG164" s="704"/>
      <c r="HH164" s="704"/>
      <c r="HI164" s="701"/>
      <c r="HJ164" s="716"/>
      <c r="HK164" s="716"/>
      <c r="HL164" s="704"/>
      <c r="HM164" s="704"/>
      <c r="HN164" s="701"/>
      <c r="HO164" s="716"/>
      <c r="HP164" s="716"/>
      <c r="HQ164" s="704"/>
      <c r="HR164" s="704"/>
      <c r="HS164" s="701"/>
      <c r="HT164" s="716"/>
      <c r="HU164" s="716"/>
      <c r="HV164" s="704"/>
      <c r="HW164" s="704"/>
      <c r="HX164" s="701"/>
      <c r="HY164" s="716"/>
      <c r="HZ164" s="716"/>
      <c r="IA164" s="704"/>
      <c r="IB164" s="704"/>
      <c r="IC164" s="701"/>
      <c r="ID164" s="716"/>
      <c r="IE164" s="716"/>
      <c r="IF164" s="704"/>
      <c r="IG164" s="704"/>
      <c r="IH164" s="701"/>
      <c r="II164" s="716"/>
      <c r="IJ164" s="716"/>
      <c r="IK164" s="704"/>
      <c r="IL164" s="704"/>
      <c r="IM164" s="701"/>
      <c r="IN164" s="716"/>
      <c r="IO164" s="716"/>
      <c r="IP164" s="704"/>
      <c r="IQ164" s="704"/>
    </row>
    <row r="165" spans="1:252" s="789" customFormat="1" ht="17.25" customHeight="1">
      <c r="A165" s="683"/>
      <c r="B165" s="639" t="s">
        <v>1230</v>
      </c>
      <c r="C165" s="251" t="s">
        <v>1231</v>
      </c>
      <c r="D165" s="252" t="s">
        <v>9</v>
      </c>
      <c r="E165" s="253" t="s">
        <v>10</v>
      </c>
      <c r="F165" s="253"/>
      <c r="G165" s="378"/>
      <c r="H165" s="165"/>
      <c r="I165" s="165"/>
      <c r="J165" s="166"/>
      <c r="K165" s="166"/>
      <c r="L165" s="378"/>
      <c r="M165" s="165"/>
      <c r="N165" s="165"/>
      <c r="O165" s="166"/>
      <c r="P165" s="166"/>
      <c r="Q165" s="378"/>
      <c r="R165" s="165"/>
      <c r="S165" s="165"/>
      <c r="T165" s="166"/>
      <c r="U165" s="166"/>
      <c r="V165" s="378"/>
      <c r="W165" s="165"/>
      <c r="X165" s="165"/>
      <c r="Y165" s="166"/>
      <c r="Z165" s="166"/>
      <c r="AA165" s="378"/>
      <c r="AB165" s="165"/>
      <c r="AC165" s="165"/>
      <c r="AD165" s="166"/>
      <c r="AE165" s="166"/>
      <c r="AF165" s="378"/>
      <c r="AG165" s="165"/>
      <c r="AH165" s="165"/>
      <c r="AI165" s="166"/>
      <c r="AJ165" s="166"/>
      <c r="AK165" s="378"/>
      <c r="AL165" s="165"/>
      <c r="AM165" s="165"/>
      <c r="AN165" s="166"/>
      <c r="AO165" s="166"/>
      <c r="AP165" s="378"/>
      <c r="AQ165" s="165"/>
      <c r="AR165" s="165"/>
      <c r="AS165" s="166"/>
      <c r="AT165" s="166"/>
      <c r="AU165" s="378"/>
      <c r="AV165" s="165"/>
      <c r="AW165" s="165"/>
      <c r="AX165" s="166"/>
      <c r="AY165" s="166"/>
      <c r="AZ165" s="378"/>
      <c r="BA165" s="165"/>
      <c r="BB165" s="165"/>
      <c r="BC165" s="166"/>
      <c r="BD165" s="166"/>
      <c r="BE165" s="378"/>
      <c r="BF165" s="165"/>
      <c r="BG165" s="165"/>
      <c r="BH165" s="166"/>
      <c r="BI165" s="166"/>
      <c r="BJ165" s="378"/>
      <c r="BK165" s="165"/>
      <c r="BL165" s="165"/>
      <c r="BM165" s="166"/>
      <c r="BN165" s="166"/>
      <c r="BO165" s="378"/>
      <c r="BP165" s="165"/>
      <c r="BQ165" s="165"/>
      <c r="BR165" s="166"/>
      <c r="BS165" s="166"/>
      <c r="BT165" s="378"/>
      <c r="BU165" s="165"/>
      <c r="BV165" s="165"/>
      <c r="BW165" s="166"/>
      <c r="BX165" s="166"/>
      <c r="BY165" s="378"/>
      <c r="BZ165" s="165"/>
      <c r="CA165" s="165"/>
      <c r="CB165" s="166"/>
      <c r="CC165" s="166"/>
      <c r="CD165" s="378"/>
      <c r="CE165" s="165"/>
      <c r="CF165" s="165"/>
      <c r="CG165" s="166"/>
      <c r="CH165" s="166"/>
      <c r="CI165" s="378"/>
      <c r="CJ165" s="165"/>
      <c r="CK165" s="165"/>
      <c r="CL165" s="166"/>
      <c r="CM165" s="166"/>
      <c r="CN165" s="378"/>
      <c r="CO165" s="165"/>
      <c r="CP165" s="165"/>
      <c r="CQ165" s="166"/>
      <c r="CR165" s="166"/>
      <c r="CS165" s="378"/>
      <c r="CT165" s="165"/>
      <c r="CU165" s="165"/>
      <c r="CV165" s="166"/>
      <c r="CW165" s="166"/>
      <c r="CX165" s="378"/>
      <c r="CY165" s="165"/>
      <c r="CZ165" s="165"/>
      <c r="DA165" s="166"/>
      <c r="DB165" s="166"/>
      <c r="DC165" s="378"/>
      <c r="DD165" s="165"/>
      <c r="DE165" s="165"/>
      <c r="DF165" s="166"/>
      <c r="DG165" s="166"/>
      <c r="DH165" s="378"/>
      <c r="DI165" s="165"/>
      <c r="DJ165" s="165"/>
      <c r="DK165" s="166"/>
      <c r="DL165" s="166"/>
      <c r="DM165" s="378"/>
      <c r="DN165" s="165"/>
      <c r="DO165" s="165"/>
      <c r="DP165" s="166"/>
      <c r="DQ165" s="166"/>
      <c r="DR165" s="378"/>
      <c r="DS165" s="165"/>
      <c r="DT165" s="165"/>
      <c r="DU165" s="166"/>
      <c r="DV165" s="166"/>
      <c r="DW165" s="378"/>
      <c r="DX165" s="165"/>
      <c r="DY165" s="165"/>
      <c r="DZ165" s="166"/>
      <c r="EA165" s="166"/>
      <c r="EB165" s="378"/>
      <c r="EC165" s="165"/>
      <c r="ED165" s="165"/>
      <c r="EE165" s="166"/>
      <c r="EF165" s="166"/>
      <c r="EG165" s="378"/>
      <c r="EH165" s="165"/>
      <c r="EI165" s="165"/>
      <c r="EJ165" s="166"/>
      <c r="EK165" s="166"/>
      <c r="EL165" s="378"/>
      <c r="EM165" s="165"/>
      <c r="EN165" s="165"/>
      <c r="EO165" s="166"/>
      <c r="EP165" s="166"/>
      <c r="EQ165" s="378"/>
      <c r="ER165" s="165"/>
      <c r="ES165" s="165"/>
      <c r="ET165" s="166"/>
      <c r="EU165" s="166"/>
      <c r="EV165" s="378"/>
      <c r="EW165" s="165"/>
      <c r="EX165" s="165"/>
      <c r="EY165" s="166"/>
      <c r="EZ165" s="166"/>
      <c r="FA165" s="378"/>
      <c r="FB165" s="165"/>
      <c r="FC165" s="165"/>
      <c r="FD165" s="166"/>
      <c r="FE165" s="166"/>
      <c r="FF165" s="378"/>
      <c r="FG165" s="165"/>
      <c r="FH165" s="165"/>
      <c r="FI165" s="166"/>
      <c r="FJ165" s="166"/>
      <c r="FK165" s="378"/>
      <c r="FL165" s="165"/>
      <c r="FM165" s="165"/>
      <c r="FN165" s="166"/>
      <c r="FO165" s="166"/>
      <c r="FP165" s="378"/>
      <c r="FQ165" s="165"/>
      <c r="FR165" s="165"/>
      <c r="FS165" s="166"/>
      <c r="FT165" s="166"/>
      <c r="FU165" s="378"/>
      <c r="FV165" s="165"/>
      <c r="FW165" s="165"/>
      <c r="FX165" s="166"/>
      <c r="FY165" s="166"/>
      <c r="FZ165" s="378"/>
      <c r="GA165" s="165"/>
      <c r="GB165" s="165"/>
      <c r="GC165" s="166"/>
      <c r="GD165" s="166"/>
      <c r="GE165" s="378"/>
      <c r="GF165" s="165"/>
      <c r="GG165" s="165"/>
      <c r="GH165" s="166"/>
      <c r="GI165" s="166"/>
      <c r="GJ165" s="1550"/>
      <c r="GK165" s="165"/>
      <c r="GL165" s="165"/>
      <c r="GM165" s="166"/>
      <c r="GN165" s="166"/>
      <c r="GO165" s="378"/>
      <c r="GP165" s="165"/>
      <c r="GQ165" s="165"/>
      <c r="GR165" s="166"/>
      <c r="GS165" s="166"/>
      <c r="GT165" s="378"/>
      <c r="GU165" s="165"/>
      <c r="GV165" s="165"/>
      <c r="GW165" s="166"/>
      <c r="GX165" s="166"/>
      <c r="GY165" s="378"/>
      <c r="GZ165" s="165"/>
      <c r="HA165" s="165"/>
      <c r="HB165" s="166"/>
      <c r="HC165" s="166"/>
      <c r="HD165" s="378"/>
      <c r="HE165" s="165"/>
      <c r="HF165" s="165"/>
      <c r="HG165" s="166"/>
      <c r="HH165" s="166"/>
      <c r="HI165" s="378"/>
      <c r="HJ165" s="165"/>
      <c r="HK165" s="165"/>
      <c r="HL165" s="166"/>
      <c r="HM165" s="166"/>
      <c r="HN165" s="378"/>
      <c r="HO165" s="165"/>
      <c r="HP165" s="165"/>
      <c r="HQ165" s="166"/>
      <c r="HR165" s="166"/>
      <c r="HS165" s="378"/>
      <c r="HT165" s="165"/>
      <c r="HU165" s="165"/>
      <c r="HV165" s="166"/>
      <c r="HW165" s="166"/>
      <c r="HX165" s="378"/>
      <c r="HY165" s="165"/>
      <c r="HZ165" s="165"/>
      <c r="IA165" s="166"/>
      <c r="IB165" s="166"/>
      <c r="IC165" s="378"/>
      <c r="ID165" s="165"/>
      <c r="IE165" s="165"/>
      <c r="IF165" s="166"/>
      <c r="IG165" s="166"/>
      <c r="IH165" s="378"/>
      <c r="II165" s="165"/>
      <c r="IJ165" s="165"/>
      <c r="IK165" s="166"/>
      <c r="IL165" s="166"/>
      <c r="IM165" s="378"/>
      <c r="IN165" s="165"/>
      <c r="IO165" s="165"/>
      <c r="IP165" s="166"/>
      <c r="IQ165" s="167"/>
      <c r="IR165" s="647"/>
    </row>
    <row r="166" spans="1:252" s="789" customFormat="1" ht="16.5">
      <c r="A166" s="799"/>
      <c r="B166" s="1592"/>
      <c r="C166" s="781"/>
      <c r="D166" s="1598" t="s">
        <v>1193</v>
      </c>
      <c r="E166" s="785" t="s">
        <v>11</v>
      </c>
      <c r="F166" s="785"/>
      <c r="G166" s="790"/>
      <c r="H166" s="783"/>
      <c r="I166" s="783"/>
      <c r="J166" s="784"/>
      <c r="K166" s="784"/>
      <c r="L166" s="790"/>
      <c r="M166" s="783"/>
      <c r="N166" s="783"/>
      <c r="O166" s="784"/>
      <c r="P166" s="784"/>
      <c r="Q166" s="790"/>
      <c r="R166" s="783"/>
      <c r="S166" s="783"/>
      <c r="T166" s="784"/>
      <c r="U166" s="784"/>
      <c r="V166" s="790"/>
      <c r="W166" s="783"/>
      <c r="X166" s="783"/>
      <c r="Y166" s="784"/>
      <c r="Z166" s="784"/>
      <c r="AA166" s="790"/>
      <c r="AB166" s="783"/>
      <c r="AC166" s="783"/>
      <c r="AD166" s="784"/>
      <c r="AE166" s="784"/>
      <c r="AF166" s="790"/>
      <c r="AG166" s="783"/>
      <c r="AH166" s="783"/>
      <c r="AI166" s="784"/>
      <c r="AJ166" s="784"/>
      <c r="AK166" s="790"/>
      <c r="AL166" s="783"/>
      <c r="AM166" s="783"/>
      <c r="AN166" s="784"/>
      <c r="AO166" s="784"/>
      <c r="AP166" s="790"/>
      <c r="AQ166" s="783"/>
      <c r="AR166" s="783"/>
      <c r="AS166" s="784"/>
      <c r="AT166" s="784"/>
      <c r="AU166" s="790"/>
      <c r="AV166" s="783"/>
      <c r="AW166" s="783"/>
      <c r="AX166" s="784"/>
      <c r="AY166" s="784"/>
      <c r="AZ166" s="790"/>
      <c r="BA166" s="783"/>
      <c r="BB166" s="783"/>
      <c r="BC166" s="784"/>
      <c r="BD166" s="784"/>
      <c r="BE166" s="790"/>
      <c r="BF166" s="783"/>
      <c r="BG166" s="783"/>
      <c r="BH166" s="784"/>
      <c r="BI166" s="784"/>
      <c r="BJ166" s="790"/>
      <c r="BK166" s="783"/>
      <c r="BL166" s="783"/>
      <c r="BM166" s="784"/>
      <c r="BN166" s="784"/>
      <c r="BO166" s="790"/>
      <c r="BP166" s="783"/>
      <c r="BQ166" s="783"/>
      <c r="BR166" s="784"/>
      <c r="BS166" s="784"/>
      <c r="BT166" s="790"/>
      <c r="BU166" s="783"/>
      <c r="BV166" s="783"/>
      <c r="BW166" s="784"/>
      <c r="BX166" s="784"/>
      <c r="BY166" s="790"/>
      <c r="BZ166" s="783"/>
      <c r="CA166" s="783"/>
      <c r="CB166" s="784"/>
      <c r="CC166" s="784"/>
      <c r="CD166" s="790"/>
      <c r="CE166" s="783"/>
      <c r="CF166" s="783"/>
      <c r="CG166" s="784"/>
      <c r="CH166" s="784"/>
      <c r="CI166" s="790"/>
      <c r="CJ166" s="783"/>
      <c r="CK166" s="783"/>
      <c r="CL166" s="784"/>
      <c r="CM166" s="784"/>
      <c r="CN166" s="790"/>
      <c r="CO166" s="783"/>
      <c r="CP166" s="783"/>
      <c r="CQ166" s="784"/>
      <c r="CR166" s="784"/>
      <c r="CS166" s="790"/>
      <c r="CT166" s="783"/>
      <c r="CU166" s="783"/>
      <c r="CV166" s="784"/>
      <c r="CW166" s="784"/>
      <c r="CX166" s="790"/>
      <c r="CY166" s="783"/>
      <c r="CZ166" s="783"/>
      <c r="DA166" s="784"/>
      <c r="DB166" s="784"/>
      <c r="DC166" s="790"/>
      <c r="DD166" s="783"/>
      <c r="DE166" s="783"/>
      <c r="DF166" s="784"/>
      <c r="DG166" s="784"/>
      <c r="DH166" s="790"/>
      <c r="DI166" s="783"/>
      <c r="DJ166" s="783"/>
      <c r="DK166" s="784"/>
      <c r="DL166" s="784"/>
      <c r="DM166" s="790"/>
      <c r="DN166" s="783"/>
      <c r="DO166" s="783"/>
      <c r="DP166" s="784"/>
      <c r="DQ166" s="784"/>
      <c r="DR166" s="790"/>
      <c r="DS166" s="783"/>
      <c r="DT166" s="783"/>
      <c r="DU166" s="784"/>
      <c r="DV166" s="784"/>
      <c r="DW166" s="790"/>
      <c r="DX166" s="783"/>
      <c r="DY166" s="783"/>
      <c r="DZ166" s="784"/>
      <c r="EA166" s="784"/>
      <c r="EB166" s="790"/>
      <c r="EC166" s="783"/>
      <c r="ED166" s="783"/>
      <c r="EE166" s="784"/>
      <c r="EF166" s="784"/>
      <c r="EG166" s="790"/>
      <c r="EH166" s="783"/>
      <c r="EI166" s="783"/>
      <c r="EJ166" s="784"/>
      <c r="EK166" s="784"/>
      <c r="EL166" s="790"/>
      <c r="EM166" s="783"/>
      <c r="EN166" s="783"/>
      <c r="EO166" s="784"/>
      <c r="EP166" s="784"/>
      <c r="EQ166" s="790"/>
      <c r="ER166" s="783"/>
      <c r="ES166" s="783"/>
      <c r="ET166" s="784"/>
      <c r="EU166" s="784"/>
      <c r="EV166" s="790"/>
      <c r="EW166" s="783"/>
      <c r="EX166" s="783"/>
      <c r="EY166" s="784"/>
      <c r="EZ166" s="784"/>
      <c r="FA166" s="790"/>
      <c r="FB166" s="783"/>
      <c r="FC166" s="783"/>
      <c r="FD166" s="784"/>
      <c r="FE166" s="784"/>
      <c r="FF166" s="790"/>
      <c r="FG166" s="783"/>
      <c r="FH166" s="783"/>
      <c r="FI166" s="784"/>
      <c r="FJ166" s="784"/>
      <c r="FK166" s="790"/>
      <c r="FL166" s="783"/>
      <c r="FM166" s="783"/>
      <c r="FN166" s="784"/>
      <c r="FO166" s="784"/>
      <c r="FP166" s="790"/>
      <c r="FQ166" s="783"/>
      <c r="FR166" s="783"/>
      <c r="FS166" s="784"/>
      <c r="FT166" s="784"/>
      <c r="FU166" s="790"/>
      <c r="FV166" s="783"/>
      <c r="FW166" s="783"/>
      <c r="FX166" s="784"/>
      <c r="FY166" s="784"/>
      <c r="FZ166" s="790"/>
      <c r="GA166" s="783"/>
      <c r="GB166" s="783"/>
      <c r="GC166" s="784"/>
      <c r="GD166" s="784"/>
      <c r="GE166" s="790"/>
      <c r="GF166" s="783"/>
      <c r="GG166" s="783"/>
      <c r="GH166" s="784"/>
      <c r="GI166" s="784"/>
      <c r="GJ166" s="1552"/>
      <c r="GK166" s="783"/>
      <c r="GL166" s="783"/>
      <c r="GM166" s="784"/>
      <c r="GN166" s="784"/>
      <c r="GO166" s="790"/>
      <c r="GP166" s="783"/>
      <c r="GQ166" s="783"/>
      <c r="GR166" s="784"/>
      <c r="GS166" s="784"/>
      <c r="GT166" s="790"/>
      <c r="GU166" s="783"/>
      <c r="GV166" s="783"/>
      <c r="GW166" s="784"/>
      <c r="GX166" s="784"/>
      <c r="GY166" s="790"/>
      <c r="GZ166" s="783"/>
      <c r="HA166" s="783"/>
      <c r="HB166" s="784"/>
      <c r="HC166" s="784"/>
      <c r="HD166" s="790"/>
      <c r="HE166" s="783"/>
      <c r="HF166" s="783"/>
      <c r="HG166" s="784"/>
      <c r="HH166" s="784"/>
      <c r="HI166" s="790"/>
      <c r="HJ166" s="783"/>
      <c r="HK166" s="783"/>
      <c r="HL166" s="784"/>
      <c r="HM166" s="784"/>
      <c r="HN166" s="790"/>
      <c r="HO166" s="783"/>
      <c r="HP166" s="783"/>
      <c r="HQ166" s="784"/>
      <c r="HR166" s="784"/>
      <c r="HS166" s="790"/>
      <c r="HT166" s="783"/>
      <c r="HU166" s="783"/>
      <c r="HV166" s="784"/>
      <c r="HW166" s="784"/>
      <c r="HX166" s="790"/>
      <c r="HY166" s="783"/>
      <c r="HZ166" s="783"/>
      <c r="IA166" s="784"/>
      <c r="IB166" s="784"/>
      <c r="IC166" s="790"/>
      <c r="ID166" s="783"/>
      <c r="IE166" s="783"/>
      <c r="IF166" s="784"/>
      <c r="IG166" s="784"/>
      <c r="IH166" s="790"/>
      <c r="II166" s="783"/>
      <c r="IJ166" s="783"/>
      <c r="IK166" s="784"/>
      <c r="IL166" s="784"/>
      <c r="IM166" s="790"/>
      <c r="IN166" s="783"/>
      <c r="IO166" s="783"/>
      <c r="IP166" s="784"/>
      <c r="IQ166" s="1418"/>
      <c r="IR166" s="647"/>
    </row>
    <row r="167" spans="1:252" s="789" customFormat="1" ht="16.5">
      <c r="A167" s="799"/>
      <c r="B167" s="1592"/>
      <c r="C167" s="781">
        <v>44878589</v>
      </c>
      <c r="D167" s="1599" t="s">
        <v>378</v>
      </c>
      <c r="E167" s="785" t="s">
        <v>13</v>
      </c>
      <c r="F167" s="785"/>
      <c r="G167" s="790"/>
      <c r="H167" s="783"/>
      <c r="I167" s="783"/>
      <c r="J167" s="784"/>
      <c r="K167" s="784"/>
      <c r="L167" s="790"/>
      <c r="M167" s="783"/>
      <c r="N167" s="783"/>
      <c r="O167" s="784"/>
      <c r="P167" s="784"/>
      <c r="Q167" s="790"/>
      <c r="R167" s="783"/>
      <c r="S167" s="783"/>
      <c r="T167" s="784"/>
      <c r="U167" s="784"/>
      <c r="V167" s="790"/>
      <c r="W167" s="783"/>
      <c r="X167" s="783"/>
      <c r="Y167" s="784"/>
      <c r="Z167" s="784"/>
      <c r="AA167" s="790"/>
      <c r="AB167" s="783"/>
      <c r="AC167" s="783"/>
      <c r="AD167" s="784"/>
      <c r="AE167" s="784"/>
      <c r="AF167" s="790"/>
      <c r="AG167" s="783"/>
      <c r="AH167" s="783"/>
      <c r="AI167" s="784"/>
      <c r="AJ167" s="784"/>
      <c r="AK167" s="790"/>
      <c r="AL167" s="783"/>
      <c r="AM167" s="783"/>
      <c r="AN167" s="784"/>
      <c r="AO167" s="784"/>
      <c r="AP167" s="790"/>
      <c r="AQ167" s="783"/>
      <c r="AR167" s="783"/>
      <c r="AS167" s="784"/>
      <c r="AT167" s="784"/>
      <c r="AU167" s="790"/>
      <c r="AV167" s="783"/>
      <c r="AW167" s="783"/>
      <c r="AX167" s="784"/>
      <c r="AY167" s="784"/>
      <c r="AZ167" s="790"/>
      <c r="BA167" s="783"/>
      <c r="BB167" s="783"/>
      <c r="BC167" s="784"/>
      <c r="BD167" s="784"/>
      <c r="BE167" s="790"/>
      <c r="BF167" s="783"/>
      <c r="BG167" s="783"/>
      <c r="BH167" s="784"/>
      <c r="BI167" s="784"/>
      <c r="BJ167" s="790"/>
      <c r="BK167" s="783"/>
      <c r="BL167" s="783"/>
      <c r="BM167" s="784"/>
      <c r="BN167" s="784"/>
      <c r="BO167" s="790"/>
      <c r="BP167" s="783"/>
      <c r="BQ167" s="783"/>
      <c r="BR167" s="784"/>
      <c r="BS167" s="784"/>
      <c r="BT167" s="790"/>
      <c r="BU167" s="783"/>
      <c r="BV167" s="783"/>
      <c r="BW167" s="784"/>
      <c r="BX167" s="784"/>
      <c r="BY167" s="790"/>
      <c r="BZ167" s="783"/>
      <c r="CA167" s="783"/>
      <c r="CB167" s="784"/>
      <c r="CC167" s="784"/>
      <c r="CD167" s="790"/>
      <c r="CE167" s="783"/>
      <c r="CF167" s="783"/>
      <c r="CG167" s="784"/>
      <c r="CH167" s="784"/>
      <c r="CI167" s="790"/>
      <c r="CJ167" s="783"/>
      <c r="CK167" s="783"/>
      <c r="CL167" s="784"/>
      <c r="CM167" s="784"/>
      <c r="CN167" s="790"/>
      <c r="CO167" s="783"/>
      <c r="CP167" s="783"/>
      <c r="CQ167" s="784"/>
      <c r="CR167" s="784"/>
      <c r="CS167" s="790"/>
      <c r="CT167" s="783"/>
      <c r="CU167" s="783"/>
      <c r="CV167" s="784"/>
      <c r="CW167" s="784"/>
      <c r="CX167" s="790"/>
      <c r="CY167" s="783"/>
      <c r="CZ167" s="783"/>
      <c r="DA167" s="784"/>
      <c r="DB167" s="784"/>
      <c r="DC167" s="790"/>
      <c r="DD167" s="783"/>
      <c r="DE167" s="783"/>
      <c r="DF167" s="784"/>
      <c r="DG167" s="784"/>
      <c r="DH167" s="790"/>
      <c r="DI167" s="783"/>
      <c r="DJ167" s="783"/>
      <c r="DK167" s="784"/>
      <c r="DL167" s="784"/>
      <c r="DM167" s="790"/>
      <c r="DN167" s="783"/>
      <c r="DO167" s="783"/>
      <c r="DP167" s="784"/>
      <c r="DQ167" s="784"/>
      <c r="DR167" s="790"/>
      <c r="DS167" s="783"/>
      <c r="DT167" s="783"/>
      <c r="DU167" s="784"/>
      <c r="DV167" s="784"/>
      <c r="DW167" s="790"/>
      <c r="DX167" s="783"/>
      <c r="DY167" s="783"/>
      <c r="DZ167" s="784"/>
      <c r="EA167" s="784"/>
      <c r="EB167" s="790"/>
      <c r="EC167" s="783"/>
      <c r="ED167" s="783"/>
      <c r="EE167" s="784"/>
      <c r="EF167" s="784"/>
      <c r="EG167" s="790"/>
      <c r="EH167" s="783"/>
      <c r="EI167" s="783"/>
      <c r="EJ167" s="784"/>
      <c r="EK167" s="784"/>
      <c r="EL167" s="790"/>
      <c r="EM167" s="783"/>
      <c r="EN167" s="783"/>
      <c r="EO167" s="784"/>
      <c r="EP167" s="784"/>
      <c r="EQ167" s="790"/>
      <c r="ER167" s="783"/>
      <c r="ES167" s="783"/>
      <c r="ET167" s="784"/>
      <c r="EU167" s="784"/>
      <c r="EV167" s="790"/>
      <c r="EW167" s="783"/>
      <c r="EX167" s="783"/>
      <c r="EY167" s="784"/>
      <c r="EZ167" s="784"/>
      <c r="FA167" s="790"/>
      <c r="FB167" s="783"/>
      <c r="FC167" s="783"/>
      <c r="FD167" s="784"/>
      <c r="FE167" s="784"/>
      <c r="FF167" s="790"/>
      <c r="FG167" s="783"/>
      <c r="FH167" s="783"/>
      <c r="FI167" s="784"/>
      <c r="FJ167" s="784"/>
      <c r="FK167" s="790"/>
      <c r="FL167" s="783"/>
      <c r="FM167" s="783"/>
      <c r="FN167" s="784"/>
      <c r="FO167" s="784"/>
      <c r="FP167" s="790"/>
      <c r="FQ167" s="783"/>
      <c r="FR167" s="783"/>
      <c r="FS167" s="784"/>
      <c r="FT167" s="784"/>
      <c r="FU167" s="790"/>
      <c r="FV167" s="783"/>
      <c r="FW167" s="783"/>
      <c r="FX167" s="784"/>
      <c r="FY167" s="784"/>
      <c r="FZ167" s="790"/>
      <c r="GA167" s="783"/>
      <c r="GB167" s="783"/>
      <c r="GC167" s="784"/>
      <c r="GD167" s="784"/>
      <c r="GE167" s="790"/>
      <c r="GF167" s="783"/>
      <c r="GG167" s="783"/>
      <c r="GH167" s="784"/>
      <c r="GI167" s="784"/>
      <c r="GJ167" s="1552"/>
      <c r="GK167" s="783"/>
      <c r="GL167" s="783"/>
      <c r="GM167" s="784"/>
      <c r="GN167" s="784"/>
      <c r="GO167" s="790"/>
      <c r="GP167" s="1611">
        <v>48586</v>
      </c>
      <c r="GQ167" s="1611">
        <f>1.2*664571.94</f>
        <v>797486.32799999986</v>
      </c>
      <c r="GR167" s="784"/>
      <c r="GS167" s="784"/>
      <c r="GT167" s="790"/>
      <c r="GU167" s="1611">
        <v>8317</v>
      </c>
      <c r="GV167" s="1611">
        <f>1.2*93671.21</f>
        <v>112405.452</v>
      </c>
      <c r="GW167" s="784"/>
      <c r="GX167" s="784"/>
      <c r="GY167" s="790"/>
      <c r="GZ167" s="783"/>
      <c r="HA167" s="783"/>
      <c r="HB167" s="784"/>
      <c r="HC167" s="784"/>
      <c r="HD167" s="790"/>
      <c r="HE167" s="783"/>
      <c r="HF167" s="783"/>
      <c r="HG167" s="784"/>
      <c r="HH167" s="784"/>
      <c r="HI167" s="790"/>
      <c r="HJ167" s="783"/>
      <c r="HK167" s="783"/>
      <c r="HL167" s="784"/>
      <c r="HM167" s="784"/>
      <c r="HN167" s="790"/>
      <c r="HO167" s="783"/>
      <c r="HP167" s="783"/>
      <c r="HQ167" s="784"/>
      <c r="HR167" s="784"/>
      <c r="HS167" s="790"/>
      <c r="HT167" s="783"/>
      <c r="HU167" s="783"/>
      <c r="HV167" s="784"/>
      <c r="HW167" s="784"/>
      <c r="HX167" s="790"/>
      <c r="HY167" s="783"/>
      <c r="HZ167" s="783"/>
      <c r="IA167" s="784"/>
      <c r="IB167" s="784"/>
      <c r="IC167" s="790"/>
      <c r="ID167" s="783"/>
      <c r="IE167" s="783"/>
      <c r="IF167" s="784"/>
      <c r="IG167" s="784"/>
      <c r="IH167" s="790"/>
      <c r="II167" s="783"/>
      <c r="IJ167" s="783"/>
      <c r="IK167" s="784"/>
      <c r="IL167" s="784"/>
      <c r="IM167" s="790"/>
      <c r="IN167" s="783"/>
      <c r="IO167" s="783"/>
      <c r="IP167" s="784"/>
      <c r="IQ167" s="1418"/>
      <c r="IR167" s="647"/>
    </row>
    <row r="168" spans="1:252" s="789" customFormat="1" ht="49.5">
      <c r="A168" s="799"/>
      <c r="B168" s="1592"/>
      <c r="C168" s="781">
        <v>22048622</v>
      </c>
      <c r="D168" s="1598" t="s">
        <v>14</v>
      </c>
      <c r="E168" s="785" t="s">
        <v>15</v>
      </c>
      <c r="F168" s="785"/>
      <c r="G168" s="790"/>
      <c r="H168" s="783"/>
      <c r="I168" s="783"/>
      <c r="J168" s="784"/>
      <c r="K168" s="784"/>
      <c r="L168" s="790"/>
      <c r="M168" s="783"/>
      <c r="N168" s="783"/>
      <c r="O168" s="784"/>
      <c r="P168" s="784"/>
      <c r="Q168" s="790"/>
      <c r="R168" s="783"/>
      <c r="S168" s="783"/>
      <c r="T168" s="784"/>
      <c r="U168" s="784"/>
      <c r="V168" s="790"/>
      <c r="W168" s="783"/>
      <c r="X168" s="783"/>
      <c r="Y168" s="784"/>
      <c r="Z168" s="784"/>
      <c r="AA168" s="790"/>
      <c r="AB168" s="783"/>
      <c r="AC168" s="783"/>
      <c r="AD168" s="784"/>
      <c r="AE168" s="784"/>
      <c r="AF168" s="790"/>
      <c r="AG168" s="783"/>
      <c r="AH168" s="783"/>
      <c r="AI168" s="784"/>
      <c r="AJ168" s="784"/>
      <c r="AK168" s="790"/>
      <c r="AL168" s="783"/>
      <c r="AM168" s="783"/>
      <c r="AN168" s="784"/>
      <c r="AO168" s="784"/>
      <c r="AP168" s="790"/>
      <c r="AQ168" s="783"/>
      <c r="AR168" s="783"/>
      <c r="AS168" s="784"/>
      <c r="AT168" s="784"/>
      <c r="AU168" s="790"/>
      <c r="AV168" s="783"/>
      <c r="AW168" s="783"/>
      <c r="AX168" s="784"/>
      <c r="AY168" s="784"/>
      <c r="AZ168" s="790"/>
      <c r="BA168" s="783"/>
      <c r="BB168" s="783"/>
      <c r="BC168" s="784"/>
      <c r="BD168" s="784"/>
      <c r="BE168" s="790"/>
      <c r="BF168" s="783"/>
      <c r="BG168" s="783"/>
      <c r="BH168" s="784"/>
      <c r="BI168" s="784"/>
      <c r="BJ168" s="790"/>
      <c r="BK168" s="783"/>
      <c r="BL168" s="783"/>
      <c r="BM168" s="784"/>
      <c r="BN168" s="784"/>
      <c r="BO168" s="790"/>
      <c r="BP168" s="783"/>
      <c r="BQ168" s="783"/>
      <c r="BR168" s="784"/>
      <c r="BS168" s="784"/>
      <c r="BT168" s="790"/>
      <c r="BU168" s="783"/>
      <c r="BV168" s="783"/>
      <c r="BW168" s="784"/>
      <c r="BX168" s="784"/>
      <c r="BY168" s="790"/>
      <c r="BZ168" s="783"/>
      <c r="CA168" s="783"/>
      <c r="CB168" s="784"/>
      <c r="CC168" s="784"/>
      <c r="CD168" s="790"/>
      <c r="CE168" s="783"/>
      <c r="CF168" s="783"/>
      <c r="CG168" s="784"/>
      <c r="CH168" s="784"/>
      <c r="CI168" s="790"/>
      <c r="CJ168" s="783"/>
      <c r="CK168" s="783"/>
      <c r="CL168" s="784"/>
      <c r="CM168" s="784"/>
      <c r="CN168" s="790"/>
      <c r="CO168" s="783"/>
      <c r="CP168" s="783"/>
      <c r="CQ168" s="784"/>
      <c r="CR168" s="784"/>
      <c r="CS168" s="790"/>
      <c r="CT168" s="783"/>
      <c r="CU168" s="783"/>
      <c r="CV168" s="784"/>
      <c r="CW168" s="784"/>
      <c r="CX168" s="790"/>
      <c r="CY168" s="783"/>
      <c r="CZ168" s="783"/>
      <c r="DA168" s="784"/>
      <c r="DB168" s="784"/>
      <c r="DC168" s="790"/>
      <c r="DD168" s="783"/>
      <c r="DE168" s="783"/>
      <c r="DF168" s="784"/>
      <c r="DG168" s="784"/>
      <c r="DH168" s="790"/>
      <c r="DI168" s="783"/>
      <c r="DJ168" s="783"/>
      <c r="DK168" s="784"/>
      <c r="DL168" s="784"/>
      <c r="DM168" s="790"/>
      <c r="DN168" s="783"/>
      <c r="DO168" s="783"/>
      <c r="DP168" s="784"/>
      <c r="DQ168" s="784"/>
      <c r="DR168" s="790"/>
      <c r="DS168" s="783"/>
      <c r="DT168" s="783"/>
      <c r="DU168" s="784"/>
      <c r="DV168" s="784"/>
      <c r="DW168" s="790"/>
      <c r="DX168" s="783"/>
      <c r="DY168" s="783"/>
      <c r="DZ168" s="784"/>
      <c r="EA168" s="784"/>
      <c r="EB168" s="790"/>
      <c r="EC168" s="783"/>
      <c r="ED168" s="783"/>
      <c r="EE168" s="784"/>
      <c r="EF168" s="784"/>
      <c r="EG168" s="790"/>
      <c r="EH168" s="783"/>
      <c r="EI168" s="783"/>
      <c r="EJ168" s="784"/>
      <c r="EK168" s="784"/>
      <c r="EL168" s="790"/>
      <c r="EM168" s="783"/>
      <c r="EN168" s="783"/>
      <c r="EO168" s="784"/>
      <c r="EP168" s="784"/>
      <c r="EQ168" s="790"/>
      <c r="ER168" s="783"/>
      <c r="ES168" s="783"/>
      <c r="ET168" s="784"/>
      <c r="EU168" s="784"/>
      <c r="EV168" s="790"/>
      <c r="EW168" s="783"/>
      <c r="EX168" s="783"/>
      <c r="EY168" s="784"/>
      <c r="EZ168" s="784"/>
      <c r="FA168" s="790"/>
      <c r="FB168" s="783"/>
      <c r="FC168" s="783"/>
      <c r="FD168" s="784"/>
      <c r="FE168" s="784"/>
      <c r="FF168" s="790"/>
      <c r="FG168" s="783"/>
      <c r="FH168" s="783"/>
      <c r="FI168" s="784"/>
      <c r="FJ168" s="784"/>
      <c r="FK168" s="790"/>
      <c r="FL168" s="783"/>
      <c r="FM168" s="783"/>
      <c r="FN168" s="784"/>
      <c r="FO168" s="784"/>
      <c r="FP168" s="790"/>
      <c r="FQ168" s="783"/>
      <c r="FR168" s="783"/>
      <c r="FS168" s="784"/>
      <c r="FT168" s="784"/>
      <c r="FU168" s="790"/>
      <c r="FV168" s="783"/>
      <c r="FW168" s="783"/>
      <c r="FX168" s="784"/>
      <c r="FY168" s="784"/>
      <c r="FZ168" s="790"/>
      <c r="GA168" s="783"/>
      <c r="GB168" s="783"/>
      <c r="GC168" s="784"/>
      <c r="GD168" s="784"/>
      <c r="GE168" s="790"/>
      <c r="GF168" s="783"/>
      <c r="GG168" s="783"/>
      <c r="GH168" s="784"/>
      <c r="GI168" s="784"/>
      <c r="GJ168" s="1552"/>
      <c r="GK168" s="783"/>
      <c r="GL168" s="783"/>
      <c r="GM168" s="784"/>
      <c r="GN168" s="784"/>
      <c r="GO168" s="790"/>
      <c r="GP168" s="791"/>
      <c r="GQ168" s="791" t="s">
        <v>1232</v>
      </c>
      <c r="GR168" s="1612"/>
      <c r="GS168" s="784"/>
      <c r="GT168" s="790"/>
      <c r="GU168" s="791"/>
      <c r="GV168" s="791">
        <v>831.43</v>
      </c>
      <c r="GW168" s="1612"/>
      <c r="GX168" s="784"/>
      <c r="GY168" s="790"/>
      <c r="GZ168" s="783"/>
      <c r="HA168" s="783"/>
      <c r="HB168" s="784"/>
      <c r="HC168" s="784"/>
      <c r="HD168" s="790"/>
      <c r="HE168" s="783"/>
      <c r="HF168" s="783"/>
      <c r="HG168" s="784"/>
      <c r="HH168" s="784"/>
      <c r="HI168" s="790"/>
      <c r="HJ168" s="783"/>
      <c r="HK168" s="783"/>
      <c r="HL168" s="784"/>
      <c r="HM168" s="784"/>
      <c r="HN168" s="790"/>
      <c r="HO168" s="783"/>
      <c r="HP168" s="783"/>
      <c r="HQ168" s="784"/>
      <c r="HR168" s="784"/>
      <c r="HS168" s="790"/>
      <c r="HT168" s="783"/>
      <c r="HU168" s="783"/>
      <c r="HV168" s="784"/>
      <c r="HW168" s="784"/>
      <c r="HX168" s="790"/>
      <c r="HY168" s="783"/>
      <c r="HZ168" s="783"/>
      <c r="IA168" s="784"/>
      <c r="IB168" s="784"/>
      <c r="IC168" s="790"/>
      <c r="ID168" s="783"/>
      <c r="IE168" s="783"/>
      <c r="IF168" s="784"/>
      <c r="IG168" s="784"/>
      <c r="IH168" s="790"/>
      <c r="II168" s="783"/>
      <c r="IJ168" s="783"/>
      <c r="IK168" s="784"/>
      <c r="IL168" s="784"/>
      <c r="IM168" s="790"/>
      <c r="IN168" s="783"/>
      <c r="IO168" s="783"/>
      <c r="IP168" s="784"/>
      <c r="IQ168" s="1418"/>
      <c r="IR168" s="647"/>
    </row>
    <row r="169" spans="1:252" s="789" customFormat="1" ht="17.25" thickBot="1">
      <c r="A169" s="685"/>
      <c r="B169" s="298"/>
      <c r="C169" s="365" t="s">
        <v>212</v>
      </c>
      <c r="D169" s="1595" t="s">
        <v>16</v>
      </c>
      <c r="E169" s="259" t="s">
        <v>17</v>
      </c>
      <c r="F169" s="259"/>
      <c r="G169" s="3"/>
      <c r="H169" s="177"/>
      <c r="I169" s="177"/>
      <c r="J169" s="48"/>
      <c r="K169" s="48"/>
      <c r="L169" s="3"/>
      <c r="M169" s="177"/>
      <c r="N169" s="177"/>
      <c r="O169" s="48"/>
      <c r="P169" s="48"/>
      <c r="Q169" s="3"/>
      <c r="R169" s="177"/>
      <c r="S169" s="177"/>
      <c r="T169" s="48"/>
      <c r="U169" s="48"/>
      <c r="V169" s="3"/>
      <c r="W169" s="177"/>
      <c r="X169" s="177"/>
      <c r="Y169" s="48"/>
      <c r="Z169" s="48"/>
      <c r="AA169" s="3"/>
      <c r="AB169" s="177"/>
      <c r="AC169" s="177"/>
      <c r="AD169" s="48"/>
      <c r="AE169" s="48"/>
      <c r="AF169" s="3"/>
      <c r="AG169" s="177"/>
      <c r="AH169" s="177"/>
      <c r="AI169" s="48"/>
      <c r="AJ169" s="48"/>
      <c r="AK169" s="3"/>
      <c r="AL169" s="177"/>
      <c r="AM169" s="177"/>
      <c r="AN169" s="48"/>
      <c r="AO169" s="48"/>
      <c r="AP169" s="3"/>
      <c r="AQ169" s="177"/>
      <c r="AR169" s="177"/>
      <c r="AS169" s="48"/>
      <c r="AT169" s="48"/>
      <c r="AU169" s="3"/>
      <c r="AV169" s="177"/>
      <c r="AW169" s="177"/>
      <c r="AX169" s="48"/>
      <c r="AY169" s="48"/>
      <c r="AZ169" s="3"/>
      <c r="BA169" s="177"/>
      <c r="BB169" s="177"/>
      <c r="BC169" s="48"/>
      <c r="BD169" s="48"/>
      <c r="BE169" s="3"/>
      <c r="BF169" s="177"/>
      <c r="BG169" s="177"/>
      <c r="BH169" s="48"/>
      <c r="BI169" s="48"/>
      <c r="BJ169" s="3"/>
      <c r="BK169" s="177"/>
      <c r="BL169" s="177"/>
      <c r="BM169" s="48"/>
      <c r="BN169" s="48"/>
      <c r="BO169" s="3"/>
      <c r="BP169" s="177"/>
      <c r="BQ169" s="177"/>
      <c r="BR169" s="48"/>
      <c r="BS169" s="48"/>
      <c r="BT169" s="3"/>
      <c r="BU169" s="177"/>
      <c r="BV169" s="177"/>
      <c r="BW169" s="48"/>
      <c r="BX169" s="48"/>
      <c r="BY169" s="3"/>
      <c r="BZ169" s="177"/>
      <c r="CA169" s="177"/>
      <c r="CB169" s="48"/>
      <c r="CC169" s="48"/>
      <c r="CD169" s="3"/>
      <c r="CE169" s="177"/>
      <c r="CF169" s="177"/>
      <c r="CG169" s="48"/>
      <c r="CH169" s="48"/>
      <c r="CI169" s="3"/>
      <c r="CJ169" s="177"/>
      <c r="CK169" s="177"/>
      <c r="CL169" s="48"/>
      <c r="CM169" s="48"/>
      <c r="CN169" s="3"/>
      <c r="CO169" s="177"/>
      <c r="CP169" s="177"/>
      <c r="CQ169" s="48"/>
      <c r="CR169" s="48"/>
      <c r="CS169" s="3"/>
      <c r="CT169" s="177"/>
      <c r="CU169" s="177"/>
      <c r="CV169" s="48"/>
      <c r="CW169" s="48"/>
      <c r="CX169" s="3"/>
      <c r="CY169" s="177"/>
      <c r="CZ169" s="177"/>
      <c r="DA169" s="48"/>
      <c r="DB169" s="48"/>
      <c r="DC169" s="3"/>
      <c r="DD169" s="177"/>
      <c r="DE169" s="177"/>
      <c r="DF169" s="48"/>
      <c r="DG169" s="48"/>
      <c r="DH169" s="3"/>
      <c r="DI169" s="177"/>
      <c r="DJ169" s="177"/>
      <c r="DK169" s="48"/>
      <c r="DL169" s="48"/>
      <c r="DM169" s="3"/>
      <c r="DN169" s="177"/>
      <c r="DO169" s="177"/>
      <c r="DP169" s="48"/>
      <c r="DQ169" s="48"/>
      <c r="DR169" s="3"/>
      <c r="DS169" s="177"/>
      <c r="DT169" s="177"/>
      <c r="DU169" s="48"/>
      <c r="DV169" s="48"/>
      <c r="DW169" s="3"/>
      <c r="DX169" s="177"/>
      <c r="DY169" s="177"/>
      <c r="DZ169" s="48"/>
      <c r="EA169" s="48"/>
      <c r="EB169" s="3"/>
      <c r="EC169" s="177"/>
      <c r="ED169" s="177"/>
      <c r="EE169" s="48"/>
      <c r="EF169" s="48"/>
      <c r="EG169" s="3"/>
      <c r="EH169" s="177"/>
      <c r="EI169" s="177"/>
      <c r="EJ169" s="48"/>
      <c r="EK169" s="48"/>
      <c r="EL169" s="3"/>
      <c r="EM169" s="177"/>
      <c r="EN169" s="177"/>
      <c r="EO169" s="48"/>
      <c r="EP169" s="48"/>
      <c r="EQ169" s="3"/>
      <c r="ER169" s="177"/>
      <c r="ES169" s="177"/>
      <c r="ET169" s="48"/>
      <c r="EU169" s="48"/>
      <c r="EV169" s="3"/>
      <c r="EW169" s="177"/>
      <c r="EX169" s="177"/>
      <c r="EY169" s="48"/>
      <c r="EZ169" s="48"/>
      <c r="FA169" s="3"/>
      <c r="FB169" s="177"/>
      <c r="FC169" s="177"/>
      <c r="FD169" s="48"/>
      <c r="FE169" s="48"/>
      <c r="FF169" s="3"/>
      <c r="FG169" s="177"/>
      <c r="FH169" s="177"/>
      <c r="FI169" s="48"/>
      <c r="FJ169" s="48"/>
      <c r="FK169" s="3"/>
      <c r="FL169" s="177"/>
      <c r="FM169" s="177"/>
      <c r="FN169" s="48"/>
      <c r="FO169" s="48"/>
      <c r="FP169" s="3"/>
      <c r="FQ169" s="177"/>
      <c r="FR169" s="177"/>
      <c r="FS169" s="48"/>
      <c r="FT169" s="48"/>
      <c r="FU169" s="3"/>
      <c r="FV169" s="177"/>
      <c r="FW169" s="177"/>
      <c r="FX169" s="48"/>
      <c r="FY169" s="48"/>
      <c r="FZ169" s="3"/>
      <c r="GA169" s="177"/>
      <c r="GB169" s="177"/>
      <c r="GC169" s="48"/>
      <c r="GD169" s="48"/>
      <c r="GE169" s="3"/>
      <c r="GF169" s="177"/>
      <c r="GG169" s="177"/>
      <c r="GH169" s="48"/>
      <c r="GI169" s="48"/>
      <c r="GJ169" s="285"/>
      <c r="GK169" s="177"/>
      <c r="GL169" s="177"/>
      <c r="GM169" s="48"/>
      <c r="GN169" s="48"/>
      <c r="GO169" s="3"/>
      <c r="GP169" s="177"/>
      <c r="GQ169" s="177"/>
      <c r="GR169" s="48"/>
      <c r="GS169" s="48"/>
      <c r="GT169" s="3"/>
      <c r="GU169" s="172">
        <v>10</v>
      </c>
      <c r="GV169" s="172">
        <f>1137.75+6.94</f>
        <v>1144.69</v>
      </c>
      <c r="GW169" s="179"/>
      <c r="GX169" s="48"/>
      <c r="GY169" s="3"/>
      <c r="GZ169" s="177"/>
      <c r="HA169" s="177"/>
      <c r="HB169" s="48"/>
      <c r="HC169" s="48"/>
      <c r="HD169" s="3"/>
      <c r="HE169" s="177"/>
      <c r="HF169" s="177"/>
      <c r="HG169" s="48"/>
      <c r="HH169" s="48"/>
      <c r="HI169" s="3"/>
      <c r="HJ169" s="177"/>
      <c r="HK169" s="177"/>
      <c r="HL169" s="48"/>
      <c r="HM169" s="48"/>
      <c r="HN169" s="3"/>
      <c r="HO169" s="177"/>
      <c r="HP169" s="177"/>
      <c r="HQ169" s="48"/>
      <c r="HR169" s="48"/>
      <c r="HS169" s="3"/>
      <c r="HT169" s="177"/>
      <c r="HU169" s="177"/>
      <c r="HV169" s="48"/>
      <c r="HW169" s="48"/>
      <c r="HX169" s="3"/>
      <c r="HY169" s="177"/>
      <c r="HZ169" s="177"/>
      <c r="IA169" s="48"/>
      <c r="IB169" s="48"/>
      <c r="IC169" s="3"/>
      <c r="ID169" s="177"/>
      <c r="IE169" s="177"/>
      <c r="IF169" s="48"/>
      <c r="IG169" s="48"/>
      <c r="IH169" s="3"/>
      <c r="II169" s="177"/>
      <c r="IJ169" s="177"/>
      <c r="IK169" s="48"/>
      <c r="IL169" s="48"/>
      <c r="IM169" s="3"/>
      <c r="IN169" s="177"/>
      <c r="IO169" s="177"/>
      <c r="IP169" s="48"/>
      <c r="IQ169" s="49"/>
      <c r="IR169" s="647"/>
    </row>
    <row r="170" spans="1:252" s="249" customFormat="1" ht="15" customHeight="1">
      <c r="A170" s="649"/>
      <c r="B170" s="295" t="s">
        <v>315</v>
      </c>
      <c r="C170" s="294" t="s">
        <v>90</v>
      </c>
      <c r="D170" s="32" t="s">
        <v>25</v>
      </c>
      <c r="E170" s="279" t="s">
        <v>10</v>
      </c>
      <c r="F170" s="310"/>
      <c r="G170" s="205"/>
      <c r="H170" s="197"/>
      <c r="I170" s="197"/>
      <c r="J170" s="38"/>
      <c r="K170" s="206"/>
      <c r="L170" s="205"/>
      <c r="M170" s="197"/>
      <c r="N170" s="197"/>
      <c r="O170" s="38"/>
      <c r="P170" s="206"/>
      <c r="Q170" s="205"/>
      <c r="R170" s="197"/>
      <c r="S170" s="197"/>
      <c r="T170" s="38"/>
      <c r="U170" s="206"/>
      <c r="V170" s="210"/>
      <c r="W170" s="197"/>
      <c r="X170" s="204">
        <v>1518</v>
      </c>
      <c r="Y170" s="38"/>
      <c r="Z170" s="384">
        <f>SUM(X170:X174)*1.1</f>
        <v>108414.482</v>
      </c>
      <c r="AA170" s="280"/>
      <c r="AB170" s="197"/>
      <c r="AC170" s="204">
        <v>1518</v>
      </c>
      <c r="AD170" s="38"/>
      <c r="AE170" s="384">
        <f>SUM(AC170:AC174)*1.1</f>
        <v>87517.221000000005</v>
      </c>
      <c r="AF170" s="280"/>
      <c r="AG170" s="197"/>
      <c r="AH170" s="204">
        <v>759</v>
      </c>
      <c r="AI170" s="38"/>
      <c r="AJ170" s="384">
        <f>AJ171*1.1</f>
        <v>97242.629000000001</v>
      </c>
      <c r="AK170" s="280"/>
      <c r="AL170" s="204"/>
      <c r="AM170" s="204">
        <v>506</v>
      </c>
      <c r="AN170" s="427"/>
      <c r="AO170" s="384">
        <f>AO171*1.2</f>
        <v>103797.98399999998</v>
      </c>
      <c r="AP170" s="280"/>
      <c r="AQ170" s="197"/>
      <c r="AR170" s="197"/>
      <c r="AS170" s="38"/>
      <c r="AT170" s="384">
        <f>SUM(AR170:AR174)*1.1</f>
        <v>119050.94300000001</v>
      </c>
      <c r="AU170" s="280"/>
      <c r="AV170" s="197"/>
      <c r="AW170" s="197"/>
      <c r="AX170" s="38"/>
      <c r="AY170" s="384">
        <f>SUM(AW170:AW174)*1.1</f>
        <v>133449.01900000003</v>
      </c>
      <c r="AZ170" s="280"/>
      <c r="BA170" s="197"/>
      <c r="BB170" s="197"/>
      <c r="BC170" s="38"/>
      <c r="BD170" s="384">
        <f>SUM(BB170:BB174)*1.1</f>
        <v>133687.565</v>
      </c>
      <c r="BE170" s="280"/>
      <c r="BF170" s="197"/>
      <c r="BG170" s="197"/>
      <c r="BH170" s="38"/>
      <c r="BI170" s="384">
        <f>SUM(BG170:BG174)*1.1</f>
        <v>126574.80000000002</v>
      </c>
      <c r="BJ170" s="280"/>
      <c r="BK170" s="197"/>
      <c r="BL170" s="197"/>
      <c r="BM170" s="38"/>
      <c r="BN170" s="384">
        <f>SUM(BL170:BL174)*1.1</f>
        <v>126392.69500000001</v>
      </c>
      <c r="BO170" s="280"/>
      <c r="BP170" s="197"/>
      <c r="BQ170" s="197"/>
      <c r="BR170" s="38"/>
      <c r="BS170" s="384">
        <f>SUM(BQ170:BQ174)*1.1</f>
        <v>157482.391</v>
      </c>
      <c r="BT170" s="280"/>
      <c r="BU170" s="197"/>
      <c r="BV170" s="197"/>
      <c r="BW170" s="38"/>
      <c r="BX170" s="384">
        <f>SUM(BV170:BV174)*1.1</f>
        <v>159455.70300000004</v>
      </c>
      <c r="BY170" s="280"/>
      <c r="BZ170" s="197"/>
      <c r="CA170" s="197"/>
      <c r="CB170" s="38"/>
      <c r="CC170" s="384">
        <f>SUM(CA170:CA174)*1.1</f>
        <v>117244.87500000001</v>
      </c>
      <c r="CD170" s="280"/>
      <c r="CE170" s="197"/>
      <c r="CF170" s="197"/>
      <c r="CG170" s="38"/>
      <c r="CH170" s="384">
        <f>SUM(CF170:CF174)*1.1</f>
        <v>118615.15600000002</v>
      </c>
      <c r="CI170" s="280"/>
      <c r="CJ170" s="197"/>
      <c r="CK170" s="197"/>
      <c r="CL170" s="38"/>
      <c r="CM170" s="384">
        <f>SUM(CK170:CK174)*1.1</f>
        <v>87171.953000000009</v>
      </c>
      <c r="CN170" s="280"/>
      <c r="CO170" s="197"/>
      <c r="CP170" s="197"/>
      <c r="CQ170" s="38"/>
      <c r="CR170" s="384">
        <f>SUM(CP170:CP174)*1.1</f>
        <v>139123.58900000001</v>
      </c>
      <c r="CS170" s="280"/>
      <c r="CT170" s="197"/>
      <c r="CU170" s="197"/>
      <c r="CV170" s="38"/>
      <c r="CW170" s="384">
        <f>SUM(CU170:CU174)*1.1</f>
        <v>127837.53400000001</v>
      </c>
      <c r="CX170" s="280"/>
      <c r="CY170" s="197"/>
      <c r="CZ170" s="197"/>
      <c r="DA170" s="38"/>
      <c r="DB170" s="384">
        <f>SUM(CZ170:CZ174)*1.1</f>
        <v>175049.38000000003</v>
      </c>
      <c r="DC170" s="280"/>
      <c r="DD170" s="197"/>
      <c r="DE170" s="197"/>
      <c r="DF170" s="38"/>
      <c r="DG170" s="384">
        <f>SUM(DE170:DE174)*1.1</f>
        <v>158675.52800000002</v>
      </c>
      <c r="DH170" s="280"/>
      <c r="DI170" s="197"/>
      <c r="DJ170" s="197"/>
      <c r="DK170" s="38"/>
      <c r="DL170" s="384">
        <f>SUM(DJ170:DJ174)*1.1</f>
        <v>167830.75100000002</v>
      </c>
      <c r="DM170" s="280"/>
      <c r="DN170" s="197"/>
      <c r="DO170" s="197"/>
      <c r="DP170" s="38"/>
      <c r="DQ170" s="384">
        <f>SUM(DO170:DO174)*1.1</f>
        <v>129162.45100000002</v>
      </c>
      <c r="DR170" s="280"/>
      <c r="DS170" s="197"/>
      <c r="DT170" s="197"/>
      <c r="DU170" s="38"/>
      <c r="DV170" s="384">
        <f>SUM(DT170:DT174)*1.1</f>
        <v>143030.20600000001</v>
      </c>
      <c r="DW170" s="280"/>
      <c r="DX170" s="197"/>
      <c r="DY170" s="197"/>
      <c r="DZ170" s="38"/>
      <c r="EA170" s="384">
        <f>SUM(DY170:DY174)*1.1</f>
        <v>177027.00400000002</v>
      </c>
      <c r="EB170" s="280"/>
      <c r="EC170" s="197"/>
      <c r="ED170" s="197"/>
      <c r="EE170" s="38"/>
      <c r="EF170" s="384">
        <f>SUM(ED170:ED174)*1.1</f>
        <v>196282.49300000002</v>
      </c>
      <c r="EG170" s="280"/>
      <c r="EH170" s="197"/>
      <c r="EI170" s="197"/>
      <c r="EJ170" s="38"/>
      <c r="EK170" s="384">
        <f>SUM(EI170:EI174)*1.1</f>
        <v>191684.38300000006</v>
      </c>
      <c r="EL170" s="280"/>
      <c r="EM170" s="197"/>
      <c r="EN170" s="197"/>
      <c r="EO170" s="38"/>
      <c r="EP170" s="384">
        <f>SUM(EN170:EN174)*1.1</f>
        <v>158814.65600000005</v>
      </c>
      <c r="EQ170" s="280"/>
      <c r="ER170" s="197"/>
      <c r="ES170" s="197"/>
      <c r="ET170" s="38"/>
      <c r="EU170" s="384">
        <f>SUM(ES170:ES174)*1.1</f>
        <v>145997.78600000002</v>
      </c>
      <c r="EV170" s="280"/>
      <c r="EW170" s="197"/>
      <c r="EX170" s="197"/>
      <c r="EY170" s="38"/>
      <c r="EZ170" s="384">
        <f>SUM(EX170:EX174)*1.1</f>
        <v>158910.89500000002</v>
      </c>
      <c r="FA170" s="280"/>
      <c r="FB170" s="197"/>
      <c r="FC170" s="197"/>
      <c r="FD170" s="38"/>
      <c r="FE170" s="384">
        <f>SUM(FC170:FC174)*1.1</f>
        <v>144490.12600000002</v>
      </c>
      <c r="FF170" s="280"/>
      <c r="FG170" s="197"/>
      <c r="FH170" s="197"/>
      <c r="FI170" s="38"/>
      <c r="FJ170" s="384">
        <f>SUM(FH170:FH174)*1.1</f>
        <v>170334.67</v>
      </c>
      <c r="FK170" s="280"/>
      <c r="FL170" s="197"/>
      <c r="FM170" s="197"/>
      <c r="FN170" s="38"/>
      <c r="FO170" s="384">
        <f>SUM(FM170:FM174)*1.1</f>
        <v>184080.07200000001</v>
      </c>
      <c r="FP170" s="280"/>
      <c r="FQ170" s="197"/>
      <c r="FR170" s="197"/>
      <c r="FS170" s="38"/>
      <c r="FT170" s="384">
        <f>SUM(FR170:FR174)*1.1</f>
        <v>148294.33300000001</v>
      </c>
      <c r="FU170" s="280"/>
      <c r="FV170" s="197"/>
      <c r="FW170" s="197"/>
      <c r="FX170" s="38"/>
      <c r="FY170" s="384">
        <f>SUM(FW170:FW174)*1.1</f>
        <v>127806.86600000001</v>
      </c>
      <c r="FZ170" s="280"/>
      <c r="GA170" s="197"/>
      <c r="GB170" s="197"/>
      <c r="GC170" s="38"/>
      <c r="GD170" s="384">
        <f>SUM(GB170:GB174)*1.1</f>
        <v>178905.71600000001</v>
      </c>
      <c r="GE170" s="280"/>
      <c r="GF170" s="197"/>
      <c r="GG170" s="197"/>
      <c r="GH170" s="38"/>
      <c r="GI170" s="384">
        <f>SUM(GG170:GG174)*1.1</f>
        <v>193447.71600000001</v>
      </c>
      <c r="GJ170" s="280"/>
      <c r="GK170" s="197"/>
      <c r="GL170" s="197"/>
      <c r="GM170" s="38"/>
      <c r="GN170" s="384">
        <f>SUM(GL170:GL174)*1.1</f>
        <v>172109.08</v>
      </c>
      <c r="GO170" s="280"/>
      <c r="GP170" s="197"/>
      <c r="GQ170" s="197"/>
      <c r="GR170" s="38"/>
      <c r="GS170" s="384">
        <f>SUM(GQ170:GQ174)*1.1</f>
        <v>247601.56300000002</v>
      </c>
      <c r="GT170" s="280"/>
      <c r="GU170" s="197"/>
      <c r="GV170" s="197"/>
      <c r="GW170" s="38"/>
      <c r="GX170" s="384">
        <f>SUM(GV170:GV174)*1.1</f>
        <v>199343.63900000002</v>
      </c>
      <c r="GY170" s="280"/>
      <c r="GZ170" s="197"/>
      <c r="HA170" s="197"/>
      <c r="HB170" s="38"/>
      <c r="HC170" s="384">
        <f>SUM(HA170:HA174)*1.1</f>
        <v>145997.78600000002</v>
      </c>
      <c r="HD170" s="280"/>
      <c r="HE170" s="197"/>
      <c r="HF170" s="197"/>
      <c r="HG170" s="38"/>
      <c r="HH170" s="384">
        <f>SUM(HF170:HF174)*1.1</f>
        <v>158910.89500000002</v>
      </c>
      <c r="HI170" s="280"/>
      <c r="HJ170" s="197"/>
      <c r="HK170" s="197"/>
      <c r="HL170" s="38"/>
      <c r="HM170" s="384">
        <f>SUM(HK170:HK174)*1.1</f>
        <v>144490.12600000002</v>
      </c>
      <c r="HN170" s="280"/>
      <c r="HO170" s="197"/>
      <c r="HP170" s="197"/>
      <c r="HQ170" s="38"/>
      <c r="HR170" s="384">
        <f>SUM(HP170:HP174)*1.1</f>
        <v>170334.67</v>
      </c>
      <c r="HS170" s="280"/>
      <c r="HT170" s="197"/>
      <c r="HU170" s="197"/>
      <c r="HV170" s="38"/>
      <c r="HW170" s="384">
        <f>SUM(HU170:HU174)*1.1</f>
        <v>184080.07200000001</v>
      </c>
      <c r="HX170" s="280"/>
      <c r="HY170" s="197"/>
      <c r="HZ170" s="197"/>
      <c r="IA170" s="38"/>
      <c r="IB170" s="384">
        <f>SUM(HZ170:HZ174)*1.1</f>
        <v>165256.85</v>
      </c>
      <c r="IC170" s="280"/>
      <c r="ID170" s="197"/>
      <c r="IE170" s="197"/>
      <c r="IF170" s="38"/>
      <c r="IG170" s="384">
        <f>SUM(IE170:IE174)*1.1</f>
        <v>77442.717000000004</v>
      </c>
      <c r="IH170" s="280"/>
      <c r="II170" s="197"/>
      <c r="IJ170" s="197"/>
      <c r="IK170" s="38"/>
      <c r="IL170" s="384">
        <f>SUM(IJ170:IJ174)*1.1</f>
        <v>77442.717000000004</v>
      </c>
      <c r="IM170" s="280"/>
      <c r="IN170" s="197"/>
      <c r="IO170" s="197"/>
      <c r="IP170" s="38"/>
      <c r="IQ170" s="384">
        <f>SUM(IO170:IO174)*1.1</f>
        <v>77662.717000000004</v>
      </c>
    </row>
    <row r="171" spans="1:252" s="336" customFormat="1" ht="15" customHeight="1">
      <c r="A171" s="652"/>
      <c r="B171" s="256"/>
      <c r="C171" s="234">
        <v>34427001</v>
      </c>
      <c r="D171" s="220" t="s">
        <v>91</v>
      </c>
      <c r="E171" s="231" t="s">
        <v>330</v>
      </c>
      <c r="F171" s="29"/>
      <c r="G171" s="109"/>
      <c r="H171" s="128">
        <v>1</v>
      </c>
      <c r="I171" s="74">
        <v>1647.64</v>
      </c>
      <c r="J171" s="81"/>
      <c r="K171" s="88"/>
      <c r="L171" s="109"/>
      <c r="M171" s="128">
        <v>1</v>
      </c>
      <c r="N171" s="74">
        <v>1647.64</v>
      </c>
      <c r="O171" s="81"/>
      <c r="P171" s="88"/>
      <c r="Q171" s="109"/>
      <c r="R171" s="128">
        <v>1</v>
      </c>
      <c r="S171" s="74">
        <v>1647.64</v>
      </c>
      <c r="T171" s="81"/>
      <c r="U171" s="88"/>
      <c r="V171" s="120"/>
      <c r="W171" s="128">
        <v>1</v>
      </c>
      <c r="X171" s="74">
        <v>1647.64</v>
      </c>
      <c r="Y171" s="81"/>
      <c r="Z171" s="403">
        <f>SUM(X170:X174)*1</f>
        <v>98558.62</v>
      </c>
      <c r="AA171" s="97"/>
      <c r="AB171" s="128">
        <v>1</v>
      </c>
      <c r="AC171" s="74">
        <v>1647.64</v>
      </c>
      <c r="AD171" s="81"/>
      <c r="AE171" s="403">
        <f>SUM(AC170:AC174)*1</f>
        <v>79561.11</v>
      </c>
      <c r="AF171" s="97"/>
      <c r="AG171" s="128">
        <v>1</v>
      </c>
      <c r="AH171" s="74">
        <v>1647.64</v>
      </c>
      <c r="AI171" s="81"/>
      <c r="AJ171" s="403">
        <f>SUM(AH170:AH174)*1</f>
        <v>88402.39</v>
      </c>
      <c r="AK171" s="97"/>
      <c r="AL171" s="128">
        <v>1</v>
      </c>
      <c r="AM171" s="74">
        <v>1647.64</v>
      </c>
      <c r="AN171" s="81"/>
      <c r="AO171" s="403">
        <f>SUM(AM170:AM174)*1</f>
        <v>86498.319999999992</v>
      </c>
      <c r="AP171" s="97"/>
      <c r="AQ171" s="128">
        <v>1</v>
      </c>
      <c r="AR171" s="74">
        <v>1647.64</v>
      </c>
      <c r="AS171" s="81"/>
      <c r="AT171" s="403">
        <f>SUM(AR170:AR174)*1</f>
        <v>108228.13</v>
      </c>
      <c r="AU171" s="97"/>
      <c r="AV171" s="128">
        <v>1</v>
      </c>
      <c r="AW171" s="516">
        <v>1647.64</v>
      </c>
      <c r="AX171" s="81"/>
      <c r="AY171" s="403">
        <f>SUM(AW170:AW174)*1</f>
        <v>121317.29000000001</v>
      </c>
      <c r="AZ171" s="97"/>
      <c r="BA171" s="128">
        <v>1</v>
      </c>
      <c r="BB171" s="74">
        <v>1647.64</v>
      </c>
      <c r="BC171" s="81"/>
      <c r="BD171" s="403">
        <f>SUM(BB170:BB174)*1</f>
        <v>121534.15</v>
      </c>
      <c r="BE171" s="97"/>
      <c r="BF171" s="128">
        <v>1</v>
      </c>
      <c r="BG171" s="74">
        <v>1647.64</v>
      </c>
      <c r="BH171" s="81"/>
      <c r="BI171" s="403">
        <f>SUM(BG170:BG174)*1</f>
        <v>115068</v>
      </c>
      <c r="BJ171" s="97"/>
      <c r="BK171" s="128">
        <v>1</v>
      </c>
      <c r="BL171" s="74">
        <v>1647.64</v>
      </c>
      <c r="BM171" s="81"/>
      <c r="BN171" s="403">
        <f>SUM(BL170:BL174)*1</f>
        <v>114902.45</v>
      </c>
      <c r="BO171" s="97"/>
      <c r="BP171" s="128">
        <v>1</v>
      </c>
      <c r="BQ171" s="74">
        <v>1647.64</v>
      </c>
      <c r="BR171" s="81"/>
      <c r="BS171" s="403">
        <f>SUM(BQ170:BQ174)*1</f>
        <v>143165.81</v>
      </c>
      <c r="BT171" s="406"/>
      <c r="BU171" s="128">
        <v>1</v>
      </c>
      <c r="BV171" s="74">
        <v>1647.64</v>
      </c>
      <c r="BW171" s="81"/>
      <c r="BX171" s="403">
        <f>SUM(BV170:BV174)*1</f>
        <v>144959.73000000001</v>
      </c>
      <c r="BY171" s="406"/>
      <c r="BZ171" s="128">
        <v>1</v>
      </c>
      <c r="CA171" s="74">
        <v>1647.64</v>
      </c>
      <c r="CB171" s="81"/>
      <c r="CC171" s="403">
        <f>SUM(CA170:CA174)*1</f>
        <v>106586.25</v>
      </c>
      <c r="CD171" s="97"/>
      <c r="CE171" s="128">
        <v>1</v>
      </c>
      <c r="CF171" s="74">
        <v>1647.64</v>
      </c>
      <c r="CG171" s="81"/>
      <c r="CH171" s="403">
        <f>SUM(CF170:CF174)*1</f>
        <v>107831.96</v>
      </c>
      <c r="CI171" s="97"/>
      <c r="CJ171" s="128">
        <v>1</v>
      </c>
      <c r="CK171" s="74">
        <v>1647.64</v>
      </c>
      <c r="CL171" s="81"/>
      <c r="CM171" s="403">
        <f>SUM(CK170:CK174)*1</f>
        <v>79247.23</v>
      </c>
      <c r="CN171" s="97"/>
      <c r="CO171" s="128">
        <v>1</v>
      </c>
      <c r="CP171" s="74">
        <v>1647.64</v>
      </c>
      <c r="CQ171" s="81"/>
      <c r="CR171" s="403">
        <f>SUM(CP170:CP174)*1</f>
        <v>126475.99</v>
      </c>
      <c r="CS171" s="97"/>
      <c r="CT171" s="128">
        <v>1</v>
      </c>
      <c r="CU171" s="74">
        <v>1447.64</v>
      </c>
      <c r="CV171" s="81"/>
      <c r="CW171" s="403">
        <f>SUM(CU170:CU174)*1</f>
        <v>116215.94</v>
      </c>
      <c r="CX171" s="97"/>
      <c r="CY171" s="128">
        <v>1</v>
      </c>
      <c r="CZ171" s="74">
        <v>1447.64</v>
      </c>
      <c r="DA171" s="81"/>
      <c r="DB171" s="403">
        <f>SUM(CZ170:CZ174)*1</f>
        <v>159135.80000000002</v>
      </c>
      <c r="DC171" s="97"/>
      <c r="DD171" s="128">
        <v>1</v>
      </c>
      <c r="DE171" s="74">
        <v>1447.64</v>
      </c>
      <c r="DF171" s="81"/>
      <c r="DG171" s="403">
        <f>SUM(DE170:DE174)*1</f>
        <v>144250.48000000001</v>
      </c>
      <c r="DH171" s="97"/>
      <c r="DI171" s="128">
        <v>1</v>
      </c>
      <c r="DJ171" s="74">
        <v>1447.64</v>
      </c>
      <c r="DK171" s="81"/>
      <c r="DL171" s="403">
        <f>SUM(DJ170:DJ174)*1</f>
        <v>152573.41</v>
      </c>
      <c r="DM171" s="97"/>
      <c r="DN171" s="128">
        <v>1</v>
      </c>
      <c r="DO171" s="74">
        <v>1447.64</v>
      </c>
      <c r="DP171" s="81"/>
      <c r="DQ171" s="403">
        <f>SUM(DO170:DO174)*1</f>
        <v>117420.41</v>
      </c>
      <c r="DR171" s="97"/>
      <c r="DS171" s="128">
        <v>1</v>
      </c>
      <c r="DT171" s="74">
        <v>1447.64</v>
      </c>
      <c r="DU171" s="81"/>
      <c r="DV171" s="403">
        <f>SUM(DT170:DT174)*1</f>
        <v>130027.45999999999</v>
      </c>
      <c r="DW171" s="97"/>
      <c r="DX171" s="128">
        <v>1</v>
      </c>
      <c r="DY171" s="74">
        <v>1447.64</v>
      </c>
      <c r="DZ171" s="81"/>
      <c r="EA171" s="403">
        <f>SUM(DY170:DY174)*1</f>
        <v>160933.64000000001</v>
      </c>
      <c r="EB171" s="406"/>
      <c r="EC171" s="128">
        <v>1</v>
      </c>
      <c r="ED171" s="74" t="s">
        <v>1186</v>
      </c>
      <c r="EE171" s="81"/>
      <c r="EF171" s="403">
        <f>SUM(ED170:ED174)*1</f>
        <v>178438.63</v>
      </c>
      <c r="EG171" s="406"/>
      <c r="EH171" s="128">
        <v>1</v>
      </c>
      <c r="EI171" s="74">
        <v>1647.64</v>
      </c>
      <c r="EJ171" s="81"/>
      <c r="EK171" s="403">
        <f>SUM(EI170:EI174)*1</f>
        <v>174258.53000000003</v>
      </c>
      <c r="EL171" s="97"/>
      <c r="EM171" s="128">
        <v>1</v>
      </c>
      <c r="EN171" s="74">
        <v>1647.64</v>
      </c>
      <c r="EO171" s="81"/>
      <c r="EP171" s="403">
        <f>SUM(EN170:EN174)*1</f>
        <v>144376.96000000002</v>
      </c>
      <c r="EQ171" s="97"/>
      <c r="ER171" s="128">
        <v>1</v>
      </c>
      <c r="ES171" s="74">
        <v>1647.64</v>
      </c>
      <c r="ET171" s="81"/>
      <c r="EU171" s="403">
        <f>SUM(ES170:ES174)*1</f>
        <v>132725.26</v>
      </c>
      <c r="EV171" s="97"/>
      <c r="EW171" s="56">
        <v>1</v>
      </c>
      <c r="EX171" s="57">
        <v>1647.64</v>
      </c>
      <c r="EY171" s="44"/>
      <c r="EZ171" s="403">
        <f>SUM(EX170:EX174)*1</f>
        <v>144464.45000000001</v>
      </c>
      <c r="FA171" s="97"/>
      <c r="FB171" s="56">
        <v>1</v>
      </c>
      <c r="FC171" s="57">
        <v>1447.64</v>
      </c>
      <c r="FD171" s="44"/>
      <c r="FE171" s="403">
        <f>SUM(FC170:FC174)*1</f>
        <v>131354.66</v>
      </c>
      <c r="FF171" s="97"/>
      <c r="FG171" s="56">
        <v>1</v>
      </c>
      <c r="FH171" s="57">
        <v>1447.64</v>
      </c>
      <c r="FI171" s="44"/>
      <c r="FJ171" s="403">
        <f>SUM(FH170:FH174)*1</f>
        <v>154849.70000000001</v>
      </c>
      <c r="FK171" s="97"/>
      <c r="FL171" s="128">
        <v>1</v>
      </c>
      <c r="FM171" s="74">
        <v>14674.22</v>
      </c>
      <c r="FN171" s="81"/>
      <c r="FO171" s="403">
        <f>SUM(FM170:FM174)*1</f>
        <v>167345.51999999999</v>
      </c>
      <c r="FP171" s="97"/>
      <c r="FQ171" s="128">
        <v>1</v>
      </c>
      <c r="FR171" s="74" t="s">
        <v>1214</v>
      </c>
      <c r="FS171" s="81"/>
      <c r="FT171" s="403">
        <f>SUM(FR170:FR174)*1</f>
        <v>134813.03</v>
      </c>
      <c r="FU171" s="97"/>
      <c r="FV171" s="56">
        <v>1</v>
      </c>
      <c r="FW171" s="57">
        <v>1447.64</v>
      </c>
      <c r="FX171" s="44"/>
      <c r="FY171" s="403">
        <f>SUM(FW170:FW174)*1</f>
        <v>116188.06</v>
      </c>
      <c r="FZ171" s="97"/>
      <c r="GA171" s="56">
        <v>1</v>
      </c>
      <c r="GB171" s="57">
        <v>1447.64</v>
      </c>
      <c r="GC171" s="44"/>
      <c r="GD171" s="403">
        <f>SUM(GB170:GB174)*1</f>
        <v>162641.56</v>
      </c>
      <c r="GE171" s="97"/>
      <c r="GF171" s="56">
        <v>1</v>
      </c>
      <c r="GG171" s="57">
        <v>1647.64</v>
      </c>
      <c r="GH171" s="44"/>
      <c r="GI171" s="403">
        <f>SUM(GG170:GG174)*1</f>
        <v>175861.56</v>
      </c>
      <c r="GJ171" s="97"/>
      <c r="GK171" s="128">
        <v>1</v>
      </c>
      <c r="GL171" s="74">
        <v>3668.56</v>
      </c>
      <c r="GM171" s="81"/>
      <c r="GN171" s="403">
        <f>SUM(GL170:GL174)*1</f>
        <v>156462.79999999999</v>
      </c>
      <c r="GO171" s="97"/>
      <c r="GP171" s="128">
        <v>1</v>
      </c>
      <c r="GQ171" s="74">
        <v>3668.56</v>
      </c>
      <c r="GR171" s="81"/>
      <c r="GS171" s="403">
        <f>SUM(GQ170:GQ174)*1</f>
        <v>225092.33000000002</v>
      </c>
      <c r="GT171" s="97"/>
      <c r="GU171" s="128">
        <v>1</v>
      </c>
      <c r="GV171" s="74">
        <v>3668.56</v>
      </c>
      <c r="GW171" s="81"/>
      <c r="GX171" s="403">
        <f>SUM(GV170:GV174)*1</f>
        <v>181221.49000000002</v>
      </c>
      <c r="GY171" s="97"/>
      <c r="GZ171" s="56">
        <v>1</v>
      </c>
      <c r="HA171" s="57">
        <v>1647.64</v>
      </c>
      <c r="HB171" s="44"/>
      <c r="HC171" s="403">
        <f>SUM(HA170:HA174)*1</f>
        <v>132725.26</v>
      </c>
      <c r="HD171" s="97"/>
      <c r="HE171" s="56">
        <v>1</v>
      </c>
      <c r="HF171" s="57">
        <v>1647.64</v>
      </c>
      <c r="HG171" s="44"/>
      <c r="HH171" s="403">
        <f>SUM(HF170:HF174)*1</f>
        <v>144464.45000000001</v>
      </c>
      <c r="HI171" s="97"/>
      <c r="HJ171" s="56">
        <v>1</v>
      </c>
      <c r="HK171" s="57">
        <v>1447.64</v>
      </c>
      <c r="HL171" s="44"/>
      <c r="HM171" s="403">
        <f>SUM(HK170:HK174)*1</f>
        <v>131354.66</v>
      </c>
      <c r="HN171" s="97"/>
      <c r="HO171" s="56">
        <v>1</v>
      </c>
      <c r="HP171" s="57">
        <v>1447.64</v>
      </c>
      <c r="HQ171" s="44"/>
      <c r="HR171" s="403">
        <f>SUM(HP170:HP174)*1</f>
        <v>154849.70000000001</v>
      </c>
      <c r="HS171" s="97"/>
      <c r="HT171" s="56">
        <v>1</v>
      </c>
      <c r="HU171" s="57">
        <v>14674.22</v>
      </c>
      <c r="HV171" s="44"/>
      <c r="HW171" s="403">
        <f>SUM(HU170:HU174)*1</f>
        <v>167345.51999999999</v>
      </c>
      <c r="HX171" s="97"/>
      <c r="HY171" s="56">
        <v>1</v>
      </c>
      <c r="HZ171" s="57" t="s">
        <v>1214</v>
      </c>
      <c r="IA171" s="44"/>
      <c r="IB171" s="403">
        <f>SUM(HZ170:HZ174)*1</f>
        <v>150233.5</v>
      </c>
      <c r="IC171" s="97"/>
      <c r="ID171" s="56">
        <v>1</v>
      </c>
      <c r="IE171" s="57">
        <v>1447.64</v>
      </c>
      <c r="IF171" s="44"/>
      <c r="IG171" s="403">
        <f>SUM(IE170:IE174)*1</f>
        <v>70402.47</v>
      </c>
      <c r="IH171" s="97"/>
      <c r="II171" s="56">
        <v>1</v>
      </c>
      <c r="IJ171" s="57">
        <v>1447.64</v>
      </c>
      <c r="IK171" s="44"/>
      <c r="IL171" s="403">
        <f>SUM(IJ170:IJ174)*1</f>
        <v>70402.47</v>
      </c>
      <c r="IM171" s="97"/>
      <c r="IN171" s="56">
        <v>1</v>
      </c>
      <c r="IO171" s="57">
        <v>1647.64</v>
      </c>
      <c r="IP171" s="44"/>
      <c r="IQ171" s="403">
        <f>SUM(IO170:IO174)*1</f>
        <v>70602.47</v>
      </c>
    </row>
    <row r="172" spans="1:252" ht="15" customHeight="1">
      <c r="A172" s="647"/>
      <c r="B172" s="1471" t="s">
        <v>333</v>
      </c>
      <c r="C172" s="234"/>
      <c r="D172" s="220"/>
      <c r="E172" s="231" t="s">
        <v>13</v>
      </c>
      <c r="F172" s="29"/>
      <c r="G172" s="110">
        <f>I172/H172</f>
        <v>5.2443954037800689</v>
      </c>
      <c r="H172" s="143">
        <v>9312</v>
      </c>
      <c r="I172" s="144">
        <v>48835.81</v>
      </c>
      <c r="J172" s="81"/>
      <c r="K172" s="88"/>
      <c r="L172" s="110">
        <f>N172/M172</f>
        <v>5.3410320547210297</v>
      </c>
      <c r="M172" s="143">
        <v>14912</v>
      </c>
      <c r="N172" s="144">
        <v>79645.47</v>
      </c>
      <c r="O172" s="81"/>
      <c r="P172" s="88"/>
      <c r="Q172" s="110">
        <f>S172/R172</f>
        <v>5.3220597901655928</v>
      </c>
      <c r="R172" s="360">
        <v>15822</v>
      </c>
      <c r="S172" s="361">
        <v>84205.63</v>
      </c>
      <c r="T172" s="81"/>
      <c r="U172" s="88"/>
      <c r="V172" s="121">
        <f>X172/W172</f>
        <v>5.2186440491270583</v>
      </c>
      <c r="W172" s="143">
        <v>18157</v>
      </c>
      <c r="X172" s="144">
        <v>94754.92</v>
      </c>
      <c r="Y172" s="81"/>
      <c r="Z172" s="81"/>
      <c r="AA172" s="98">
        <f>AC172/AB172</f>
        <v>5.0528519975988795</v>
      </c>
      <c r="AB172" s="143">
        <v>14993</v>
      </c>
      <c r="AC172" s="144">
        <v>75757.41</v>
      </c>
      <c r="AD172" s="81"/>
      <c r="AE172" s="81"/>
      <c r="AF172" s="98">
        <f>AH172/AG172</f>
        <v>4.8780597614131684</v>
      </c>
      <c r="AG172" s="143">
        <v>17436</v>
      </c>
      <c r="AH172" s="144">
        <v>85053.85</v>
      </c>
      <c r="AI172" s="81"/>
      <c r="AJ172" s="81"/>
      <c r="AK172" s="98">
        <f>AM172/AL172</f>
        <v>5.2582082782082775</v>
      </c>
      <c r="AL172" s="143">
        <v>15873</v>
      </c>
      <c r="AM172" s="144">
        <v>83463.539999999994</v>
      </c>
      <c r="AN172" s="81"/>
      <c r="AO172" s="81"/>
      <c r="AP172" s="98">
        <f>AR172/AQ172</f>
        <v>5.7092522255192879</v>
      </c>
      <c r="AQ172" s="143">
        <v>18535</v>
      </c>
      <c r="AR172" s="144">
        <v>105820.99</v>
      </c>
      <c r="AS172" s="81"/>
      <c r="AT172" s="81"/>
      <c r="AU172" s="98">
        <f>AW172/AV172</f>
        <v>6.4623241007781465</v>
      </c>
      <c r="AV172" s="514">
        <v>18377</v>
      </c>
      <c r="AW172" s="517">
        <v>118758.13</v>
      </c>
      <c r="AX172" s="515"/>
      <c r="AY172" s="81"/>
      <c r="AZ172" s="98">
        <f>BB172/BA172</f>
        <v>6.5000519551544977</v>
      </c>
      <c r="BA172" s="143">
        <v>18285</v>
      </c>
      <c r="BB172" s="144">
        <v>118853.45</v>
      </c>
      <c r="BC172" s="81"/>
      <c r="BD172" s="81"/>
      <c r="BE172" s="98">
        <f>BG172/BF172</f>
        <v>6.7637999518536356</v>
      </c>
      <c r="BF172" s="143">
        <v>16616</v>
      </c>
      <c r="BG172" s="144">
        <v>112387.3</v>
      </c>
      <c r="BH172" s="81"/>
      <c r="BI172" s="81"/>
      <c r="BJ172" s="98">
        <f>BL172/BK172</f>
        <v>6.9075595858096932</v>
      </c>
      <c r="BK172" s="143">
        <v>16321</v>
      </c>
      <c r="BL172" s="361">
        <v>112738.28</v>
      </c>
      <c r="BM172" s="81">
        <v>120005.04</v>
      </c>
      <c r="BN172" s="81"/>
      <c r="BO172" s="98">
        <f>BQ172/BP172</f>
        <v>7.0374482758620687</v>
      </c>
      <c r="BP172" s="143">
        <v>20010</v>
      </c>
      <c r="BQ172" s="361">
        <v>140819.34</v>
      </c>
      <c r="BR172" s="81"/>
      <c r="BS172" s="81"/>
      <c r="BT172" s="98">
        <f>BV172/BU172</f>
        <v>6.2480640090817801</v>
      </c>
      <c r="BU172" s="143">
        <v>22903</v>
      </c>
      <c r="BV172" s="361">
        <v>143099.41</v>
      </c>
      <c r="BW172" s="81"/>
      <c r="BX172" s="81"/>
      <c r="BY172" s="98">
        <f>CA172/BZ172</f>
        <v>5.9103479895204467</v>
      </c>
      <c r="BZ172" s="143">
        <v>17558</v>
      </c>
      <c r="CA172" s="144">
        <v>103773.89</v>
      </c>
      <c r="CB172" s="81"/>
      <c r="CC172" s="81"/>
      <c r="CD172" s="98">
        <f>CF172/CE172</f>
        <v>5.5524118983462776</v>
      </c>
      <c r="CE172" s="143">
        <v>18927</v>
      </c>
      <c r="CF172" s="144">
        <v>105090.5</v>
      </c>
      <c r="CG172" s="81"/>
      <c r="CH172" s="81"/>
      <c r="CI172" s="98">
        <f>CK172/CJ172</f>
        <v>5.188920442964875</v>
      </c>
      <c r="CJ172" s="143">
        <v>14719</v>
      </c>
      <c r="CK172" s="144">
        <v>76375.72</v>
      </c>
      <c r="CL172" s="81"/>
      <c r="CM172" s="81"/>
      <c r="CN172" s="98">
        <f>CP172/CO172</f>
        <v>6.6169680453136692</v>
      </c>
      <c r="CO172" s="143">
        <v>18714</v>
      </c>
      <c r="CP172" s="144">
        <v>123829.94</v>
      </c>
      <c r="CQ172" s="81"/>
      <c r="CR172" s="81"/>
      <c r="CS172" s="98">
        <f>CU172/CT172</f>
        <v>7.7374202326688888</v>
      </c>
      <c r="CT172" s="143">
        <v>14699</v>
      </c>
      <c r="CU172" s="144">
        <v>113732.34</v>
      </c>
      <c r="CV172" s="81"/>
      <c r="CW172" s="81"/>
      <c r="CX172" s="98">
        <f>CZ172/CY172</f>
        <v>8.7181801992320107</v>
      </c>
      <c r="CY172" s="143">
        <v>17969</v>
      </c>
      <c r="CZ172" s="144">
        <v>156656.98000000001</v>
      </c>
      <c r="DA172" s="81"/>
      <c r="DB172" s="81"/>
      <c r="DC172" s="98">
        <f>DE172/DD172</f>
        <v>8.5895158048602234</v>
      </c>
      <c r="DD172" s="143">
        <v>16419</v>
      </c>
      <c r="DE172" s="144">
        <v>141031.26</v>
      </c>
      <c r="DF172" s="81"/>
      <c r="DG172" s="81"/>
      <c r="DH172" s="98">
        <f>DJ172/DI172</f>
        <v>8.529395911841954</v>
      </c>
      <c r="DI172" s="143">
        <v>17514</v>
      </c>
      <c r="DJ172" s="144">
        <v>149383.84</v>
      </c>
      <c r="DK172" s="81"/>
      <c r="DL172" s="81"/>
      <c r="DM172" s="98">
        <f>DO172/DN172</f>
        <v>6.8549598094671031</v>
      </c>
      <c r="DN172" s="143">
        <v>16795</v>
      </c>
      <c r="DO172" s="372">
        <v>115129.05</v>
      </c>
      <c r="DP172" s="81"/>
      <c r="DQ172" s="81"/>
      <c r="DR172" s="98">
        <f>DT172/DS172</f>
        <v>8.8947723945625654</v>
      </c>
      <c r="DS172" s="143">
        <v>14345</v>
      </c>
      <c r="DT172" s="144">
        <v>127595.51</v>
      </c>
      <c r="DU172" s="81"/>
      <c r="DV172" s="81"/>
      <c r="DW172" s="98">
        <f>DY172/DX172</f>
        <v>9.1570564772530219</v>
      </c>
      <c r="DX172" s="143">
        <v>17299</v>
      </c>
      <c r="DY172" s="144">
        <v>158407.92000000001</v>
      </c>
      <c r="DZ172" s="81"/>
      <c r="EA172" s="81"/>
      <c r="EB172" s="98">
        <f>ED172/EC172</f>
        <v>9.0177132828000204</v>
      </c>
      <c r="EC172" s="143">
        <v>19657</v>
      </c>
      <c r="ED172" s="361">
        <v>177261.19</v>
      </c>
      <c r="EE172" s="81"/>
      <c r="EF172" s="81"/>
      <c r="EG172" s="98">
        <f>EI172/EH172</f>
        <v>9.3527996290436963</v>
      </c>
      <c r="EH172" s="143">
        <v>18331</v>
      </c>
      <c r="EI172" s="361">
        <v>171446.17</v>
      </c>
      <c r="EJ172" s="81"/>
      <c r="EK172" s="81"/>
      <c r="EL172" s="98">
        <f>EN172/EM172</f>
        <v>8.5035722862632088</v>
      </c>
      <c r="EM172" s="143">
        <v>16656</v>
      </c>
      <c r="EN172" s="144">
        <v>141635.5</v>
      </c>
      <c r="EO172" s="81"/>
      <c r="EP172" s="81"/>
      <c r="EQ172" s="98">
        <f>ES172/ER172</f>
        <v>7.6483209020966703</v>
      </c>
      <c r="ER172" s="143">
        <v>17027</v>
      </c>
      <c r="ES172" s="144">
        <v>130227.96</v>
      </c>
      <c r="ET172" s="81"/>
      <c r="EU172" s="81"/>
      <c r="EV172" s="98">
        <f>EX172/EW172</f>
        <v>8.0605439354325341</v>
      </c>
      <c r="EW172" s="143">
        <v>17594</v>
      </c>
      <c r="EX172" s="144">
        <v>141817.21</v>
      </c>
      <c r="EY172" s="81"/>
      <c r="EZ172" s="81"/>
      <c r="FA172" s="98">
        <f>FC172/FB172</f>
        <v>7.7968681119050496</v>
      </c>
      <c r="FB172" s="143">
        <v>16514</v>
      </c>
      <c r="FC172" s="144">
        <v>128757.48</v>
      </c>
      <c r="FD172" s="81"/>
      <c r="FE172" s="81"/>
      <c r="FF172" s="98">
        <f>FH172/FG172</f>
        <v>8.2254345718901458</v>
      </c>
      <c r="FG172" s="143">
        <v>18570</v>
      </c>
      <c r="FH172" s="144">
        <v>152746.32</v>
      </c>
      <c r="FI172" s="81"/>
      <c r="FJ172" s="81"/>
      <c r="FK172" s="98">
        <f>FM172/FL172</f>
        <v>8.7944400649200087</v>
      </c>
      <c r="FL172" s="143">
        <v>17252</v>
      </c>
      <c r="FM172" s="144">
        <v>151721.68</v>
      </c>
      <c r="FN172" s="1594"/>
      <c r="FO172" s="81"/>
      <c r="FP172" s="98">
        <f>FR172/FQ172</f>
        <v>7.3537558324641816</v>
      </c>
      <c r="FQ172" s="143">
        <v>18217</v>
      </c>
      <c r="FR172" s="144">
        <v>133963.37</v>
      </c>
      <c r="FS172" s="81"/>
      <c r="FT172" s="81"/>
      <c r="FU172" s="98">
        <f>FW172/FV172</f>
        <v>10.204032156083461</v>
      </c>
      <c r="FV172" s="143">
        <v>11071</v>
      </c>
      <c r="FW172" s="144">
        <v>112968.84</v>
      </c>
      <c r="FX172" s="81"/>
      <c r="FY172" s="81"/>
      <c r="FZ172" s="98">
        <f>GB172/GA172</f>
        <v>10.862052190502146</v>
      </c>
      <c r="GA172" s="143">
        <v>14677</v>
      </c>
      <c r="GB172" s="144">
        <v>159422.34</v>
      </c>
      <c r="GC172" s="81"/>
      <c r="GD172" s="81"/>
      <c r="GE172" s="98">
        <f>GG172/GF172</f>
        <v>11.368825158227848</v>
      </c>
      <c r="GF172" s="143">
        <v>15168</v>
      </c>
      <c r="GG172" s="144">
        <v>172442.34</v>
      </c>
      <c r="GH172" s="44"/>
      <c r="GI172" s="81"/>
      <c r="GJ172" s="98">
        <f>GL172/GK172</f>
        <v>12.779568442346594</v>
      </c>
      <c r="GK172" s="143">
        <v>11864</v>
      </c>
      <c r="GL172" s="361">
        <v>151616.79999999999</v>
      </c>
      <c r="GM172" s="81"/>
      <c r="GN172" s="81"/>
      <c r="GO172" s="98">
        <f>GQ172/GP172</f>
        <v>18.220404132231405</v>
      </c>
      <c r="GP172" s="143">
        <v>12100</v>
      </c>
      <c r="GQ172" s="361">
        <v>220466.89</v>
      </c>
      <c r="GR172" s="81"/>
      <c r="GS172" s="81"/>
      <c r="GT172" s="98">
        <f>GV172/GU172</f>
        <v>11.180003799873338</v>
      </c>
      <c r="GU172" s="143">
        <v>15790</v>
      </c>
      <c r="GV172" s="144">
        <v>176532.26</v>
      </c>
      <c r="GW172" s="81"/>
      <c r="GX172" s="81"/>
      <c r="GY172" s="98">
        <f>HA172/GZ172</f>
        <v>7.6483209020966703</v>
      </c>
      <c r="GZ172" s="75">
        <v>17027</v>
      </c>
      <c r="HA172" s="76">
        <v>130227.96</v>
      </c>
      <c r="HB172" s="44"/>
      <c r="HC172" s="81"/>
      <c r="HD172" s="98">
        <f>HF172/HE172</f>
        <v>8.0605439354325341</v>
      </c>
      <c r="HE172" s="75">
        <v>17594</v>
      </c>
      <c r="HF172" s="76">
        <v>141817.21</v>
      </c>
      <c r="HG172" s="44"/>
      <c r="HH172" s="81"/>
      <c r="HI172" s="98">
        <f>HK172/HJ172</f>
        <v>7.7968681119050496</v>
      </c>
      <c r="HJ172" s="75">
        <v>16514</v>
      </c>
      <c r="HK172" s="76">
        <v>128757.48</v>
      </c>
      <c r="HL172" s="44"/>
      <c r="HM172" s="81"/>
      <c r="HN172" s="98">
        <f>HP172/HO172</f>
        <v>8.2254345718901458</v>
      </c>
      <c r="HO172" s="75">
        <v>18570</v>
      </c>
      <c r="HP172" s="76">
        <v>152746.32</v>
      </c>
      <c r="HQ172" s="44"/>
      <c r="HR172" s="81"/>
      <c r="HS172" s="98">
        <f>HU172/HT172</f>
        <v>8.7944400649200087</v>
      </c>
      <c r="HT172" s="75">
        <v>17252</v>
      </c>
      <c r="HU172" s="76">
        <v>151721.68</v>
      </c>
      <c r="HV172" s="1576"/>
      <c r="HW172" s="81"/>
      <c r="HX172" s="98">
        <f>HZ172/HY172</f>
        <v>8.529395911841954</v>
      </c>
      <c r="HY172" s="75">
        <v>17514</v>
      </c>
      <c r="HZ172" s="76">
        <v>149383.84</v>
      </c>
      <c r="IA172" s="44"/>
      <c r="IB172" s="81"/>
      <c r="IC172" s="98">
        <f>IE172/ID172</f>
        <v>4.221909759316282</v>
      </c>
      <c r="ID172" s="75">
        <v>15913</v>
      </c>
      <c r="IE172" s="76">
        <v>67183.25</v>
      </c>
      <c r="IF172" s="44"/>
      <c r="IG172" s="81"/>
      <c r="IH172" s="98">
        <f>IJ172/II172</f>
        <v>4.221909759316282</v>
      </c>
      <c r="II172" s="75">
        <v>15913</v>
      </c>
      <c r="IJ172" s="76">
        <v>67183.25</v>
      </c>
      <c r="IK172" s="44"/>
      <c r="IL172" s="81"/>
      <c r="IM172" s="98">
        <f>IO172/IN172</f>
        <v>4.221909759316282</v>
      </c>
      <c r="IN172" s="75">
        <v>15913</v>
      </c>
      <c r="IO172" s="76">
        <v>67183.25</v>
      </c>
      <c r="IP172" s="44"/>
      <c r="IQ172" s="81"/>
    </row>
    <row r="173" spans="1:252" ht="15" customHeight="1">
      <c r="A173" s="647"/>
      <c r="B173" s="296"/>
      <c r="C173" s="234"/>
      <c r="D173" s="220"/>
      <c r="E173" s="231" t="s">
        <v>15</v>
      </c>
      <c r="F173" s="29"/>
      <c r="G173" s="109"/>
      <c r="H173" s="56">
        <v>1</v>
      </c>
      <c r="I173" s="57">
        <v>616.99</v>
      </c>
      <c r="J173" s="44"/>
      <c r="K173" s="86"/>
      <c r="L173" s="109"/>
      <c r="M173" s="128">
        <v>0</v>
      </c>
      <c r="N173" s="74">
        <v>0</v>
      </c>
      <c r="O173" s="81"/>
      <c r="P173" s="88"/>
      <c r="Q173" s="109"/>
      <c r="R173" s="128">
        <v>0</v>
      </c>
      <c r="S173" s="74">
        <v>0</v>
      </c>
      <c r="T173" s="81"/>
      <c r="U173" s="88"/>
      <c r="V173" s="120"/>
      <c r="W173" s="128">
        <v>0</v>
      </c>
      <c r="X173" s="74">
        <v>0</v>
      </c>
      <c r="Y173" s="81"/>
      <c r="Z173" s="81"/>
      <c r="AA173" s="97"/>
      <c r="AB173" s="128">
        <v>0</v>
      </c>
      <c r="AC173" s="74">
        <v>0</v>
      </c>
      <c r="AD173" s="81"/>
      <c r="AE173" s="81"/>
      <c r="AF173" s="97"/>
      <c r="AG173" s="128">
        <v>0</v>
      </c>
      <c r="AH173" s="74">
        <v>0</v>
      </c>
      <c r="AI173" s="81"/>
      <c r="AJ173" s="81"/>
      <c r="AK173" s="97"/>
      <c r="AL173" s="128">
        <v>0</v>
      </c>
      <c r="AM173" s="74">
        <v>0</v>
      </c>
      <c r="AN173" s="81"/>
      <c r="AO173" s="81"/>
      <c r="AP173" s="97"/>
      <c r="AQ173" s="56">
        <v>1</v>
      </c>
      <c r="AR173" s="57">
        <v>0</v>
      </c>
      <c r="AS173" s="44"/>
      <c r="AT173" s="44"/>
      <c r="AU173" s="97"/>
      <c r="AV173" s="128">
        <v>1</v>
      </c>
      <c r="AW173" s="380">
        <v>0</v>
      </c>
      <c r="AX173" s="81"/>
      <c r="AY173" s="81"/>
      <c r="AZ173" s="97"/>
      <c r="BA173" s="128">
        <v>1</v>
      </c>
      <c r="BB173" s="74">
        <v>0</v>
      </c>
      <c r="BC173" s="81"/>
      <c r="BD173" s="81"/>
      <c r="BE173" s="97"/>
      <c r="BF173" s="128">
        <v>0</v>
      </c>
      <c r="BG173" s="74">
        <v>0</v>
      </c>
      <c r="BH173" s="81"/>
      <c r="BI173" s="81"/>
      <c r="BJ173" s="97"/>
      <c r="BK173" s="128">
        <v>1</v>
      </c>
      <c r="BL173" s="74">
        <v>0</v>
      </c>
      <c r="BM173" s="81"/>
      <c r="BN173" s="81"/>
      <c r="BO173" s="97"/>
      <c r="BP173" s="56">
        <v>0</v>
      </c>
      <c r="BQ173" s="57">
        <v>0</v>
      </c>
      <c r="BR173" s="44"/>
      <c r="BS173" s="81"/>
      <c r="BT173" s="97"/>
      <c r="BU173" s="408">
        <v>0</v>
      </c>
      <c r="BV173" s="522">
        <v>0</v>
      </c>
      <c r="BW173" s="511"/>
      <c r="BX173" s="81"/>
      <c r="BY173" s="97"/>
      <c r="BZ173" s="56">
        <v>0</v>
      </c>
      <c r="CA173" s="57">
        <v>0</v>
      </c>
      <c r="CB173" s="44"/>
      <c r="CC173" s="81"/>
      <c r="CD173" s="97"/>
      <c r="CE173" s="56">
        <v>0</v>
      </c>
      <c r="CF173" s="57">
        <v>0</v>
      </c>
      <c r="CG173" s="44"/>
      <c r="CH173" s="81"/>
      <c r="CI173" s="97"/>
      <c r="CJ173" s="56">
        <v>0</v>
      </c>
      <c r="CK173" s="57">
        <v>0</v>
      </c>
      <c r="CL173" s="44"/>
      <c r="CM173" s="81"/>
      <c r="CN173" s="97"/>
      <c r="CO173" s="56">
        <v>0</v>
      </c>
      <c r="CP173" s="57">
        <v>0</v>
      </c>
      <c r="CQ173" s="44"/>
      <c r="CR173" s="81"/>
      <c r="CS173" s="97"/>
      <c r="CT173" s="56">
        <v>1</v>
      </c>
      <c r="CU173" s="57">
        <v>0</v>
      </c>
      <c r="CV173" s="44"/>
      <c r="CW173" s="81"/>
      <c r="CX173" s="97"/>
      <c r="CY173" s="128">
        <v>1</v>
      </c>
      <c r="CZ173" s="74">
        <v>0</v>
      </c>
      <c r="DA173" s="81"/>
      <c r="DB173" s="81"/>
      <c r="DC173" s="97"/>
      <c r="DD173" s="56">
        <v>1</v>
      </c>
      <c r="DE173" s="57">
        <v>616.99</v>
      </c>
      <c r="DF173" s="44"/>
      <c r="DG173" s="81"/>
      <c r="DH173" s="97"/>
      <c r="DI173" s="56">
        <v>1</v>
      </c>
      <c r="DJ173" s="57">
        <v>616.99</v>
      </c>
      <c r="DK173" s="44"/>
      <c r="DL173" s="81"/>
      <c r="DM173" s="97"/>
      <c r="DN173" s="128">
        <v>0</v>
      </c>
      <c r="DO173" s="74">
        <v>0</v>
      </c>
      <c r="DP173" s="81"/>
      <c r="DQ173" s="81"/>
      <c r="DR173" s="97"/>
      <c r="DS173" s="128">
        <v>0</v>
      </c>
      <c r="DT173" s="74">
        <v>0</v>
      </c>
      <c r="DU173" s="81"/>
      <c r="DV173" s="81"/>
      <c r="DW173" s="97"/>
      <c r="DX173" s="128">
        <v>0</v>
      </c>
      <c r="DY173" s="74">
        <v>0</v>
      </c>
      <c r="DZ173" s="81"/>
      <c r="EA173" s="81"/>
      <c r="EB173" s="97"/>
      <c r="EC173" s="128">
        <v>0</v>
      </c>
      <c r="ED173" s="74">
        <v>0</v>
      </c>
      <c r="EE173" s="81"/>
      <c r="EF173" s="81"/>
      <c r="EG173" s="97"/>
      <c r="EH173" s="56">
        <v>0</v>
      </c>
      <c r="EI173" s="57">
        <v>0</v>
      </c>
      <c r="EJ173" s="44"/>
      <c r="EK173" s="81"/>
      <c r="EL173" s="97"/>
      <c r="EM173" s="56">
        <v>0</v>
      </c>
      <c r="EN173" s="57">
        <v>0</v>
      </c>
      <c r="EO173" s="44"/>
      <c r="EP173" s="81"/>
      <c r="EQ173" s="97"/>
      <c r="ER173" s="56">
        <v>0</v>
      </c>
      <c r="ES173" s="57">
        <v>0</v>
      </c>
      <c r="ET173" s="44"/>
      <c r="EU173" s="81"/>
      <c r="EV173" s="97"/>
      <c r="EW173" s="56">
        <v>0</v>
      </c>
      <c r="EX173" s="57">
        <v>0</v>
      </c>
      <c r="EY173" s="44"/>
      <c r="EZ173" s="81"/>
      <c r="FA173" s="97"/>
      <c r="FB173" s="56">
        <v>1</v>
      </c>
      <c r="FC173" s="57">
        <v>0</v>
      </c>
      <c r="FD173" s="44"/>
      <c r="FE173" s="81"/>
      <c r="FF173" s="97"/>
      <c r="FG173" s="56">
        <v>1</v>
      </c>
      <c r="FH173" s="57">
        <v>0</v>
      </c>
      <c r="FI173" s="44"/>
      <c r="FJ173" s="81"/>
      <c r="FK173" s="97"/>
      <c r="FL173" s="56">
        <v>1</v>
      </c>
      <c r="FM173" s="57">
        <v>0</v>
      </c>
      <c r="FN173" s="44"/>
      <c r="FO173" s="81"/>
      <c r="FP173" s="97"/>
      <c r="FQ173" s="56">
        <v>1</v>
      </c>
      <c r="FR173" s="57">
        <v>0</v>
      </c>
      <c r="FS173" s="44"/>
      <c r="FT173" s="81"/>
      <c r="FU173" s="97"/>
      <c r="FV173" s="56">
        <v>1</v>
      </c>
      <c r="FW173" s="57">
        <v>616.99</v>
      </c>
      <c r="FX173" s="44"/>
      <c r="FY173" s="81"/>
      <c r="FZ173" s="97"/>
      <c r="GA173" s="56">
        <v>1</v>
      </c>
      <c r="GB173" s="57">
        <v>616.99</v>
      </c>
      <c r="GC173" s="44"/>
      <c r="GD173" s="81"/>
      <c r="GE173" s="97"/>
      <c r="GF173" s="56">
        <v>1</v>
      </c>
      <c r="GG173" s="57">
        <v>616.99</v>
      </c>
      <c r="GH173" s="44"/>
      <c r="GI173" s="81"/>
      <c r="GJ173" s="97"/>
      <c r="GK173" s="56">
        <v>0</v>
      </c>
      <c r="GL173" s="57">
        <v>0</v>
      </c>
      <c r="GM173" s="44"/>
      <c r="GN173" s="81"/>
      <c r="GO173" s="97"/>
      <c r="GP173" s="128">
        <v>0</v>
      </c>
      <c r="GQ173" s="74">
        <v>0</v>
      </c>
      <c r="GR173" s="81"/>
      <c r="GS173" s="81"/>
      <c r="GT173" s="97"/>
      <c r="GU173" s="56">
        <v>0</v>
      </c>
      <c r="GV173" s="57">
        <v>0</v>
      </c>
      <c r="GW173" s="44"/>
      <c r="GX173" s="81"/>
      <c r="GY173" s="97"/>
      <c r="GZ173" s="56">
        <v>0</v>
      </c>
      <c r="HA173" s="57">
        <v>0</v>
      </c>
      <c r="HB173" s="44"/>
      <c r="HC173" s="81"/>
      <c r="HD173" s="97"/>
      <c r="HE173" s="56">
        <v>0</v>
      </c>
      <c r="HF173" s="57">
        <v>0</v>
      </c>
      <c r="HG173" s="44"/>
      <c r="HH173" s="81"/>
      <c r="HI173" s="97"/>
      <c r="HJ173" s="56">
        <v>1</v>
      </c>
      <c r="HK173" s="57">
        <v>0</v>
      </c>
      <c r="HL173" s="44"/>
      <c r="HM173" s="81"/>
      <c r="HN173" s="97"/>
      <c r="HO173" s="56">
        <v>1</v>
      </c>
      <c r="HP173" s="57">
        <v>0</v>
      </c>
      <c r="HQ173" s="44"/>
      <c r="HR173" s="81"/>
      <c r="HS173" s="97"/>
      <c r="HT173" s="56">
        <v>1</v>
      </c>
      <c r="HU173" s="57">
        <v>0</v>
      </c>
      <c r="HV173" s="44"/>
      <c r="HW173" s="81"/>
      <c r="HX173" s="97"/>
      <c r="HY173" s="56">
        <v>1</v>
      </c>
      <c r="HZ173" s="57">
        <v>0</v>
      </c>
      <c r="IA173" s="44"/>
      <c r="IB173" s="81"/>
      <c r="IC173" s="97"/>
      <c r="ID173" s="56">
        <v>1</v>
      </c>
      <c r="IE173" s="57">
        <v>616.99</v>
      </c>
      <c r="IF173" s="44"/>
      <c r="IG173" s="81"/>
      <c r="IH173" s="97"/>
      <c r="II173" s="56">
        <v>1</v>
      </c>
      <c r="IJ173" s="57">
        <v>616.99</v>
      </c>
      <c r="IK173" s="44"/>
      <c r="IL173" s="81"/>
      <c r="IM173" s="97"/>
      <c r="IN173" s="56">
        <v>1</v>
      </c>
      <c r="IO173" s="57">
        <v>616.99</v>
      </c>
      <c r="IP173" s="44"/>
      <c r="IQ173" s="81"/>
    </row>
    <row r="174" spans="1:252" s="264" customFormat="1" ht="15" customHeight="1" thickBot="1">
      <c r="A174" s="648"/>
      <c r="B174" s="297"/>
      <c r="C174" s="298"/>
      <c r="D174" s="43"/>
      <c r="E174" s="284" t="s">
        <v>17</v>
      </c>
      <c r="F174" s="31"/>
      <c r="G174" s="178">
        <f>I174/H174</f>
        <v>1154.5899999999999</v>
      </c>
      <c r="H174" s="172">
        <v>1</v>
      </c>
      <c r="I174" s="172">
        <v>1154.5899999999999</v>
      </c>
      <c r="J174" s="179"/>
      <c r="K174" s="182"/>
      <c r="L174" s="178">
        <f>N174/M174</f>
        <v>30.383939393939393</v>
      </c>
      <c r="M174" s="172">
        <v>33</v>
      </c>
      <c r="N174" s="172">
        <v>1002.67</v>
      </c>
      <c r="O174" s="179"/>
      <c r="P174" s="182"/>
      <c r="Q174" s="178">
        <f>S174/R174</f>
        <v>30.383939393939393</v>
      </c>
      <c r="R174" s="172">
        <v>33</v>
      </c>
      <c r="S174" s="172">
        <v>1002.67</v>
      </c>
      <c r="T174" s="179"/>
      <c r="U174" s="182"/>
      <c r="V174" s="318">
        <f>X174/W174</f>
        <v>30.383809523809521</v>
      </c>
      <c r="W174" s="172">
        <v>21</v>
      </c>
      <c r="X174" s="172">
        <v>638.05999999999995</v>
      </c>
      <c r="Y174" s="179"/>
      <c r="Z174" s="179"/>
      <c r="AA174" s="285">
        <f>AC174/AB174</f>
        <v>30.383809523809521</v>
      </c>
      <c r="AB174" s="172">
        <v>21</v>
      </c>
      <c r="AC174" s="172">
        <v>638.05999999999995</v>
      </c>
      <c r="AD174" s="179"/>
      <c r="AE174" s="179"/>
      <c r="AF174" s="285">
        <f>AH174/AG174</f>
        <v>30.383870967741935</v>
      </c>
      <c r="AG174" s="172">
        <v>31</v>
      </c>
      <c r="AH174" s="172">
        <v>941.9</v>
      </c>
      <c r="AI174" s="179"/>
      <c r="AJ174" s="179"/>
      <c r="AK174" s="285">
        <f>AM174/AL174</f>
        <v>30.384137931034481</v>
      </c>
      <c r="AL174" s="172">
        <v>29</v>
      </c>
      <c r="AM174" s="172">
        <v>881.14</v>
      </c>
      <c r="AN174" s="179"/>
      <c r="AO174" s="179"/>
      <c r="AP174" s="285">
        <f>AR174/AQ174</f>
        <v>30.38</v>
      </c>
      <c r="AQ174" s="172">
        <v>25</v>
      </c>
      <c r="AR174" s="361">
        <v>759.5</v>
      </c>
      <c r="AS174" s="179"/>
      <c r="AT174" s="48"/>
      <c r="AU174" s="285">
        <f>AW174/AV174</f>
        <v>30.384</v>
      </c>
      <c r="AV174" s="172">
        <v>30</v>
      </c>
      <c r="AW174" s="361">
        <v>911.52</v>
      </c>
      <c r="AX174" s="179"/>
      <c r="AY174" s="179"/>
      <c r="AZ174" s="285">
        <f>BB174/BA174</f>
        <v>30.384117647058822</v>
      </c>
      <c r="BA174" s="172">
        <v>34</v>
      </c>
      <c r="BB174" s="172">
        <v>1033.06</v>
      </c>
      <c r="BC174" s="179"/>
      <c r="BD174" s="179"/>
      <c r="BE174" s="285">
        <f>BG174/BF174</f>
        <v>30.384117647058822</v>
      </c>
      <c r="BF174" s="172">
        <v>34</v>
      </c>
      <c r="BG174" s="172">
        <v>1033.06</v>
      </c>
      <c r="BH174" s="179"/>
      <c r="BI174" s="179"/>
      <c r="BJ174" s="285">
        <f>BL174/BK174</f>
        <v>30.384117647058822</v>
      </c>
      <c r="BK174" s="172">
        <v>17</v>
      </c>
      <c r="BL174" s="361">
        <v>516.53</v>
      </c>
      <c r="BM174" s="179"/>
      <c r="BN174" s="179"/>
      <c r="BO174" s="285">
        <f>BQ174/BP174</f>
        <v>30.383913043478262</v>
      </c>
      <c r="BP174" s="172">
        <v>23</v>
      </c>
      <c r="BQ174" s="172">
        <v>698.83</v>
      </c>
      <c r="BR174" s="179"/>
      <c r="BS174" s="179"/>
      <c r="BT174" s="285">
        <f>BV174/BU174</f>
        <v>5.1873170731707319</v>
      </c>
      <c r="BU174" s="611">
        <v>41</v>
      </c>
      <c r="BV174" s="611">
        <v>212.68</v>
      </c>
      <c r="BW174" s="551"/>
      <c r="BX174" s="179"/>
      <c r="BY174" s="285">
        <f>CA174/BZ174</f>
        <v>25.32</v>
      </c>
      <c r="BZ174" s="177">
        <v>46</v>
      </c>
      <c r="CA174" s="172">
        <v>1164.72</v>
      </c>
      <c r="CB174" s="179"/>
      <c r="CC174" s="179"/>
      <c r="CD174" s="285">
        <f>CF174/CE174</f>
        <v>1093.82</v>
      </c>
      <c r="CE174" s="172">
        <v>1</v>
      </c>
      <c r="CF174" s="172">
        <v>1093.82</v>
      </c>
      <c r="CG174" s="179"/>
      <c r="CH174" s="179"/>
      <c r="CI174" s="285">
        <f>CK174/CJ174</f>
        <v>30.384061569016879</v>
      </c>
      <c r="CJ174" s="172">
        <v>40.28</v>
      </c>
      <c r="CK174" s="172">
        <v>1223.8699999999999</v>
      </c>
      <c r="CL174" s="179"/>
      <c r="CM174" s="179"/>
      <c r="CN174" s="285">
        <f>CP174/CO174</f>
        <v>30.38374923919659</v>
      </c>
      <c r="CO174" s="172">
        <v>32.86</v>
      </c>
      <c r="CP174" s="172">
        <v>998.41</v>
      </c>
      <c r="CQ174" s="179"/>
      <c r="CR174" s="179"/>
      <c r="CS174" s="285">
        <f>CU174/CT174</f>
        <v>43.164999999999999</v>
      </c>
      <c r="CT174" s="172">
        <v>24</v>
      </c>
      <c r="CU174" s="172">
        <v>1035.96</v>
      </c>
      <c r="CV174" s="179"/>
      <c r="CW174" s="179"/>
      <c r="CX174" s="285">
        <f>CZ174/CY174</f>
        <v>42.965833333333336</v>
      </c>
      <c r="CY174" s="172">
        <v>24</v>
      </c>
      <c r="CZ174" s="172">
        <v>1031.18</v>
      </c>
      <c r="DA174" s="179"/>
      <c r="DB174" s="179"/>
      <c r="DC174" s="285">
        <f>DE174/DD174</f>
        <v>1154.5899999999999</v>
      </c>
      <c r="DD174" s="177">
        <v>1</v>
      </c>
      <c r="DE174" s="177">
        <v>1154.5899999999999</v>
      </c>
      <c r="DF174" s="48"/>
      <c r="DG174" s="179"/>
      <c r="DH174" s="285">
        <f>DJ174/DI174</f>
        <v>1124.94</v>
      </c>
      <c r="DI174" s="172">
        <v>1</v>
      </c>
      <c r="DJ174" s="172">
        <v>1124.94</v>
      </c>
      <c r="DK174" s="179"/>
      <c r="DL174" s="179"/>
      <c r="DM174" s="285">
        <f>DO174/DN174</f>
        <v>46.873333333333335</v>
      </c>
      <c r="DN174" s="172">
        <v>18</v>
      </c>
      <c r="DO174" s="172">
        <v>843.72</v>
      </c>
      <c r="DP174" s="179"/>
      <c r="DQ174" s="179"/>
      <c r="DR174" s="285">
        <f>DT174/DS174</f>
        <v>46.871904761904759</v>
      </c>
      <c r="DS174" s="172">
        <v>21</v>
      </c>
      <c r="DT174" s="172">
        <v>984.31</v>
      </c>
      <c r="DU174" s="179"/>
      <c r="DV174" s="179"/>
      <c r="DW174" s="285">
        <f>DY174/DX174</f>
        <v>1078.08</v>
      </c>
      <c r="DX174" s="172">
        <v>1</v>
      </c>
      <c r="DY174" s="172">
        <v>1078.08</v>
      </c>
      <c r="DZ174" s="179"/>
      <c r="EA174" s="179"/>
      <c r="EB174" s="285">
        <f>ED174/EC174</f>
        <v>1177.44</v>
      </c>
      <c r="EC174" s="172">
        <v>1</v>
      </c>
      <c r="ED174" s="172">
        <v>1177.44</v>
      </c>
      <c r="EE174" s="179"/>
      <c r="EF174" s="179"/>
      <c r="EG174" s="285">
        <f>EI174/EH174</f>
        <v>25.32</v>
      </c>
      <c r="EH174" s="177">
        <v>46</v>
      </c>
      <c r="EI174" s="177">
        <v>1164.72</v>
      </c>
      <c r="EJ174" s="48"/>
      <c r="EK174" s="179"/>
      <c r="EL174" s="285">
        <f>EN174/EM174</f>
        <v>1093.82</v>
      </c>
      <c r="EM174" s="177">
        <v>1</v>
      </c>
      <c r="EN174" s="177">
        <v>1093.82</v>
      </c>
      <c r="EO174" s="48"/>
      <c r="EP174" s="179"/>
      <c r="EQ174" s="285">
        <f>ES174/ER174</f>
        <v>42.482999999999997</v>
      </c>
      <c r="ER174" s="172">
        <v>20</v>
      </c>
      <c r="ES174" s="172">
        <v>849.66</v>
      </c>
      <c r="ET174" s="179"/>
      <c r="EU174" s="179"/>
      <c r="EV174" s="285">
        <f>EX174/EW174</f>
        <v>41.65</v>
      </c>
      <c r="EW174" s="172">
        <v>24</v>
      </c>
      <c r="EX174" s="172">
        <v>999.6</v>
      </c>
      <c r="EY174" s="179"/>
      <c r="EZ174" s="179"/>
      <c r="FA174" s="285">
        <f>FC174/FB174</f>
        <v>47.897500000000001</v>
      </c>
      <c r="FB174" s="172">
        <v>24</v>
      </c>
      <c r="FC174" s="172">
        <v>1149.54</v>
      </c>
      <c r="FD174" s="179"/>
      <c r="FE174" s="179"/>
      <c r="FF174" s="285">
        <f>FH174/FG174</f>
        <v>655.74</v>
      </c>
      <c r="FG174" s="172">
        <v>1</v>
      </c>
      <c r="FH174" s="172">
        <v>655.74</v>
      </c>
      <c r="FI174" s="179"/>
      <c r="FJ174" s="179"/>
      <c r="FK174" s="285">
        <f>FM174/FL174</f>
        <v>949.62</v>
      </c>
      <c r="FL174" s="172">
        <v>1</v>
      </c>
      <c r="FM174" s="172">
        <v>949.62</v>
      </c>
      <c r="FN174" s="179"/>
      <c r="FO174" s="179"/>
      <c r="FP174" s="285">
        <f>FR174/FQ174</f>
        <v>849.66</v>
      </c>
      <c r="FQ174" s="177">
        <v>1</v>
      </c>
      <c r="FR174" s="172">
        <v>849.66</v>
      </c>
      <c r="FS174" s="48"/>
      <c r="FT174" s="179"/>
      <c r="FU174" s="285">
        <f>FW174/FV174</f>
        <v>36.080937499999997</v>
      </c>
      <c r="FV174" s="177">
        <v>32</v>
      </c>
      <c r="FW174" s="177">
        <v>1154.5899999999999</v>
      </c>
      <c r="FX174" s="48"/>
      <c r="FY174" s="179"/>
      <c r="FZ174" s="285">
        <f>GB174/GA174</f>
        <v>1154.5899999999999</v>
      </c>
      <c r="GA174" s="177">
        <v>1</v>
      </c>
      <c r="GB174" s="177">
        <v>1154.5899999999999</v>
      </c>
      <c r="GC174" s="48"/>
      <c r="GD174" s="179"/>
      <c r="GE174" s="285">
        <f>GG174/GF174</f>
        <v>1154.5899999999999</v>
      </c>
      <c r="GF174" s="177">
        <v>1</v>
      </c>
      <c r="GG174" s="177">
        <v>1154.5899999999999</v>
      </c>
      <c r="GH174" s="48"/>
      <c r="GI174" s="179"/>
      <c r="GJ174" s="285">
        <f>GL174/GK174</f>
        <v>1177.44</v>
      </c>
      <c r="GK174" s="177">
        <v>1</v>
      </c>
      <c r="GL174" s="177">
        <v>1177.44</v>
      </c>
      <c r="GM174" s="48"/>
      <c r="GN174" s="179"/>
      <c r="GO174" s="285">
        <f>GQ174/GP174</f>
        <v>53.16</v>
      </c>
      <c r="GP174" s="172">
        <v>18</v>
      </c>
      <c r="GQ174" s="172">
        <v>956.88</v>
      </c>
      <c r="GR174" s="179"/>
      <c r="GS174" s="179"/>
      <c r="GT174" s="285">
        <f>GV174/GU174</f>
        <v>63.791874999999997</v>
      </c>
      <c r="GU174" s="172">
        <v>16</v>
      </c>
      <c r="GV174" s="172">
        <v>1020.67</v>
      </c>
      <c r="GW174" s="179"/>
      <c r="GX174" s="179"/>
      <c r="GY174" s="285">
        <f>HA174/GZ174</f>
        <v>42.482999999999997</v>
      </c>
      <c r="GZ174" s="177">
        <v>20</v>
      </c>
      <c r="HA174" s="177">
        <v>849.66</v>
      </c>
      <c r="HB174" s="48"/>
      <c r="HC174" s="179"/>
      <c r="HD174" s="285">
        <f>HF174/HE174</f>
        <v>41.65</v>
      </c>
      <c r="HE174" s="177">
        <v>24</v>
      </c>
      <c r="HF174" s="177">
        <v>999.6</v>
      </c>
      <c r="HG174" s="48"/>
      <c r="HH174" s="179"/>
      <c r="HI174" s="285">
        <f>HK174/HJ174</f>
        <v>47.897500000000001</v>
      </c>
      <c r="HJ174" s="177">
        <v>24</v>
      </c>
      <c r="HK174" s="177">
        <v>1149.54</v>
      </c>
      <c r="HL174" s="48"/>
      <c r="HM174" s="179"/>
      <c r="HN174" s="285">
        <f>HP174/HO174</f>
        <v>655.74</v>
      </c>
      <c r="HO174" s="177">
        <v>1</v>
      </c>
      <c r="HP174" s="177">
        <v>655.74</v>
      </c>
      <c r="HQ174" s="48"/>
      <c r="HR174" s="179"/>
      <c r="HS174" s="285">
        <f>HU174/HT174</f>
        <v>949.62</v>
      </c>
      <c r="HT174" s="177">
        <v>1</v>
      </c>
      <c r="HU174" s="177">
        <v>949.62</v>
      </c>
      <c r="HV174" s="48"/>
      <c r="HW174" s="179"/>
      <c r="HX174" s="285">
        <f>HZ174/HY174</f>
        <v>849.66</v>
      </c>
      <c r="HY174" s="177">
        <v>1</v>
      </c>
      <c r="HZ174" s="177">
        <v>849.66</v>
      </c>
      <c r="IA174" s="48"/>
      <c r="IB174" s="179"/>
      <c r="IC174" s="285">
        <f>IE174/ID174</f>
        <v>36.080937499999997</v>
      </c>
      <c r="ID174" s="177">
        <v>32</v>
      </c>
      <c r="IE174" s="177">
        <v>1154.5899999999999</v>
      </c>
      <c r="IF174" s="48"/>
      <c r="IG174" s="179"/>
      <c r="IH174" s="285">
        <f>IJ174/II174</f>
        <v>1154.5899999999999</v>
      </c>
      <c r="II174" s="177">
        <v>1</v>
      </c>
      <c r="IJ174" s="177">
        <v>1154.5899999999999</v>
      </c>
      <c r="IK174" s="48"/>
      <c r="IL174" s="179"/>
      <c r="IM174" s="285">
        <f>IO174/IN174</f>
        <v>1154.5899999999999</v>
      </c>
      <c r="IN174" s="177">
        <v>1</v>
      </c>
      <c r="IO174" s="177">
        <v>1154.5899999999999</v>
      </c>
      <c r="IP174" s="48"/>
      <c r="IQ174" s="179"/>
    </row>
    <row r="175" spans="1:252" s="255" customFormat="1" ht="15" customHeight="1">
      <c r="A175" s="664"/>
      <c r="B175" s="250" t="s">
        <v>316</v>
      </c>
      <c r="C175" s="251" t="s">
        <v>92</v>
      </c>
      <c r="D175" s="26" t="s">
        <v>25</v>
      </c>
      <c r="E175" s="253" t="s">
        <v>10</v>
      </c>
      <c r="F175" s="21"/>
      <c r="G175" s="164"/>
      <c r="H175" s="165"/>
      <c r="I175" s="165"/>
      <c r="J175" s="166"/>
      <c r="K175" s="167"/>
      <c r="L175" s="164"/>
      <c r="M175" s="165"/>
      <c r="N175" s="165"/>
      <c r="O175" s="166"/>
      <c r="P175" s="167"/>
      <c r="Q175" s="164"/>
      <c r="R175" s="165"/>
      <c r="S175" s="165"/>
      <c r="T175" s="166"/>
      <c r="U175" s="167"/>
      <c r="V175" s="208"/>
      <c r="W175" s="165"/>
      <c r="X175" s="373">
        <v>506</v>
      </c>
      <c r="Y175" s="166"/>
      <c r="Z175" s="384">
        <f>SUM(X175:X179)*1.1</f>
        <v>77834.944000000018</v>
      </c>
      <c r="AA175" s="2"/>
      <c r="AB175" s="165"/>
      <c r="AC175" s="373">
        <v>1012</v>
      </c>
      <c r="AD175" s="166"/>
      <c r="AE175" s="384">
        <f>SUM(AC175:AC179)*1.1</f>
        <v>79605.944000000018</v>
      </c>
      <c r="AF175" s="2"/>
      <c r="AG175" s="165"/>
      <c r="AH175" s="373">
        <v>1012</v>
      </c>
      <c r="AI175" s="166"/>
      <c r="AJ175" s="384">
        <f>AJ176*1.1</f>
        <v>88270.199600000007</v>
      </c>
      <c r="AK175" s="2"/>
      <c r="AL175" s="373"/>
      <c r="AM175" s="373">
        <v>1012</v>
      </c>
      <c r="AN175" s="512"/>
      <c r="AO175" s="384">
        <f>AO176*1.2</f>
        <v>98409.273600000015</v>
      </c>
      <c r="AP175" s="2"/>
      <c r="AQ175" s="165"/>
      <c r="AR175" s="165"/>
      <c r="AS175" s="166"/>
      <c r="AT175" s="384">
        <f>SUM(AR175:AR179)*1.1</f>
        <v>116132.94000000002</v>
      </c>
      <c r="AU175" s="2"/>
      <c r="AV175" s="165"/>
      <c r="AW175" s="165"/>
      <c r="AX175" s="166"/>
      <c r="AY175" s="384">
        <f>SUM(AW175:AW179)*1.1</f>
        <v>126006.55319999998</v>
      </c>
      <c r="AZ175" s="2"/>
      <c r="BA175" s="165"/>
      <c r="BB175" s="165"/>
      <c r="BC175" s="166"/>
      <c r="BD175" s="384">
        <f>SUM(BB175:BB179)*1.1</f>
        <v>112582.29839999999</v>
      </c>
      <c r="BE175" s="2"/>
      <c r="BF175" s="165"/>
      <c r="BG175" s="165"/>
      <c r="BH175" s="166"/>
      <c r="BI175" s="384">
        <f>SUM(BG175:BG179)*1.1</f>
        <v>102718.59839999999</v>
      </c>
      <c r="BJ175" s="2"/>
      <c r="BK175" s="165"/>
      <c r="BL175" s="165"/>
      <c r="BM175" s="166"/>
      <c r="BN175" s="384">
        <f>SUM(BL175:BL179)*1.1</f>
        <v>100914.99000000002</v>
      </c>
      <c r="BO175" s="2"/>
      <c r="BP175" s="165"/>
      <c r="BQ175" s="165"/>
      <c r="BR175" s="166"/>
      <c r="BS175" s="384">
        <f>SUM(BQ175:BQ179)*1.1</f>
        <v>115043.35920000001</v>
      </c>
      <c r="BT175" s="2"/>
      <c r="BU175" s="165"/>
      <c r="BV175" s="165"/>
      <c r="BW175" s="166"/>
      <c r="BX175" s="384">
        <f>SUM(BV175:BV179)*1.1</f>
        <v>127619.13120000002</v>
      </c>
      <c r="BY175" s="2"/>
      <c r="BZ175" s="165"/>
      <c r="CA175" s="165"/>
      <c r="CB175" s="166"/>
      <c r="CC175" s="384">
        <f>SUM(CA175:CA179)*1.1</f>
        <v>107398.8432</v>
      </c>
      <c r="CD175" s="2"/>
      <c r="CE175" s="165"/>
      <c r="CF175" s="165"/>
      <c r="CG175" s="166"/>
      <c r="CH175" s="384">
        <f>SUM(CF175:CF179)*1.1</f>
        <v>104334.41039999999</v>
      </c>
      <c r="CI175" s="2"/>
      <c r="CJ175" s="165"/>
      <c r="CK175" s="165"/>
      <c r="CL175" s="166"/>
      <c r="CM175" s="384">
        <f>SUM(CK175:CK179)*1.1</f>
        <v>94978.804800000013</v>
      </c>
      <c r="CN175" s="2"/>
      <c r="CO175" s="165"/>
      <c r="CP175" s="165"/>
      <c r="CQ175" s="166"/>
      <c r="CR175" s="384">
        <f>SUM(CP175:CP179)*1.1</f>
        <v>112781.9616</v>
      </c>
      <c r="CS175" s="2"/>
      <c r="CT175" s="165"/>
      <c r="CU175" s="165"/>
      <c r="CV175" s="166"/>
      <c r="CW175" s="384">
        <f>SUM(CU175:CU179)*1.1</f>
        <v>114047.13100000002</v>
      </c>
      <c r="CX175" s="2"/>
      <c r="CY175" s="165"/>
      <c r="CZ175" s="165"/>
      <c r="DA175" s="166"/>
      <c r="DB175" s="384">
        <f>SUM(CZ175:CZ179)*1.1</f>
        <v>143385.81840000002</v>
      </c>
      <c r="DC175" s="2"/>
      <c r="DD175" s="165"/>
      <c r="DE175" s="165"/>
      <c r="DF175" s="166"/>
      <c r="DG175" s="384">
        <f>SUM(DE175:DE179)*1.1</f>
        <v>159671.87279999998</v>
      </c>
      <c r="DH175" s="2"/>
      <c r="DI175" s="165"/>
      <c r="DJ175" s="165"/>
      <c r="DK175" s="166"/>
      <c r="DL175" s="384">
        <f>SUM(DJ175:DJ179)*1.1</f>
        <v>176784.35081999999</v>
      </c>
      <c r="DM175" s="2"/>
      <c r="DN175" s="165"/>
      <c r="DO175" s="165"/>
      <c r="DP175" s="166"/>
      <c r="DQ175" s="384">
        <f>SUM(DO175:DO179)*1.1</f>
        <v>139203.68879999997</v>
      </c>
      <c r="DR175" s="2"/>
      <c r="DS175" s="165"/>
      <c r="DT175" s="165"/>
      <c r="DU175" s="166"/>
      <c r="DV175" s="384">
        <f>SUM(DT175:DT179)*1.1</f>
        <v>144775.55400000003</v>
      </c>
      <c r="DW175" s="2"/>
      <c r="DX175" s="165"/>
      <c r="DY175" s="165"/>
      <c r="DZ175" s="166"/>
      <c r="EA175" s="384">
        <f>SUM(DY175:DY179)*1.1</f>
        <v>166178.28479999999</v>
      </c>
      <c r="EB175" s="2"/>
      <c r="EC175" s="165"/>
      <c r="ED175" s="165"/>
      <c r="EE175" s="166"/>
      <c r="EF175" s="384">
        <f>SUM(ED175:ED179)*1.1</f>
        <v>179709.48600000003</v>
      </c>
      <c r="EG175" s="2"/>
      <c r="EH175" s="165"/>
      <c r="EI175" s="165"/>
      <c r="EJ175" s="166"/>
      <c r="EK175" s="384">
        <f>SUM(EI175:EI179)*1.1</f>
        <v>175612.07400000002</v>
      </c>
      <c r="EL175" s="2"/>
      <c r="EM175" s="165"/>
      <c r="EN175" s="165"/>
      <c r="EO175" s="166"/>
      <c r="EP175" s="384">
        <f>SUM(EN175:EN179)*1.1</f>
        <v>148853.11319999999</v>
      </c>
      <c r="EQ175" s="2"/>
      <c r="ER175" s="165"/>
      <c r="ES175" s="165"/>
      <c r="ET175" s="166"/>
      <c r="EU175" s="384">
        <f>SUM(ES175:ES179)*1.1</f>
        <v>126974.79960000001</v>
      </c>
      <c r="EV175" s="2"/>
      <c r="EW175" s="165"/>
      <c r="EX175" s="165"/>
      <c r="EY175" s="166"/>
      <c r="EZ175" s="384">
        <f>SUM(EX175:EX179)*1.1</f>
        <v>127048.49520000002</v>
      </c>
      <c r="FA175" s="2"/>
      <c r="FB175" s="165"/>
      <c r="FC175" s="165"/>
      <c r="FD175" s="166"/>
      <c r="FE175" s="384">
        <f>SUM(FC175:FC179)*1.1</f>
        <v>136078.43040000001</v>
      </c>
      <c r="FF175" s="2"/>
      <c r="FG175" s="165"/>
      <c r="FH175" s="165"/>
      <c r="FI175" s="166"/>
      <c r="FJ175" s="384">
        <f>SUM(FH175:FH179)*1.1</f>
        <v>159947.51519999997</v>
      </c>
      <c r="FK175" s="2"/>
      <c r="FL175" s="165"/>
      <c r="FM175" s="165"/>
      <c r="FN175" s="166"/>
      <c r="FO175" s="384">
        <f>SUM(FM175:FM179)*1.1</f>
        <v>159947.51519999997</v>
      </c>
      <c r="FP175" s="2"/>
      <c r="FQ175" s="165"/>
      <c r="FR175" s="165"/>
      <c r="FS175" s="166"/>
      <c r="FT175" s="384">
        <f>SUM(FR175:FR179)*1.1</f>
        <v>135607.83060000002</v>
      </c>
      <c r="FU175" s="2"/>
      <c r="FV175" s="165"/>
      <c r="FW175" s="165"/>
      <c r="FX175" s="166"/>
      <c r="FY175" s="384">
        <f>SUM(FW175:FW179)*1.1</f>
        <v>146063.67600000001</v>
      </c>
      <c r="FZ175" s="2"/>
      <c r="GA175" s="165"/>
      <c r="GB175" s="165"/>
      <c r="GC175" s="166"/>
      <c r="GD175" s="384">
        <f>SUM(GB175:GB179)*1.1</f>
        <v>129863.46120000001</v>
      </c>
      <c r="GE175" s="2"/>
      <c r="GF175" s="165"/>
      <c r="GG175" s="165"/>
      <c r="GH175" s="166"/>
      <c r="GI175" s="384">
        <f>SUM(GG175:GG179)*1.1</f>
        <v>105438.7092</v>
      </c>
      <c r="GJ175" s="1548"/>
      <c r="GK175" s="165"/>
      <c r="GL175" s="165"/>
      <c r="GM175" s="166"/>
      <c r="GN175" s="384">
        <f>SUM(GL175:GL179)*1.1</f>
        <v>179709.48600000003</v>
      </c>
      <c r="GO175" s="2"/>
      <c r="GP175" s="165"/>
      <c r="GQ175" s="165"/>
      <c r="GR175" s="166"/>
      <c r="GS175" s="384">
        <f>SUM(GQ175:GQ179)*1.1</f>
        <v>70111.153200000001</v>
      </c>
      <c r="GT175" s="2"/>
      <c r="GU175" s="165"/>
      <c r="GV175" s="165"/>
      <c r="GW175" s="166"/>
      <c r="GX175" s="384">
        <f>SUM(GV175:GV179)*1.1</f>
        <v>148410.24000000002</v>
      </c>
      <c r="GY175" s="2"/>
      <c r="GZ175" s="165"/>
      <c r="HA175" s="165"/>
      <c r="HB175" s="166"/>
      <c r="HC175" s="384">
        <f>SUM(HA175:HA179)*1.1</f>
        <v>126974.79960000001</v>
      </c>
      <c r="HD175" s="2"/>
      <c r="HE175" s="165"/>
      <c r="HF175" s="165"/>
      <c r="HG175" s="166"/>
      <c r="HH175" s="384">
        <f>SUM(HF175:HF179)*1.1</f>
        <v>127048.49520000002</v>
      </c>
      <c r="HI175" s="2"/>
      <c r="HJ175" s="165"/>
      <c r="HK175" s="165"/>
      <c r="HL175" s="166"/>
      <c r="HM175" s="384">
        <f>SUM(HK175:HK179)*1.1</f>
        <v>136078.43040000001</v>
      </c>
      <c r="HN175" s="2"/>
      <c r="HO175" s="165"/>
      <c r="HP175" s="165"/>
      <c r="HQ175" s="166"/>
      <c r="HR175" s="384">
        <f>SUM(HP175:HP179)*1.1</f>
        <v>159947.51519999997</v>
      </c>
      <c r="HS175" s="2"/>
      <c r="HT175" s="165"/>
      <c r="HU175" s="165"/>
      <c r="HV175" s="166"/>
      <c r="HW175" s="384">
        <f>SUM(HU175:HU179)*1.1</f>
        <v>159947.51519999997</v>
      </c>
      <c r="HX175" s="2"/>
      <c r="HY175" s="165"/>
      <c r="HZ175" s="165"/>
      <c r="IA175" s="166"/>
      <c r="IB175" s="384">
        <f>SUM(HZ175:HZ179)*1.1</f>
        <v>135607.83060000002</v>
      </c>
      <c r="IC175" s="2"/>
      <c r="ID175" s="165"/>
      <c r="IE175" s="165"/>
      <c r="IF175" s="166"/>
      <c r="IG175" s="384">
        <f>SUM(IE175:IE179)*1.1</f>
        <v>146063.67600000001</v>
      </c>
      <c r="IH175" s="2"/>
      <c r="II175" s="165"/>
      <c r="IJ175" s="165"/>
      <c r="IK175" s="166"/>
      <c r="IL175" s="384">
        <f>SUM(IJ175:IJ179)*1.1</f>
        <v>47506.6944</v>
      </c>
      <c r="IM175" s="2"/>
      <c r="IN175" s="165"/>
      <c r="IO175" s="165"/>
      <c r="IP175" s="166"/>
      <c r="IQ175" s="384">
        <f>SUM(IO175:IO179)*1.1</f>
        <v>47506.6944</v>
      </c>
    </row>
    <row r="176" spans="1:252" ht="15" customHeight="1">
      <c r="A176" s="647"/>
      <c r="B176" s="663" t="s">
        <v>335</v>
      </c>
      <c r="C176" s="215">
        <v>20587378</v>
      </c>
      <c r="D176" s="45" t="s">
        <v>93</v>
      </c>
      <c r="E176" s="216" t="s">
        <v>13</v>
      </c>
      <c r="F176" s="22"/>
      <c r="G176" s="110">
        <f>I176/H176</f>
        <v>5.8804412751677848</v>
      </c>
      <c r="H176" s="70">
        <v>7152</v>
      </c>
      <c r="I176" s="69">
        <f>1.2*(28763.69+6283.74)</f>
        <v>42056.915999999997</v>
      </c>
      <c r="J176" s="81"/>
      <c r="K176" s="88"/>
      <c r="L176" s="110">
        <f>N176/M176</f>
        <v>5.949684133382191</v>
      </c>
      <c r="M176" s="70">
        <v>8187</v>
      </c>
      <c r="N176" s="69">
        <f>1.2*(32577.96+8013.76)</f>
        <v>48710.063999999998</v>
      </c>
      <c r="O176" s="81"/>
      <c r="P176" s="88"/>
      <c r="Q176" s="110">
        <f>S176/R176</f>
        <v>5.673455067470571</v>
      </c>
      <c r="R176" s="70">
        <v>10449</v>
      </c>
      <c r="S176" s="69">
        <f>1.2*(39173.72+10227.89)</f>
        <v>59281.932000000001</v>
      </c>
      <c r="T176" s="81"/>
      <c r="U176" s="88"/>
      <c r="V176" s="121">
        <f>X176/W176</f>
        <v>5.8776224761577458</v>
      </c>
      <c r="W176" s="70">
        <v>11639</v>
      </c>
      <c r="X176" s="69">
        <f>1.2*(45615.33+11392.71)</f>
        <v>68409.648000000001</v>
      </c>
      <c r="Y176" s="81"/>
      <c r="Z176" s="403">
        <f>SUM(X175:X178)*1</f>
        <v>70759.040000000008</v>
      </c>
      <c r="AA176" s="98">
        <f>AC176/AB176</f>
        <v>5.491319818745529</v>
      </c>
      <c r="AB176" s="70">
        <v>12579</v>
      </c>
      <c r="AC176" s="69">
        <f>1.2*(12312.83+45249.93)</f>
        <v>69075.312000000005</v>
      </c>
      <c r="AD176" s="81"/>
      <c r="AE176" s="403">
        <f>SUM(AC175:AC178)*1</f>
        <v>72369.040000000008</v>
      </c>
      <c r="AF176" s="98">
        <f>AH176/AG176</f>
        <v>5.5513439826526927</v>
      </c>
      <c r="AG176" s="70">
        <v>13835</v>
      </c>
      <c r="AH176" s="69">
        <f>1.2*(50460.12+13542.25)</f>
        <v>76802.843999999997</v>
      </c>
      <c r="AI176" s="81"/>
      <c r="AJ176" s="403">
        <f>SUM(AH175:AH178)*1</f>
        <v>80245.635999999999</v>
      </c>
      <c r="AK176" s="98">
        <f>AM176/AL176</f>
        <v>5.8293835788850235</v>
      </c>
      <c r="AL176" s="70">
        <v>13507</v>
      </c>
      <c r="AM176" s="69">
        <f>1.2*(49939.43+15675.14)</f>
        <v>78737.484000000011</v>
      </c>
      <c r="AN176" s="81"/>
      <c r="AO176" s="403">
        <f>SUM(AM175:AM178)*1</f>
        <v>82007.728000000017</v>
      </c>
      <c r="AP176" s="98">
        <f>AR176/AQ176</f>
        <v>6.9642357707109586</v>
      </c>
      <c r="AQ176" s="70">
        <v>14811</v>
      </c>
      <c r="AR176" s="69">
        <f>1.2*(64472.58+21483.5)</f>
        <v>103147.296</v>
      </c>
      <c r="AS176" s="81"/>
      <c r="AT176" s="403">
        <f>SUM(AR175:AR178)*1</f>
        <v>105575.40000000001</v>
      </c>
      <c r="AU176" s="98">
        <f>AW176/AV176</f>
        <v>7.5645484524935789</v>
      </c>
      <c r="AV176" s="70">
        <v>14798</v>
      </c>
      <c r="AW176" s="69">
        <f>1.2*(21464.65+71818.84)</f>
        <v>111940.18799999998</v>
      </c>
      <c r="AX176" s="81"/>
      <c r="AY176" s="403">
        <f>SUM(AW175:AW178)*1</f>
        <v>114551.41199999997</v>
      </c>
      <c r="AZ176" s="98">
        <f>BB176/BA176</f>
        <v>7.3604397688546443</v>
      </c>
      <c r="BA176" s="70">
        <v>13498</v>
      </c>
      <c r="BB176" s="69">
        <f>1.2*(19578.98+63213.7)</f>
        <v>99351.215999999986</v>
      </c>
      <c r="BC176" s="81"/>
      <c r="BD176" s="403">
        <f>SUM(BB175:BB178)*1</f>
        <v>102347.54399999998</v>
      </c>
      <c r="BE176" s="98">
        <f>BG176/BF176</f>
        <v>7.4709595868513805</v>
      </c>
      <c r="BF176" s="70">
        <v>12199</v>
      </c>
      <c r="BG176" s="69">
        <f>1.2*(58253.76+17694.77)</f>
        <v>91138.23599999999</v>
      </c>
      <c r="BH176" s="81"/>
      <c r="BI176" s="403">
        <f>SUM(BG175:BG178)*1</f>
        <v>93380.54399999998</v>
      </c>
      <c r="BJ176" s="98">
        <f>BL176/BK176</f>
        <v>7.7472244792116864</v>
      </c>
      <c r="BK176" s="70">
        <v>11569</v>
      </c>
      <c r="BL176" s="69">
        <f>1.2*(57908.75+16780.95)</f>
        <v>89627.64</v>
      </c>
      <c r="BM176" s="81"/>
      <c r="BN176" s="403">
        <f>SUM(BL175:BL178)*1</f>
        <v>91740.900000000009</v>
      </c>
      <c r="BO176" s="98">
        <f>BQ176/BP176</f>
        <v>7.3748629602888087</v>
      </c>
      <c r="BP176" s="70">
        <v>13850</v>
      </c>
      <c r="BQ176" s="69">
        <f>1.2*(65028.65+20089.56)</f>
        <v>102141.852</v>
      </c>
      <c r="BR176" s="81"/>
      <c r="BS176" s="403">
        <f>SUM(BQ175:BQ178)*1</f>
        <v>104584.872</v>
      </c>
      <c r="BT176" s="98">
        <f>BV176/BU176</f>
        <v>7.1970238352507474</v>
      </c>
      <c r="BU176" s="70">
        <v>15733</v>
      </c>
      <c r="BV176" s="69">
        <f>1.2*(69163.05+25195.93)</f>
        <v>113230.77600000001</v>
      </c>
      <c r="BW176" s="81"/>
      <c r="BX176" s="403">
        <f>SUM(BV175:BV178)*1</f>
        <v>116017.39200000001</v>
      </c>
      <c r="BY176" s="98">
        <f>CA176/BZ176</f>
        <v>6.7767484863594269</v>
      </c>
      <c r="BZ176" s="70">
        <v>14039</v>
      </c>
      <c r="CA176" s="69">
        <f>1.2*(56799.27+22483.04)</f>
        <v>95138.771999999997</v>
      </c>
      <c r="CB176" s="81"/>
      <c r="CC176" s="403">
        <f>SUM(CA175:CA178)*1</f>
        <v>97635.311999999991</v>
      </c>
      <c r="CD176" s="98">
        <f>CF176/CE176</f>
        <v>6.4765442558563615</v>
      </c>
      <c r="CE176" s="70">
        <v>14258</v>
      </c>
      <c r="CF176" s="69">
        <f>1.2*(54118.38+22833.76)</f>
        <v>92342.567999999999</v>
      </c>
      <c r="CG176" s="81"/>
      <c r="CH176" s="403">
        <f>SUM(CF175:CF178)*1</f>
        <v>94849.463999999993</v>
      </c>
      <c r="CI176" s="98">
        <f>CK176/CJ176</f>
        <v>6.7388882668159651</v>
      </c>
      <c r="CJ176" s="70">
        <v>12503</v>
      </c>
      <c r="CK176" s="69">
        <f>1.2*(50190.42+20023.18)</f>
        <v>84256.320000000007</v>
      </c>
      <c r="CL176" s="81"/>
      <c r="CM176" s="403">
        <f>SUM(CK175:CK178)*1</f>
        <v>86344.368000000002</v>
      </c>
      <c r="CN176" s="98">
        <f>CP176/CO176</f>
        <v>7.8432118180397046</v>
      </c>
      <c r="CO176" s="70">
        <v>12794</v>
      </c>
      <c r="CP176" s="372">
        <f>(63132.5+20489.21)*1.2</f>
        <v>100346.05199999998</v>
      </c>
      <c r="CQ176" s="81"/>
      <c r="CR176" s="403">
        <f>SUM(CP175:CP178)*1</f>
        <v>102529.05599999998</v>
      </c>
      <c r="CS176" s="98">
        <f>CU176/CT176</f>
        <v>8.6954635407688325</v>
      </c>
      <c r="CT176" s="70">
        <v>11602</v>
      </c>
      <c r="CU176" s="69">
        <f>1.2*(65490.39+18580.25)</f>
        <v>100884.768</v>
      </c>
      <c r="CV176" s="81"/>
      <c r="CW176" s="403">
        <f>SUM(CU175:CU178)*1</f>
        <v>103679.21</v>
      </c>
      <c r="CX176" s="98">
        <f>CZ176/CY176</f>
        <v>9.4169403529674582</v>
      </c>
      <c r="CY176" s="70">
        <v>13429</v>
      </c>
      <c r="CZ176" s="69">
        <f>1.2*(83877.27+21506.14)</f>
        <v>126460.092</v>
      </c>
      <c r="DA176" s="81"/>
      <c r="DB176" s="403">
        <f>SUM(CZ175:CZ178)*1</f>
        <v>130350.74400000001</v>
      </c>
      <c r="DC176" s="98">
        <f>DE176/DD176</f>
        <v>9.5610122448979578</v>
      </c>
      <c r="DD176" s="70">
        <v>14700</v>
      </c>
      <c r="DE176" s="69">
        <f>1.2*(93580.79+23541.61)</f>
        <v>140546.87999999998</v>
      </c>
      <c r="DF176" s="81"/>
      <c r="DG176" s="403">
        <f>SUM(DE175:DE178)*1</f>
        <v>145156.24799999996</v>
      </c>
      <c r="DH176" s="98">
        <f>DJ176/DI176</f>
        <v>9.5610124186871666</v>
      </c>
      <c r="DI176" s="70">
        <v>13528</v>
      </c>
      <c r="DJ176" s="69">
        <f>1.2*(86119.79+21664.69)</f>
        <v>129341.37599999999</v>
      </c>
      <c r="DK176" s="81"/>
      <c r="DL176" s="403">
        <f>SUM(DJ175:DJ178)*1</f>
        <v>157622.73419999998</v>
      </c>
      <c r="DM176" s="98">
        <f>DO176/DN176</f>
        <v>9.5638316577039966</v>
      </c>
      <c r="DN176" s="70">
        <v>12831</v>
      </c>
      <c r="DO176" s="69">
        <f>1.2*(81712.81+20548.46)</f>
        <v>122713.52399999998</v>
      </c>
      <c r="DP176" s="81"/>
      <c r="DQ176" s="403">
        <f>SUM(DO175:DO178)*1</f>
        <v>124044.65999999997</v>
      </c>
      <c r="DR176" s="98">
        <f>DT176/DS176</f>
        <v>9.59986871673566</v>
      </c>
      <c r="DS176" s="70">
        <v>13528</v>
      </c>
      <c r="DT176" s="69">
        <f>1.2*(86557.83+21664.69)</f>
        <v>129867.024</v>
      </c>
      <c r="DU176" s="81"/>
      <c r="DV176" s="403">
        <f>SUM(DT175:DT178)*1</f>
        <v>131614.14000000001</v>
      </c>
      <c r="DW176" s="98">
        <f>DY176/DX176</f>
        <v>9.9601686010995714</v>
      </c>
      <c r="DX176" s="70">
        <v>14733</v>
      </c>
      <c r="DY176" s="69">
        <f>1.2*(23594.46+98691.51)</f>
        <v>146743.16399999999</v>
      </c>
      <c r="DZ176" s="81"/>
      <c r="EA176" s="403">
        <f>SUM(DY175:DY178)*1</f>
        <v>148545.74399999998</v>
      </c>
      <c r="EB176" s="98">
        <f>ED176/EC176</f>
        <v>10.093008179570099</v>
      </c>
      <c r="EC176" s="70">
        <v>15771</v>
      </c>
      <c r="ED176" s="69">
        <f>1.2*(105724.21+26923.15)</f>
        <v>159176.83200000002</v>
      </c>
      <c r="EE176" s="81"/>
      <c r="EF176" s="403">
        <f>SUM(ED175:ED178)*1</f>
        <v>163372.26</v>
      </c>
      <c r="EG176" s="98">
        <f>EI176/EH176</f>
        <v>10.393163850110215</v>
      </c>
      <c r="EH176" s="70">
        <v>14971</v>
      </c>
      <c r="EI176" s="69">
        <f>1.2*(104105.94+25557.44)</f>
        <v>155596.05600000001</v>
      </c>
      <c r="EJ176" s="81"/>
      <c r="EK176" s="403">
        <f>SUM(EI175:EI178)*1</f>
        <v>159647.34</v>
      </c>
      <c r="EL176" s="98">
        <f>EN176/EM176</f>
        <v>9.5527196152725136</v>
      </c>
      <c r="EM176" s="70">
        <v>13724</v>
      </c>
      <c r="EN176" s="69">
        <f>1.2*(85822.62+23428.65)</f>
        <v>131101.52399999998</v>
      </c>
      <c r="EO176" s="81"/>
      <c r="EP176" s="403">
        <f>SUM(EN175:EN178)*1</f>
        <v>135321.01199999999</v>
      </c>
      <c r="EQ176" s="98">
        <f>ES176/ER176</f>
        <v>8.5902365690569518</v>
      </c>
      <c r="ER176" s="70">
        <v>13011</v>
      </c>
      <c r="ES176" s="69">
        <f>1.2*(70928.17+22211.47)</f>
        <v>111767.568</v>
      </c>
      <c r="ET176" s="81"/>
      <c r="EU176" s="403">
        <f>SUM(ES175:ES178)*1</f>
        <v>115431.636</v>
      </c>
      <c r="EV176" s="98">
        <f>EX176/EW176</f>
        <v>8.710259976662778</v>
      </c>
      <c r="EW176" s="70">
        <v>12855</v>
      </c>
      <c r="EX176" s="372">
        <f>(71363.5+21945.16)*1.2</f>
        <v>111970.39200000001</v>
      </c>
      <c r="EY176" s="81"/>
      <c r="EZ176" s="403">
        <f>SUM(EX175:EX178)*1</f>
        <v>115498.63200000001</v>
      </c>
      <c r="FA176" s="98">
        <f>FC176/FB176</f>
        <v>10.300358558869158</v>
      </c>
      <c r="FB176" s="70">
        <v>11602</v>
      </c>
      <c r="FC176" s="69">
        <f>1.2*(23421.82+76165.48)</f>
        <v>119504.75999999998</v>
      </c>
      <c r="FD176" s="81"/>
      <c r="FE176" s="403">
        <f>SUM(FC175:FC178)*1</f>
        <v>123707.66399999999</v>
      </c>
      <c r="FF176" s="98">
        <f>FH176/FG176</f>
        <v>9.4551833466773392</v>
      </c>
      <c r="FG176" s="70">
        <v>14988</v>
      </c>
      <c r="FH176" s="69">
        <f>1.2*(92508.78+25586.46)</f>
        <v>141714.28799999997</v>
      </c>
      <c r="FI176" s="81"/>
      <c r="FJ176" s="403">
        <f>SUM(FH175:FH178)*1</f>
        <v>145406.83199999997</v>
      </c>
      <c r="FK176" s="98">
        <f>FM176/FL176</f>
        <v>9.5572085244132694</v>
      </c>
      <c r="FL176" s="70">
        <v>14828</v>
      </c>
      <c r="FM176" s="69">
        <f>1.2*(92508.78+25586.46)</f>
        <v>141714.28799999997</v>
      </c>
      <c r="FN176" s="81"/>
      <c r="FO176" s="403">
        <f>SUM(FM175:FM178)*1</f>
        <v>145406.83199999997</v>
      </c>
      <c r="FP176" s="98">
        <f>FR176/FQ176</f>
        <v>8.9619844241425799</v>
      </c>
      <c r="FQ176" s="70">
        <v>13354</v>
      </c>
      <c r="FR176" s="69">
        <f>1.2*(72538.13+27193.82)</f>
        <v>119678.34000000001</v>
      </c>
      <c r="FS176" s="81"/>
      <c r="FT176" s="403">
        <f>SUM(FR175:FR178)*1</f>
        <v>123279.84600000001</v>
      </c>
      <c r="FU176" s="98">
        <f>FW176/FV176</f>
        <v>11.209104066161268</v>
      </c>
      <c r="FV176" s="70">
        <v>11608</v>
      </c>
      <c r="FW176" s="69">
        <f>1.2*(84791.1+23638.3)</f>
        <v>130115.28</v>
      </c>
      <c r="FX176" s="81"/>
      <c r="FY176" s="403">
        <f>SUM(FW175:FW178)*1</f>
        <v>132785.16</v>
      </c>
      <c r="FZ176" s="98">
        <f>GB176/GA176</f>
        <v>11.809474894753054</v>
      </c>
      <c r="GA176" s="70">
        <v>9739</v>
      </c>
      <c r="GB176" s="69">
        <f>1.2*(76011.43+19832.3)</f>
        <v>115012.476</v>
      </c>
      <c r="GC176" s="81"/>
      <c r="GD176" s="403">
        <f>SUM(GB175:GB178)*1</f>
        <v>118057.692</v>
      </c>
      <c r="GE176" s="98">
        <f>GG176/GF176</f>
        <v>11.749441209829866</v>
      </c>
      <c r="GF176" s="70">
        <v>7935</v>
      </c>
      <c r="GG176" s="69">
        <f>1.2*(61534.5+16158.68)</f>
        <v>93231.815999999992</v>
      </c>
      <c r="GH176" s="81"/>
      <c r="GI176" s="403">
        <f>SUM(GG175:GG178)*1</f>
        <v>95853.371999999988</v>
      </c>
      <c r="GJ176" s="98">
        <f>GL176/GK176</f>
        <v>10.093008179570099</v>
      </c>
      <c r="GK176" s="62">
        <v>15771</v>
      </c>
      <c r="GL176" s="58">
        <f>1.2*(105724.21+26923.15)</f>
        <v>159176.83200000002</v>
      </c>
      <c r="GM176" s="44"/>
      <c r="GN176" s="403">
        <f>SUM(GL175:GL178)*1</f>
        <v>163372.26</v>
      </c>
      <c r="GO176" s="98">
        <f>GQ176/GP176</f>
        <v>15.244669295219319</v>
      </c>
      <c r="GP176" s="70">
        <v>4058</v>
      </c>
      <c r="GQ176" s="69">
        <f>1.2*(43359.61+8192.78)</f>
        <v>61862.867999999995</v>
      </c>
      <c r="GR176" s="81"/>
      <c r="GS176" s="403">
        <f>SUM(GQ175:GQ178)*1</f>
        <v>63737.411999999989</v>
      </c>
      <c r="GT176" s="98">
        <f>GV176/GU176</f>
        <v>12.483011184399196</v>
      </c>
      <c r="GU176" s="70">
        <v>10461</v>
      </c>
      <c r="GV176" s="69">
        <f>1.2*(87700.73+21119.92)</f>
        <v>130584.77999999998</v>
      </c>
      <c r="GW176" s="81"/>
      <c r="GX176" s="403">
        <f>SUM(GV175:GV178)*1</f>
        <v>134918.39999999999</v>
      </c>
      <c r="GY176" s="98">
        <f>HA176/GZ176</f>
        <v>8.5902365690569518</v>
      </c>
      <c r="GZ176" s="62">
        <v>13011</v>
      </c>
      <c r="HA176" s="58">
        <f>1.2*(70928.17+22211.47)</f>
        <v>111767.568</v>
      </c>
      <c r="HB176" s="44"/>
      <c r="HC176" s="403">
        <f>SUM(HA175:HA178)*1</f>
        <v>115431.636</v>
      </c>
      <c r="HD176" s="98">
        <f>HF176/HE176</f>
        <v>8.710259976662778</v>
      </c>
      <c r="HE176" s="62">
        <v>12855</v>
      </c>
      <c r="HF176" s="509">
        <f>(71363.5+21945.16)*1.2</f>
        <v>111970.39200000001</v>
      </c>
      <c r="HG176" s="44"/>
      <c r="HH176" s="403">
        <f>SUM(HF175:HF178)*1</f>
        <v>115498.63200000001</v>
      </c>
      <c r="HI176" s="98">
        <f>HK176/HJ176</f>
        <v>10.300358558869158</v>
      </c>
      <c r="HJ176" s="62">
        <v>11602</v>
      </c>
      <c r="HK176" s="58">
        <f>1.2*(23421.82+76165.48)</f>
        <v>119504.75999999998</v>
      </c>
      <c r="HL176" s="44"/>
      <c r="HM176" s="403">
        <f>SUM(HK175:HK178)*1</f>
        <v>123707.66399999999</v>
      </c>
      <c r="HN176" s="98">
        <f>HP176/HO176</f>
        <v>9.4551833466773392</v>
      </c>
      <c r="HO176" s="62">
        <v>14988</v>
      </c>
      <c r="HP176" s="58">
        <f>1.2*(92508.78+25586.46)</f>
        <v>141714.28799999997</v>
      </c>
      <c r="HQ176" s="44"/>
      <c r="HR176" s="403">
        <f>SUM(HP175:HP178)*1</f>
        <v>145406.83199999997</v>
      </c>
      <c r="HS176" s="98">
        <f>HU176/HT176</f>
        <v>9.5572085244132694</v>
      </c>
      <c r="HT176" s="62">
        <v>14828</v>
      </c>
      <c r="HU176" s="58">
        <f>1.2*(92508.78+25586.46)</f>
        <v>141714.28799999997</v>
      </c>
      <c r="HV176" s="44"/>
      <c r="HW176" s="403">
        <f>SUM(HU175:HU178)*1</f>
        <v>145406.83199999997</v>
      </c>
      <c r="HX176" s="98">
        <f>HZ176/HY176</f>
        <v>8.9619844241425799</v>
      </c>
      <c r="HY176" s="62">
        <v>13354</v>
      </c>
      <c r="HZ176" s="58">
        <f>1.2*(72538.13+27193.82)</f>
        <v>119678.34000000001</v>
      </c>
      <c r="IA176" s="44"/>
      <c r="IB176" s="403">
        <f>SUM(HZ175:HZ178)*1</f>
        <v>123279.84600000001</v>
      </c>
      <c r="IC176" s="98">
        <f>IE176/ID176</f>
        <v>11.209104066161268</v>
      </c>
      <c r="ID176" s="62">
        <v>11608</v>
      </c>
      <c r="IE176" s="58">
        <f>1.2*(84791.1+23638.3)</f>
        <v>130115.28</v>
      </c>
      <c r="IF176" s="44"/>
      <c r="IG176" s="403">
        <f>SUM(IE175:IE178)*1</f>
        <v>132785.16</v>
      </c>
      <c r="IH176" s="98">
        <f>IJ176/II176</f>
        <v>5.8804412751677848</v>
      </c>
      <c r="II176" s="62">
        <v>7152</v>
      </c>
      <c r="IJ176" s="58">
        <f>1.2*(28763.69+6283.74)</f>
        <v>42056.915999999997</v>
      </c>
      <c r="IK176" s="44"/>
      <c r="IL176" s="403">
        <f>SUM(IJ175:IJ178)*1</f>
        <v>43187.903999999995</v>
      </c>
      <c r="IM176" s="98">
        <f>IO176/IN176</f>
        <v>5.8804412751677848</v>
      </c>
      <c r="IN176" s="62">
        <v>7152</v>
      </c>
      <c r="IO176" s="58">
        <f>1.2*(28763.69+6283.74)</f>
        <v>42056.915999999997</v>
      </c>
      <c r="IP176" s="44"/>
      <c r="IQ176" s="403">
        <f>SUM(IO175:IO178)*1</f>
        <v>43187.903999999995</v>
      </c>
    </row>
    <row r="177" spans="1:251" ht="15" customHeight="1">
      <c r="A177" s="647"/>
      <c r="B177" s="256"/>
      <c r="C177" s="215"/>
      <c r="D177" s="45"/>
      <c r="E177" s="216" t="s">
        <v>15</v>
      </c>
      <c r="F177" s="22"/>
      <c r="G177" s="103"/>
      <c r="H177" s="70">
        <v>7067</v>
      </c>
      <c r="I177" s="69">
        <f>1.2*493.09</f>
        <v>591.70799999999997</v>
      </c>
      <c r="J177" s="81"/>
      <c r="K177" s="88"/>
      <c r="L177" s="103"/>
      <c r="M177" s="70">
        <v>2487</v>
      </c>
      <c r="N177" s="69">
        <f>1.2*602.72</f>
        <v>723.26400000000001</v>
      </c>
      <c r="O177" s="81"/>
      <c r="P177" s="88"/>
      <c r="Q177" s="103"/>
      <c r="R177" s="70">
        <v>3150</v>
      </c>
      <c r="S177" s="69">
        <f>1.2*800.29</f>
        <v>960.34799999999996</v>
      </c>
      <c r="T177" s="81"/>
      <c r="U177" s="88"/>
      <c r="V177" s="47"/>
      <c r="W177" s="70">
        <v>7067</v>
      </c>
      <c r="X177" s="69">
        <f>1.2*842.8</f>
        <v>1011.3599999999999</v>
      </c>
      <c r="Y177" s="81"/>
      <c r="Z177" s="81"/>
      <c r="AA177" s="46"/>
      <c r="AB177" s="70">
        <v>4936</v>
      </c>
      <c r="AC177" s="69">
        <f>1.2*1208.08</f>
        <v>1449.6959999999999</v>
      </c>
      <c r="AD177" s="81"/>
      <c r="AE177" s="81"/>
      <c r="AF177" s="46"/>
      <c r="AG177" s="70">
        <v>5895</v>
      </c>
      <c r="AH177" s="69">
        <f>1.2*1319.46</f>
        <v>1583.3520000000001</v>
      </c>
      <c r="AI177" s="81"/>
      <c r="AJ177" s="81"/>
      <c r="AK177" s="46"/>
      <c r="AL177" s="70">
        <v>5772</v>
      </c>
      <c r="AM177" s="69">
        <f>1.2*1227.03</f>
        <v>1472.4359999999999</v>
      </c>
      <c r="AN177" s="81"/>
      <c r="AO177" s="81"/>
      <c r="AP177" s="46"/>
      <c r="AQ177" s="70">
        <v>6373</v>
      </c>
      <c r="AR177" s="69">
        <f>1.2*1445.62</f>
        <v>1734.7439999999999</v>
      </c>
      <c r="AS177" s="81"/>
      <c r="AT177" s="81"/>
      <c r="AU177" s="46"/>
      <c r="AV177" s="70">
        <v>1</v>
      </c>
      <c r="AW177" s="69">
        <f>1.2*1623.9</f>
        <v>1948.68</v>
      </c>
      <c r="AX177" s="81"/>
      <c r="AY177" s="81"/>
      <c r="AZ177" s="46"/>
      <c r="BA177" s="70">
        <v>1</v>
      </c>
      <c r="BB177" s="69">
        <f>1.2*1649.5</f>
        <v>1979.3999999999999</v>
      </c>
      <c r="BC177" s="81"/>
      <c r="BD177" s="81"/>
      <c r="BE177" s="46"/>
      <c r="BF177" s="70">
        <v>1</v>
      </c>
      <c r="BG177" s="69">
        <f>1.2*1277.95</f>
        <v>1533.54</v>
      </c>
      <c r="BH177" s="81"/>
      <c r="BI177" s="81"/>
      <c r="BJ177" s="46"/>
      <c r="BK177" s="70">
        <v>1</v>
      </c>
      <c r="BL177" s="69">
        <f>1.2*1144.73</f>
        <v>1373.6759999999999</v>
      </c>
      <c r="BM177" s="81"/>
      <c r="BN177" s="81"/>
      <c r="BO177" s="46"/>
      <c r="BP177" s="70">
        <v>4439</v>
      </c>
      <c r="BQ177" s="69">
        <f>1.2*1419.53</f>
        <v>1703.4359999999999</v>
      </c>
      <c r="BR177" s="81"/>
      <c r="BS177" s="81"/>
      <c r="BT177" s="46"/>
      <c r="BU177" s="70">
        <v>5163</v>
      </c>
      <c r="BV177" s="69">
        <f>1.2*1680.18</f>
        <v>2016.2159999999999</v>
      </c>
      <c r="BW177" s="81"/>
      <c r="BX177" s="81"/>
      <c r="BY177" s="46"/>
      <c r="BZ177" s="70">
        <v>4641</v>
      </c>
      <c r="CA177" s="69">
        <f>1.2*1322.89</f>
        <v>1587.4680000000001</v>
      </c>
      <c r="CB177" s="81"/>
      <c r="CC177" s="81"/>
      <c r="CD177" s="46"/>
      <c r="CE177" s="70">
        <v>1</v>
      </c>
      <c r="CF177" s="69">
        <f>1.2*1241.64</f>
        <v>1489.9680000000001</v>
      </c>
      <c r="CG177" s="81"/>
      <c r="CH177" s="81"/>
      <c r="CI177" s="46"/>
      <c r="CJ177" s="70">
        <v>1</v>
      </c>
      <c r="CK177" s="69">
        <f>1.2*943.96</f>
        <v>1132.752</v>
      </c>
      <c r="CL177" s="81"/>
      <c r="CM177" s="81"/>
      <c r="CN177" s="46"/>
      <c r="CO177" s="70">
        <v>1</v>
      </c>
      <c r="CP177" s="69">
        <f>1.2*1061.61</f>
        <v>1273.9319999999998</v>
      </c>
      <c r="CQ177" s="81"/>
      <c r="CR177" s="81"/>
      <c r="CS177" s="46"/>
      <c r="CT177" s="70">
        <v>1</v>
      </c>
      <c r="CU177" s="69">
        <v>1518.77</v>
      </c>
      <c r="CV177" s="81"/>
      <c r="CW177" s="81"/>
      <c r="CX177" s="46"/>
      <c r="CY177" s="70">
        <v>1</v>
      </c>
      <c r="CZ177" s="69">
        <f>1.2*2225.37</f>
        <v>2670.444</v>
      </c>
      <c r="DA177" s="81"/>
      <c r="DB177" s="81"/>
      <c r="DC177" s="46"/>
      <c r="DD177" s="70">
        <v>1</v>
      </c>
      <c r="DE177" s="69">
        <f>1.2*2847.41</f>
        <v>3416.8919999999998</v>
      </c>
      <c r="DF177" s="81"/>
      <c r="DG177" s="81"/>
      <c r="DH177" s="46"/>
      <c r="DI177" s="62">
        <v>7067</v>
      </c>
      <c r="DJ177" s="58">
        <f>1.2*21664.69</f>
        <v>25997.627999999997</v>
      </c>
      <c r="DK177" s="44"/>
      <c r="DL177" s="81"/>
      <c r="DM177" s="46"/>
      <c r="DN177" s="62"/>
      <c r="DO177" s="58"/>
      <c r="DP177" s="44"/>
      <c r="DQ177" s="44"/>
      <c r="DR177" s="97"/>
      <c r="DS177" s="62"/>
      <c r="DT177" s="58"/>
      <c r="DU177" s="44"/>
      <c r="DV177" s="44"/>
      <c r="DW177" s="97"/>
      <c r="DX177" s="62"/>
      <c r="DY177" s="58"/>
      <c r="DZ177" s="44"/>
      <c r="EA177" s="44"/>
      <c r="EB177" s="46"/>
      <c r="EC177" s="70"/>
      <c r="ED177" s="69">
        <f>1.2*2295.77</f>
        <v>2754.924</v>
      </c>
      <c r="EE177" s="81"/>
      <c r="EF177" s="81"/>
      <c r="EG177" s="46"/>
      <c r="EH177" s="70">
        <v>1</v>
      </c>
      <c r="EI177" s="69">
        <f>1.2*1886.66</f>
        <v>2263.9920000000002</v>
      </c>
      <c r="EJ177" s="81"/>
      <c r="EK177" s="81"/>
      <c r="EL177" s="46"/>
      <c r="EM177" s="70">
        <v>1</v>
      </c>
      <c r="EN177" s="69">
        <f>1.2*1937.91</f>
        <v>2325.4920000000002</v>
      </c>
      <c r="EO177" s="81"/>
      <c r="EP177" s="81"/>
      <c r="EQ177" s="46"/>
      <c r="ER177" s="70">
        <v>1</v>
      </c>
      <c r="ES177" s="69">
        <f>1.2*1830.74</f>
        <v>2196.8879999999999</v>
      </c>
      <c r="ET177" s="81"/>
      <c r="EU177" s="81"/>
      <c r="EV177" s="46"/>
      <c r="EW177" s="70">
        <v>1</v>
      </c>
      <c r="EX177" s="69">
        <f>1628.63*1.2</f>
        <v>1954.356</v>
      </c>
      <c r="EY177" s="81"/>
      <c r="EZ177" s="81"/>
      <c r="FA177" s="46"/>
      <c r="FB177" s="70">
        <v>1</v>
      </c>
      <c r="FC177" s="69">
        <f>1.2*1946.32</f>
        <v>2335.5839999999998</v>
      </c>
      <c r="FD177" s="81"/>
      <c r="FE177" s="81"/>
      <c r="FF177" s="46"/>
      <c r="FG177" s="62">
        <v>1</v>
      </c>
      <c r="FH177" s="58">
        <f>1.2*2121.23</f>
        <v>2545.4760000000001</v>
      </c>
      <c r="FI177" s="44"/>
      <c r="FJ177" s="81"/>
      <c r="FK177" s="46"/>
      <c r="FL177" s="70">
        <v>1</v>
      </c>
      <c r="FM177" s="69">
        <f>1.2*2121.23</f>
        <v>2545.4760000000001</v>
      </c>
      <c r="FN177" s="81"/>
      <c r="FO177" s="81"/>
      <c r="FP177" s="46"/>
      <c r="FQ177" s="70">
        <v>1</v>
      </c>
      <c r="FR177" s="69">
        <f>1.2*2204.68</f>
        <v>2645.6159999999995</v>
      </c>
      <c r="FS177" s="81"/>
      <c r="FT177" s="81"/>
      <c r="FU177" s="46"/>
      <c r="FV177" s="70">
        <v>1</v>
      </c>
      <c r="FW177" s="69">
        <f>1.2*1291.24</f>
        <v>1549.4880000000001</v>
      </c>
      <c r="FX177" s="81"/>
      <c r="FY177" s="81"/>
      <c r="FZ177" s="46"/>
      <c r="GA177" s="70">
        <v>1</v>
      </c>
      <c r="GB177" s="69">
        <f>1.2*1626.25</f>
        <v>1951.5</v>
      </c>
      <c r="GC177" s="81"/>
      <c r="GD177" s="81"/>
      <c r="GE177" s="46"/>
      <c r="GF177" s="70">
        <v>1</v>
      </c>
      <c r="GG177" s="69">
        <f>1.2*1295.43</f>
        <v>1554.5160000000001</v>
      </c>
      <c r="GH177" s="81"/>
      <c r="GI177" s="81"/>
      <c r="GJ177" s="97"/>
      <c r="GK177" s="62"/>
      <c r="GL177" s="58">
        <f>1.2*2295.77</f>
        <v>2754.924</v>
      </c>
      <c r="GM177" s="44"/>
      <c r="GN177" s="81"/>
      <c r="GO177" s="46"/>
      <c r="GP177" s="70">
        <v>1</v>
      </c>
      <c r="GQ177" s="69">
        <f>1.2*611.36</f>
        <v>733.63199999999995</v>
      </c>
      <c r="GR177" s="81"/>
      <c r="GS177" s="81"/>
      <c r="GT177" s="46"/>
      <c r="GU177" s="70">
        <v>1</v>
      </c>
      <c r="GV177" s="69">
        <f>1.2*2739.82</f>
        <v>3287.7840000000001</v>
      </c>
      <c r="GW177" s="81"/>
      <c r="GX177" s="81"/>
      <c r="GY177" s="46"/>
      <c r="GZ177" s="62">
        <v>1</v>
      </c>
      <c r="HA177" s="58">
        <f>1.2*1830.74</f>
        <v>2196.8879999999999</v>
      </c>
      <c r="HB177" s="44"/>
      <c r="HC177" s="81"/>
      <c r="HD177" s="46"/>
      <c r="HE177" s="62">
        <v>1</v>
      </c>
      <c r="HF177" s="58">
        <f>1628.63*1.2</f>
        <v>1954.356</v>
      </c>
      <c r="HG177" s="44"/>
      <c r="HH177" s="81"/>
      <c r="HI177" s="46"/>
      <c r="HJ177" s="62">
        <v>1</v>
      </c>
      <c r="HK177" s="58">
        <f>1.2*1946.32</f>
        <v>2335.5839999999998</v>
      </c>
      <c r="HL177" s="44"/>
      <c r="HM177" s="81"/>
      <c r="HN177" s="46"/>
      <c r="HO177" s="62">
        <v>1</v>
      </c>
      <c r="HP177" s="58">
        <f>1.2*2121.23</f>
        <v>2545.4760000000001</v>
      </c>
      <c r="HQ177" s="44"/>
      <c r="HR177" s="81"/>
      <c r="HS177" s="46"/>
      <c r="HT177" s="62">
        <v>1</v>
      </c>
      <c r="HU177" s="58">
        <f>1.2*2121.23</f>
        <v>2545.4760000000001</v>
      </c>
      <c r="HV177" s="44"/>
      <c r="HW177" s="81"/>
      <c r="HX177" s="46"/>
      <c r="HY177" s="62">
        <v>1</v>
      </c>
      <c r="HZ177" s="58">
        <f>1.2*2204.68</f>
        <v>2645.6159999999995</v>
      </c>
      <c r="IA177" s="44"/>
      <c r="IB177" s="81"/>
      <c r="IC177" s="46"/>
      <c r="ID177" s="62">
        <v>1</v>
      </c>
      <c r="IE177" s="58">
        <f>1.2*1291.24</f>
        <v>1549.4880000000001</v>
      </c>
      <c r="IF177" s="44"/>
      <c r="IG177" s="81"/>
      <c r="IH177" s="46"/>
      <c r="II177" s="62">
        <v>7067</v>
      </c>
      <c r="IJ177" s="58">
        <f>1.2*493.09</f>
        <v>591.70799999999997</v>
      </c>
      <c r="IK177" s="44"/>
      <c r="IL177" s="81"/>
      <c r="IM177" s="46"/>
      <c r="IN177" s="62">
        <v>7067</v>
      </c>
      <c r="IO177" s="58">
        <f>1.2*493.09</f>
        <v>591.70799999999997</v>
      </c>
      <c r="IP177" s="44"/>
      <c r="IQ177" s="81"/>
    </row>
    <row r="178" spans="1:251" ht="15" customHeight="1">
      <c r="A178" s="647"/>
      <c r="B178" s="256"/>
      <c r="C178" s="215"/>
      <c r="D178" s="45"/>
      <c r="E178" s="216" t="s">
        <v>17</v>
      </c>
      <c r="F178" s="22"/>
      <c r="G178" s="104">
        <f>I178/H178</f>
        <v>9.9866666666666664</v>
      </c>
      <c r="H178" s="128">
        <v>54</v>
      </c>
      <c r="I178" s="74">
        <f>1.2*449.4</f>
        <v>539.28</v>
      </c>
      <c r="J178" s="81"/>
      <c r="K178" s="88"/>
      <c r="L178" s="104">
        <f>N178/M178</f>
        <v>15.407999999999998</v>
      </c>
      <c r="M178" s="128">
        <v>46</v>
      </c>
      <c r="N178" s="74">
        <f>1.2*590.64</f>
        <v>708.76799999999992</v>
      </c>
      <c r="O178" s="81"/>
      <c r="P178" s="88"/>
      <c r="Q178" s="104">
        <f>S178/R178</f>
        <v>15.407999999999998</v>
      </c>
      <c r="R178" s="128">
        <v>46</v>
      </c>
      <c r="S178" s="74">
        <f>1.2*590.64</f>
        <v>708.76799999999992</v>
      </c>
      <c r="T178" s="81"/>
      <c r="U178" s="88"/>
      <c r="V178" s="115">
        <f>X178/W178</f>
        <v>15.408000000000001</v>
      </c>
      <c r="W178" s="128">
        <v>54</v>
      </c>
      <c r="X178" s="74">
        <f>1.2*693.36</f>
        <v>832.03200000000004</v>
      </c>
      <c r="Y178" s="81"/>
      <c r="Z178" s="81"/>
      <c r="AA178" s="92">
        <f>AC178/AB178</f>
        <v>15.408000000000001</v>
      </c>
      <c r="AB178" s="128">
        <v>54</v>
      </c>
      <c r="AC178" s="74">
        <f>1.2*693.36</f>
        <v>832.03200000000004</v>
      </c>
      <c r="AD178" s="81"/>
      <c r="AE178" s="81"/>
      <c r="AF178" s="92">
        <f>AH178/AG178</f>
        <v>15.408000000000001</v>
      </c>
      <c r="AG178" s="128">
        <v>55</v>
      </c>
      <c r="AH178" s="74">
        <f>1.2*706.2</f>
        <v>847.44</v>
      </c>
      <c r="AI178" s="81"/>
      <c r="AJ178" s="81"/>
      <c r="AK178" s="92">
        <f>AM178/AL178</f>
        <v>15.407999999999999</v>
      </c>
      <c r="AL178" s="128">
        <v>51</v>
      </c>
      <c r="AM178" s="74">
        <f>1.2*654.84</f>
        <v>785.80799999999999</v>
      </c>
      <c r="AN178" s="81"/>
      <c r="AO178" s="81"/>
      <c r="AP178" s="92">
        <f>AR178/AQ178</f>
        <v>15.407999999999998</v>
      </c>
      <c r="AQ178" s="128">
        <v>45</v>
      </c>
      <c r="AR178" s="74">
        <f>1.2*577.8</f>
        <v>693.3599999999999</v>
      </c>
      <c r="AS178" s="81"/>
      <c r="AT178" s="81"/>
      <c r="AU178" s="92">
        <f>AW178/AV178</f>
        <v>15.407999999999999</v>
      </c>
      <c r="AV178" s="128">
        <v>43</v>
      </c>
      <c r="AW178" s="74">
        <f>1.2*552.12</f>
        <v>662.54399999999998</v>
      </c>
      <c r="AX178" s="81"/>
      <c r="AY178" s="81"/>
      <c r="AZ178" s="92">
        <f>BB178/BA178</f>
        <v>15.407999999999999</v>
      </c>
      <c r="BA178" s="128">
        <v>66</v>
      </c>
      <c r="BB178" s="74">
        <f>1.2*847.44</f>
        <v>1016.928</v>
      </c>
      <c r="BC178" s="81"/>
      <c r="BD178" s="81"/>
      <c r="BE178" s="92">
        <f>BG178/BF178</f>
        <v>15.407999999999998</v>
      </c>
      <c r="BF178" s="128">
        <v>46</v>
      </c>
      <c r="BG178" s="74">
        <f>1.2*590.64</f>
        <v>708.76799999999992</v>
      </c>
      <c r="BH178" s="81"/>
      <c r="BI178" s="81"/>
      <c r="BJ178" s="92">
        <f>BL178/BK178</f>
        <v>15.408000000000001</v>
      </c>
      <c r="BK178" s="128">
        <v>48</v>
      </c>
      <c r="BL178" s="74">
        <f>1.2*616.32</f>
        <v>739.58400000000006</v>
      </c>
      <c r="BM178" s="81"/>
      <c r="BN178" s="81"/>
      <c r="BO178" s="92">
        <f>BQ178/BP178</f>
        <v>15.408000000000001</v>
      </c>
      <c r="BP178" s="128">
        <v>48</v>
      </c>
      <c r="BQ178" s="74">
        <f>1.2*616.32</f>
        <v>739.58400000000006</v>
      </c>
      <c r="BR178" s="81"/>
      <c r="BS178" s="81"/>
      <c r="BT178" s="92">
        <f>BV178/BU178</f>
        <v>15.407999999999999</v>
      </c>
      <c r="BU178" s="128">
        <v>50</v>
      </c>
      <c r="BV178" s="74">
        <f>1.2*642</f>
        <v>770.4</v>
      </c>
      <c r="BW178" s="81"/>
      <c r="BX178" s="81"/>
      <c r="BY178" s="92">
        <f>CA178/BZ178</f>
        <v>15.407999999999998</v>
      </c>
      <c r="BZ178" s="128">
        <v>59</v>
      </c>
      <c r="CA178" s="74">
        <f>1.2*757.56</f>
        <v>909.07199999999989</v>
      </c>
      <c r="CB178" s="81"/>
      <c r="CC178" s="81"/>
      <c r="CD178" s="92">
        <f>CF178/CE178</f>
        <v>15.407999999999999</v>
      </c>
      <c r="CE178" s="128">
        <v>66</v>
      </c>
      <c r="CF178" s="74">
        <f>1.2*847.44</f>
        <v>1016.928</v>
      </c>
      <c r="CG178" s="81"/>
      <c r="CH178" s="81"/>
      <c r="CI178" s="92">
        <f>CK178/CJ178</f>
        <v>15.408000000000001</v>
      </c>
      <c r="CJ178" s="128">
        <v>62</v>
      </c>
      <c r="CK178" s="74">
        <f>1.2*796.08</f>
        <v>955.29600000000005</v>
      </c>
      <c r="CL178" s="81"/>
      <c r="CM178" s="81"/>
      <c r="CN178" s="92">
        <f>CP178/CO178</f>
        <v>15.407999999999998</v>
      </c>
      <c r="CO178" s="128">
        <v>59</v>
      </c>
      <c r="CP178" s="74">
        <f>1.2*757.56</f>
        <v>909.07199999999989</v>
      </c>
      <c r="CQ178" s="81"/>
      <c r="CR178" s="81"/>
      <c r="CS178" s="92">
        <f>CU178/CT178</f>
        <v>27.731999999999996</v>
      </c>
      <c r="CT178" s="128">
        <v>46</v>
      </c>
      <c r="CU178" s="74">
        <f>1.2*1063.06</f>
        <v>1275.6719999999998</v>
      </c>
      <c r="CV178" s="81"/>
      <c r="CW178" s="81"/>
      <c r="CX178" s="92">
        <f>CZ178/CY178</f>
        <v>27.732000000000003</v>
      </c>
      <c r="CY178" s="128">
        <v>44</v>
      </c>
      <c r="CZ178" s="74">
        <f>1.2*1016.84</f>
        <v>1220.2080000000001</v>
      </c>
      <c r="DA178" s="81"/>
      <c r="DB178" s="81"/>
      <c r="DC178" s="92">
        <f>DE178/DD178</f>
        <v>27.731999999999996</v>
      </c>
      <c r="DD178" s="128">
        <v>43</v>
      </c>
      <c r="DE178" s="74">
        <f>1.2*993.73</f>
        <v>1192.4759999999999</v>
      </c>
      <c r="DF178" s="81"/>
      <c r="DG178" s="81"/>
      <c r="DH178" s="92">
        <f>DJ178/DI178</f>
        <v>28.194199999999999</v>
      </c>
      <c r="DI178" s="128">
        <v>81</v>
      </c>
      <c r="DJ178" s="74">
        <f>1.22*1871.91</f>
        <v>2283.7302</v>
      </c>
      <c r="DK178" s="81"/>
      <c r="DL178" s="81"/>
      <c r="DM178" s="92">
        <f>DO178/DN178</f>
        <v>27.731999999999999</v>
      </c>
      <c r="DN178" s="128">
        <v>48</v>
      </c>
      <c r="DO178" s="74">
        <f>1.2*1109.28</f>
        <v>1331.136</v>
      </c>
      <c r="DP178" s="81"/>
      <c r="DQ178" s="81"/>
      <c r="DR178" s="92">
        <f>DT178/DS178</f>
        <v>27.731999999999999</v>
      </c>
      <c r="DS178" s="128">
        <v>63</v>
      </c>
      <c r="DT178" s="74">
        <f>1.2*1455.93</f>
        <v>1747.116</v>
      </c>
      <c r="DU178" s="81"/>
      <c r="DV178" s="81"/>
      <c r="DW178" s="92">
        <f>DY178/DX178</f>
        <v>27.732000000000003</v>
      </c>
      <c r="DX178" s="128">
        <v>65</v>
      </c>
      <c r="DY178" s="74">
        <f>1.2*1502.15</f>
        <v>1802.5800000000002</v>
      </c>
      <c r="DZ178" s="81"/>
      <c r="EA178" s="81"/>
      <c r="EB178" s="92">
        <f>ED178/EC178</f>
        <v>26.676000000000002</v>
      </c>
      <c r="EC178" s="128">
        <v>54</v>
      </c>
      <c r="ED178" s="74">
        <f>1.2*1200.42</f>
        <v>1440.5040000000001</v>
      </c>
      <c r="EE178" s="81"/>
      <c r="EF178" s="81"/>
      <c r="EG178" s="92">
        <f>EI178/EH178</f>
        <v>26.676000000000002</v>
      </c>
      <c r="EH178" s="128">
        <v>67</v>
      </c>
      <c r="EI178" s="74">
        <f>1.2*1489.41</f>
        <v>1787.2920000000001</v>
      </c>
      <c r="EJ178" s="81"/>
      <c r="EK178" s="81"/>
      <c r="EL178" s="92">
        <f>EN178/EM178</f>
        <v>26.675999999999998</v>
      </c>
      <c r="EM178" s="128">
        <v>71</v>
      </c>
      <c r="EN178" s="74">
        <f>1.2*1578.33</f>
        <v>1893.9959999999999</v>
      </c>
      <c r="EO178" s="81"/>
      <c r="EP178" s="81"/>
      <c r="EQ178" s="92">
        <f>ES178/ER178</f>
        <v>26.676000000000002</v>
      </c>
      <c r="ER178" s="128">
        <v>55</v>
      </c>
      <c r="ES178" s="74">
        <f>1.2*1222.65</f>
        <v>1467.18</v>
      </c>
      <c r="ET178" s="81"/>
      <c r="EU178" s="81"/>
      <c r="EV178" s="92">
        <f>EX178/EW178</f>
        <v>26.675999999999995</v>
      </c>
      <c r="EW178" s="128">
        <v>59</v>
      </c>
      <c r="EX178" s="74">
        <f>1311.57*1.2</f>
        <v>1573.8839999999998</v>
      </c>
      <c r="EY178" s="81"/>
      <c r="EZ178" s="81"/>
      <c r="FA178" s="92">
        <f>FC178/FB178</f>
        <v>26.675999999999995</v>
      </c>
      <c r="FB178" s="128">
        <v>70</v>
      </c>
      <c r="FC178" s="74">
        <f>1.2*1556.1</f>
        <v>1867.3199999999997</v>
      </c>
      <c r="FD178" s="81"/>
      <c r="FE178" s="81"/>
      <c r="FF178" s="92">
        <f>FH178/FG178</f>
        <v>26.675999999999998</v>
      </c>
      <c r="FG178" s="128">
        <v>43</v>
      </c>
      <c r="FH178" s="74">
        <f>1.2*955.89</f>
        <v>1147.068</v>
      </c>
      <c r="FI178" s="81"/>
      <c r="FJ178" s="81"/>
      <c r="FK178" s="92">
        <f>FM178/FL178</f>
        <v>20.483357142857141</v>
      </c>
      <c r="FL178" s="128">
        <v>56</v>
      </c>
      <c r="FM178" s="74">
        <f>1.2*955.89</f>
        <v>1147.068</v>
      </c>
      <c r="FN178" s="81"/>
      <c r="FO178" s="81"/>
      <c r="FP178" s="92">
        <f>FR178/FQ178</f>
        <v>22.23</v>
      </c>
      <c r="FQ178" s="128">
        <v>43</v>
      </c>
      <c r="FR178" s="74">
        <v>955.89</v>
      </c>
      <c r="FS178" s="81"/>
      <c r="FT178" s="81"/>
      <c r="FU178" s="92">
        <f>FW178/FV178</f>
        <v>26.675999999999995</v>
      </c>
      <c r="FV178" s="128">
        <v>42</v>
      </c>
      <c r="FW178" s="74">
        <f>1.2*933.66</f>
        <v>1120.3919999999998</v>
      </c>
      <c r="FX178" s="81"/>
      <c r="FY178" s="81"/>
      <c r="FZ178" s="92">
        <f>GB178/GA178</f>
        <v>26.675999999999998</v>
      </c>
      <c r="GA178" s="128">
        <v>41</v>
      </c>
      <c r="GB178" s="74">
        <f>1.2*911.43</f>
        <v>1093.7159999999999</v>
      </c>
      <c r="GC178" s="81"/>
      <c r="GD178" s="81"/>
      <c r="GE178" s="92">
        <f>GG178/GF178</f>
        <v>26.675999999999998</v>
      </c>
      <c r="GF178" s="128">
        <v>40</v>
      </c>
      <c r="GG178" s="74">
        <f>1.2*889.2</f>
        <v>1067.04</v>
      </c>
      <c r="GH178" s="81"/>
      <c r="GI178" s="81"/>
      <c r="GJ178" s="98">
        <f>GL178/GK178</f>
        <v>26.676000000000002</v>
      </c>
      <c r="GK178" s="56">
        <v>54</v>
      </c>
      <c r="GL178" s="57">
        <f>1.2*1200.42</f>
        <v>1440.5040000000001</v>
      </c>
      <c r="GM178" s="44"/>
      <c r="GN178" s="81"/>
      <c r="GO178" s="92">
        <f>GQ178/GP178</f>
        <v>31.692</v>
      </c>
      <c r="GP178" s="128">
        <v>36</v>
      </c>
      <c r="GQ178" s="74">
        <f>1.2*950.76</f>
        <v>1140.912</v>
      </c>
      <c r="GR178" s="81"/>
      <c r="GS178" s="81"/>
      <c r="GT178" s="92">
        <f>GV178/GU178</f>
        <v>31.692</v>
      </c>
      <c r="GU178" s="128">
        <v>33</v>
      </c>
      <c r="GV178" s="74">
        <f>1.2*871.53</f>
        <v>1045.836</v>
      </c>
      <c r="GW178" s="81"/>
      <c r="GX178" s="81"/>
      <c r="GY178" s="92">
        <f>HA178/GZ178</f>
        <v>26.676000000000002</v>
      </c>
      <c r="GZ178" s="56">
        <v>55</v>
      </c>
      <c r="HA178" s="57">
        <f>1.2*1222.65</f>
        <v>1467.18</v>
      </c>
      <c r="HB178" s="44"/>
      <c r="HC178" s="81"/>
      <c r="HD178" s="92">
        <f>HF178/HE178</f>
        <v>26.675999999999995</v>
      </c>
      <c r="HE178" s="56">
        <v>59</v>
      </c>
      <c r="HF178" s="57">
        <f>1311.57*1.2</f>
        <v>1573.8839999999998</v>
      </c>
      <c r="HG178" s="44"/>
      <c r="HH178" s="81"/>
      <c r="HI178" s="92">
        <f>HK178/HJ178</f>
        <v>26.675999999999995</v>
      </c>
      <c r="HJ178" s="56">
        <v>70</v>
      </c>
      <c r="HK178" s="57">
        <f>1.2*1556.1</f>
        <v>1867.3199999999997</v>
      </c>
      <c r="HL178" s="44"/>
      <c r="HM178" s="81"/>
      <c r="HN178" s="92">
        <f>HP178/HO178</f>
        <v>26.675999999999998</v>
      </c>
      <c r="HO178" s="56">
        <v>43</v>
      </c>
      <c r="HP178" s="57">
        <f>1.2*955.89</f>
        <v>1147.068</v>
      </c>
      <c r="HQ178" s="44"/>
      <c r="HR178" s="81"/>
      <c r="HS178" s="92">
        <f>HU178/HT178</f>
        <v>20.483357142857141</v>
      </c>
      <c r="HT178" s="56">
        <v>56</v>
      </c>
      <c r="HU178" s="57">
        <f>1.2*955.89</f>
        <v>1147.068</v>
      </c>
      <c r="HV178" s="44"/>
      <c r="HW178" s="81"/>
      <c r="HX178" s="92">
        <f>HZ178/HY178</f>
        <v>22.23</v>
      </c>
      <c r="HY178" s="56">
        <v>43</v>
      </c>
      <c r="HZ178" s="57">
        <v>955.89</v>
      </c>
      <c r="IA178" s="44"/>
      <c r="IB178" s="81"/>
      <c r="IC178" s="92">
        <f>IE178/ID178</f>
        <v>26.675999999999995</v>
      </c>
      <c r="ID178" s="56">
        <v>42</v>
      </c>
      <c r="IE178" s="57">
        <f>1.2*933.66</f>
        <v>1120.3919999999998</v>
      </c>
      <c r="IF178" s="44"/>
      <c r="IG178" s="81"/>
      <c r="IH178" s="92">
        <f>IJ178/II178</f>
        <v>9.9866666666666664</v>
      </c>
      <c r="II178" s="56">
        <v>54</v>
      </c>
      <c r="IJ178" s="57">
        <f>1.2*449.4</f>
        <v>539.28</v>
      </c>
      <c r="IK178" s="44"/>
      <c r="IL178" s="81"/>
      <c r="IM178" s="92">
        <f>IO178/IN178</f>
        <v>9.9866666666666664</v>
      </c>
      <c r="IN178" s="56">
        <v>54</v>
      </c>
      <c r="IO178" s="57">
        <f>1.2*449.4</f>
        <v>539.28</v>
      </c>
      <c r="IP178" s="44"/>
      <c r="IQ178" s="81"/>
    </row>
    <row r="179" spans="1:251" s="264" customFormat="1" ht="15" customHeight="1" thickBot="1">
      <c r="A179" s="648"/>
      <c r="B179" s="257"/>
      <c r="C179" s="258"/>
      <c r="D179" s="20"/>
      <c r="E179" s="259"/>
      <c r="F179" s="23"/>
      <c r="G179" s="112"/>
      <c r="H179" s="177"/>
      <c r="I179" s="177"/>
      <c r="J179" s="48"/>
      <c r="K179" s="49"/>
      <c r="L179" s="112"/>
      <c r="M179" s="177"/>
      <c r="N179" s="177"/>
      <c r="O179" s="48"/>
      <c r="P179" s="49"/>
      <c r="Q179" s="112"/>
      <c r="R179" s="177"/>
      <c r="S179" s="177"/>
      <c r="T179" s="48"/>
      <c r="U179" s="49"/>
      <c r="V179" s="123"/>
      <c r="W179" s="177"/>
      <c r="X179" s="177"/>
      <c r="Y179" s="48"/>
      <c r="Z179" s="48"/>
      <c r="AA179" s="290"/>
      <c r="AB179" s="177"/>
      <c r="AC179" s="177"/>
      <c r="AD179" s="48"/>
      <c r="AE179" s="48"/>
      <c r="AF179" s="290"/>
      <c r="AG179" s="177"/>
      <c r="AH179" s="177"/>
      <c r="AI179" s="48"/>
      <c r="AJ179" s="48"/>
      <c r="AK179" s="290"/>
      <c r="AL179" s="177"/>
      <c r="AM179" s="177"/>
      <c r="AN179" s="48"/>
      <c r="AO179" s="48"/>
      <c r="AP179" s="290"/>
      <c r="AQ179" s="177"/>
      <c r="AR179" s="177"/>
      <c r="AS179" s="48"/>
      <c r="AT179" s="48"/>
      <c r="AU179" s="290"/>
      <c r="AV179" s="177"/>
      <c r="AW179" s="177"/>
      <c r="AX179" s="48"/>
      <c r="AY179" s="48"/>
      <c r="AZ179" s="290"/>
      <c r="BA179" s="177"/>
      <c r="BB179" s="177"/>
      <c r="BC179" s="48"/>
      <c r="BD179" s="48"/>
      <c r="BE179" s="290"/>
      <c r="BF179" s="177"/>
      <c r="BG179" s="177"/>
      <c r="BH179" s="48"/>
      <c r="BI179" s="48"/>
      <c r="BJ179" s="290"/>
      <c r="BK179" s="177"/>
      <c r="BL179" s="177"/>
      <c r="BM179" s="48"/>
      <c r="BN179" s="48"/>
      <c r="BO179" s="290"/>
      <c r="BP179" s="177"/>
      <c r="BQ179" s="177"/>
      <c r="BR179" s="48"/>
      <c r="BS179" s="48"/>
      <c r="BT179" s="290"/>
      <c r="BU179" s="177"/>
      <c r="BV179" s="177"/>
      <c r="BW179" s="48"/>
      <c r="BX179" s="48"/>
      <c r="BY179" s="290"/>
      <c r="BZ179" s="177"/>
      <c r="CA179" s="177"/>
      <c r="CB179" s="48"/>
      <c r="CC179" s="48"/>
      <c r="CD179" s="290"/>
      <c r="CE179" s="177"/>
      <c r="CF179" s="177"/>
      <c r="CG179" s="48"/>
      <c r="CH179" s="48"/>
      <c r="CI179" s="290"/>
      <c r="CJ179" s="177"/>
      <c r="CK179" s="177"/>
      <c r="CL179" s="48"/>
      <c r="CM179" s="48"/>
      <c r="CN179" s="290"/>
      <c r="CO179" s="177"/>
      <c r="CP179" s="177"/>
      <c r="CQ179" s="48"/>
      <c r="CR179" s="48"/>
      <c r="CS179" s="290"/>
      <c r="CT179" s="177"/>
      <c r="CU179" s="177"/>
      <c r="CV179" s="48"/>
      <c r="CW179" s="48"/>
      <c r="CX179" s="290"/>
      <c r="CY179" s="177"/>
      <c r="CZ179" s="177"/>
      <c r="DA179" s="48"/>
      <c r="DB179" s="48"/>
      <c r="DC179" s="290"/>
      <c r="DD179" s="172"/>
      <c r="DE179" s="172"/>
      <c r="DF179" s="179"/>
      <c r="DG179" s="48"/>
      <c r="DH179" s="290"/>
      <c r="DI179" s="172"/>
      <c r="DJ179" s="172">
        <f>1.2*2575.26</f>
        <v>3090.3120000000004</v>
      </c>
      <c r="DK179" s="179"/>
      <c r="DL179" s="48"/>
      <c r="DM179" s="290"/>
      <c r="DN179" s="172">
        <v>1</v>
      </c>
      <c r="DO179" s="172">
        <f>1.2*2086.79</f>
        <v>2504.1479999999997</v>
      </c>
      <c r="DP179" s="179"/>
      <c r="DQ179" s="48"/>
      <c r="DR179" s="290"/>
      <c r="DS179" s="177"/>
      <c r="DT179" s="177"/>
      <c r="DU179" s="48"/>
      <c r="DV179" s="48"/>
      <c r="DW179" s="290"/>
      <c r="DX179" s="172"/>
      <c r="DY179" s="172">
        <f>1.2*2104.52</f>
        <v>2525.424</v>
      </c>
      <c r="DZ179" s="179"/>
      <c r="EA179" s="48"/>
      <c r="EB179" s="290"/>
      <c r="EC179" s="177"/>
      <c r="ED179" s="177"/>
      <c r="EE179" s="48"/>
      <c r="EF179" s="48"/>
      <c r="EG179" s="290"/>
      <c r="EH179" s="177"/>
      <c r="EI179" s="177"/>
      <c r="EJ179" s="48"/>
      <c r="EK179" s="48"/>
      <c r="EL179" s="290"/>
      <c r="EM179" s="177"/>
      <c r="EN179" s="177"/>
      <c r="EO179" s="48"/>
      <c r="EP179" s="48"/>
      <c r="EQ179" s="290"/>
      <c r="ER179" s="177"/>
      <c r="ES179" s="177"/>
      <c r="ET179" s="48"/>
      <c r="EU179" s="48"/>
      <c r="EV179" s="290"/>
      <c r="EW179" s="177"/>
      <c r="EX179" s="177"/>
      <c r="EY179" s="48"/>
      <c r="EZ179" s="48"/>
      <c r="FA179" s="290"/>
      <c r="FB179" s="177"/>
      <c r="FC179" s="177"/>
      <c r="FD179" s="48"/>
      <c r="FE179" s="48"/>
      <c r="FF179" s="290"/>
      <c r="FG179" s="177"/>
      <c r="FH179" s="177"/>
      <c r="FI179" s="48"/>
      <c r="FJ179" s="48"/>
      <c r="FK179" s="290"/>
      <c r="FL179" s="177"/>
      <c r="FM179" s="177"/>
      <c r="FN179" s="48"/>
      <c r="FO179" s="48"/>
      <c r="FP179" s="290"/>
      <c r="FQ179" s="177"/>
      <c r="FR179" s="177"/>
      <c r="FS179" s="48"/>
      <c r="FT179" s="48"/>
      <c r="FU179" s="290"/>
      <c r="FV179" s="177"/>
      <c r="FW179" s="177"/>
      <c r="FX179" s="48"/>
      <c r="FY179" s="48"/>
      <c r="FZ179" s="290"/>
      <c r="GA179" s="177"/>
      <c r="GB179" s="177"/>
      <c r="GC179" s="48"/>
      <c r="GD179" s="48"/>
      <c r="GE179" s="290"/>
      <c r="GF179" s="177"/>
      <c r="GG179" s="177"/>
      <c r="GH179" s="48"/>
      <c r="GI179" s="48"/>
      <c r="GJ179" s="300"/>
      <c r="GK179" s="177"/>
      <c r="GL179" s="177"/>
      <c r="GM179" s="48"/>
      <c r="GN179" s="48"/>
      <c r="GO179" s="290"/>
      <c r="GP179" s="177"/>
      <c r="GQ179" s="177"/>
      <c r="GR179" s="48"/>
      <c r="GS179" s="48"/>
      <c r="GT179" s="290"/>
      <c r="GU179" s="177"/>
      <c r="GV179" s="177"/>
      <c r="GW179" s="48"/>
      <c r="GX179" s="48"/>
      <c r="GY179" s="290"/>
      <c r="GZ179" s="177"/>
      <c r="HA179" s="177"/>
      <c r="HB179" s="48"/>
      <c r="HC179" s="48"/>
      <c r="HD179" s="290"/>
      <c r="HE179" s="177"/>
      <c r="HF179" s="177"/>
      <c r="HG179" s="48"/>
      <c r="HH179" s="48"/>
      <c r="HI179" s="290"/>
      <c r="HJ179" s="177"/>
      <c r="HK179" s="177"/>
      <c r="HL179" s="48"/>
      <c r="HM179" s="48"/>
      <c r="HN179" s="290"/>
      <c r="HO179" s="177"/>
      <c r="HP179" s="177"/>
      <c r="HQ179" s="48"/>
      <c r="HR179" s="48"/>
      <c r="HS179" s="290"/>
      <c r="HT179" s="177"/>
      <c r="HU179" s="177"/>
      <c r="HV179" s="48"/>
      <c r="HW179" s="48"/>
      <c r="HX179" s="290"/>
      <c r="HY179" s="177"/>
      <c r="HZ179" s="177"/>
      <c r="IA179" s="48"/>
      <c r="IB179" s="48"/>
      <c r="IC179" s="290"/>
      <c r="ID179" s="177"/>
      <c r="IE179" s="177"/>
      <c r="IF179" s="48"/>
      <c r="IG179" s="48"/>
      <c r="IH179" s="290"/>
      <c r="II179" s="177"/>
      <c r="IJ179" s="177"/>
      <c r="IK179" s="48"/>
      <c r="IL179" s="48"/>
      <c r="IM179" s="290"/>
      <c r="IN179" s="177"/>
      <c r="IO179" s="177"/>
      <c r="IP179" s="48"/>
      <c r="IQ179" s="48"/>
    </row>
    <row r="180" spans="1:251" s="249" customFormat="1" ht="15" customHeight="1">
      <c r="A180" s="649"/>
      <c r="B180" s="288" t="s">
        <v>317</v>
      </c>
      <c r="C180" s="278" t="s">
        <v>94</v>
      </c>
      <c r="D180" s="301" t="s">
        <v>19</v>
      </c>
      <c r="E180" s="7" t="s">
        <v>10</v>
      </c>
      <c r="F180" s="4"/>
      <c r="G180" s="196"/>
      <c r="H180" s="197"/>
      <c r="I180" s="197"/>
      <c r="J180" s="38"/>
      <c r="K180" s="206"/>
      <c r="L180" s="196"/>
      <c r="M180" s="197"/>
      <c r="N180" s="197"/>
      <c r="O180" s="38"/>
      <c r="P180" s="206"/>
      <c r="Q180" s="196"/>
      <c r="R180" s="197"/>
      <c r="S180" s="197"/>
      <c r="T180" s="38"/>
      <c r="U180" s="206"/>
      <c r="V180" s="207"/>
      <c r="W180" s="197"/>
      <c r="X180" s="204">
        <v>3536.3</v>
      </c>
      <c r="Y180" s="38"/>
      <c r="Z180" s="385"/>
      <c r="AA180" s="36"/>
      <c r="AB180" s="197"/>
      <c r="AC180" s="204">
        <v>3757.5</v>
      </c>
      <c r="AD180" s="38"/>
      <c r="AE180" s="385">
        <v>870000</v>
      </c>
      <c r="AF180" s="36"/>
      <c r="AG180" s="204"/>
      <c r="AH180" s="204">
        <v>1990</v>
      </c>
      <c r="AI180" s="427"/>
      <c r="AJ180" s="384">
        <f>AJ181*1.1</f>
        <v>466249.28900000005</v>
      </c>
      <c r="AK180" s="36"/>
      <c r="AL180" s="204"/>
      <c r="AM180" s="204">
        <v>1545.6</v>
      </c>
      <c r="AN180" s="427"/>
      <c r="AO180" s="384">
        <f>AO181*1.2</f>
        <v>945566.49600000004</v>
      </c>
      <c r="AP180" s="36"/>
      <c r="AQ180" s="197"/>
      <c r="AR180" s="204">
        <v>883.3</v>
      </c>
      <c r="AS180" s="38"/>
      <c r="AT180" s="385"/>
      <c r="AU180" s="36"/>
      <c r="AV180" s="197"/>
      <c r="AW180" s="197"/>
      <c r="AX180" s="38"/>
      <c r="AY180" s="385"/>
      <c r="AZ180" s="36"/>
      <c r="BA180" s="197"/>
      <c r="BB180" s="197"/>
      <c r="BC180" s="38"/>
      <c r="BD180" s="385"/>
      <c r="BE180" s="36"/>
      <c r="BF180" s="197"/>
      <c r="BG180" s="197"/>
      <c r="BH180" s="38"/>
      <c r="BI180" s="385"/>
      <c r="BJ180" s="36"/>
      <c r="BK180" s="197"/>
      <c r="BL180" s="197"/>
      <c r="BM180" s="38"/>
      <c r="BN180" s="385"/>
      <c r="BO180" s="36"/>
      <c r="BP180" s="197"/>
      <c r="BQ180" s="197"/>
      <c r="BR180" s="38"/>
      <c r="BS180" s="385"/>
      <c r="BT180" s="36"/>
      <c r="BU180" s="197"/>
      <c r="BV180" s="197"/>
      <c r="BW180" s="38"/>
      <c r="BX180" s="385"/>
      <c r="BY180" s="36"/>
      <c r="BZ180" s="197"/>
      <c r="CA180" s="197"/>
      <c r="CB180" s="38"/>
      <c r="CC180" s="385"/>
      <c r="CD180" s="36"/>
      <c r="CE180" s="197"/>
      <c r="CF180" s="197"/>
      <c r="CG180" s="38"/>
      <c r="CH180" s="385"/>
      <c r="CI180" s="36"/>
      <c r="CJ180" s="197"/>
      <c r="CK180" s="197"/>
      <c r="CL180" s="38"/>
      <c r="CM180" s="385"/>
      <c r="CN180" s="36"/>
      <c r="CO180" s="197"/>
      <c r="CP180" s="197"/>
      <c r="CQ180" s="38"/>
      <c r="CR180" s="385"/>
      <c r="CS180" s="36"/>
      <c r="CT180" s="197"/>
      <c r="CU180" s="197"/>
      <c r="CV180" s="38"/>
      <c r="CW180" s="385"/>
      <c r="CX180" s="36"/>
      <c r="CY180" s="197"/>
      <c r="CZ180" s="197"/>
      <c r="DA180" s="38"/>
      <c r="DB180" s="385"/>
      <c r="DC180" s="36"/>
      <c r="DD180" s="197"/>
      <c r="DE180" s="197"/>
      <c r="DF180" s="38"/>
      <c r="DG180" s="385"/>
      <c r="DH180" s="36"/>
      <c r="DI180" s="197"/>
      <c r="DJ180" s="197"/>
      <c r="DK180" s="38"/>
      <c r="DL180" s="385"/>
      <c r="DM180" s="36"/>
      <c r="DN180" s="197"/>
      <c r="DO180" s="197"/>
      <c r="DP180" s="38"/>
      <c r="DQ180" s="385"/>
      <c r="DR180" s="36"/>
      <c r="DS180" s="197"/>
      <c r="DT180" s="197"/>
      <c r="DU180" s="38"/>
      <c r="DV180" s="385"/>
      <c r="DW180" s="36"/>
      <c r="DX180" s="197"/>
      <c r="DY180" s="197"/>
      <c r="DZ180" s="38"/>
      <c r="EA180" s="385"/>
      <c r="EB180" s="36"/>
      <c r="EC180" s="197"/>
      <c r="ED180" s="197"/>
      <c r="EE180" s="38"/>
      <c r="EF180" s="385"/>
      <c r="EG180" s="36"/>
      <c r="EH180" s="197"/>
      <c r="EI180" s="197"/>
      <c r="EJ180" s="38"/>
      <c r="EK180" s="385"/>
      <c r="EL180" s="36"/>
      <c r="EM180" s="197"/>
      <c r="EN180" s="197"/>
      <c r="EO180" s="38"/>
      <c r="EP180" s="385"/>
      <c r="EQ180" s="36"/>
      <c r="ER180" s="197"/>
      <c r="ES180" s="197"/>
      <c r="ET180" s="38"/>
      <c r="EU180" s="385"/>
      <c r="EV180" s="36"/>
      <c r="EW180" s="197"/>
      <c r="EX180" s="197"/>
      <c r="EY180" s="38"/>
      <c r="EZ180" s="385"/>
      <c r="FA180" s="36"/>
      <c r="FB180" s="197"/>
      <c r="FC180" s="197"/>
      <c r="FD180" s="38"/>
      <c r="FE180" s="385"/>
      <c r="FF180" s="36"/>
      <c r="FG180" s="197"/>
      <c r="FH180" s="197"/>
      <c r="FI180" s="38"/>
      <c r="FJ180" s="385"/>
      <c r="FK180" s="36"/>
      <c r="FL180" s="197"/>
      <c r="FM180" s="197"/>
      <c r="FN180" s="38"/>
      <c r="FO180" s="385"/>
      <c r="FP180" s="36"/>
      <c r="FQ180" s="197"/>
      <c r="FR180" s="197"/>
      <c r="FS180" s="38"/>
      <c r="FT180" s="385"/>
      <c r="FU180" s="36"/>
      <c r="FV180" s="197"/>
      <c r="FW180" s="197"/>
      <c r="FX180" s="38"/>
      <c r="FY180" s="385"/>
      <c r="FZ180" s="36"/>
      <c r="GA180" s="197"/>
      <c r="GB180" s="197"/>
      <c r="GC180" s="38"/>
      <c r="GD180" s="385"/>
      <c r="GE180" s="36"/>
      <c r="GF180" s="197"/>
      <c r="GG180" s="197"/>
      <c r="GH180" s="38"/>
      <c r="GI180" s="385"/>
      <c r="GJ180" s="280"/>
      <c r="GK180" s="197"/>
      <c r="GL180" s="197"/>
      <c r="GM180" s="38"/>
      <c r="GN180" s="385"/>
      <c r="GO180" s="36"/>
      <c r="GP180" s="197"/>
      <c r="GQ180" s="197"/>
      <c r="GR180" s="38"/>
      <c r="GS180" s="385"/>
      <c r="GT180" s="36"/>
      <c r="GU180" s="197"/>
      <c r="GV180" s="197"/>
      <c r="GW180" s="38"/>
      <c r="GX180" s="385"/>
      <c r="GY180" s="36"/>
      <c r="GZ180" s="197"/>
      <c r="HA180" s="197"/>
      <c r="HB180" s="38"/>
      <c r="HC180" s="385"/>
      <c r="HD180" s="36"/>
      <c r="HE180" s="197"/>
      <c r="HF180" s="197"/>
      <c r="HG180" s="38"/>
      <c r="HH180" s="385"/>
      <c r="HI180" s="36"/>
      <c r="HJ180" s="197"/>
      <c r="HK180" s="197"/>
      <c r="HL180" s="38"/>
      <c r="HM180" s="385"/>
      <c r="HN180" s="36"/>
      <c r="HO180" s="197"/>
      <c r="HP180" s="197"/>
      <c r="HQ180" s="38"/>
      <c r="HR180" s="385"/>
      <c r="HS180" s="36"/>
      <c r="HT180" s="197"/>
      <c r="HU180" s="197"/>
      <c r="HV180" s="38"/>
      <c r="HW180" s="385"/>
      <c r="HX180" s="36"/>
      <c r="HY180" s="197"/>
      <c r="HZ180" s="197"/>
      <c r="IA180" s="38"/>
      <c r="IB180" s="385"/>
      <c r="IC180" s="36"/>
      <c r="ID180" s="197"/>
      <c r="IE180" s="197"/>
      <c r="IF180" s="38"/>
      <c r="IG180" s="385"/>
      <c r="IH180" s="36"/>
      <c r="II180" s="197"/>
      <c r="IJ180" s="197"/>
      <c r="IK180" s="38"/>
      <c r="IL180" s="385"/>
      <c r="IM180" s="36"/>
      <c r="IN180" s="197"/>
      <c r="IO180" s="197"/>
      <c r="IP180" s="38"/>
      <c r="IQ180" s="385"/>
    </row>
    <row r="181" spans="1:251" ht="2.25" customHeight="1">
      <c r="A181" s="647"/>
      <c r="B181" s="276"/>
      <c r="C181" s="228">
        <v>30183664</v>
      </c>
      <c r="D181" s="229" t="s">
        <v>391</v>
      </c>
      <c r="E181" s="230" t="s">
        <v>390</v>
      </c>
      <c r="F181" s="27"/>
      <c r="G181" s="103"/>
      <c r="H181" s="57"/>
      <c r="I181" s="57"/>
      <c r="J181" s="44"/>
      <c r="K181" s="86"/>
      <c r="L181" s="103"/>
      <c r="M181" s="57"/>
      <c r="N181" s="57"/>
      <c r="O181" s="44"/>
      <c r="P181" s="86"/>
      <c r="Q181" s="103"/>
      <c r="R181" s="57"/>
      <c r="S181" s="57"/>
      <c r="T181" s="44"/>
      <c r="U181" s="86"/>
      <c r="V181" s="47"/>
      <c r="W181" s="57"/>
      <c r="X181" s="57"/>
      <c r="Y181" s="44"/>
      <c r="Z181" s="44"/>
      <c r="AA181" s="46"/>
      <c r="AB181" s="57"/>
      <c r="AC181" s="57"/>
      <c r="AD181" s="44"/>
      <c r="AE181" s="44"/>
      <c r="AF181" s="46"/>
      <c r="AG181" s="57"/>
      <c r="AH181" s="57"/>
      <c r="AI181" s="44"/>
      <c r="AJ181" s="403">
        <f>SUM(AH180:AH184)</f>
        <v>423862.99</v>
      </c>
      <c r="AK181" s="46"/>
      <c r="AL181" s="57"/>
      <c r="AM181" s="57"/>
      <c r="AN181" s="44"/>
      <c r="AO181" s="403">
        <f>SUM(AM180:AM184)+AN182</f>
        <v>787972.08000000007</v>
      </c>
      <c r="AP181" s="46"/>
      <c r="AQ181" s="57"/>
      <c r="AR181" s="57"/>
      <c r="AS181" s="44"/>
      <c r="AT181" s="44"/>
      <c r="AU181" s="46"/>
      <c r="AV181" s="57"/>
      <c r="AW181" s="57"/>
      <c r="AX181" s="44"/>
      <c r="AY181" s="44"/>
      <c r="AZ181" s="46"/>
      <c r="BA181" s="57"/>
      <c r="BB181" s="57"/>
      <c r="BC181" s="44"/>
      <c r="BD181" s="44"/>
      <c r="BE181" s="46"/>
      <c r="BF181" s="57"/>
      <c r="BG181" s="57"/>
      <c r="BH181" s="44"/>
      <c r="BI181" s="44"/>
      <c r="BJ181" s="46"/>
      <c r="BK181" s="57"/>
      <c r="BL181" s="57"/>
      <c r="BM181" s="44"/>
      <c r="BN181" s="44"/>
      <c r="BO181" s="46"/>
      <c r="BP181" s="74">
        <v>1</v>
      </c>
      <c r="BQ181" s="74">
        <v>25000.02</v>
      </c>
      <c r="BR181" s="81"/>
      <c r="BS181" s="44"/>
      <c r="BT181" s="46"/>
      <c r="BU181" s="74">
        <v>1</v>
      </c>
      <c r="BV181" s="74">
        <v>25000.02</v>
      </c>
      <c r="BW181" s="81"/>
      <c r="BX181" s="44"/>
      <c r="BY181" s="46"/>
      <c r="BZ181" s="57"/>
      <c r="CA181" s="74">
        <v>25000.02</v>
      </c>
      <c r="CB181" s="44"/>
      <c r="CC181" s="44"/>
      <c r="CD181" s="46"/>
      <c r="CE181" s="57"/>
      <c r="CF181" s="74">
        <v>25000.02</v>
      </c>
      <c r="CG181" s="44"/>
      <c r="CH181" s="44"/>
      <c r="CI181" s="46"/>
      <c r="CJ181" s="57"/>
      <c r="CK181" s="74">
        <v>25000.02</v>
      </c>
      <c r="CL181" s="44"/>
      <c r="CM181" s="44"/>
      <c r="CN181" s="46"/>
      <c r="CO181" s="57"/>
      <c r="CP181" s="74">
        <v>25000.02</v>
      </c>
      <c r="CQ181" s="44"/>
      <c r="CR181" s="44"/>
      <c r="CS181" s="46"/>
      <c r="CT181" s="74"/>
      <c r="CU181" s="74">
        <v>25000.02</v>
      </c>
      <c r="CV181" s="81"/>
      <c r="CW181" s="44"/>
      <c r="CX181" s="46"/>
      <c r="CY181" s="57"/>
      <c r="CZ181" s="57"/>
      <c r="DA181" s="44"/>
      <c r="DB181" s="44"/>
      <c r="DC181" s="46"/>
      <c r="DD181" s="57"/>
      <c r="DE181" s="57"/>
      <c r="DF181" s="44"/>
      <c r="DG181" s="44"/>
      <c r="DH181" s="406"/>
      <c r="DI181" s="74">
        <v>1</v>
      </c>
      <c r="DJ181" s="74">
        <v>25000.02</v>
      </c>
      <c r="DK181" s="81"/>
      <c r="DL181" s="44"/>
      <c r="DM181" s="406"/>
      <c r="DN181" s="74">
        <v>1</v>
      </c>
      <c r="DO181" s="74">
        <v>25000.02</v>
      </c>
      <c r="DP181" s="81"/>
      <c r="DQ181" s="44"/>
      <c r="DR181" s="406"/>
      <c r="DS181" s="74">
        <v>1</v>
      </c>
      <c r="DT181" s="74">
        <v>25000.02</v>
      </c>
      <c r="DU181" s="81"/>
      <c r="DV181" s="44"/>
      <c r="DW181" s="406"/>
      <c r="DX181" s="74">
        <v>1</v>
      </c>
      <c r="DY181" s="74">
        <v>25000.02</v>
      </c>
      <c r="DZ181" s="81"/>
      <c r="EA181" s="44"/>
      <c r="EB181" s="406"/>
      <c r="EC181" s="74">
        <v>1</v>
      </c>
      <c r="ED181" s="74">
        <v>25000.02</v>
      </c>
      <c r="EE181" s="81"/>
      <c r="EF181" s="44"/>
      <c r="EG181" s="46"/>
      <c r="EH181" s="57"/>
      <c r="EI181" s="57">
        <v>25000.02</v>
      </c>
      <c r="EJ181" s="44"/>
      <c r="EK181" s="44"/>
      <c r="EL181" s="46"/>
      <c r="EM181" s="57"/>
      <c r="EN181" s="57">
        <v>25000.02</v>
      </c>
      <c r="EO181" s="44"/>
      <c r="EP181" s="44"/>
      <c r="EQ181" s="46"/>
      <c r="ER181" s="57"/>
      <c r="ES181" s="57">
        <v>25000.02</v>
      </c>
      <c r="ET181" s="44"/>
      <c r="EU181" s="44"/>
      <c r="EV181" s="46"/>
      <c r="EW181" s="57"/>
      <c r="EX181" s="57">
        <v>25000.02</v>
      </c>
      <c r="EY181" s="44"/>
      <c r="EZ181" s="44"/>
      <c r="FA181" s="46"/>
      <c r="FB181" s="57"/>
      <c r="FC181" s="57">
        <v>25000.02</v>
      </c>
      <c r="FD181" s="44"/>
      <c r="FE181" s="44"/>
      <c r="FF181" s="46"/>
      <c r="FG181" s="57"/>
      <c r="FH181" s="57"/>
      <c r="FI181" s="44"/>
      <c r="FJ181" s="44"/>
      <c r="FK181" s="46"/>
      <c r="FL181" s="57"/>
      <c r="FM181" s="57"/>
      <c r="FN181" s="44"/>
      <c r="FO181" s="44"/>
      <c r="FP181" s="46"/>
      <c r="FQ181" s="57"/>
      <c r="FR181" s="57"/>
      <c r="FS181" s="44"/>
      <c r="FT181" s="44"/>
      <c r="FU181" s="46"/>
      <c r="FV181" s="57"/>
      <c r="FW181" s="57"/>
      <c r="FX181" s="44"/>
      <c r="FY181" s="44"/>
      <c r="FZ181" s="46"/>
      <c r="GA181" s="57"/>
      <c r="GB181" s="57"/>
      <c r="GC181" s="44"/>
      <c r="GD181" s="44"/>
      <c r="GE181" s="46"/>
      <c r="GF181" s="57"/>
      <c r="GG181" s="57"/>
      <c r="GH181" s="44"/>
      <c r="GI181" s="44"/>
      <c r="GJ181" s="97"/>
      <c r="GK181" s="57">
        <v>1</v>
      </c>
      <c r="GL181" s="57">
        <v>25000.02</v>
      </c>
      <c r="GM181" s="44"/>
      <c r="GN181" s="44"/>
      <c r="GO181" s="46"/>
      <c r="GP181" s="57"/>
      <c r="GQ181" s="57">
        <v>25000.02</v>
      </c>
      <c r="GR181" s="44"/>
      <c r="GS181" s="44"/>
      <c r="GT181" s="46"/>
      <c r="GU181" s="57"/>
      <c r="GV181" s="57">
        <v>25000.02</v>
      </c>
      <c r="GW181" s="44"/>
      <c r="GX181" s="44"/>
      <c r="GY181" s="46"/>
      <c r="GZ181" s="57"/>
      <c r="HA181" s="57">
        <v>25000.02</v>
      </c>
      <c r="HB181" s="44"/>
      <c r="HC181" s="44"/>
      <c r="HD181" s="46"/>
      <c r="HE181" s="57"/>
      <c r="HF181" s="57">
        <v>25000.02</v>
      </c>
      <c r="HG181" s="44"/>
      <c r="HH181" s="44"/>
      <c r="HI181" s="46"/>
      <c r="HJ181" s="57"/>
      <c r="HK181" s="57">
        <v>25000.02</v>
      </c>
      <c r="HL181" s="44"/>
      <c r="HM181" s="44"/>
      <c r="HN181" s="46"/>
      <c r="HO181" s="57"/>
      <c r="HP181" s="57"/>
      <c r="HQ181" s="44"/>
      <c r="HR181" s="44"/>
      <c r="HS181" s="46"/>
      <c r="HT181" s="57"/>
      <c r="HU181" s="57"/>
      <c r="HV181" s="44"/>
      <c r="HW181" s="44"/>
      <c r="HX181" s="46"/>
      <c r="HY181" s="57"/>
      <c r="HZ181" s="57"/>
      <c r="IA181" s="44"/>
      <c r="IB181" s="44"/>
      <c r="IC181" s="46"/>
      <c r="ID181" s="57"/>
      <c r="IE181" s="57"/>
      <c r="IF181" s="44"/>
      <c r="IG181" s="44"/>
      <c r="IH181" s="46"/>
      <c r="II181" s="57"/>
      <c r="IJ181" s="57"/>
      <c r="IK181" s="44"/>
      <c r="IL181" s="44"/>
      <c r="IM181" s="46"/>
      <c r="IN181" s="57"/>
      <c r="IO181" s="57"/>
      <c r="IP181" s="44"/>
      <c r="IQ181" s="44"/>
    </row>
    <row r="182" spans="1:251" ht="15" customHeight="1">
      <c r="A182" s="647"/>
      <c r="B182" s="276"/>
      <c r="C182" s="228">
        <v>44878589</v>
      </c>
      <c r="D182" s="1536" t="s">
        <v>378</v>
      </c>
      <c r="E182" s="221" t="s">
        <v>13</v>
      </c>
      <c r="F182" s="29"/>
      <c r="G182" s="110">
        <f>I182/H182</f>
        <v>4.3588100026562442</v>
      </c>
      <c r="H182" s="57">
        <v>39529.5</v>
      </c>
      <c r="I182" s="57">
        <v>172301.58</v>
      </c>
      <c r="J182" s="44"/>
      <c r="K182" s="86"/>
      <c r="L182" s="110">
        <f>N182/M182</f>
        <v>4.3588100026562442</v>
      </c>
      <c r="M182" s="57">
        <v>39529.5</v>
      </c>
      <c r="N182" s="57">
        <v>172301.58</v>
      </c>
      <c r="O182" s="44"/>
      <c r="P182" s="86"/>
      <c r="Q182" s="110">
        <f>S182/R182</f>
        <v>4.3588100026562442</v>
      </c>
      <c r="R182" s="57">
        <v>39529.5</v>
      </c>
      <c r="S182" s="57">
        <v>172301.58</v>
      </c>
      <c r="T182" s="44"/>
      <c r="U182" s="86"/>
      <c r="V182" s="121">
        <f>X182/W182</f>
        <v>4.3588100026562442</v>
      </c>
      <c r="W182" s="57">
        <v>39529.5</v>
      </c>
      <c r="X182" s="57">
        <v>172301.58</v>
      </c>
      <c r="Y182" s="44"/>
      <c r="Z182" s="44"/>
      <c r="AA182" s="98">
        <f>AC182/AB182</f>
        <v>4.3588100026562442</v>
      </c>
      <c r="AB182" s="57">
        <v>39529.5</v>
      </c>
      <c r="AC182" s="57">
        <v>172301.58</v>
      </c>
      <c r="AD182" s="44"/>
      <c r="AE182" s="44"/>
      <c r="AF182" s="98"/>
      <c r="AG182" s="74">
        <v>1</v>
      </c>
      <c r="AH182" s="144">
        <v>420000</v>
      </c>
      <c r="AI182" s="81"/>
      <c r="AJ182" s="81"/>
      <c r="AK182" s="98" t="e">
        <f>AM182/AL182</f>
        <v>#DIV/0!</v>
      </c>
      <c r="AL182" s="74">
        <v>0</v>
      </c>
      <c r="AM182" s="74">
        <v>420000</v>
      </c>
      <c r="AN182" s="81">
        <f>182732.76*2</f>
        <v>365465.52</v>
      </c>
      <c r="AO182" s="81"/>
      <c r="AP182" s="98"/>
      <c r="AQ182" s="57">
        <v>0</v>
      </c>
      <c r="AR182" s="57">
        <v>0</v>
      </c>
      <c r="AS182" s="81">
        <v>224986.68</v>
      </c>
      <c r="AT182" s="44"/>
      <c r="AU182" s="98"/>
      <c r="AV182" s="57"/>
      <c r="AW182" s="57"/>
      <c r="AX182" s="44"/>
      <c r="AY182" s="44"/>
      <c r="AZ182" s="98"/>
      <c r="BA182" s="57"/>
      <c r="BB182" s="57"/>
      <c r="BC182" s="81" t="s">
        <v>354</v>
      </c>
      <c r="BD182" s="44"/>
      <c r="BE182" s="98">
        <f>BG182/BF182</f>
        <v>7.1203884476534292</v>
      </c>
      <c r="BF182" s="522">
        <v>2770</v>
      </c>
      <c r="BG182" s="522">
        <v>19723.475999999999</v>
      </c>
      <c r="BH182" s="81" t="s">
        <v>354</v>
      </c>
      <c r="BI182" s="44"/>
      <c r="BJ182" s="98">
        <f>BL182/BK182</f>
        <v>6.2700806577916985</v>
      </c>
      <c r="BK182" s="522">
        <f>1.2*(5071+7699)</f>
        <v>15324</v>
      </c>
      <c r="BL182" s="522">
        <f>(48273.35+31795.58)*1.2</f>
        <v>96082.715999999986</v>
      </c>
      <c r="BM182" s="81">
        <v>164755.70000000001</v>
      </c>
      <c r="BN182" s="44"/>
      <c r="BO182" s="98">
        <f>BQ182/BP182</f>
        <v>7.0861198467432951</v>
      </c>
      <c r="BP182" s="553">
        <f>15146+4429</f>
        <v>19575</v>
      </c>
      <c r="BQ182" s="522">
        <f>115592.33*1.2</f>
        <v>138710.796</v>
      </c>
      <c r="BR182" s="44"/>
      <c r="BS182" s="44"/>
      <c r="BT182" s="98">
        <f>BV182/BU182</f>
        <v>7.0130005268703899</v>
      </c>
      <c r="BU182" s="553">
        <v>26572</v>
      </c>
      <c r="BV182" s="522">
        <v>186349.45</v>
      </c>
      <c r="BW182" s="130">
        <f>117896.76+68452.69</f>
        <v>186349.45</v>
      </c>
      <c r="BX182" s="44"/>
      <c r="BY182" s="98">
        <f>CA182/BZ182</f>
        <v>6.6231839708561022</v>
      </c>
      <c r="BZ182" s="522">
        <v>19215</v>
      </c>
      <c r="CA182" s="522">
        <v>127264.48</v>
      </c>
      <c r="CB182" s="130">
        <v>105341.6</v>
      </c>
      <c r="CC182" s="44"/>
      <c r="CD182" s="98">
        <f>CF182/CE182</f>
        <v>6.4699321235628204</v>
      </c>
      <c r="CE182" s="553">
        <v>21657</v>
      </c>
      <c r="CF182" s="524">
        <f>1.2*116766.1</f>
        <v>140119.32</v>
      </c>
      <c r="CG182" s="74" t="s">
        <v>469</v>
      </c>
      <c r="CH182" s="44"/>
      <c r="CI182" s="98">
        <f>CK182/CJ182</f>
        <v>6.7323119811238312</v>
      </c>
      <c r="CJ182" s="522">
        <v>22886</v>
      </c>
      <c r="CK182" s="524">
        <f>1.2*128396.41</f>
        <v>154075.69200000001</v>
      </c>
      <c r="CL182" s="372">
        <f>71000+61920</f>
        <v>132920</v>
      </c>
      <c r="CM182" s="44"/>
      <c r="CN182" s="98">
        <f>CP182/CO182</f>
        <v>7.6846321218470459</v>
      </c>
      <c r="CO182" s="553">
        <v>24818</v>
      </c>
      <c r="CP182" s="522">
        <f>158931*1.2</f>
        <v>190717.19999999998</v>
      </c>
      <c r="CQ182" s="81">
        <f>83234.52+83234.52</f>
        <v>166469.04</v>
      </c>
      <c r="CR182" s="44"/>
      <c r="CS182" s="98">
        <f>CU182/CT182</f>
        <v>8.6037358523725835</v>
      </c>
      <c r="CT182" s="524">
        <v>22760</v>
      </c>
      <c r="CU182" s="524">
        <f>1.2*163184.19</f>
        <v>195821.02799999999</v>
      </c>
      <c r="CV182" s="81">
        <v>185109</v>
      </c>
      <c r="CW182" s="44"/>
      <c r="CX182" s="98">
        <f>CZ182/CY182</f>
        <v>9.4514520486267433</v>
      </c>
      <c r="CY182" s="553">
        <v>26652</v>
      </c>
      <c r="CZ182" s="522">
        <f>1.2*209916.75</f>
        <v>251900.09999999998</v>
      </c>
      <c r="DA182" s="81">
        <f>149838.55+99892.37</f>
        <v>249730.91999999998</v>
      </c>
      <c r="DB182" s="44"/>
      <c r="DC182" s="98">
        <f>DE182/DD182</f>
        <v>9.3506758637988341</v>
      </c>
      <c r="DD182" s="553">
        <v>31894</v>
      </c>
      <c r="DE182" s="522">
        <f>1.2*248525.38</f>
        <v>298230.45600000001</v>
      </c>
      <c r="DF182" s="81">
        <f>190742.84+10000</f>
        <v>200742.84</v>
      </c>
      <c r="DG182" s="44"/>
      <c r="DH182" s="98">
        <f>DJ182/DI182</f>
        <v>9.4576681137591923</v>
      </c>
      <c r="DI182" s="522">
        <v>22574</v>
      </c>
      <c r="DJ182" s="522">
        <f>177914.5*1.2</f>
        <v>213497.4</v>
      </c>
      <c r="DK182" s="44"/>
      <c r="DL182" s="44"/>
      <c r="DM182" s="98">
        <f>DO182/DN182</f>
        <v>9.5571721369960745</v>
      </c>
      <c r="DN182" s="553">
        <v>22424</v>
      </c>
      <c r="DO182" s="524">
        <f>1.2*178591.69</f>
        <v>214310.02799999999</v>
      </c>
      <c r="DP182" s="81">
        <v>249151.14</v>
      </c>
      <c r="DQ182" s="44"/>
      <c r="DR182" s="98">
        <f>DT182/DS182</f>
        <v>9.3549360371458352</v>
      </c>
      <c r="DS182" s="553">
        <v>31659</v>
      </c>
      <c r="DT182" s="524">
        <f>1.2*246806.6</f>
        <v>296167.92</v>
      </c>
      <c r="DU182" s="81">
        <v>161486.85</v>
      </c>
      <c r="DV182" s="44"/>
      <c r="DW182" s="98">
        <f>DY182/DX182</f>
        <v>9.8748840322247471</v>
      </c>
      <c r="DX182" s="553">
        <v>24205</v>
      </c>
      <c r="DY182" s="524">
        <f>1.2*199184.64</f>
        <v>239021.568</v>
      </c>
      <c r="DZ182" s="44">
        <v>160019.37</v>
      </c>
      <c r="EA182" s="44"/>
      <c r="EB182" s="98">
        <f>ED182/EC182</f>
        <v>9.892128006308317</v>
      </c>
      <c r="EC182" s="553">
        <v>30436</v>
      </c>
      <c r="ED182" s="522">
        <f>1.2*250897.34</f>
        <v>301076.80799999996</v>
      </c>
      <c r="EE182" s="130">
        <f>153868.5+153868.5</f>
        <v>307737</v>
      </c>
      <c r="EF182" s="44"/>
      <c r="EG182" s="98">
        <f>EI182/EH182</f>
        <v>10.20437994244911</v>
      </c>
      <c r="EH182" s="553">
        <v>37532</v>
      </c>
      <c r="EI182" s="522">
        <f>1.2*319158.99</f>
        <v>382990.788</v>
      </c>
      <c r="EJ182" s="420">
        <f>144288.94+144288.94</f>
        <v>288577.88</v>
      </c>
      <c r="EK182" s="44"/>
      <c r="EL182" s="98">
        <f>EN182/EM182</f>
        <v>9.4043999024892333</v>
      </c>
      <c r="EM182" s="553">
        <v>36919</v>
      </c>
      <c r="EN182" s="524">
        <f>1.2*289334.2</f>
        <v>347201.04</v>
      </c>
      <c r="EO182" s="57" t="s">
        <v>469</v>
      </c>
      <c r="EP182" s="44"/>
      <c r="EQ182" s="98">
        <f>ES182/ER182</f>
        <v>8.3375398256597677</v>
      </c>
      <c r="ER182" s="610">
        <v>33383</v>
      </c>
      <c r="ES182" s="134">
        <f>1.2*231943.41</f>
        <v>278332.092</v>
      </c>
      <c r="ET182" s="509">
        <f>71000+61920</f>
        <v>132920</v>
      </c>
      <c r="EU182" s="44"/>
      <c r="EV182" s="98">
        <f>EX182/EW182</f>
        <v>8.5468078775121814</v>
      </c>
      <c r="EW182" s="553">
        <v>34681</v>
      </c>
      <c r="EX182" s="522">
        <f>247009.87*1.2</f>
        <v>296411.84399999998</v>
      </c>
      <c r="EY182" s="44">
        <f>83234.52+83234.52</f>
        <v>166469.04</v>
      </c>
      <c r="EZ182" s="44"/>
      <c r="FA182" s="98">
        <f>FC182/FB182</f>
        <v>8.6037358523725835</v>
      </c>
      <c r="FB182" s="72">
        <v>22760</v>
      </c>
      <c r="FC182" s="72">
        <f>1.2*163184.19</f>
        <v>195821.02799999999</v>
      </c>
      <c r="FD182" s="44">
        <v>185109</v>
      </c>
      <c r="FE182" s="44"/>
      <c r="FF182" s="98">
        <f>FH182/FG182</f>
        <v>9.4514520486267433</v>
      </c>
      <c r="FG182" s="1420">
        <v>26652</v>
      </c>
      <c r="FH182" s="57">
        <f>1.2*209916.75</f>
        <v>251900.09999999998</v>
      </c>
      <c r="FI182" s="44">
        <f>149838.55+99892.37</f>
        <v>249730.91999999998</v>
      </c>
      <c r="FJ182" s="44"/>
      <c r="FK182" s="98">
        <f>FM182/FL182</f>
        <v>9.3506758637988341</v>
      </c>
      <c r="FL182" s="1420">
        <v>31894</v>
      </c>
      <c r="FM182" s="57">
        <f>1.2*248525.38</f>
        <v>298230.45600000001</v>
      </c>
      <c r="FN182" s="44">
        <f>190742.84+10000</f>
        <v>200742.84</v>
      </c>
      <c r="FO182" s="44"/>
      <c r="FP182" s="98">
        <f>FR182/FQ182</f>
        <v>9.4576681137591923</v>
      </c>
      <c r="FQ182" s="57">
        <v>22574</v>
      </c>
      <c r="FR182" s="57">
        <f>177914.5*1.2</f>
        <v>213497.4</v>
      </c>
      <c r="FS182" s="44"/>
      <c r="FT182" s="44"/>
      <c r="FU182" s="98">
        <f>FW182/FV182</f>
        <v>9.5571721369960745</v>
      </c>
      <c r="FV182" s="1420">
        <v>22424</v>
      </c>
      <c r="FW182" s="72">
        <f>1.2*178591.69</f>
        <v>214310.02799999999</v>
      </c>
      <c r="FX182" s="44">
        <v>249151.14</v>
      </c>
      <c r="FY182" s="44"/>
      <c r="FZ182" s="98">
        <f>GB182/GA182</f>
        <v>4.3588100026562442</v>
      </c>
      <c r="GA182" s="57">
        <v>39529.5</v>
      </c>
      <c r="GB182" s="57">
        <v>172301.58</v>
      </c>
      <c r="GC182" s="44">
        <v>161486.85</v>
      </c>
      <c r="GD182" s="44"/>
      <c r="GE182" s="98">
        <f>GG182/GF182</f>
        <v>4.3588100026562442</v>
      </c>
      <c r="GF182" s="57">
        <v>39529.5</v>
      </c>
      <c r="GG182" s="57">
        <v>172301.58</v>
      </c>
      <c r="GH182" s="44"/>
      <c r="GI182" s="44"/>
      <c r="GJ182" s="98">
        <f>GL182/GK182</f>
        <v>9.892128006308317</v>
      </c>
      <c r="GK182" s="1420">
        <v>30436</v>
      </c>
      <c r="GL182" s="57">
        <f>1.2*250897.34</f>
        <v>301076.80799999996</v>
      </c>
      <c r="GM182" s="64">
        <f>153868.5+153868.5</f>
        <v>307737</v>
      </c>
      <c r="GN182" s="44"/>
      <c r="GO182" s="98">
        <f>GQ182/GP182</f>
        <v>10.20437994244911</v>
      </c>
      <c r="GP182" s="1420">
        <v>37532</v>
      </c>
      <c r="GQ182" s="57">
        <f>1.2*319158.99</f>
        <v>382990.788</v>
      </c>
      <c r="GR182" s="64">
        <f>144288.94+144288.94</f>
        <v>288577.88</v>
      </c>
      <c r="GS182" s="44"/>
      <c r="GT182" s="98">
        <f>GV182/GU182</f>
        <v>9.4043999024892333</v>
      </c>
      <c r="GU182" s="1420">
        <v>36919</v>
      </c>
      <c r="GV182" s="72">
        <f>1.2*289334.2</f>
        <v>347201.04</v>
      </c>
      <c r="GW182" s="57" t="s">
        <v>469</v>
      </c>
      <c r="GX182" s="44"/>
      <c r="GY182" s="98">
        <f>HA182/GZ182</f>
        <v>8.3375398256597677</v>
      </c>
      <c r="GZ182" s="1420">
        <v>33383</v>
      </c>
      <c r="HA182" s="72">
        <f>1.2*231943.41</f>
        <v>278332.092</v>
      </c>
      <c r="HB182" s="509">
        <f>71000+61920</f>
        <v>132920</v>
      </c>
      <c r="HC182" s="44"/>
      <c r="HD182" s="98">
        <f>HF182/HE182</f>
        <v>8.5468078775121814</v>
      </c>
      <c r="HE182" s="1420">
        <v>34681</v>
      </c>
      <c r="HF182" s="57">
        <f>247009.87*1.2</f>
        <v>296411.84399999998</v>
      </c>
      <c r="HG182" s="44">
        <f>83234.52+83234.52</f>
        <v>166469.04</v>
      </c>
      <c r="HH182" s="44"/>
      <c r="HI182" s="98">
        <f>HK182/HJ182</f>
        <v>8.6037358523725835</v>
      </c>
      <c r="HJ182" s="72">
        <v>22760</v>
      </c>
      <c r="HK182" s="72">
        <f>1.2*163184.19</f>
        <v>195821.02799999999</v>
      </c>
      <c r="HL182" s="44">
        <v>185109</v>
      </c>
      <c r="HM182" s="44"/>
      <c r="HN182" s="98">
        <f>HP182/HO182</f>
        <v>9.4514520486267433</v>
      </c>
      <c r="HO182" s="1420">
        <v>26652</v>
      </c>
      <c r="HP182" s="57">
        <f>1.2*209916.75</f>
        <v>251900.09999999998</v>
      </c>
      <c r="HQ182" s="44">
        <f>149838.55+99892.37</f>
        <v>249730.91999999998</v>
      </c>
      <c r="HR182" s="44"/>
      <c r="HS182" s="98">
        <f>HU182/HT182</f>
        <v>9.3506758637988341</v>
      </c>
      <c r="HT182" s="1420">
        <v>31894</v>
      </c>
      <c r="HU182" s="57">
        <f>1.2*248525.38</f>
        <v>298230.45600000001</v>
      </c>
      <c r="HV182" s="44">
        <f>190742.84+10000</f>
        <v>200742.84</v>
      </c>
      <c r="HW182" s="44"/>
      <c r="HX182" s="98">
        <f>HZ182/HY182</f>
        <v>9.4576681137591923</v>
      </c>
      <c r="HY182" s="57">
        <v>22574</v>
      </c>
      <c r="HZ182" s="57">
        <f>177914.5*1.2</f>
        <v>213497.4</v>
      </c>
      <c r="IA182" s="44"/>
      <c r="IB182" s="44"/>
      <c r="IC182" s="98">
        <f>IE182/ID182</f>
        <v>9.5571721369960745</v>
      </c>
      <c r="ID182" s="1420">
        <v>22424</v>
      </c>
      <c r="IE182" s="72">
        <f>1.2*178591.69</f>
        <v>214310.02799999999</v>
      </c>
      <c r="IF182" s="44">
        <v>249151.14</v>
      </c>
      <c r="IG182" s="44"/>
      <c r="IH182" s="98">
        <f>IJ182/II182</f>
        <v>4.3588100026562442</v>
      </c>
      <c r="II182" s="57">
        <v>39529.5</v>
      </c>
      <c r="IJ182" s="57">
        <v>172301.58</v>
      </c>
      <c r="IK182" s="44">
        <v>161486.85</v>
      </c>
      <c r="IL182" s="44"/>
      <c r="IM182" s="98">
        <f>IO182/IN182</f>
        <v>4.3588100026562442</v>
      </c>
      <c r="IN182" s="57">
        <v>39529.5</v>
      </c>
      <c r="IO182" s="57">
        <v>172301.58</v>
      </c>
      <c r="IP182" s="44"/>
      <c r="IQ182" s="44"/>
    </row>
    <row r="183" spans="1:251" ht="15" customHeight="1">
      <c r="A183" s="647"/>
      <c r="B183" s="276"/>
      <c r="C183" s="228">
        <v>23243188</v>
      </c>
      <c r="D183" s="229" t="s">
        <v>38</v>
      </c>
      <c r="E183" s="231" t="s">
        <v>15</v>
      </c>
      <c r="F183" s="29"/>
      <c r="G183" s="103"/>
      <c r="H183" s="57"/>
      <c r="I183" s="57"/>
      <c r="J183" s="44"/>
      <c r="K183" s="86"/>
      <c r="L183" s="103"/>
      <c r="M183" s="57"/>
      <c r="N183" s="57"/>
      <c r="O183" s="44"/>
      <c r="P183" s="86"/>
      <c r="Q183" s="103"/>
      <c r="R183" s="57"/>
      <c r="S183" s="57"/>
      <c r="T183" s="44"/>
      <c r="U183" s="86"/>
      <c r="V183" s="47"/>
      <c r="W183" s="57"/>
      <c r="X183" s="57"/>
      <c r="Y183" s="44"/>
      <c r="Z183" s="44"/>
      <c r="AA183" s="46"/>
      <c r="AB183" s="57"/>
      <c r="AC183" s="57"/>
      <c r="AD183" s="44"/>
      <c r="AE183" s="44"/>
      <c r="AF183" s="46"/>
      <c r="AG183" s="57"/>
      <c r="AH183" s="57"/>
      <c r="AI183" s="44"/>
      <c r="AJ183" s="44"/>
      <c r="AK183" s="46"/>
      <c r="AL183" s="74"/>
      <c r="AM183" s="74"/>
      <c r="AN183" s="81"/>
      <c r="AO183" s="81"/>
      <c r="AP183" s="46"/>
      <c r="AQ183" s="57"/>
      <c r="AR183" s="57"/>
      <c r="AS183" s="44"/>
      <c r="AT183" s="44"/>
      <c r="AU183" s="46"/>
      <c r="AV183" s="74"/>
      <c r="AW183" s="74">
        <v>526.5</v>
      </c>
      <c r="AX183" s="81"/>
      <c r="AY183" s="81"/>
      <c r="AZ183" s="46"/>
      <c r="BA183" s="74">
        <v>0</v>
      </c>
      <c r="BB183" s="74">
        <v>519.29999999999995</v>
      </c>
      <c r="BC183" s="81"/>
      <c r="BD183" s="44"/>
      <c r="BE183" s="46"/>
      <c r="BF183" s="57"/>
      <c r="BG183" s="57"/>
      <c r="BH183" s="44"/>
      <c r="BI183" s="44"/>
      <c r="BJ183" s="46"/>
      <c r="BK183" s="57"/>
      <c r="BL183" s="513">
        <v>401.66</v>
      </c>
      <c r="BM183" s="44"/>
      <c r="BN183" s="44"/>
      <c r="BO183" s="46"/>
      <c r="BP183" s="522"/>
      <c r="BQ183" s="522">
        <v>437.24</v>
      </c>
      <c r="BR183" s="511"/>
      <c r="BS183" s="44"/>
      <c r="BT183" s="46"/>
      <c r="BU183" s="57"/>
      <c r="BV183" s="522">
        <v>430.79</v>
      </c>
      <c r="BW183" s="44"/>
      <c r="BX183" s="44"/>
      <c r="BY183" s="46"/>
      <c r="BZ183" s="57"/>
      <c r="CA183" s="57"/>
      <c r="CB183" s="44"/>
      <c r="CC183" s="44"/>
      <c r="CD183" s="46"/>
      <c r="CE183" s="57"/>
      <c r="CF183" s="57"/>
      <c r="CG183" s="44"/>
      <c r="CH183" s="44"/>
      <c r="CI183" s="46"/>
      <c r="CJ183" s="57"/>
      <c r="CK183" s="74">
        <v>814.13</v>
      </c>
      <c r="CL183" s="44"/>
      <c r="CM183" s="44"/>
      <c r="CN183" s="46"/>
      <c r="CO183" s="74">
        <v>1</v>
      </c>
      <c r="CP183" s="372">
        <v>1112.69</v>
      </c>
      <c r="CQ183" s="44"/>
      <c r="CR183" s="44"/>
      <c r="CS183" s="46"/>
      <c r="CT183" s="74"/>
      <c r="CU183" s="74">
        <v>1789.36</v>
      </c>
      <c r="CV183" s="81"/>
      <c r="CW183" s="44"/>
      <c r="CX183" s="46"/>
      <c r="CY183" s="57"/>
      <c r="CZ183" s="57"/>
      <c r="DA183" s="44"/>
      <c r="DB183" s="44"/>
      <c r="DC183" s="46"/>
      <c r="DD183" s="57"/>
      <c r="DE183" s="57"/>
      <c r="DF183" s="44"/>
      <c r="DG183" s="44"/>
      <c r="DH183" s="46"/>
      <c r="DI183" s="57"/>
      <c r="DJ183" s="57"/>
      <c r="DK183" s="44"/>
      <c r="DL183" s="44"/>
      <c r="DM183" s="46"/>
      <c r="DN183" s="57"/>
      <c r="DO183" s="57"/>
      <c r="DP183" s="44"/>
      <c r="DQ183" s="44"/>
      <c r="DR183" s="46"/>
      <c r="DS183" s="57"/>
      <c r="DT183" s="57"/>
      <c r="DU183" s="44"/>
      <c r="DV183" s="44"/>
      <c r="DW183" s="46"/>
      <c r="DX183" s="74">
        <v>1</v>
      </c>
      <c r="DY183" s="74">
        <v>2865.21</v>
      </c>
      <c r="DZ183" s="81"/>
      <c r="EA183" s="81"/>
      <c r="EB183" s="46"/>
      <c r="EC183" s="74"/>
      <c r="ED183" s="74">
        <v>3642.7</v>
      </c>
      <c r="EE183" s="81"/>
      <c r="EF183" s="44"/>
      <c r="EG183" s="46"/>
      <c r="EH183" s="74"/>
      <c r="EI183" s="372">
        <v>1665.39</v>
      </c>
      <c r="EJ183" s="81"/>
      <c r="EK183" s="44"/>
      <c r="EL183" s="46"/>
      <c r="EM183" s="74">
        <v>1</v>
      </c>
      <c r="EN183" s="372">
        <v>2536.94</v>
      </c>
      <c r="EO183" s="81"/>
      <c r="EP183" s="44"/>
      <c r="EQ183" s="46"/>
      <c r="ER183" s="74"/>
      <c r="ES183" s="134">
        <v>2770.57</v>
      </c>
      <c r="ET183" s="81"/>
      <c r="EU183" s="44"/>
      <c r="EV183" s="46"/>
      <c r="EW183" s="74">
        <v>1</v>
      </c>
      <c r="EX183" s="372">
        <v>2918.48</v>
      </c>
      <c r="EY183" s="81"/>
      <c r="EZ183" s="44"/>
      <c r="FA183" s="46"/>
      <c r="FB183" s="57"/>
      <c r="FC183" s="57">
        <v>1789.36</v>
      </c>
      <c r="FD183" s="44"/>
      <c r="FE183" s="44"/>
      <c r="FF183" s="46"/>
      <c r="FG183" s="57"/>
      <c r="FH183" s="57"/>
      <c r="FI183" s="44"/>
      <c r="FJ183" s="44"/>
      <c r="FK183" s="46"/>
      <c r="FL183" s="57"/>
      <c r="FM183" s="57"/>
      <c r="FN183" s="44"/>
      <c r="FO183" s="44"/>
      <c r="FP183" s="46"/>
      <c r="FQ183" s="57"/>
      <c r="FR183" s="57"/>
      <c r="FS183" s="44"/>
      <c r="FT183" s="44"/>
      <c r="FU183" s="46"/>
      <c r="FV183" s="57"/>
      <c r="FW183" s="57"/>
      <c r="FX183" s="44"/>
      <c r="FY183" s="44"/>
      <c r="FZ183" s="46"/>
      <c r="GA183" s="57"/>
      <c r="GB183" s="57"/>
      <c r="GC183" s="44"/>
      <c r="GD183" s="44"/>
      <c r="GE183" s="46"/>
      <c r="GF183" s="57"/>
      <c r="GG183" s="57"/>
      <c r="GH183" s="44"/>
      <c r="GI183" s="44"/>
      <c r="GJ183" s="97"/>
      <c r="GK183" s="57"/>
      <c r="GL183" s="57">
        <v>3642.7</v>
      </c>
      <c r="GM183" s="44"/>
      <c r="GN183" s="44"/>
      <c r="GO183" s="46"/>
      <c r="GP183" s="57"/>
      <c r="GQ183" s="509">
        <v>1665.39</v>
      </c>
      <c r="GR183" s="44"/>
      <c r="GS183" s="44"/>
      <c r="GT183" s="46"/>
      <c r="GU183" s="57">
        <v>1</v>
      </c>
      <c r="GV183" s="509">
        <v>2536.94</v>
      </c>
      <c r="GW183" s="44"/>
      <c r="GX183" s="44"/>
      <c r="GY183" s="46"/>
      <c r="GZ183" s="57"/>
      <c r="HA183" s="72">
        <v>2770.57</v>
      </c>
      <c r="HB183" s="44"/>
      <c r="HC183" s="44"/>
      <c r="HD183" s="46"/>
      <c r="HE183" s="57">
        <v>1</v>
      </c>
      <c r="HF183" s="509">
        <v>2918.48</v>
      </c>
      <c r="HG183" s="44"/>
      <c r="HH183" s="44"/>
      <c r="HI183" s="46"/>
      <c r="HJ183" s="57"/>
      <c r="HK183" s="57">
        <v>1789.36</v>
      </c>
      <c r="HL183" s="44"/>
      <c r="HM183" s="44"/>
      <c r="HN183" s="46"/>
      <c r="HO183" s="57"/>
      <c r="HP183" s="57"/>
      <c r="HQ183" s="44"/>
      <c r="HR183" s="44"/>
      <c r="HS183" s="46"/>
      <c r="HT183" s="57"/>
      <c r="HU183" s="57"/>
      <c r="HV183" s="44"/>
      <c r="HW183" s="44"/>
      <c r="HX183" s="46"/>
      <c r="HY183" s="57"/>
      <c r="HZ183" s="57"/>
      <c r="IA183" s="44"/>
      <c r="IB183" s="44"/>
      <c r="IC183" s="46"/>
      <c r="ID183" s="57"/>
      <c r="IE183" s="57"/>
      <c r="IF183" s="44"/>
      <c r="IG183" s="44"/>
      <c r="IH183" s="46"/>
      <c r="II183" s="57"/>
      <c r="IJ183" s="57"/>
      <c r="IK183" s="44"/>
      <c r="IL183" s="44"/>
      <c r="IM183" s="46"/>
      <c r="IN183" s="57"/>
      <c r="IO183" s="57"/>
      <c r="IP183" s="44"/>
      <c r="IQ183" s="44"/>
    </row>
    <row r="184" spans="1:251" s="264" customFormat="1" ht="15" customHeight="1" thickBot="1">
      <c r="A184" s="648"/>
      <c r="B184" s="289"/>
      <c r="C184" s="283">
        <v>39278125</v>
      </c>
      <c r="D184" s="1532" t="s">
        <v>170</v>
      </c>
      <c r="E184" s="259" t="s">
        <v>17</v>
      </c>
      <c r="F184" s="23"/>
      <c r="G184" s="178">
        <f>I184/H184</f>
        <v>31.05</v>
      </c>
      <c r="H184" s="170">
        <v>73</v>
      </c>
      <c r="I184" s="170">
        <v>2266.65</v>
      </c>
      <c r="J184" s="179"/>
      <c r="K184" s="182"/>
      <c r="L184" s="168">
        <f>N184/M184</f>
        <v>43.68</v>
      </c>
      <c r="M184" s="170">
        <v>28</v>
      </c>
      <c r="N184" s="170">
        <v>1223.04</v>
      </c>
      <c r="O184" s="179"/>
      <c r="P184" s="182"/>
      <c r="Q184" s="168">
        <f>S184/R184</f>
        <v>43.68</v>
      </c>
      <c r="R184" s="170">
        <v>19</v>
      </c>
      <c r="S184" s="170">
        <v>829.92</v>
      </c>
      <c r="T184" s="179"/>
      <c r="U184" s="182"/>
      <c r="V184" s="209">
        <f>X184/W184</f>
        <v>43.68</v>
      </c>
      <c r="W184" s="170">
        <v>44</v>
      </c>
      <c r="X184" s="170">
        <v>1921.92</v>
      </c>
      <c r="Y184" s="179"/>
      <c r="Z184" s="179"/>
      <c r="AA184" s="3">
        <f>AC184/AB184</f>
        <v>43.68</v>
      </c>
      <c r="AB184" s="170">
        <v>31</v>
      </c>
      <c r="AC184" s="369">
        <v>1354.08</v>
      </c>
      <c r="AD184" s="179"/>
      <c r="AE184" s="179"/>
      <c r="AF184" s="3">
        <f>AH184/AG184</f>
        <v>104.05500000000001</v>
      </c>
      <c r="AG184" s="170">
        <v>18</v>
      </c>
      <c r="AH184" s="170">
        <f>1086.75+786.24</f>
        <v>1872.99</v>
      </c>
      <c r="AI184" s="179"/>
      <c r="AJ184" s="179"/>
      <c r="AK184" s="3">
        <f>AM184/AL184</f>
        <v>43.68</v>
      </c>
      <c r="AL184" s="170">
        <v>22</v>
      </c>
      <c r="AM184" s="170">
        <v>960.96</v>
      </c>
      <c r="AN184" s="179"/>
      <c r="AO184" s="179"/>
      <c r="AP184" s="3">
        <f>AR184/AQ184</f>
        <v>43.68</v>
      </c>
      <c r="AQ184" s="170">
        <v>3</v>
      </c>
      <c r="AR184" s="170">
        <v>131.04</v>
      </c>
      <c r="AS184" s="179"/>
      <c r="AT184" s="179"/>
      <c r="AU184" s="3">
        <f>AW184/AV184</f>
        <v>43.68</v>
      </c>
      <c r="AV184" s="170">
        <v>5</v>
      </c>
      <c r="AW184" s="170">
        <v>218.4</v>
      </c>
      <c r="AX184" s="179"/>
      <c r="AY184" s="179"/>
      <c r="AZ184" s="3">
        <f>BB184/BA184</f>
        <v>43.68</v>
      </c>
      <c r="BA184" s="170">
        <v>3</v>
      </c>
      <c r="BB184" s="170">
        <v>131.04</v>
      </c>
      <c r="BC184" s="179"/>
      <c r="BD184" s="179"/>
      <c r="BE184" s="3" t="e">
        <f>BG184/BF184</f>
        <v>#DIV/0!</v>
      </c>
      <c r="BF184" s="550">
        <v>0</v>
      </c>
      <c r="BG184" s="550">
        <v>0</v>
      </c>
      <c r="BH184" s="551"/>
      <c r="BI184" s="179"/>
      <c r="BJ184" s="3">
        <f>BL184/BK184</f>
        <v>43.68</v>
      </c>
      <c r="BK184" s="170">
        <v>34</v>
      </c>
      <c r="BL184" s="369">
        <v>1485.12</v>
      </c>
      <c r="BM184" s="179"/>
      <c r="BN184" s="179"/>
      <c r="BO184" s="3">
        <f>BQ184/BP184</f>
        <v>31.05</v>
      </c>
      <c r="BP184" s="169">
        <v>35</v>
      </c>
      <c r="BQ184" s="169">
        <v>1086.75</v>
      </c>
      <c r="BR184" s="48"/>
      <c r="BS184" s="179"/>
      <c r="BT184" s="3">
        <f>BV184/BU184</f>
        <v>46.300800000000002</v>
      </c>
      <c r="BU184" s="170">
        <v>50</v>
      </c>
      <c r="BV184" s="170">
        <v>2315.04</v>
      </c>
      <c r="BW184" s="179"/>
      <c r="BX184" s="179"/>
      <c r="BY184" s="3">
        <f>CA184/BZ184</f>
        <v>31.05</v>
      </c>
      <c r="BZ184" s="667">
        <v>35</v>
      </c>
      <c r="CA184" s="667">
        <v>1086.75</v>
      </c>
      <c r="CB184" s="668"/>
      <c r="CC184" s="179"/>
      <c r="CD184" s="3">
        <f>CF184/CE184</f>
        <v>43.68</v>
      </c>
      <c r="CE184" s="170">
        <v>48</v>
      </c>
      <c r="CF184" s="170">
        <v>2096.64</v>
      </c>
      <c r="CG184" s="179"/>
      <c r="CH184" s="179"/>
      <c r="CI184" s="3">
        <f>CK184/CJ184</f>
        <v>59.15</v>
      </c>
      <c r="CJ184" s="170">
        <v>48</v>
      </c>
      <c r="CK184" s="170">
        <v>2839.2</v>
      </c>
      <c r="CL184" s="179"/>
      <c r="CM184" s="179"/>
      <c r="CN184" s="3">
        <f>CP184/CO184</f>
        <v>43.68</v>
      </c>
      <c r="CO184" s="170">
        <v>46</v>
      </c>
      <c r="CP184" s="170">
        <v>2009.28</v>
      </c>
      <c r="CQ184" s="179"/>
      <c r="CR184" s="179"/>
      <c r="CS184" s="3">
        <f>CU184/CT184</f>
        <v>62.4</v>
      </c>
      <c r="CT184" s="170">
        <v>35</v>
      </c>
      <c r="CU184" s="170">
        <v>2184</v>
      </c>
      <c r="CV184" s="179"/>
      <c r="CW184" s="179"/>
      <c r="CX184" s="3">
        <f>CZ184/CY184</f>
        <v>43.68</v>
      </c>
      <c r="CY184" s="170">
        <v>33</v>
      </c>
      <c r="CZ184" s="170">
        <v>1441.44</v>
      </c>
      <c r="DA184" s="179"/>
      <c r="DB184" s="179"/>
      <c r="DC184" s="3">
        <f>DE184/DD184</f>
        <v>43.68</v>
      </c>
      <c r="DD184" s="170">
        <v>40</v>
      </c>
      <c r="DE184" s="170">
        <v>1747.2</v>
      </c>
      <c r="DF184" s="179"/>
      <c r="DG184" s="179"/>
      <c r="DH184" s="3">
        <f>DJ184/DI184</f>
        <v>43.68</v>
      </c>
      <c r="DI184" s="170">
        <v>74</v>
      </c>
      <c r="DJ184" s="170">
        <v>3232.32</v>
      </c>
      <c r="DK184" s="179"/>
      <c r="DL184" s="179"/>
      <c r="DM184" s="3">
        <f>DO184/DN184</f>
        <v>43.680000000000007</v>
      </c>
      <c r="DN184" s="170">
        <v>49</v>
      </c>
      <c r="DO184" s="170">
        <v>2140.3200000000002</v>
      </c>
      <c r="DP184" s="179"/>
      <c r="DQ184" s="179"/>
      <c r="DR184" s="3">
        <f>DT184/DS184</f>
        <v>43.68</v>
      </c>
      <c r="DS184" s="170">
        <v>43</v>
      </c>
      <c r="DT184" s="170">
        <v>1878.24</v>
      </c>
      <c r="DU184" s="179"/>
      <c r="DV184" s="179"/>
      <c r="DW184" s="3">
        <f>DY184/DX184</f>
        <v>43.68</v>
      </c>
      <c r="DX184" s="170">
        <v>45</v>
      </c>
      <c r="DY184" s="170">
        <v>1965.6</v>
      </c>
      <c r="DZ184" s="179"/>
      <c r="EA184" s="179"/>
      <c r="EB184" s="3">
        <f>ED184/EC184</f>
        <v>51.083389830508473</v>
      </c>
      <c r="EC184" s="170">
        <v>59</v>
      </c>
      <c r="ED184" s="1463">
        <v>3013.92</v>
      </c>
      <c r="EE184" s="179"/>
      <c r="EF184" s="179"/>
      <c r="EG184" s="3">
        <f>EI184/EH184</f>
        <v>51.083389830508473</v>
      </c>
      <c r="EH184" s="169">
        <v>59</v>
      </c>
      <c r="EI184" s="737">
        <v>3013.92</v>
      </c>
      <c r="EJ184" s="48"/>
      <c r="EK184" s="179"/>
      <c r="EL184" s="3">
        <f>EN184/EM184</f>
        <v>43.68</v>
      </c>
      <c r="EM184" s="170">
        <v>65</v>
      </c>
      <c r="EN184" s="170">
        <v>2839.2</v>
      </c>
      <c r="EO184" s="179"/>
      <c r="EP184" s="179"/>
      <c r="EQ184" s="3">
        <f>ES184/ER184</f>
        <v>59.15</v>
      </c>
      <c r="ER184" s="169">
        <v>48</v>
      </c>
      <c r="ES184" s="169">
        <v>2839.2</v>
      </c>
      <c r="ET184" s="48"/>
      <c r="EU184" s="179"/>
      <c r="EV184" s="3">
        <f>EX184/EW184</f>
        <v>37.910943396226415</v>
      </c>
      <c r="EW184" s="170">
        <v>53</v>
      </c>
      <c r="EX184" s="170">
        <v>2009.28</v>
      </c>
      <c r="EY184" s="179"/>
      <c r="EZ184" s="179"/>
      <c r="FA184" s="3">
        <f>FC184/FB184</f>
        <v>41.20754716981132</v>
      </c>
      <c r="FB184" s="169">
        <v>53</v>
      </c>
      <c r="FC184" s="169">
        <v>2184</v>
      </c>
      <c r="FD184" s="48"/>
      <c r="FE184" s="179"/>
      <c r="FF184" s="3">
        <f>FH184/FG184</f>
        <v>43.68</v>
      </c>
      <c r="FG184" s="169">
        <v>33</v>
      </c>
      <c r="FH184" s="169">
        <v>1441.44</v>
      </c>
      <c r="FI184" s="48"/>
      <c r="FJ184" s="179"/>
      <c r="FK184" s="3">
        <f>FM184/FL184</f>
        <v>43.68</v>
      </c>
      <c r="FL184" s="169">
        <v>40</v>
      </c>
      <c r="FM184" s="169">
        <v>1747.2</v>
      </c>
      <c r="FN184" s="48"/>
      <c r="FO184" s="179"/>
      <c r="FP184" s="3">
        <f>FR184/FQ184</f>
        <v>43.68</v>
      </c>
      <c r="FQ184" s="169">
        <v>74</v>
      </c>
      <c r="FR184" s="169">
        <v>3232.32</v>
      </c>
      <c r="FS184" s="48"/>
      <c r="FT184" s="179"/>
      <c r="FU184" s="3">
        <f>FW184/FV184</f>
        <v>43.680000000000007</v>
      </c>
      <c r="FV184" s="169">
        <v>49</v>
      </c>
      <c r="FW184" s="169">
        <v>2140.3200000000002</v>
      </c>
      <c r="FX184" s="48"/>
      <c r="FY184" s="179"/>
      <c r="FZ184" s="3">
        <f>GB184/GA184</f>
        <v>31.05</v>
      </c>
      <c r="GA184" s="169">
        <v>35</v>
      </c>
      <c r="GB184" s="169">
        <v>1086.75</v>
      </c>
      <c r="GC184" s="48"/>
      <c r="GD184" s="179"/>
      <c r="GE184" s="3">
        <f>GG184/GF184</f>
        <v>31.05</v>
      </c>
      <c r="GF184" s="169">
        <v>35</v>
      </c>
      <c r="GG184" s="169">
        <v>1086.75</v>
      </c>
      <c r="GH184" s="48"/>
      <c r="GI184" s="179"/>
      <c r="GJ184" s="285">
        <f>GL184/GK184</f>
        <v>51.083389830508473</v>
      </c>
      <c r="GK184" s="169">
        <v>59</v>
      </c>
      <c r="GL184" s="1557">
        <v>3013.92</v>
      </c>
      <c r="GM184" s="48"/>
      <c r="GN184" s="179"/>
      <c r="GO184" s="3">
        <f>GQ184/GP184</f>
        <v>51.083389830508473</v>
      </c>
      <c r="GP184" s="169">
        <v>59</v>
      </c>
      <c r="GQ184" s="737">
        <v>3013.92</v>
      </c>
      <c r="GR184" s="48"/>
      <c r="GS184" s="179"/>
      <c r="GT184" s="3">
        <f>GV184/GU184</f>
        <v>43.68</v>
      </c>
      <c r="GU184" s="169">
        <v>65</v>
      </c>
      <c r="GV184" s="169">
        <v>2839.2</v>
      </c>
      <c r="GW184" s="48"/>
      <c r="GX184" s="179"/>
      <c r="GY184" s="3">
        <f>HA184/GZ184</f>
        <v>59.15</v>
      </c>
      <c r="GZ184" s="169">
        <v>48</v>
      </c>
      <c r="HA184" s="169">
        <v>2839.2</v>
      </c>
      <c r="HB184" s="48"/>
      <c r="HC184" s="179"/>
      <c r="HD184" s="3">
        <f>HF184/HE184</f>
        <v>37.910943396226415</v>
      </c>
      <c r="HE184" s="169">
        <v>53</v>
      </c>
      <c r="HF184" s="169">
        <v>2009.28</v>
      </c>
      <c r="HG184" s="48"/>
      <c r="HH184" s="179"/>
      <c r="HI184" s="3">
        <f>HK184/HJ184</f>
        <v>41.20754716981132</v>
      </c>
      <c r="HJ184" s="169">
        <v>53</v>
      </c>
      <c r="HK184" s="169">
        <v>2184</v>
      </c>
      <c r="HL184" s="48"/>
      <c r="HM184" s="179"/>
      <c r="HN184" s="3">
        <f>HP184/HO184</f>
        <v>43.68</v>
      </c>
      <c r="HO184" s="169">
        <v>33</v>
      </c>
      <c r="HP184" s="169">
        <v>1441.44</v>
      </c>
      <c r="HQ184" s="48"/>
      <c r="HR184" s="179"/>
      <c r="HS184" s="3">
        <f>HU184/HT184</f>
        <v>43.68</v>
      </c>
      <c r="HT184" s="169">
        <v>40</v>
      </c>
      <c r="HU184" s="169">
        <v>1747.2</v>
      </c>
      <c r="HV184" s="48"/>
      <c r="HW184" s="179"/>
      <c r="HX184" s="3">
        <f>HZ184/HY184</f>
        <v>43.68</v>
      </c>
      <c r="HY184" s="169">
        <v>74</v>
      </c>
      <c r="HZ184" s="169">
        <v>3232.32</v>
      </c>
      <c r="IA184" s="48"/>
      <c r="IB184" s="179"/>
      <c r="IC184" s="3">
        <f>IE184/ID184</f>
        <v>43.680000000000007</v>
      </c>
      <c r="ID184" s="169">
        <v>49</v>
      </c>
      <c r="IE184" s="169">
        <v>2140.3200000000002</v>
      </c>
      <c r="IF184" s="48"/>
      <c r="IG184" s="179"/>
      <c r="IH184" s="3">
        <f>IJ184/II184</f>
        <v>31.05</v>
      </c>
      <c r="II184" s="169">
        <v>35</v>
      </c>
      <c r="IJ184" s="169">
        <v>1086.75</v>
      </c>
      <c r="IK184" s="48"/>
      <c r="IL184" s="179"/>
      <c r="IM184" s="3">
        <f>IO184/IN184</f>
        <v>31.05</v>
      </c>
      <c r="IN184" s="169">
        <v>35</v>
      </c>
      <c r="IO184" s="169">
        <v>1086.75</v>
      </c>
      <c r="IP184" s="48"/>
      <c r="IQ184" s="179"/>
    </row>
    <row r="185" spans="1:251" s="249" customFormat="1" ht="15" customHeight="1">
      <c r="A185" s="649"/>
      <c r="B185" s="265" t="s">
        <v>318</v>
      </c>
      <c r="C185" s="5" t="s">
        <v>95</v>
      </c>
      <c r="D185" s="6" t="s">
        <v>25</v>
      </c>
      <c r="E185" s="7" t="s">
        <v>10</v>
      </c>
      <c r="F185" s="4"/>
      <c r="G185" s="196"/>
      <c r="H185" s="197"/>
      <c r="I185" s="197"/>
      <c r="J185" s="38"/>
      <c r="K185" s="206"/>
      <c r="L185" s="196"/>
      <c r="M185" s="197"/>
      <c r="N185" s="197"/>
      <c r="O185" s="38"/>
      <c r="P185" s="206"/>
      <c r="Q185" s="196"/>
      <c r="R185" s="197"/>
      <c r="S185" s="197"/>
      <c r="T185" s="38"/>
      <c r="U185" s="206"/>
      <c r="V185" s="207"/>
      <c r="W185" s="197"/>
      <c r="X185" s="204">
        <v>1518.26</v>
      </c>
      <c r="Y185" s="38"/>
      <c r="Z185" s="384">
        <f>SUM(X185:X189)*1.1</f>
        <v>163068.25480000002</v>
      </c>
      <c r="AA185" s="36"/>
      <c r="AB185" s="197"/>
      <c r="AC185" s="204">
        <v>1518.21</v>
      </c>
      <c r="AD185" s="38"/>
      <c r="AE185" s="384">
        <f>SUM(AC185:AC189)*1.1</f>
        <v>188254.55660000001</v>
      </c>
      <c r="AF185" s="36"/>
      <c r="AG185" s="204"/>
      <c r="AH185" s="204">
        <v>2530.2600000000002</v>
      </c>
      <c r="AI185" s="427"/>
      <c r="AJ185" s="384">
        <f>AJ186*1.1</f>
        <v>207732.53600000002</v>
      </c>
      <c r="AK185" s="36"/>
      <c r="AL185" s="204"/>
      <c r="AM185" s="204">
        <v>1518.21</v>
      </c>
      <c r="AN185" s="427"/>
      <c r="AO185" s="384">
        <f>AO186*1.2</f>
        <v>234441.87600000002</v>
      </c>
      <c r="AP185" s="36"/>
      <c r="AQ185" s="197"/>
      <c r="AR185" s="197"/>
      <c r="AS185" s="38"/>
      <c r="AT185" s="384">
        <f>SUM(AR185:AR189)*1.1</f>
        <v>260265.3548</v>
      </c>
      <c r="AU185" s="36"/>
      <c r="AV185" s="197"/>
      <c r="AW185" s="197"/>
      <c r="AX185" s="38"/>
      <c r="AY185" s="384">
        <f>SUM(AW185:AW189)*1.1</f>
        <v>285617.9656</v>
      </c>
      <c r="AZ185" s="36"/>
      <c r="BA185" s="197"/>
      <c r="BB185" s="197"/>
      <c r="BC185" s="38"/>
      <c r="BD185" s="384">
        <f>SUM(BB185:BB189)*1.1</f>
        <v>271604.02280000004</v>
      </c>
      <c r="BE185" s="36"/>
      <c r="BF185" s="197"/>
      <c r="BG185" s="197"/>
      <c r="BH185" s="38"/>
      <c r="BI185" s="384">
        <f>SUM(BG185:BG189)*1.1</f>
        <v>265945.90880000003</v>
      </c>
      <c r="BJ185" s="36"/>
      <c r="BK185" s="197"/>
      <c r="BL185" s="197"/>
      <c r="BM185" s="38"/>
      <c r="BN185" s="384">
        <f>SUM(BL185:BL189)*1.1</f>
        <v>292186.75640000001</v>
      </c>
      <c r="BO185" s="36"/>
      <c r="BP185" s="197"/>
      <c r="BQ185" s="197"/>
      <c r="BR185" s="38"/>
      <c r="BS185" s="384">
        <f>SUM(BQ185:BQ189)*1.1</f>
        <v>301016.13299999997</v>
      </c>
      <c r="BT185" s="36"/>
      <c r="BU185" s="197"/>
      <c r="BV185" s="197"/>
      <c r="BW185" s="38"/>
      <c r="BX185" s="384">
        <f>SUM(BV185:BV189)*1.1</f>
        <v>236183.80940000003</v>
      </c>
      <c r="BY185" s="36"/>
      <c r="BZ185" s="197"/>
      <c r="CA185" s="197"/>
      <c r="CB185" s="38"/>
      <c r="CC185" s="384">
        <f>SUM(CA185:CA189)*1.1</f>
        <v>246843.00079999995</v>
      </c>
      <c r="CD185" s="36"/>
      <c r="CE185" s="197"/>
      <c r="CF185" s="197"/>
      <c r="CG185" s="38"/>
      <c r="CH185" s="384">
        <f>SUM(CF185:CF189)*1.1</f>
        <v>247759.66820000004</v>
      </c>
      <c r="CI185" s="36"/>
      <c r="CJ185" s="197"/>
      <c r="CK185" s="197"/>
      <c r="CL185" s="38"/>
      <c r="CM185" s="384">
        <f>SUM(CK185:CK189)*1.1</f>
        <v>233906.93479999999</v>
      </c>
      <c r="CN185" s="36"/>
      <c r="CO185" s="197"/>
      <c r="CP185" s="197"/>
      <c r="CQ185" s="38"/>
      <c r="CR185" s="384">
        <f>SUM(CP185:CP189)*1.1</f>
        <v>265406.06840000005</v>
      </c>
      <c r="CS185" s="36"/>
      <c r="CT185" s="197"/>
      <c r="CU185" s="197"/>
      <c r="CV185" s="38"/>
      <c r="CW185" s="384">
        <f>SUM(CU185:CU189)*1.1</f>
        <v>277527.99800000002</v>
      </c>
      <c r="CX185" s="36"/>
      <c r="CY185" s="197"/>
      <c r="CZ185" s="197"/>
      <c r="DA185" s="38"/>
      <c r="DB185" s="384">
        <f>SUM(CZ185:CZ189)*1.1</f>
        <v>287567.37680000003</v>
      </c>
      <c r="DC185" s="36"/>
      <c r="DD185" s="197"/>
      <c r="DE185" s="197"/>
      <c r="DF185" s="38"/>
      <c r="DG185" s="384">
        <f>SUM(DE185:DE189)*1.1</f>
        <v>286820.79800000007</v>
      </c>
      <c r="DH185" s="36"/>
      <c r="DI185" s="197"/>
      <c r="DJ185" s="197"/>
      <c r="DK185" s="38"/>
      <c r="DL185" s="384">
        <f>SUM(DJ185:DJ189)*1.1</f>
        <v>349798.59200000006</v>
      </c>
      <c r="DM185" s="36"/>
      <c r="DN185" s="197"/>
      <c r="DO185" s="197"/>
      <c r="DP185" s="38"/>
      <c r="DQ185" s="384">
        <f>SUM(DO185:DO189)*1.1</f>
        <v>355652.54119999998</v>
      </c>
      <c r="DR185" s="36"/>
      <c r="DS185" s="197"/>
      <c r="DT185" s="197"/>
      <c r="DU185" s="38"/>
      <c r="DV185" s="384">
        <f>SUM(DT185:DT189)*1.1</f>
        <v>336058.94520000007</v>
      </c>
      <c r="DW185" s="36"/>
      <c r="DX185" s="197"/>
      <c r="DY185" s="197"/>
      <c r="DZ185" s="38"/>
      <c r="EA185" s="384">
        <f>SUM(DY185:DY189)*1.1</f>
        <v>378725.34920000011</v>
      </c>
      <c r="EB185" s="36"/>
      <c r="EC185" s="197"/>
      <c r="ED185" s="197"/>
      <c r="EE185" s="38"/>
      <c r="EF185" s="384">
        <f>SUM(ED185:ED189)*1.1</f>
        <v>390163.14920000004</v>
      </c>
      <c r="EG185" s="36"/>
      <c r="EH185" s="197"/>
      <c r="EI185" s="197"/>
      <c r="EJ185" s="38"/>
      <c r="EK185" s="384">
        <f>SUM(EI185:EI189)*1.1</f>
        <v>396119.57880000008</v>
      </c>
      <c r="EL185" s="36"/>
      <c r="EM185" s="197"/>
      <c r="EN185" s="197"/>
      <c r="EO185" s="38"/>
      <c r="EP185" s="384">
        <f>SUM(EN185:EN189)*1.1</f>
        <v>354812.28200000001</v>
      </c>
      <c r="EQ185" s="36"/>
      <c r="ER185" s="197"/>
      <c r="ES185" s="197"/>
      <c r="ET185" s="38"/>
      <c r="EU185" s="384">
        <f>SUM(ES185:ES189)*1.1</f>
        <v>304106.23760000005</v>
      </c>
      <c r="EV185" s="36"/>
      <c r="EW185" s="197"/>
      <c r="EX185" s="197"/>
      <c r="EY185" s="38"/>
      <c r="EZ185" s="384">
        <f>SUM(EX185:EX189)*1.1</f>
        <v>326732.83280000003</v>
      </c>
      <c r="FA185" s="36"/>
      <c r="FB185" s="197"/>
      <c r="FC185" s="197"/>
      <c r="FD185" s="38"/>
      <c r="FE185" s="384">
        <f>SUM(FC185:FC189)*1.1</f>
        <v>321523.66399999999</v>
      </c>
      <c r="FF185" s="36"/>
      <c r="FG185" s="197"/>
      <c r="FH185" s="197"/>
      <c r="FI185" s="38"/>
      <c r="FJ185" s="384">
        <f>SUM(FH185:FH189)*1.1</f>
        <v>374577.6188</v>
      </c>
      <c r="FK185" s="36"/>
      <c r="FL185" s="197"/>
      <c r="FM185" s="197"/>
      <c r="FN185" s="38"/>
      <c r="FO185" s="384">
        <f>SUM(FM185:FM189)*1.1</f>
        <v>357228.42319999996</v>
      </c>
      <c r="FP185" s="36"/>
      <c r="FQ185" s="197"/>
      <c r="FR185" s="197"/>
      <c r="FS185" s="38"/>
      <c r="FT185" s="384">
        <f>SUM(FR185:FR189)*1.1</f>
        <v>308121.17599999998</v>
      </c>
      <c r="FU185" s="36"/>
      <c r="FV185" s="197"/>
      <c r="FW185" s="197"/>
      <c r="FX185" s="38"/>
      <c r="FY185" s="384">
        <f>SUM(FW185:FW189)*1.1</f>
        <v>362551.40240000002</v>
      </c>
      <c r="FZ185" s="36"/>
      <c r="GA185" s="197"/>
      <c r="GB185" s="197"/>
      <c r="GC185" s="38"/>
      <c r="GD185" s="384">
        <f>SUM(GB185:GB189)*1.1</f>
        <v>324483.64520000009</v>
      </c>
      <c r="GE185" s="36"/>
      <c r="GF185" s="197"/>
      <c r="GG185" s="197"/>
      <c r="GH185" s="38"/>
      <c r="GI185" s="384">
        <f>SUM(GG185:GG189)*1.1</f>
        <v>301373.45480000007</v>
      </c>
      <c r="GJ185" s="280"/>
      <c r="GK185" s="197"/>
      <c r="GL185" s="197"/>
      <c r="GM185" s="38"/>
      <c r="GN185" s="384">
        <f>SUM(GL185:GL189)*1.1</f>
        <v>297620.4572</v>
      </c>
      <c r="GO185" s="36"/>
      <c r="GP185" s="197"/>
      <c r="GQ185" s="197"/>
      <c r="GR185" s="38"/>
      <c r="GS185" s="384">
        <f>SUM(GQ185:GQ189)*1.1</f>
        <v>537908.8088</v>
      </c>
      <c r="GT185" s="36"/>
      <c r="GU185" s="197"/>
      <c r="GV185" s="197"/>
      <c r="GW185" s="38"/>
      <c r="GX185" s="384">
        <f>SUM(GV185:GV189)*1.1</f>
        <v>370382.85680000007</v>
      </c>
      <c r="GY185" s="36"/>
      <c r="GZ185" s="197"/>
      <c r="HA185" s="197"/>
      <c r="HB185" s="38"/>
      <c r="HC185" s="384">
        <f>SUM(HA185:HA189)*1.1</f>
        <v>304106.23760000005</v>
      </c>
      <c r="HD185" s="36"/>
      <c r="HE185" s="197"/>
      <c r="HF185" s="197"/>
      <c r="HG185" s="38"/>
      <c r="HH185" s="384">
        <f>SUM(HF185:HF189)*1.1</f>
        <v>326732.83280000003</v>
      </c>
      <c r="HI185" s="36"/>
      <c r="HJ185" s="197"/>
      <c r="HK185" s="197"/>
      <c r="HL185" s="38"/>
      <c r="HM185" s="384">
        <f>SUM(HK185:HK189)*1.1</f>
        <v>321523.66399999999</v>
      </c>
      <c r="HN185" s="36"/>
      <c r="HO185" s="197"/>
      <c r="HP185" s="197"/>
      <c r="HQ185" s="38"/>
      <c r="HR185" s="384">
        <f>SUM(HP185:HP189)*1.1</f>
        <v>374583.16279999999</v>
      </c>
      <c r="HS185" s="36"/>
      <c r="HT185" s="197"/>
      <c r="HU185" s="197"/>
      <c r="HV185" s="38"/>
      <c r="HW185" s="384">
        <f>SUM(HU185:HU189)*1.1</f>
        <v>357233.96719999996</v>
      </c>
      <c r="HX185" s="36"/>
      <c r="HY185" s="197"/>
      <c r="HZ185" s="197"/>
      <c r="IA185" s="38"/>
      <c r="IB185" s="384">
        <f>SUM(HZ185:HZ189)*1.1</f>
        <v>308126.72000000003</v>
      </c>
      <c r="IC185" s="36"/>
      <c r="ID185" s="197"/>
      <c r="IE185" s="197"/>
      <c r="IF185" s="38"/>
      <c r="IG185" s="384">
        <f>SUM(IE185:IE189)*1.1</f>
        <v>176746.52600000001</v>
      </c>
      <c r="IH185" s="36"/>
      <c r="II185" s="197"/>
      <c r="IJ185" s="197"/>
      <c r="IK185" s="38"/>
      <c r="IL185" s="384">
        <f>SUM(IJ185:IJ189)*1.1</f>
        <v>176746.52600000001</v>
      </c>
      <c r="IM185" s="36"/>
      <c r="IN185" s="197"/>
      <c r="IO185" s="197"/>
      <c r="IP185" s="38"/>
      <c r="IQ185" s="384">
        <f>SUM(IO185:IO189)*1.1</f>
        <v>176746.52600000001</v>
      </c>
    </row>
    <row r="186" spans="1:251" ht="15" customHeight="1">
      <c r="A186" s="647"/>
      <c r="B186" s="256"/>
      <c r="C186" s="215">
        <v>41788990</v>
      </c>
      <c r="D186" s="45" t="s">
        <v>96</v>
      </c>
      <c r="E186" s="218" t="s">
        <v>11</v>
      </c>
      <c r="F186" s="24"/>
      <c r="G186" s="103"/>
      <c r="H186" s="74">
        <v>841.83</v>
      </c>
      <c r="I186" s="74">
        <v>35538.699999999997</v>
      </c>
      <c r="J186" s="81"/>
      <c r="K186" s="88"/>
      <c r="L186" s="103"/>
      <c r="M186" s="74">
        <v>841.83</v>
      </c>
      <c r="N186" s="74">
        <v>35538.699999999997</v>
      </c>
      <c r="O186" s="81"/>
      <c r="P186" s="88"/>
      <c r="Q186" s="103"/>
      <c r="R186" s="74">
        <v>841.83</v>
      </c>
      <c r="S186" s="74" t="s">
        <v>211</v>
      </c>
      <c r="T186" s="81"/>
      <c r="U186" s="88"/>
      <c r="V186" s="120"/>
      <c r="W186" s="74">
        <v>841.83</v>
      </c>
      <c r="X186" s="74" t="s">
        <v>211</v>
      </c>
      <c r="Y186" s="81"/>
      <c r="Z186" s="403">
        <f>SUM(X185:X189)*1</f>
        <v>148243.86800000002</v>
      </c>
      <c r="AA186" s="97"/>
      <c r="AB186" s="74">
        <v>841.83</v>
      </c>
      <c r="AC186" s="74">
        <v>35538.699999999997</v>
      </c>
      <c r="AD186" s="81"/>
      <c r="AE186" s="403">
        <f>SUM(AC185:AC189)*1</f>
        <v>171140.50599999999</v>
      </c>
      <c r="AF186" s="97"/>
      <c r="AG186" s="74">
        <v>841.83</v>
      </c>
      <c r="AH186" s="74">
        <v>35538.699999999997</v>
      </c>
      <c r="AI186" s="81"/>
      <c r="AJ186" s="403">
        <f>SUM(AH185:AH189)*1</f>
        <v>188847.76</v>
      </c>
      <c r="AK186" s="97"/>
      <c r="AL186" s="74">
        <v>841.83</v>
      </c>
      <c r="AM186" s="74">
        <v>35538.699999999997</v>
      </c>
      <c r="AN186" s="81"/>
      <c r="AO186" s="403">
        <f>SUM(AM185:AM189)*1</f>
        <v>195368.23</v>
      </c>
      <c r="AP186" s="97"/>
      <c r="AQ186" s="74">
        <v>841.83</v>
      </c>
      <c r="AR186" s="74">
        <v>35538.699999999997</v>
      </c>
      <c r="AS186" s="81"/>
      <c r="AT186" s="403">
        <f>SUM(AR185:AR189)*1</f>
        <v>236604.86799999999</v>
      </c>
      <c r="AU186" s="406"/>
      <c r="AV186" s="74">
        <v>841.83</v>
      </c>
      <c r="AW186" s="74">
        <v>22772.3</v>
      </c>
      <c r="AX186" s="81"/>
      <c r="AY186" s="403">
        <f>SUM(AW185:AW189)*1</f>
        <v>259652.696</v>
      </c>
      <c r="AZ186" s="97"/>
      <c r="BA186" s="74">
        <v>841.83</v>
      </c>
      <c r="BB186" s="74">
        <v>35538.699999999997</v>
      </c>
      <c r="BC186" s="81"/>
      <c r="BD186" s="403">
        <f>SUM(BB185:BB189)*1</f>
        <v>246912.74800000002</v>
      </c>
      <c r="BE186" s="97"/>
      <c r="BF186" s="74">
        <v>841.83</v>
      </c>
      <c r="BG186" s="74">
        <v>35538.699999999997</v>
      </c>
      <c r="BH186" s="81"/>
      <c r="BI186" s="403">
        <f>SUM(BG185:BG189)*1</f>
        <v>241769.008</v>
      </c>
      <c r="BJ186" s="97"/>
      <c r="BK186" s="74">
        <v>841.83</v>
      </c>
      <c r="BL186" s="74">
        <v>35538.699999999997</v>
      </c>
      <c r="BM186" s="81"/>
      <c r="BN186" s="403">
        <f>SUM(BL185:BL189)*1</f>
        <v>265624.32399999996</v>
      </c>
      <c r="BO186" s="97"/>
      <c r="BP186" s="74">
        <v>841.83</v>
      </c>
      <c r="BQ186" s="74">
        <v>35538.699999999997</v>
      </c>
      <c r="BR186" s="81"/>
      <c r="BS186" s="403">
        <f>SUM(BQ185:BQ189)*1</f>
        <v>273651.02999999997</v>
      </c>
      <c r="BT186" s="97"/>
      <c r="BU186" s="74">
        <v>841.83</v>
      </c>
      <c r="BV186" s="74">
        <v>35538.699999999997</v>
      </c>
      <c r="BW186" s="81"/>
      <c r="BX186" s="403">
        <f>SUM(BV185:BV189)*1</f>
        <v>214712.554</v>
      </c>
      <c r="BY186" s="97"/>
      <c r="BZ186" s="74">
        <v>841.83</v>
      </c>
      <c r="CA186" s="74">
        <v>35538.699999999997</v>
      </c>
      <c r="CB186" s="81"/>
      <c r="CC186" s="403">
        <f>SUM(CA185:CA189)*1</f>
        <v>224402.72799999994</v>
      </c>
      <c r="CD186" s="97"/>
      <c r="CE186" s="74">
        <v>841.83</v>
      </c>
      <c r="CF186" s="134">
        <v>35533.660000000003</v>
      </c>
      <c r="CG186" s="81"/>
      <c r="CH186" s="403">
        <f>SUM(CF185:CF189)*1</f>
        <v>225236.06200000003</v>
      </c>
      <c r="CI186" s="97"/>
      <c r="CJ186" s="74">
        <v>841.83</v>
      </c>
      <c r="CK186" s="74">
        <v>35538.699999999997</v>
      </c>
      <c r="CL186" s="81"/>
      <c r="CM186" s="403">
        <f>SUM(CK185:CK189)*1</f>
        <v>212642.66799999998</v>
      </c>
      <c r="CN186" s="97"/>
      <c r="CO186" s="74">
        <v>841.83</v>
      </c>
      <c r="CP186" s="74">
        <v>35533.660000000003</v>
      </c>
      <c r="CQ186" s="81"/>
      <c r="CR186" s="403">
        <f>SUM(CP185:CP189)*1</f>
        <v>241278.24400000001</v>
      </c>
      <c r="CS186" s="97"/>
      <c r="CT186" s="74">
        <v>841.83</v>
      </c>
      <c r="CU186" s="74">
        <v>35533.660000000003</v>
      </c>
      <c r="CV186" s="81"/>
      <c r="CW186" s="403">
        <f>SUM(CU185:CU189)*1</f>
        <v>252298.18</v>
      </c>
      <c r="CX186" s="97"/>
      <c r="CY186" s="74">
        <v>841.83</v>
      </c>
      <c r="CZ186" s="74">
        <v>35538.699999999997</v>
      </c>
      <c r="DA186" s="81"/>
      <c r="DB186" s="403">
        <f>SUM(CZ185:CZ189)*1</f>
        <v>261424.88800000001</v>
      </c>
      <c r="DC186" s="97"/>
      <c r="DD186" s="57">
        <v>841.83</v>
      </c>
      <c r="DE186" s="57">
        <v>35538.699999999997</v>
      </c>
      <c r="DF186" s="44"/>
      <c r="DG186" s="403">
        <f>SUM(DE185:DE189)*1</f>
        <v>260746.18000000002</v>
      </c>
      <c r="DH186" s="97"/>
      <c r="DI186" s="74">
        <v>841.83</v>
      </c>
      <c r="DJ186" s="74">
        <v>35538.699999999997</v>
      </c>
      <c r="DK186" s="81"/>
      <c r="DL186" s="403">
        <f>SUM(DJ185:DJ189)*1</f>
        <v>317998.72000000003</v>
      </c>
      <c r="DM186" s="97"/>
      <c r="DN186" s="74">
        <v>841.83</v>
      </c>
      <c r="DO186" s="74">
        <v>35538.699999999997</v>
      </c>
      <c r="DP186" s="81"/>
      <c r="DQ186" s="403">
        <f>SUM(DO185:DO189)*1</f>
        <v>323320.49199999997</v>
      </c>
      <c r="DR186" s="97"/>
      <c r="DS186" s="74">
        <v>841.83</v>
      </c>
      <c r="DT186" s="74">
        <v>35533.660000000003</v>
      </c>
      <c r="DU186" s="81"/>
      <c r="DV186" s="403">
        <f>SUM(DT185:DT189)*1</f>
        <v>305508.13200000004</v>
      </c>
      <c r="DW186" s="97"/>
      <c r="DX186" s="74">
        <v>841.83</v>
      </c>
      <c r="DY186" s="74">
        <v>35533.660000000003</v>
      </c>
      <c r="DZ186" s="81"/>
      <c r="EA186" s="403">
        <f>SUM(DY185:DY189)*1</f>
        <v>344295.77200000006</v>
      </c>
      <c r="EB186" s="97"/>
      <c r="EC186" s="74">
        <v>841.83</v>
      </c>
      <c r="ED186" s="74">
        <v>35538.699999999997</v>
      </c>
      <c r="EE186" s="81"/>
      <c r="EF186" s="403">
        <f>SUM(ED185:ED189)*1</f>
        <v>354693.772</v>
      </c>
      <c r="EG186" s="97"/>
      <c r="EH186" s="74">
        <v>841.83</v>
      </c>
      <c r="EI186" s="74">
        <v>35538.699999999997</v>
      </c>
      <c r="EJ186" s="81"/>
      <c r="EK186" s="403">
        <f>SUM(EI185:EI189)*1</f>
        <v>360108.70800000004</v>
      </c>
      <c r="EL186" s="97"/>
      <c r="EM186" s="74">
        <v>841.83</v>
      </c>
      <c r="EN186" s="134">
        <v>35533.660000000003</v>
      </c>
      <c r="EO186" s="81"/>
      <c r="EP186" s="403">
        <f>SUM(EN185:EN189)*1</f>
        <v>322556.62</v>
      </c>
      <c r="EQ186" s="97"/>
      <c r="ER186" s="74">
        <v>841.83</v>
      </c>
      <c r="ES186" s="74">
        <v>35538.699999999997</v>
      </c>
      <c r="ET186" s="81"/>
      <c r="EU186" s="403">
        <f>SUM(ES185:ES189)*1</f>
        <v>276460.21600000001</v>
      </c>
      <c r="EV186" s="97"/>
      <c r="EW186" s="74">
        <v>841.83</v>
      </c>
      <c r="EX186" s="74">
        <v>35533.660000000003</v>
      </c>
      <c r="EY186" s="81"/>
      <c r="EZ186" s="403">
        <f>SUM(EX185:EX189)*1</f>
        <v>297029.848</v>
      </c>
      <c r="FA186" s="97"/>
      <c r="FB186" s="74">
        <v>841.83</v>
      </c>
      <c r="FC186" s="74">
        <v>35533.660000000003</v>
      </c>
      <c r="FD186" s="81"/>
      <c r="FE186" s="403">
        <f>SUM(FC185:FC189)*1</f>
        <v>292294.24</v>
      </c>
      <c r="FF186" s="97"/>
      <c r="FG186" s="74">
        <v>841.83</v>
      </c>
      <c r="FH186" s="74">
        <v>35533.660000000003</v>
      </c>
      <c r="FI186" s="81"/>
      <c r="FJ186" s="403">
        <f>SUM(FH185:FH189)*1</f>
        <v>340525.10799999995</v>
      </c>
      <c r="FK186" s="97"/>
      <c r="FL186" s="74">
        <v>841.83</v>
      </c>
      <c r="FM186" s="74">
        <v>35533.660000000003</v>
      </c>
      <c r="FN186" s="81"/>
      <c r="FO186" s="403">
        <f>SUM(FM185:FM189)*1</f>
        <v>324753.11199999996</v>
      </c>
      <c r="FP186" s="97"/>
      <c r="FQ186" s="74">
        <v>841.83</v>
      </c>
      <c r="FR186" s="74">
        <v>35533.660000000003</v>
      </c>
      <c r="FS186" s="81"/>
      <c r="FT186" s="403">
        <f>SUM(FR185:FR189)*1</f>
        <v>280110.15999999997</v>
      </c>
      <c r="FU186" s="97"/>
      <c r="FV186" s="74">
        <v>841.83</v>
      </c>
      <c r="FW186" s="74">
        <v>35533.660000000003</v>
      </c>
      <c r="FX186" s="81"/>
      <c r="FY186" s="403">
        <f>SUM(FW185:FW189)*1</f>
        <v>329592.18400000001</v>
      </c>
      <c r="FZ186" s="97"/>
      <c r="GA186" s="74">
        <v>841.83</v>
      </c>
      <c r="GB186" s="74">
        <v>35533.660000000003</v>
      </c>
      <c r="GC186" s="81"/>
      <c r="GD186" s="403">
        <f>SUM(GB185:GB189)*1</f>
        <v>294985.13200000004</v>
      </c>
      <c r="GE186" s="97"/>
      <c r="GF186" s="74">
        <v>841.83</v>
      </c>
      <c r="GG186" s="134">
        <v>35533.660000000003</v>
      </c>
      <c r="GH186" s="81"/>
      <c r="GI186" s="403">
        <f>SUM(GG185:GG189)*1</f>
        <v>273975.86800000002</v>
      </c>
      <c r="GJ186" s="97"/>
      <c r="GK186" s="74">
        <v>841.83</v>
      </c>
      <c r="GL186" s="74">
        <v>35538.699999999997</v>
      </c>
      <c r="GM186" s="81"/>
      <c r="GN186" s="403">
        <f>SUM(GL185:GL189)*1</f>
        <v>270564.05199999997</v>
      </c>
      <c r="GO186" s="97"/>
      <c r="GP186" s="74">
        <v>841.83</v>
      </c>
      <c r="GQ186" s="74">
        <v>35538.699999999997</v>
      </c>
      <c r="GR186" s="81"/>
      <c r="GS186" s="403">
        <f>SUM(GQ185:GQ189)*1</f>
        <v>489008.00799999997</v>
      </c>
      <c r="GT186" s="97"/>
      <c r="GU186" s="74">
        <v>841.83</v>
      </c>
      <c r="GV186" s="134">
        <v>35533.660000000003</v>
      </c>
      <c r="GW186" s="81"/>
      <c r="GX186" s="403">
        <f>SUM(GV185:GV189)*1</f>
        <v>336711.68800000002</v>
      </c>
      <c r="GY186" s="406"/>
      <c r="GZ186" s="74">
        <v>841.83</v>
      </c>
      <c r="HA186" s="74">
        <v>35538.699999999997</v>
      </c>
      <c r="HB186" s="81"/>
      <c r="HC186" s="403">
        <f>SUM(HA185:HA189)*1</f>
        <v>276460.21600000001</v>
      </c>
      <c r="HD186" s="97"/>
      <c r="HE186" s="57">
        <v>841.83</v>
      </c>
      <c r="HF186" s="57">
        <v>35533.660000000003</v>
      </c>
      <c r="HG186" s="44"/>
      <c r="HH186" s="403">
        <f>SUM(HF185:HF189)*1</f>
        <v>297029.848</v>
      </c>
      <c r="HI186" s="97"/>
      <c r="HJ186" s="57">
        <v>841.83</v>
      </c>
      <c r="HK186" s="57">
        <v>35533.660000000003</v>
      </c>
      <c r="HL186" s="44"/>
      <c r="HM186" s="403">
        <f>SUM(HK185:HK189)*1</f>
        <v>292294.24</v>
      </c>
      <c r="HN186" s="97"/>
      <c r="HO186" s="57">
        <v>841.83</v>
      </c>
      <c r="HP186" s="57">
        <v>35538.699999999997</v>
      </c>
      <c r="HQ186" s="44"/>
      <c r="HR186" s="403">
        <f>SUM(HP185:HP189)*1</f>
        <v>340530.14799999999</v>
      </c>
      <c r="HS186" s="97"/>
      <c r="HT186" s="57">
        <v>841.83</v>
      </c>
      <c r="HU186" s="57">
        <v>35538.699999999997</v>
      </c>
      <c r="HV186" s="44"/>
      <c r="HW186" s="403">
        <f>SUM(HU185:HU189)*1</f>
        <v>324758.15199999994</v>
      </c>
      <c r="HX186" s="97"/>
      <c r="HY186" s="57">
        <v>841.83</v>
      </c>
      <c r="HZ186" s="57">
        <v>35538.699999999997</v>
      </c>
      <c r="IA186" s="44"/>
      <c r="IB186" s="403">
        <f>SUM(HZ185:HZ189)*1</f>
        <v>280115.20000000001</v>
      </c>
      <c r="IC186" s="97"/>
      <c r="ID186" s="57">
        <v>841.83</v>
      </c>
      <c r="IE186" s="57">
        <v>35538.699999999997</v>
      </c>
      <c r="IF186" s="44"/>
      <c r="IG186" s="403">
        <f>SUM(IE185:IE189)*1</f>
        <v>160678.66</v>
      </c>
      <c r="IH186" s="97"/>
      <c r="II186" s="57">
        <v>841.83</v>
      </c>
      <c r="IJ186" s="57">
        <v>35538.699999999997</v>
      </c>
      <c r="IK186" s="44"/>
      <c r="IL186" s="403">
        <f>SUM(IJ185:IJ189)*1</f>
        <v>160678.66</v>
      </c>
      <c r="IM186" s="97"/>
      <c r="IN186" s="57">
        <v>841.83</v>
      </c>
      <c r="IO186" s="57">
        <v>35538.699999999997</v>
      </c>
      <c r="IP186" s="44"/>
      <c r="IQ186" s="403">
        <f>SUM(IO185:IO189)*1</f>
        <v>160678.66</v>
      </c>
    </row>
    <row r="187" spans="1:251" ht="30" customHeight="1">
      <c r="A187" s="647"/>
      <c r="B187" s="256"/>
      <c r="C187" s="215" t="s">
        <v>339</v>
      </c>
      <c r="D187" s="45" t="s">
        <v>96</v>
      </c>
      <c r="E187" s="216" t="s">
        <v>13</v>
      </c>
      <c r="F187" s="22"/>
      <c r="G187" s="104">
        <f>I187/H187</f>
        <v>5.0014108450319776</v>
      </c>
      <c r="H187" s="128">
        <v>20406.21</v>
      </c>
      <c r="I187" s="337">
        <v>102059.84</v>
      </c>
      <c r="J187" s="81"/>
      <c r="K187" s="88"/>
      <c r="L187" s="104">
        <f>N187/M187</f>
        <v>4.9798439872856743</v>
      </c>
      <c r="M187" s="128">
        <v>24482.62</v>
      </c>
      <c r="N187" s="74">
        <f>101599.69*1.2</f>
        <v>121919.628</v>
      </c>
      <c r="O187" s="81"/>
      <c r="P187" s="88"/>
      <c r="Q187" s="104">
        <f>S187/R187</f>
        <v>4.3277008855362409</v>
      </c>
      <c r="R187" s="128">
        <v>27441</v>
      </c>
      <c r="S187" s="74">
        <f>1.2*98963.7</f>
        <v>118756.43999999999</v>
      </c>
      <c r="T187" s="81"/>
      <c r="U187" s="88"/>
      <c r="V187" s="115">
        <f>X187/W187</f>
        <v>4.989960421165911</v>
      </c>
      <c r="W187" s="128">
        <v>28694.63</v>
      </c>
      <c r="X187" s="134">
        <f>1.2*119320.89</f>
        <v>143185.068</v>
      </c>
      <c r="Y187" s="81"/>
      <c r="Z187" s="81"/>
      <c r="AA187" s="92">
        <f>AC187/AB187</f>
        <v>4.54524029919979</v>
      </c>
      <c r="AB187" s="128">
        <v>29189.86</v>
      </c>
      <c r="AC187" s="74">
        <f>1.2*110562.44</f>
        <v>132674.92799999999</v>
      </c>
      <c r="AD187" s="81"/>
      <c r="AE187" s="81"/>
      <c r="AF187" s="92">
        <f>AH187/AG187</f>
        <v>4.5073278987658068</v>
      </c>
      <c r="AG187" s="128">
        <v>32848.980000000003</v>
      </c>
      <c r="AH187" s="81">
        <f>1.2*123384.27</f>
        <v>148061.12400000001</v>
      </c>
      <c r="AI187" s="81"/>
      <c r="AJ187" s="81"/>
      <c r="AK187" s="92">
        <f>AM187/AL187</f>
        <v>4.8888722897480026</v>
      </c>
      <c r="AL187" s="128">
        <v>31782.1</v>
      </c>
      <c r="AM187" s="134">
        <f>1.2*129482.19</f>
        <v>155378.628</v>
      </c>
      <c r="AN187" s="81"/>
      <c r="AO187" s="81"/>
      <c r="AP187" s="92">
        <f>AR187/AQ187</f>
        <v>5.8389118931545658</v>
      </c>
      <c r="AQ187" s="128">
        <v>33909.17</v>
      </c>
      <c r="AR187" s="134">
        <f>1.2*164993.88</f>
        <v>197992.65599999999</v>
      </c>
      <c r="AS187" s="81"/>
      <c r="AT187" s="81"/>
      <c r="AU187" s="92">
        <f>AW187/AV187</f>
        <v>6.4870074293118511</v>
      </c>
      <c r="AV187" s="128">
        <v>36102.94</v>
      </c>
      <c r="AW187" s="134">
        <f>1.2*195166.7</f>
        <v>234200.04</v>
      </c>
      <c r="AX187" s="81"/>
      <c r="AY187" s="81"/>
      <c r="AZ187" s="92">
        <f>BB187/BA187</f>
        <v>6.2179197684517273</v>
      </c>
      <c r="BA187" s="128">
        <v>33541.17</v>
      </c>
      <c r="BB187" s="134">
        <f>1.2*173796.92</f>
        <v>208556.304</v>
      </c>
      <c r="BC187" s="81"/>
      <c r="BD187" s="81"/>
      <c r="BE187" s="92">
        <f>BG187/BF187</f>
        <v>6.3388191463311037</v>
      </c>
      <c r="BF187" s="128">
        <v>32016.16</v>
      </c>
      <c r="BG187" s="372">
        <f>1.2*169120.54</f>
        <v>202944.64800000002</v>
      </c>
      <c r="BH187" s="81"/>
      <c r="BI187" s="81"/>
      <c r="BJ187" s="92">
        <f>BL187/BK187</f>
        <v>6.7455610738725342</v>
      </c>
      <c r="BK187" s="128">
        <v>33677.74</v>
      </c>
      <c r="BL187" s="74">
        <f>1.2*189312.71</f>
        <v>227175.25199999998</v>
      </c>
      <c r="BM187" s="81"/>
      <c r="BN187" s="81"/>
      <c r="BO187" s="92">
        <f>BQ187/BP187</f>
        <v>6.3505560064920816</v>
      </c>
      <c r="BP187" s="128">
        <v>37035.269</v>
      </c>
      <c r="BQ187" s="74">
        <v>235194.55</v>
      </c>
      <c r="BR187" s="81"/>
      <c r="BS187" s="81"/>
      <c r="BT187" s="92">
        <f>BV187/BU187</f>
        <v>5.0041298828696679</v>
      </c>
      <c r="BU187" s="128">
        <v>35189.86</v>
      </c>
      <c r="BV187" s="134">
        <v>176094.63</v>
      </c>
      <c r="BW187" s="81"/>
      <c r="BX187" s="81"/>
      <c r="BY187" s="92">
        <f>CA187/BZ187</f>
        <v>5.4614517590074483</v>
      </c>
      <c r="BZ187" s="128">
        <v>34017.972546143035</v>
      </c>
      <c r="CA187" s="74">
        <f>1.2*154822.93</f>
        <v>185787.51599999997</v>
      </c>
      <c r="CB187" s="81"/>
      <c r="CC187" s="81"/>
      <c r="CD187" s="92">
        <f>CF187/CE187</f>
        <v>5.2556398019638539</v>
      </c>
      <c r="CE187" s="128">
        <v>35617.74</v>
      </c>
      <c r="CF187" s="74">
        <f>1.2*155995.01</f>
        <v>187194.01200000002</v>
      </c>
      <c r="CG187" s="81"/>
      <c r="CH187" s="81"/>
      <c r="CI187" s="92">
        <f>CK187/CJ187</f>
        <v>5.5317716677766153</v>
      </c>
      <c r="CJ187" s="128">
        <v>31533</v>
      </c>
      <c r="CK187" s="74">
        <f>1.2*145361.13</f>
        <v>174433.356</v>
      </c>
      <c r="CL187" s="81"/>
      <c r="CM187" s="81"/>
      <c r="CN187" s="92">
        <f>CP187/CO187</f>
        <v>6.5387400100473174</v>
      </c>
      <c r="CO187" s="128">
        <v>31062.072461653086</v>
      </c>
      <c r="CP187" s="134">
        <f>1.2*169255.68</f>
        <v>203106.81599999999</v>
      </c>
      <c r="CQ187" s="81"/>
      <c r="CR187" s="81"/>
      <c r="CS187" s="92">
        <f>CU187/CT187</f>
        <v>7.4772953984702912</v>
      </c>
      <c r="CT187" s="128">
        <v>28464.23</v>
      </c>
      <c r="CU187" s="74">
        <f>177362.88*1.2</f>
        <v>212835.45600000001</v>
      </c>
      <c r="CV187" s="81"/>
      <c r="CW187" s="81"/>
      <c r="CX187" s="92">
        <f>CZ187/CY187</f>
        <v>8.1121802326857164</v>
      </c>
      <c r="CY187" s="128">
        <v>27343.32</v>
      </c>
      <c r="CZ187" s="74">
        <f>1.2*184844.95</f>
        <v>221813.94</v>
      </c>
      <c r="DA187" s="81"/>
      <c r="DB187" s="81"/>
      <c r="DC187" s="92">
        <f>DE187/DD187</f>
        <v>8.1121802326857164</v>
      </c>
      <c r="DD187" s="128">
        <v>27343.32</v>
      </c>
      <c r="DE187" s="74">
        <f>1.2*184844.95</f>
        <v>221813.94</v>
      </c>
      <c r="DF187" s="81"/>
      <c r="DG187" s="81"/>
      <c r="DH187" s="92">
        <f>DJ187/DI187</f>
        <v>8.3382831088526821</v>
      </c>
      <c r="DI187" s="128">
        <v>33240.43</v>
      </c>
      <c r="DJ187" s="74">
        <f>1.2*230973.43</f>
        <v>277168.11599999998</v>
      </c>
      <c r="DK187" s="81"/>
      <c r="DL187" s="81"/>
      <c r="DM187" s="92">
        <f>DO187/DN187</f>
        <v>8.3963764874295421</v>
      </c>
      <c r="DN187" s="128">
        <v>33531</v>
      </c>
      <c r="DO187" s="74">
        <f>1.2*234615.75</f>
        <v>281538.89999999997</v>
      </c>
      <c r="DP187" s="81"/>
      <c r="DQ187" s="81"/>
      <c r="DR187" s="92">
        <f>DT187/DS187</f>
        <v>8.3963762771903276</v>
      </c>
      <c r="DS187" s="128">
        <v>31634.87</v>
      </c>
      <c r="DT187" s="74">
        <f>1.2*221348.56</f>
        <v>265618.272</v>
      </c>
      <c r="DU187" s="81"/>
      <c r="DV187" s="81"/>
      <c r="DW187" s="92">
        <f>DY187/DX187</f>
        <v>9.4477705273592552</v>
      </c>
      <c r="DX187" s="128">
        <v>32200.44</v>
      </c>
      <c r="DY187" s="74">
        <f>1.2*253518.64</f>
        <v>304222.36800000002</v>
      </c>
      <c r="DZ187" s="81"/>
      <c r="EA187" s="81"/>
      <c r="EB187" s="92">
        <f>ED187/EC187</f>
        <v>8.868000023712824</v>
      </c>
      <c r="EC187" s="128">
        <v>35423.870000000003</v>
      </c>
      <c r="ED187" s="134">
        <f>1.2*261782.4</f>
        <v>314138.88</v>
      </c>
      <c r="EE187" s="81"/>
      <c r="EF187" s="81"/>
      <c r="EG187" s="92">
        <f>EI187/EH187</f>
        <v>9.1578108419008029</v>
      </c>
      <c r="EH187" s="128">
        <v>34998.660000000003</v>
      </c>
      <c r="EI187" s="74">
        <f>1.2*267092.59</f>
        <v>320511.10800000001</v>
      </c>
      <c r="EJ187" s="81"/>
      <c r="EK187" s="81"/>
      <c r="EL187" s="92">
        <f>EN187/EM187</f>
        <v>8.1981369224475582</v>
      </c>
      <c r="EM187" s="128">
        <v>34393.629999999997</v>
      </c>
      <c r="EN187" s="74">
        <f>1.2*234969.74</f>
        <v>281963.68799999997</v>
      </c>
      <c r="EO187" s="81"/>
      <c r="EP187" s="81"/>
      <c r="EQ187" s="92">
        <f>ES187/ER187</f>
        <v>7.0679999892058092</v>
      </c>
      <c r="ER187" s="128">
        <v>33351.269999999997</v>
      </c>
      <c r="ES187" s="74">
        <f>1.2*196438.98</f>
        <v>235726.77600000001</v>
      </c>
      <c r="ET187" s="81"/>
      <c r="EU187" s="81"/>
      <c r="EV187" s="92">
        <f>EX187/EW187</f>
        <v>7.2399998189367283</v>
      </c>
      <c r="EW187" s="128">
        <v>35346.76</v>
      </c>
      <c r="EX187" s="134">
        <f>1.2*213258.78</f>
        <v>255910.53599999999</v>
      </c>
      <c r="EY187" s="81"/>
      <c r="EZ187" s="81"/>
      <c r="FA187" s="92">
        <f>FC187/FB187</f>
        <v>7.2479999723181558</v>
      </c>
      <c r="FB187" s="128">
        <v>34679.769999999997</v>
      </c>
      <c r="FC187" s="74">
        <f>209465.81*1.2</f>
        <v>251358.97199999998</v>
      </c>
      <c r="FD187" s="81"/>
      <c r="FE187" s="81"/>
      <c r="FF187" s="92">
        <f>FH187/FG187</f>
        <v>7.9847518989746806</v>
      </c>
      <c r="FG187" s="128">
        <v>37368.85</v>
      </c>
      <c r="FH187" s="74">
        <f>1.2*248650.83</f>
        <v>298380.99599999998</v>
      </c>
      <c r="FI187" s="81"/>
      <c r="FJ187" s="81"/>
      <c r="FK187" s="92">
        <f>FM187/FL187</f>
        <v>7.8404320415017965</v>
      </c>
      <c r="FL187" s="128">
        <v>35950.25</v>
      </c>
      <c r="FM187" s="74">
        <f>1.2*234887.91</f>
        <v>281865.49199999997</v>
      </c>
      <c r="FN187" s="81"/>
      <c r="FO187" s="81"/>
      <c r="FP187" s="92">
        <f>FR187/FQ187</f>
        <v>7.0585073816650903</v>
      </c>
      <c r="FQ187" s="128">
        <v>33600.82</v>
      </c>
      <c r="FR187" s="74">
        <f>1.2*197643.03</f>
        <v>237171.636</v>
      </c>
      <c r="FS187" s="81"/>
      <c r="FT187" s="81"/>
      <c r="FU187" s="92">
        <f>FW187/FV187</f>
        <v>9.4490750095808789</v>
      </c>
      <c r="FV187" s="128">
        <v>30425.18</v>
      </c>
      <c r="FW187" s="74">
        <f>1.2*239574.84</f>
        <v>287489.80799999996</v>
      </c>
      <c r="FX187" s="81"/>
      <c r="FY187" s="81"/>
      <c r="FZ187" s="92">
        <f>GB187/GA187</f>
        <v>10.28514050559262</v>
      </c>
      <c r="GA187" s="128">
        <v>24526.07</v>
      </c>
      <c r="GB187" s="74">
        <f>1.2*210211.73</f>
        <v>252254.076</v>
      </c>
      <c r="GC187" s="81"/>
      <c r="GD187" s="81"/>
      <c r="GE187" s="92">
        <f>GG187/GF187</f>
        <v>10.321572698824044</v>
      </c>
      <c r="GF187" s="128">
        <v>22365.63</v>
      </c>
      <c r="GG187" s="74">
        <f>1.2*192373.73</f>
        <v>230848.476</v>
      </c>
      <c r="GH187" s="81"/>
      <c r="GI187" s="81"/>
      <c r="GJ187" s="98">
        <f>GL187/GK187</f>
        <v>11.653873388516974</v>
      </c>
      <c r="GK187" s="128">
        <v>19556.52</v>
      </c>
      <c r="GL187" s="134">
        <f>1.2*189924.34</f>
        <v>227909.20799999998</v>
      </c>
      <c r="GM187" s="81"/>
      <c r="GN187" s="81"/>
      <c r="GO187" s="92">
        <f>GQ187/GP187</f>
        <v>14.493875787343754</v>
      </c>
      <c r="GP187" s="128">
        <v>30641</v>
      </c>
      <c r="GQ187" s="74">
        <f>1.2*370089.04</f>
        <v>444106.84799999994</v>
      </c>
      <c r="GR187" s="81"/>
      <c r="GS187" s="81"/>
      <c r="GT187" s="92">
        <f>GV187/GU187</f>
        <v>10.714330325577317</v>
      </c>
      <c r="GU187" s="128">
        <v>26687.67</v>
      </c>
      <c r="GV187" s="74">
        <f>1.2*238283.76</f>
        <v>285940.51199999999</v>
      </c>
      <c r="GW187" s="81"/>
      <c r="GX187" s="81"/>
      <c r="GY187" s="92">
        <f>HA187/GZ187</f>
        <v>7.0679999892058092</v>
      </c>
      <c r="GZ187" s="56">
        <v>33351.269999999997</v>
      </c>
      <c r="HA187" s="57">
        <f>1.2*196438.98</f>
        <v>235726.77600000001</v>
      </c>
      <c r="HB187" s="44"/>
      <c r="HC187" s="81"/>
      <c r="HD187" s="92">
        <f>HF187/HE187</f>
        <v>7.2399998189367283</v>
      </c>
      <c r="HE187" s="56">
        <v>35346.76</v>
      </c>
      <c r="HF187" s="72">
        <f>1.2*213258.78</f>
        <v>255910.53599999999</v>
      </c>
      <c r="HG187" s="44"/>
      <c r="HH187" s="81"/>
      <c r="HI187" s="92">
        <f>HK187/HJ187</f>
        <v>7.2479999723181558</v>
      </c>
      <c r="HJ187" s="56">
        <v>34679.769999999997</v>
      </c>
      <c r="HK187" s="57">
        <f>209465.81*1.2</f>
        <v>251358.97199999998</v>
      </c>
      <c r="HL187" s="44"/>
      <c r="HM187" s="81"/>
      <c r="HN187" s="92">
        <f>HP187/HO187</f>
        <v>7.9847518989746806</v>
      </c>
      <c r="HO187" s="56">
        <v>37368.85</v>
      </c>
      <c r="HP187" s="57">
        <f>1.2*248650.83</f>
        <v>298380.99599999998</v>
      </c>
      <c r="HQ187" s="44"/>
      <c r="HR187" s="81"/>
      <c r="HS187" s="92">
        <f>HU187/HT187</f>
        <v>7.8404320415017965</v>
      </c>
      <c r="HT187" s="56">
        <v>35950.25</v>
      </c>
      <c r="HU187" s="57">
        <f>1.2*234887.91</f>
        <v>281865.49199999997</v>
      </c>
      <c r="HV187" s="44"/>
      <c r="HW187" s="81"/>
      <c r="HX187" s="92">
        <f>HZ187/HY187</f>
        <v>7.0585073816650903</v>
      </c>
      <c r="HY187" s="56">
        <v>33600.82</v>
      </c>
      <c r="HZ187" s="57">
        <f>1.2*197643.03</f>
        <v>237171.636</v>
      </c>
      <c r="IA187" s="44"/>
      <c r="IB187" s="81"/>
      <c r="IC187" s="92">
        <f>IE187/ID187</f>
        <v>4.5600000000000005</v>
      </c>
      <c r="ID187" s="56">
        <v>27441</v>
      </c>
      <c r="IE187" s="57">
        <v>125130.96</v>
      </c>
      <c r="IF187" s="44"/>
      <c r="IG187" s="81"/>
      <c r="IH187" s="92">
        <f>IJ187/II187</f>
        <v>4.5600000000000005</v>
      </c>
      <c r="II187" s="56">
        <v>27441</v>
      </c>
      <c r="IJ187" s="57">
        <v>125130.96</v>
      </c>
      <c r="IK187" s="44"/>
      <c r="IL187" s="81"/>
      <c r="IM187" s="92">
        <f>IO187/IN187</f>
        <v>4.5600000000000005</v>
      </c>
      <c r="IN187" s="56">
        <v>27441</v>
      </c>
      <c r="IO187" s="57">
        <v>125130.96</v>
      </c>
      <c r="IP187" s="44"/>
      <c r="IQ187" s="81"/>
    </row>
    <row r="188" spans="1:251" ht="15" customHeight="1">
      <c r="A188" s="647"/>
      <c r="B188" s="256"/>
      <c r="C188" s="215"/>
      <c r="D188" s="45"/>
      <c r="E188" s="216" t="s">
        <v>15</v>
      </c>
      <c r="F188" s="22"/>
      <c r="G188" s="103"/>
      <c r="H188" s="57"/>
      <c r="I188" s="57"/>
      <c r="J188" s="44"/>
      <c r="K188" s="86"/>
      <c r="L188" s="103"/>
      <c r="M188" s="74">
        <v>1</v>
      </c>
      <c r="N188" s="74">
        <f>363.74*1.2</f>
        <v>436.488</v>
      </c>
      <c r="O188" s="81"/>
      <c r="P188" s="88"/>
      <c r="Q188" s="103"/>
      <c r="R188" s="74"/>
      <c r="S188" s="74">
        <f>1.2*432.71</f>
        <v>519.25199999999995</v>
      </c>
      <c r="T188" s="81"/>
      <c r="U188" s="88"/>
      <c r="V188" s="47"/>
      <c r="W188" s="74"/>
      <c r="X188" s="74">
        <f>1.2*546.41</f>
        <v>655.69199999999989</v>
      </c>
      <c r="Y188" s="81"/>
      <c r="Z188" s="81"/>
      <c r="AA188" s="46"/>
      <c r="AB188" s="74"/>
      <c r="AC188" s="74">
        <f>1.2*518.85</f>
        <v>622.62</v>
      </c>
      <c r="AD188" s="81"/>
      <c r="AE188" s="81"/>
      <c r="AF188" s="46"/>
      <c r="AG188" s="74"/>
      <c r="AH188" s="74">
        <v>621.17999999999995</v>
      </c>
      <c r="AI188" s="81"/>
      <c r="AJ188" s="81"/>
      <c r="AK188" s="46"/>
      <c r="AL188" s="74">
        <v>1</v>
      </c>
      <c r="AM188" s="134">
        <f>1.2*696.83</f>
        <v>836.19600000000003</v>
      </c>
      <c r="AN188" s="81"/>
      <c r="AO188" s="81"/>
      <c r="AP188" s="46"/>
      <c r="AQ188" s="74"/>
      <c r="AR188" s="74">
        <f>1.2*814.18</f>
        <v>977.01599999999985</v>
      </c>
      <c r="AS188" s="81"/>
      <c r="AT188" s="81"/>
      <c r="AU188" s="46"/>
      <c r="AV188" s="74"/>
      <c r="AW188" s="74">
        <f>1.2*841.03</f>
        <v>1009.2359999999999</v>
      </c>
      <c r="AX188" s="81"/>
      <c r="AY188" s="81"/>
      <c r="AZ188" s="46"/>
      <c r="BA188" s="74"/>
      <c r="BB188" s="134">
        <f>1.2*1031.48</f>
        <v>1237.7760000000001</v>
      </c>
      <c r="BC188" s="81"/>
      <c r="BD188" s="81"/>
      <c r="BE188" s="46"/>
      <c r="BF188" s="74"/>
      <c r="BG188" s="74">
        <f>1.2*990.97</f>
        <v>1189.164</v>
      </c>
      <c r="BH188" s="81"/>
      <c r="BI188" s="81"/>
      <c r="BJ188" s="46"/>
      <c r="BK188" s="74"/>
      <c r="BL188" s="134">
        <f>1.2*1032.71</f>
        <v>1239.252</v>
      </c>
      <c r="BM188" s="81"/>
      <c r="BN188" s="81"/>
      <c r="BO188" s="46"/>
      <c r="BP188" s="74"/>
      <c r="BQ188" s="74">
        <v>1094.74</v>
      </c>
      <c r="BR188" s="81"/>
      <c r="BS188" s="81"/>
      <c r="BT188" s="46"/>
      <c r="BU188" s="74"/>
      <c r="BV188" s="74">
        <v>1225.8</v>
      </c>
      <c r="BW188" s="81"/>
      <c r="BX188" s="81"/>
      <c r="BY188" s="46"/>
      <c r="BZ188" s="74"/>
      <c r="CA188" s="134">
        <f>842*1.2</f>
        <v>1010.4</v>
      </c>
      <c r="CB188" s="81"/>
      <c r="CC188" s="81"/>
      <c r="CD188" s="46"/>
      <c r="CE188" s="74"/>
      <c r="CF188" s="74">
        <v>887.91</v>
      </c>
      <c r="CG188" s="81"/>
      <c r="CH188" s="81"/>
      <c r="CI188" s="46"/>
      <c r="CJ188" s="74"/>
      <c r="CK188" s="74">
        <f>1.2*782.27</f>
        <v>938.72399999999993</v>
      </c>
      <c r="CL188" s="81"/>
      <c r="CM188" s="81"/>
      <c r="CN188" s="46"/>
      <c r="CO188" s="74"/>
      <c r="CP188" s="74">
        <f>1.2*729.58</f>
        <v>875.49599999999998</v>
      </c>
      <c r="CQ188" s="81"/>
      <c r="CR188" s="81"/>
      <c r="CS188" s="46"/>
      <c r="CT188" s="74"/>
      <c r="CU188" s="134">
        <f>1.2*1047.8</f>
        <v>1257.3599999999999</v>
      </c>
      <c r="CV188" s="81"/>
      <c r="CW188" s="81"/>
      <c r="CX188" s="46"/>
      <c r="CY188" s="74"/>
      <c r="CZ188" s="74">
        <f>1245.25*1.2</f>
        <v>1494.3</v>
      </c>
      <c r="DA188" s="81"/>
      <c r="DB188" s="81"/>
      <c r="DC188" s="46"/>
      <c r="DD188" s="74"/>
      <c r="DE188" s="74">
        <v>1245.25</v>
      </c>
      <c r="DF188" s="81"/>
      <c r="DG188" s="81"/>
      <c r="DH188" s="46"/>
      <c r="DI188" s="74"/>
      <c r="DJ188" s="134">
        <f>1.2*1636.66</f>
        <v>1963.992</v>
      </c>
      <c r="DK188" s="81"/>
      <c r="DL188" s="81"/>
      <c r="DM188" s="46"/>
      <c r="DN188" s="74"/>
      <c r="DO188" s="74">
        <f>1.2*1608.91</f>
        <v>1930.692</v>
      </c>
      <c r="DP188" s="81"/>
      <c r="DQ188" s="81"/>
      <c r="DR188" s="46"/>
      <c r="DS188" s="74">
        <v>1</v>
      </c>
      <c r="DT188" s="134">
        <v>1153.28</v>
      </c>
      <c r="DU188" s="81"/>
      <c r="DV188" s="81"/>
      <c r="DW188" s="46"/>
      <c r="DX188" s="74">
        <v>1</v>
      </c>
      <c r="DY188" s="74">
        <f>1.2*1244.22</f>
        <v>1493.0640000000001</v>
      </c>
      <c r="DZ188" s="81"/>
      <c r="EA188" s="81"/>
      <c r="EB188" s="46"/>
      <c r="EC188" s="74">
        <v>1</v>
      </c>
      <c r="ED188" s="134">
        <f>1.2*1445.96</f>
        <v>1735.152</v>
      </c>
      <c r="EE188" s="81"/>
      <c r="EF188" s="81"/>
      <c r="EG188" s="46"/>
      <c r="EH188" s="74">
        <v>1</v>
      </c>
      <c r="EI188" s="134">
        <v>1246.58</v>
      </c>
      <c r="EJ188" s="81"/>
      <c r="EK188" s="81"/>
      <c r="EL188" s="46"/>
      <c r="EM188" s="74"/>
      <c r="EN188" s="134">
        <f>1.2*1481.86</f>
        <v>1778.2319999999997</v>
      </c>
      <c r="EO188" s="81"/>
      <c r="EP188" s="81"/>
      <c r="EQ188" s="46"/>
      <c r="ER188" s="74"/>
      <c r="ES188" s="74">
        <f>1.2*1438.51</f>
        <v>1726.212</v>
      </c>
      <c r="ET188" s="81"/>
      <c r="EU188" s="81"/>
      <c r="EV188" s="46"/>
      <c r="EW188" s="74"/>
      <c r="EX188" s="134">
        <f>1.2*1451.79</f>
        <v>1742.1479999999999</v>
      </c>
      <c r="EY188" s="81"/>
      <c r="EZ188" s="81"/>
      <c r="FA188" s="46"/>
      <c r="FB188" s="74"/>
      <c r="FC188" s="134">
        <f>1.2*1532.78</f>
        <v>1839.336</v>
      </c>
      <c r="FD188" s="81"/>
      <c r="FE188" s="81"/>
      <c r="FF188" s="46"/>
      <c r="FG188" s="74"/>
      <c r="FH188" s="74">
        <f>1563.65*1.2</f>
        <v>1876.38</v>
      </c>
      <c r="FI188" s="81"/>
      <c r="FJ188" s="81"/>
      <c r="FK188" s="46"/>
      <c r="FL188" s="74"/>
      <c r="FM188" s="74">
        <f>1.2*1421.85</f>
        <v>1706.2199999999998</v>
      </c>
      <c r="FN188" s="81"/>
      <c r="FO188" s="81"/>
      <c r="FP188" s="46"/>
      <c r="FQ188" s="74"/>
      <c r="FR188" s="134">
        <f>1.2*1589.22</f>
        <v>1907.0639999999999</v>
      </c>
      <c r="FS188" s="81"/>
      <c r="FT188" s="81"/>
      <c r="FU188" s="46"/>
      <c r="FV188" s="74"/>
      <c r="FW188" s="74">
        <f>1.2*934.08</f>
        <v>1120.896</v>
      </c>
      <c r="FX188" s="81"/>
      <c r="FY188" s="81"/>
      <c r="FZ188" s="46"/>
      <c r="GA188" s="74"/>
      <c r="GB188" s="74">
        <f>1.2*1083.13</f>
        <v>1299.7560000000001</v>
      </c>
      <c r="GC188" s="81"/>
      <c r="GD188" s="81"/>
      <c r="GE188" s="46"/>
      <c r="GF188" s="74"/>
      <c r="GG188" s="134">
        <f>1.2*1038.56</f>
        <v>1246.2719999999999</v>
      </c>
      <c r="GH188" s="81"/>
      <c r="GI188" s="81"/>
      <c r="GJ188" s="97"/>
      <c r="GK188" s="74"/>
      <c r="GL188" s="74">
        <f>1.2*848.82</f>
        <v>1018.5840000000001</v>
      </c>
      <c r="GM188" s="81"/>
      <c r="GN188" s="81"/>
      <c r="GO188" s="46"/>
      <c r="GP188" s="74"/>
      <c r="GQ188" s="134">
        <f>1.2*1263.37</f>
        <v>1516.0439999999999</v>
      </c>
      <c r="GR188" s="81"/>
      <c r="GS188" s="81"/>
      <c r="GT188" s="46"/>
      <c r="GU188" s="74"/>
      <c r="GV188" s="134">
        <f>1.2*2065.93</f>
        <v>2479.1159999999995</v>
      </c>
      <c r="GW188" s="81"/>
      <c r="GX188" s="81"/>
      <c r="GY188" s="46"/>
      <c r="GZ188" s="57"/>
      <c r="HA188" s="57">
        <f>1.2*1438.51</f>
        <v>1726.212</v>
      </c>
      <c r="HB188" s="44"/>
      <c r="HC188" s="81"/>
      <c r="HD188" s="46"/>
      <c r="HE188" s="57"/>
      <c r="HF188" s="72">
        <f>1.2*1451.79</f>
        <v>1742.1479999999999</v>
      </c>
      <c r="HG188" s="44"/>
      <c r="HH188" s="81"/>
      <c r="HI188" s="46"/>
      <c r="HJ188" s="57"/>
      <c r="HK188" s="72">
        <f>1.2*1532.78</f>
        <v>1839.336</v>
      </c>
      <c r="HL188" s="44"/>
      <c r="HM188" s="81"/>
      <c r="HN188" s="46"/>
      <c r="HO188" s="57"/>
      <c r="HP188" s="57">
        <f>1563.65*1.2</f>
        <v>1876.38</v>
      </c>
      <c r="HQ188" s="44"/>
      <c r="HR188" s="81"/>
      <c r="HS188" s="46"/>
      <c r="HT188" s="57"/>
      <c r="HU188" s="57">
        <f>1.2*1421.85</f>
        <v>1706.2199999999998</v>
      </c>
      <c r="HV188" s="44"/>
      <c r="HW188" s="81"/>
      <c r="HX188" s="46"/>
      <c r="HY188" s="57"/>
      <c r="HZ188" s="72">
        <f>1.2*1589.22</f>
        <v>1907.0639999999999</v>
      </c>
      <c r="IA188" s="44"/>
      <c r="IB188" s="81"/>
      <c r="IC188" s="46"/>
      <c r="ID188" s="57"/>
      <c r="IE188" s="57"/>
      <c r="IF188" s="44"/>
      <c r="IG188" s="81"/>
      <c r="IH188" s="46"/>
      <c r="II188" s="57"/>
      <c r="IJ188" s="57"/>
      <c r="IK188" s="44"/>
      <c r="IL188" s="81"/>
      <c r="IM188" s="46"/>
      <c r="IN188" s="57"/>
      <c r="IO188" s="57"/>
      <c r="IP188" s="44"/>
      <c r="IQ188" s="81"/>
    </row>
    <row r="189" spans="1:251" s="264" customFormat="1" ht="15" customHeight="1" thickBot="1">
      <c r="A189" s="648"/>
      <c r="B189" s="257"/>
      <c r="C189" s="258"/>
      <c r="D189" s="20"/>
      <c r="E189" s="259" t="s">
        <v>17</v>
      </c>
      <c r="F189" s="23"/>
      <c r="G189" s="168">
        <f>I189/H189</f>
        <v>9</v>
      </c>
      <c r="H189" s="169">
        <v>1</v>
      </c>
      <c r="I189" s="169">
        <v>9</v>
      </c>
      <c r="J189" s="48"/>
      <c r="K189" s="49"/>
      <c r="L189" s="168">
        <f>N189/M189</f>
        <v>30.384024789120332</v>
      </c>
      <c r="M189" s="170">
        <v>174.27</v>
      </c>
      <c r="N189" s="170">
        <f>4412.52*1.2</f>
        <v>5295.0240000000003</v>
      </c>
      <c r="O189" s="179"/>
      <c r="P189" s="182"/>
      <c r="Q189" s="168">
        <f>S189/R189</f>
        <v>1888.6680000000001</v>
      </c>
      <c r="R189" s="170">
        <v>1</v>
      </c>
      <c r="S189" s="170">
        <f>1.2*1573.89</f>
        <v>1888.6680000000001</v>
      </c>
      <c r="T189" s="179"/>
      <c r="U189" s="182"/>
      <c r="V189" s="209">
        <v>30.38</v>
      </c>
      <c r="W189" s="170">
        <v>72.959999999999994</v>
      </c>
      <c r="X189" s="170">
        <f>1.2*(1539.46+864.58)</f>
        <v>2884.848</v>
      </c>
      <c r="Y189" s="179"/>
      <c r="Z189" s="179"/>
      <c r="AA189" s="3">
        <v>30.38</v>
      </c>
      <c r="AB189" s="170">
        <v>60</v>
      </c>
      <c r="AC189" s="170">
        <f>1.2*655.04</f>
        <v>786.04799999999989</v>
      </c>
      <c r="AD189" s="179"/>
      <c r="AE189" s="179"/>
      <c r="AF189" s="3">
        <f>AH189/AG189</f>
        <v>30.383999999999993</v>
      </c>
      <c r="AG189" s="170">
        <v>69</v>
      </c>
      <c r="AH189" s="170">
        <f>1.2*1747.08</f>
        <v>2096.4959999999996</v>
      </c>
      <c r="AI189" s="179"/>
      <c r="AJ189" s="179"/>
      <c r="AK189" s="3">
        <f>AM189/AL189</f>
        <v>2096.4959999999996</v>
      </c>
      <c r="AL189" s="170">
        <v>1</v>
      </c>
      <c r="AM189" s="369">
        <f>1.2*1747.08</f>
        <v>2096.4959999999996</v>
      </c>
      <c r="AN189" s="179"/>
      <c r="AO189" s="179"/>
      <c r="AP189" s="3">
        <f>AR189/AQ189</f>
        <v>30.830823529411759</v>
      </c>
      <c r="AQ189" s="170">
        <v>68</v>
      </c>
      <c r="AR189" s="369">
        <f>1.2*1747.08</f>
        <v>2096.4959999999996</v>
      </c>
      <c r="AS189" s="179"/>
      <c r="AT189" s="179"/>
      <c r="AU189" s="3">
        <f>AW189/AV189</f>
        <v>30.383999999999997</v>
      </c>
      <c r="AV189" s="170">
        <v>55</v>
      </c>
      <c r="AW189" s="369">
        <f>1.2*1392.6</f>
        <v>1671.12</v>
      </c>
      <c r="AX189" s="179"/>
      <c r="AY189" s="179"/>
      <c r="AZ189" s="3">
        <f>BB189/BA189</f>
        <v>30.384</v>
      </c>
      <c r="BA189" s="170">
        <v>52</v>
      </c>
      <c r="BB189" s="170">
        <f>1.2*(1316.64)</f>
        <v>1579.9680000000001</v>
      </c>
      <c r="BC189" s="179"/>
      <c r="BD189" s="179"/>
      <c r="BE189" s="3">
        <f>BG189/BF189</f>
        <v>30.383999999999993</v>
      </c>
      <c r="BF189" s="170">
        <v>69</v>
      </c>
      <c r="BG189" s="170">
        <f>1.2*1747.08</f>
        <v>2096.4959999999996</v>
      </c>
      <c r="BH189" s="179"/>
      <c r="BI189" s="179"/>
      <c r="BJ189" s="3">
        <f>BL189/BK189</f>
        <v>30.383999999999997</v>
      </c>
      <c r="BK189" s="170">
        <v>55</v>
      </c>
      <c r="BL189" s="369">
        <f>1.2*1392.6</f>
        <v>1671.12</v>
      </c>
      <c r="BM189" s="179"/>
      <c r="BN189" s="179"/>
      <c r="BO189" s="3">
        <f>BQ189/BP189</f>
        <v>30.384</v>
      </c>
      <c r="BP189" s="170">
        <v>60</v>
      </c>
      <c r="BQ189" s="170">
        <v>1823.04</v>
      </c>
      <c r="BR189" s="179"/>
      <c r="BS189" s="179"/>
      <c r="BT189" s="3">
        <f>BV189/BU189</f>
        <v>30.384</v>
      </c>
      <c r="BU189" s="170">
        <v>61</v>
      </c>
      <c r="BV189" s="369">
        <f>1.2*1544.52</f>
        <v>1853.424</v>
      </c>
      <c r="BW189" s="179"/>
      <c r="BX189" s="179"/>
      <c r="BY189" s="3">
        <f>CA189/BZ189</f>
        <v>33.870688524590165</v>
      </c>
      <c r="BZ189" s="170">
        <v>61</v>
      </c>
      <c r="CA189" s="369">
        <f>1.2*1721.76</f>
        <v>2066.1120000000001</v>
      </c>
      <c r="CB189" s="179"/>
      <c r="CC189" s="179"/>
      <c r="CD189" s="3">
        <f>CF189/CE189</f>
        <v>25.721904761904764</v>
      </c>
      <c r="CE189" s="170">
        <v>63</v>
      </c>
      <c r="CF189" s="369">
        <v>1620.48</v>
      </c>
      <c r="CG189" s="179"/>
      <c r="CH189" s="179"/>
      <c r="CI189" s="3">
        <f>CK189/CJ189</f>
        <v>30.384</v>
      </c>
      <c r="CJ189" s="170">
        <v>57</v>
      </c>
      <c r="CK189" s="170">
        <f>1.2*1443.24</f>
        <v>1731.8879999999999</v>
      </c>
      <c r="CL189" s="179"/>
      <c r="CM189" s="179"/>
      <c r="CN189" s="3">
        <f>CP189/CO189</f>
        <v>30.384</v>
      </c>
      <c r="CO189" s="170">
        <v>58</v>
      </c>
      <c r="CP189" s="369">
        <f>1.2*1468.56</f>
        <v>1762.2719999999999</v>
      </c>
      <c r="CQ189" s="179"/>
      <c r="CR189" s="179"/>
      <c r="CS189" s="3">
        <f>CU189/CT189</f>
        <v>46.872</v>
      </c>
      <c r="CT189" s="170">
        <v>57</v>
      </c>
      <c r="CU189" s="170">
        <f>1.2*2226.42</f>
        <v>2671.7040000000002</v>
      </c>
      <c r="CV189" s="179"/>
      <c r="CW189" s="179"/>
      <c r="CX189" s="3">
        <f>CZ189/CY189</f>
        <v>46.871781818181816</v>
      </c>
      <c r="CY189" s="170">
        <v>55</v>
      </c>
      <c r="CZ189" s="170">
        <f>1.2*2148.29</f>
        <v>2577.9479999999999</v>
      </c>
      <c r="DA189" s="179"/>
      <c r="DB189" s="179"/>
      <c r="DC189" s="3">
        <f>DE189/DD189</f>
        <v>39.05981818181818</v>
      </c>
      <c r="DD189" s="170">
        <v>55</v>
      </c>
      <c r="DE189" s="170">
        <v>2148.29</v>
      </c>
      <c r="DF189" s="179"/>
      <c r="DG189" s="179"/>
      <c r="DH189" s="3">
        <f>DJ189/DI189</f>
        <v>46.872000000000007</v>
      </c>
      <c r="DI189" s="170">
        <v>71</v>
      </c>
      <c r="DJ189" s="369">
        <f>1.2*2773.26</f>
        <v>3327.9120000000003</v>
      </c>
      <c r="DK189" s="179"/>
      <c r="DL189" s="179"/>
      <c r="DM189" s="3">
        <f>DO189/DN189</f>
        <v>46.871739130434783</v>
      </c>
      <c r="DN189" s="170">
        <v>92</v>
      </c>
      <c r="DO189" s="170">
        <f>1.2*3593.5</f>
        <v>4312.2</v>
      </c>
      <c r="DP189" s="179"/>
      <c r="DQ189" s="179"/>
      <c r="DR189" s="3">
        <f>DT189/DS189</f>
        <v>39.06</v>
      </c>
      <c r="DS189" s="170">
        <v>82</v>
      </c>
      <c r="DT189" s="369">
        <v>3202.92</v>
      </c>
      <c r="DU189" s="179"/>
      <c r="DV189" s="179"/>
      <c r="DW189" s="3">
        <f>DY189/DX189</f>
        <v>46.872</v>
      </c>
      <c r="DX189" s="170">
        <v>65</v>
      </c>
      <c r="DY189" s="170">
        <f>1.2*2538.9</f>
        <v>3046.68</v>
      </c>
      <c r="DZ189" s="179"/>
      <c r="EA189" s="179"/>
      <c r="EB189" s="3">
        <f>ED189/EC189</f>
        <v>46.871999999999993</v>
      </c>
      <c r="EC189" s="170">
        <v>70</v>
      </c>
      <c r="ED189" s="369">
        <f>1.2*2734.2</f>
        <v>3281.0399999999995</v>
      </c>
      <c r="EE189" s="179"/>
      <c r="EF189" s="179"/>
      <c r="EG189" s="3">
        <f>EI189/EH189</f>
        <v>46.871999999999993</v>
      </c>
      <c r="EH189" s="170">
        <v>60</v>
      </c>
      <c r="EI189" s="369">
        <f>1.2*2343.6</f>
        <v>2812.3199999999997</v>
      </c>
      <c r="EJ189" s="179"/>
      <c r="EK189" s="179"/>
      <c r="EL189" s="3">
        <f>EN189/EM189</f>
        <v>46.871999999999993</v>
      </c>
      <c r="EM189" s="170">
        <v>70</v>
      </c>
      <c r="EN189" s="369">
        <f>1.2*2734.2</f>
        <v>3281.0399999999995</v>
      </c>
      <c r="EO189" s="179"/>
      <c r="EP189" s="179"/>
      <c r="EQ189" s="3">
        <f>ES189/ER189</f>
        <v>46.872</v>
      </c>
      <c r="ER189" s="170">
        <v>74</v>
      </c>
      <c r="ES189" s="170">
        <f>1.2*2890.44</f>
        <v>3468.5279999999998</v>
      </c>
      <c r="ET189" s="179"/>
      <c r="EU189" s="179"/>
      <c r="EV189" s="3">
        <f>EX189/EW189</f>
        <v>46.872</v>
      </c>
      <c r="EW189" s="170">
        <v>82</v>
      </c>
      <c r="EX189" s="369">
        <f>1.2*3202.92</f>
        <v>3843.5039999999999</v>
      </c>
      <c r="EY189" s="179"/>
      <c r="EZ189" s="179"/>
      <c r="FA189" s="3">
        <f>FC189/FB189</f>
        <v>46.872</v>
      </c>
      <c r="FB189" s="170">
        <v>76</v>
      </c>
      <c r="FC189" s="170">
        <f>1.2*2968.56</f>
        <v>3562.2719999999999</v>
      </c>
      <c r="FD189" s="179"/>
      <c r="FE189" s="179"/>
      <c r="FF189" s="3">
        <f>FH189/FG189</f>
        <v>46.872</v>
      </c>
      <c r="FG189" s="170">
        <v>101</v>
      </c>
      <c r="FH189" s="170">
        <f>1.2*3945.06</f>
        <v>4734.0720000000001</v>
      </c>
      <c r="FI189" s="179"/>
      <c r="FJ189" s="179"/>
      <c r="FK189" s="3">
        <f>FM189/FL189</f>
        <v>49.98</v>
      </c>
      <c r="FL189" s="170">
        <v>113</v>
      </c>
      <c r="FM189" s="170">
        <f>1.2*4706.45</f>
        <v>5647.74</v>
      </c>
      <c r="FN189" s="179"/>
      <c r="FO189" s="179"/>
      <c r="FP189" s="3">
        <f>FR189/FQ189</f>
        <v>49.980000000000004</v>
      </c>
      <c r="FQ189" s="170">
        <v>110</v>
      </c>
      <c r="FR189" s="369">
        <f>1.2*4581.5</f>
        <v>5497.8</v>
      </c>
      <c r="FS189" s="179"/>
      <c r="FT189" s="179"/>
      <c r="FU189" s="3">
        <f>FW189/FV189</f>
        <v>49.980000000000004</v>
      </c>
      <c r="FV189" s="170">
        <v>109</v>
      </c>
      <c r="FW189" s="170">
        <f>1.2*4539.85</f>
        <v>5447.8200000000006</v>
      </c>
      <c r="FX189" s="179"/>
      <c r="FY189" s="179"/>
      <c r="FZ189" s="3">
        <f>GB189/GA189</f>
        <v>49.98</v>
      </c>
      <c r="GA189" s="170">
        <v>118</v>
      </c>
      <c r="GB189" s="170">
        <f>1.2*4914.7</f>
        <v>5897.6399999999994</v>
      </c>
      <c r="GC189" s="179"/>
      <c r="GD189" s="179"/>
      <c r="GE189" s="3">
        <f>GG189/GF189</f>
        <v>6347.46</v>
      </c>
      <c r="GF189" s="170">
        <v>1</v>
      </c>
      <c r="GG189" s="170">
        <f>1.2*5289.55</f>
        <v>6347.46</v>
      </c>
      <c r="GH189" s="179"/>
      <c r="GI189" s="179"/>
      <c r="GJ189" s="285">
        <f>GL189/GK189</f>
        <v>49.980000000000004</v>
      </c>
      <c r="GK189" s="170">
        <v>122</v>
      </c>
      <c r="GL189" s="369">
        <f>1.2*5081.3</f>
        <v>6097.56</v>
      </c>
      <c r="GM189" s="179"/>
      <c r="GN189" s="179"/>
      <c r="GO189" s="3">
        <f>GQ189/GP189</f>
        <v>63.792000000000002</v>
      </c>
      <c r="GP189" s="170">
        <v>123</v>
      </c>
      <c r="GQ189" s="369">
        <f>1.2*6538.68</f>
        <v>7846.4160000000002</v>
      </c>
      <c r="GR189" s="179"/>
      <c r="GS189" s="179"/>
      <c r="GT189" s="3">
        <f>GV189/GU189</f>
        <v>63.792000000000002</v>
      </c>
      <c r="GU189" s="170">
        <v>200</v>
      </c>
      <c r="GV189" s="369">
        <f>1.2*10632</f>
        <v>12758.4</v>
      </c>
      <c r="GW189" s="179"/>
      <c r="GX189" s="179"/>
      <c r="GY189" s="3">
        <f>HA189/GZ189</f>
        <v>46.872</v>
      </c>
      <c r="GZ189" s="169">
        <v>74</v>
      </c>
      <c r="HA189" s="169">
        <f>1.2*2890.44</f>
        <v>3468.5279999999998</v>
      </c>
      <c r="HB189" s="48"/>
      <c r="HC189" s="179"/>
      <c r="HD189" s="3">
        <f>HF189/HE189</f>
        <v>46.872</v>
      </c>
      <c r="HE189" s="169">
        <v>82</v>
      </c>
      <c r="HF189" s="775">
        <f>1.2*3202.92</f>
        <v>3843.5039999999999</v>
      </c>
      <c r="HG189" s="48"/>
      <c r="HH189" s="179"/>
      <c r="HI189" s="3">
        <f>HK189/HJ189</f>
        <v>46.872</v>
      </c>
      <c r="HJ189" s="169">
        <v>76</v>
      </c>
      <c r="HK189" s="169">
        <f>1.2*2968.56</f>
        <v>3562.2719999999999</v>
      </c>
      <c r="HL189" s="48"/>
      <c r="HM189" s="179"/>
      <c r="HN189" s="3">
        <f>HP189/HO189</f>
        <v>46.872</v>
      </c>
      <c r="HO189" s="169">
        <v>101</v>
      </c>
      <c r="HP189" s="169">
        <f>1.2*3945.06</f>
        <v>4734.0720000000001</v>
      </c>
      <c r="HQ189" s="48"/>
      <c r="HR189" s="179"/>
      <c r="HS189" s="3">
        <f>HU189/HT189</f>
        <v>49.98</v>
      </c>
      <c r="HT189" s="169">
        <v>113</v>
      </c>
      <c r="HU189" s="169">
        <f>1.2*4706.45</f>
        <v>5647.74</v>
      </c>
      <c r="HV189" s="48"/>
      <c r="HW189" s="179"/>
      <c r="HX189" s="3">
        <f>HZ189/HY189</f>
        <v>49.980000000000004</v>
      </c>
      <c r="HY189" s="169">
        <v>110</v>
      </c>
      <c r="HZ189" s="775">
        <f>1.2*4581.5</f>
        <v>5497.8</v>
      </c>
      <c r="IA189" s="48"/>
      <c r="IB189" s="179"/>
      <c r="IC189" s="3">
        <f>IE189/ID189</f>
        <v>9</v>
      </c>
      <c r="ID189" s="169">
        <v>1</v>
      </c>
      <c r="IE189" s="169">
        <v>9</v>
      </c>
      <c r="IF189" s="48"/>
      <c r="IG189" s="179"/>
      <c r="IH189" s="3">
        <f>IJ189/II189</f>
        <v>9</v>
      </c>
      <c r="II189" s="169">
        <v>1</v>
      </c>
      <c r="IJ189" s="169">
        <v>9</v>
      </c>
      <c r="IK189" s="48"/>
      <c r="IL189" s="179"/>
      <c r="IM189" s="3">
        <f>IO189/IN189</f>
        <v>9</v>
      </c>
      <c r="IN189" s="169">
        <v>1</v>
      </c>
      <c r="IO189" s="169">
        <v>9</v>
      </c>
      <c r="IP189" s="48"/>
      <c r="IQ189" s="179"/>
    </row>
    <row r="190" spans="1:251" s="249" customFormat="1" ht="15" customHeight="1">
      <c r="A190" s="649"/>
      <c r="B190" s="295" t="s">
        <v>319</v>
      </c>
      <c r="C190" s="294" t="s">
        <v>97</v>
      </c>
      <c r="D190" s="32" t="s">
        <v>181</v>
      </c>
      <c r="E190" s="279" t="s">
        <v>10</v>
      </c>
      <c r="F190" s="310"/>
      <c r="G190" s="205"/>
      <c r="H190" s="199">
        <v>26.4</v>
      </c>
      <c r="I190" s="299">
        <v>0</v>
      </c>
      <c r="J190" s="199"/>
      <c r="K190" s="326"/>
      <c r="L190" s="205"/>
      <c r="M190" s="199">
        <v>26.4</v>
      </c>
      <c r="N190" s="299">
        <v>0</v>
      </c>
      <c r="O190" s="199"/>
      <c r="P190" s="326"/>
      <c r="Q190" s="205"/>
      <c r="R190" s="199">
        <v>26.4</v>
      </c>
      <c r="S190" s="299">
        <v>0</v>
      </c>
      <c r="T190" s="199"/>
      <c r="U190" s="326"/>
      <c r="V190" s="210"/>
      <c r="W190" s="199"/>
      <c r="X190" s="381">
        <v>1628</v>
      </c>
      <c r="Y190" s="199"/>
      <c r="Z190" s="384">
        <f>SUM(X190:X194)*1.1</f>
        <v>271816.38</v>
      </c>
      <c r="AA190" s="280"/>
      <c r="AB190" s="199">
        <v>26.4</v>
      </c>
      <c r="AC190" s="299">
        <v>0</v>
      </c>
      <c r="AD190" s="199"/>
      <c r="AE190" s="384">
        <f>SUM(AC190:AC194)*1.1</f>
        <v>196741.47900000002</v>
      </c>
      <c r="AF190" s="280"/>
      <c r="AG190" s="199">
        <v>26.4</v>
      </c>
      <c r="AH190" s="299">
        <v>0</v>
      </c>
      <c r="AI190" s="199"/>
      <c r="AJ190" s="384">
        <f>AJ191*1.1</f>
        <v>197712.42700000003</v>
      </c>
      <c r="AK190" s="280"/>
      <c r="AL190" s="199">
        <v>26.4</v>
      </c>
      <c r="AM190" s="299">
        <v>0</v>
      </c>
      <c r="AN190" s="199"/>
      <c r="AO190" s="384">
        <f>AO191*1.2</f>
        <v>256531.71599999999</v>
      </c>
      <c r="AP190" s="280"/>
      <c r="AQ190" s="199">
        <v>26.4</v>
      </c>
      <c r="AR190" s="299">
        <v>0</v>
      </c>
      <c r="AS190" s="199"/>
      <c r="AT190" s="384">
        <f>SUM(AR190:AR194)*1.1</f>
        <v>319647.63600000006</v>
      </c>
      <c r="AU190" s="280"/>
      <c r="AV190" s="199">
        <v>26.4</v>
      </c>
      <c r="AW190" s="299">
        <v>0</v>
      </c>
      <c r="AX190" s="199"/>
      <c r="AY190" s="384">
        <f>SUM(AW190:AW194)*1.1</f>
        <v>321080.76</v>
      </c>
      <c r="AZ190" s="280"/>
      <c r="BA190" s="199">
        <v>26.4</v>
      </c>
      <c r="BB190" s="299">
        <v>0</v>
      </c>
      <c r="BC190" s="199"/>
      <c r="BD190" s="384">
        <f>SUM(BB190:BB194)*1.1</f>
        <v>318713.47200000007</v>
      </c>
      <c r="BE190" s="280"/>
      <c r="BF190" s="199">
        <v>26.4</v>
      </c>
      <c r="BG190" s="299">
        <v>0</v>
      </c>
      <c r="BH190" s="199"/>
      <c r="BI190" s="384">
        <f>SUM(BG190:BG194)*1.1</f>
        <v>300383.94100000005</v>
      </c>
      <c r="BJ190" s="280"/>
      <c r="BK190" s="199">
        <v>26.4</v>
      </c>
      <c r="BL190" s="299">
        <v>0</v>
      </c>
      <c r="BM190" s="199"/>
      <c r="BN190" s="384">
        <f>SUM(BL190:BL194)*1.1</f>
        <v>300922.24800000002</v>
      </c>
      <c r="BO190" s="280"/>
      <c r="BP190" s="199">
        <v>26.4</v>
      </c>
      <c r="BQ190" s="299">
        <v>0</v>
      </c>
      <c r="BR190" s="199"/>
      <c r="BS190" s="384">
        <f>SUM(BQ190:BQ194)*1.1</f>
        <v>242931.15000000002</v>
      </c>
      <c r="BT190" s="280"/>
      <c r="BU190" s="199">
        <v>26.4</v>
      </c>
      <c r="BV190" s="299">
        <v>0</v>
      </c>
      <c r="BW190" s="199"/>
      <c r="BX190" s="384">
        <f>SUM(BV190:BV194)*1.1</f>
        <v>296976.54800000001</v>
      </c>
      <c r="BY190" s="280"/>
      <c r="BZ190" s="199">
        <v>26.4</v>
      </c>
      <c r="CA190" s="299">
        <v>0</v>
      </c>
      <c r="CB190" s="199"/>
      <c r="CC190" s="384">
        <f>SUM(CA190:CA194)*1.1</f>
        <v>247244.42600000004</v>
      </c>
      <c r="CD190" s="280"/>
      <c r="CE190" s="199">
        <v>26.4</v>
      </c>
      <c r="CF190" s="299">
        <v>0</v>
      </c>
      <c r="CG190" s="199"/>
      <c r="CH190" s="384">
        <f>SUM(CF190:CF194)*1.1</f>
        <v>211958.82400000002</v>
      </c>
      <c r="CI190" s="280"/>
      <c r="CJ190" s="199">
        <v>26.4</v>
      </c>
      <c r="CK190" s="299">
        <v>0</v>
      </c>
      <c r="CL190" s="199"/>
      <c r="CM190" s="384">
        <f>SUM(CK190:CK194)*1.1</f>
        <v>261584.52100000004</v>
      </c>
      <c r="CN190" s="280"/>
      <c r="CO190" s="199">
        <v>26.4</v>
      </c>
      <c r="CP190" s="299">
        <v>0</v>
      </c>
      <c r="CQ190" s="199"/>
      <c r="CR190" s="384">
        <f>SUM(CP190:CP194)*1.1</f>
        <v>254426.17200000002</v>
      </c>
      <c r="CS190" s="280"/>
      <c r="CT190" s="379">
        <v>1</v>
      </c>
      <c r="CU190" s="381">
        <v>1650</v>
      </c>
      <c r="CV190" s="379"/>
      <c r="CW190" s="384">
        <f>SUM(CU190:CU194)*1.1</f>
        <v>278953.598</v>
      </c>
      <c r="CX190" s="280"/>
      <c r="CY190" s="379">
        <v>1</v>
      </c>
      <c r="CZ190" s="381">
        <v>1650</v>
      </c>
      <c r="DA190" s="379"/>
      <c r="DB190" s="384">
        <f>SUM(CZ190:CZ194)*1.1</f>
        <v>350260.41600000003</v>
      </c>
      <c r="DC190" s="280"/>
      <c r="DD190" s="379">
        <v>1</v>
      </c>
      <c r="DE190" s="381">
        <v>1650</v>
      </c>
      <c r="DF190" s="379"/>
      <c r="DG190" s="384">
        <f>SUM(DE190:DE194)*1.1</f>
        <v>377370.576</v>
      </c>
      <c r="DH190" s="280"/>
      <c r="DI190" s="379">
        <v>1</v>
      </c>
      <c r="DJ190" s="381">
        <v>1650</v>
      </c>
      <c r="DK190" s="379"/>
      <c r="DL190" s="384">
        <f>SUM(DJ190:DJ194)*1.1</f>
        <v>354451.68</v>
      </c>
      <c r="DM190" s="280"/>
      <c r="DN190" s="379">
        <v>1</v>
      </c>
      <c r="DO190" s="381">
        <v>1650</v>
      </c>
      <c r="DP190" s="379"/>
      <c r="DQ190" s="384">
        <f>SUM(DO190:DO194)*1.1</f>
        <v>378205.87200000003</v>
      </c>
      <c r="DR190" s="280"/>
      <c r="DS190" s="199">
        <v>26.4</v>
      </c>
      <c r="DT190" s="299">
        <v>0</v>
      </c>
      <c r="DU190" s="199"/>
      <c r="DV190" s="384">
        <f>SUM(DT190:DT194)*1.1</f>
        <v>339843.24000000005</v>
      </c>
      <c r="DW190" s="280"/>
      <c r="DX190" s="199">
        <v>26.4</v>
      </c>
      <c r="DY190" s="299">
        <v>0</v>
      </c>
      <c r="DZ190" s="199"/>
      <c r="EA190" s="384">
        <f>SUM(DY190:DY194)*1.1</f>
        <v>111100.605</v>
      </c>
      <c r="EB190" s="280"/>
      <c r="EC190" s="199">
        <v>26.4</v>
      </c>
      <c r="ED190" s="299">
        <v>0</v>
      </c>
      <c r="EE190" s="199"/>
      <c r="EF190" s="384">
        <f>SUM(ED190:ED194)*1.1</f>
        <v>448594.66300000006</v>
      </c>
      <c r="EG190" s="280"/>
      <c r="EH190" s="199">
        <v>26.4</v>
      </c>
      <c r="EI190" s="299">
        <v>0</v>
      </c>
      <c r="EJ190" s="199"/>
      <c r="EK190" s="384">
        <f>SUM(EI190:EI194)*1.1</f>
        <v>261474.51000000004</v>
      </c>
      <c r="EL190" s="280"/>
      <c r="EM190" s="199">
        <v>26.4</v>
      </c>
      <c r="EN190" s="299">
        <v>0</v>
      </c>
      <c r="EO190" s="199"/>
      <c r="EP190" s="384">
        <f>SUM(EN190:EN194)*1.1</f>
        <v>225560.23600000003</v>
      </c>
      <c r="EQ190" s="280"/>
      <c r="ER190" s="199">
        <v>26.4</v>
      </c>
      <c r="ES190" s="299">
        <v>0</v>
      </c>
      <c r="ET190" s="199"/>
      <c r="EU190" s="384">
        <f>SUM(ES190:ES194)*1.1</f>
        <v>443873.364</v>
      </c>
      <c r="EV190" s="280"/>
      <c r="EW190" s="199">
        <v>26.4</v>
      </c>
      <c r="EX190" s="299">
        <v>0</v>
      </c>
      <c r="EY190" s="199"/>
      <c r="EZ190" s="384">
        <f>SUM(EX190:EX194)*1.1</f>
        <v>391703.22400000005</v>
      </c>
      <c r="FA190" s="280"/>
      <c r="FB190" s="199">
        <v>1</v>
      </c>
      <c r="FC190" s="299">
        <v>1650</v>
      </c>
      <c r="FD190" s="199"/>
      <c r="FE190" s="384">
        <f>SUM(FC190:FC194)*1.1</f>
        <v>280656.94800000003</v>
      </c>
      <c r="FF190" s="280"/>
      <c r="FG190" s="199">
        <v>1</v>
      </c>
      <c r="FH190" s="299">
        <v>1650</v>
      </c>
      <c r="FI190" s="199"/>
      <c r="FJ190" s="384">
        <f>SUM(FH190:FH194)*1.1</f>
        <v>373331.86</v>
      </c>
      <c r="FK190" s="280"/>
      <c r="FL190" s="199">
        <v>1</v>
      </c>
      <c r="FM190" s="299">
        <v>1650</v>
      </c>
      <c r="FN190" s="199"/>
      <c r="FO190" s="384">
        <f>SUM(FM190:FM194)*1.1</f>
        <v>404856.56200000003</v>
      </c>
      <c r="FP190" s="280"/>
      <c r="FQ190" s="199">
        <v>1</v>
      </c>
      <c r="FR190" s="299">
        <v>1650</v>
      </c>
      <c r="FS190" s="199"/>
      <c r="FT190" s="384">
        <f>SUM(FR190:FR194)*1.1</f>
        <v>359691.55200000003</v>
      </c>
      <c r="FU190" s="280"/>
      <c r="FV190" s="199">
        <v>1</v>
      </c>
      <c r="FW190" s="299">
        <v>1650</v>
      </c>
      <c r="FX190" s="199"/>
      <c r="FY190" s="384">
        <f>SUM(FW190:FW194)*1.1</f>
        <v>381895.8550000001</v>
      </c>
      <c r="FZ190" s="280"/>
      <c r="GA190" s="199">
        <v>26.4</v>
      </c>
      <c r="GB190" s="299">
        <v>0</v>
      </c>
      <c r="GC190" s="199"/>
      <c r="GD190" s="384">
        <f>SUM(GB190:GB194)*1.1</f>
        <v>108747.144</v>
      </c>
      <c r="GE190" s="280"/>
      <c r="GF190" s="199">
        <v>26.4</v>
      </c>
      <c r="GG190" s="299">
        <v>0</v>
      </c>
      <c r="GH190" s="199"/>
      <c r="GI190" s="384">
        <f>SUM(GG190:GG194)*1.1</f>
        <v>95916.744000000006</v>
      </c>
      <c r="GJ190" s="280"/>
      <c r="GK190" s="199">
        <v>26.4</v>
      </c>
      <c r="GL190" s="299">
        <v>0</v>
      </c>
      <c r="GM190" s="199"/>
      <c r="GN190" s="384">
        <f>SUM(GL190:GL194)*1.1</f>
        <v>448594.66300000006</v>
      </c>
      <c r="GO190" s="280"/>
      <c r="GP190" s="199">
        <v>26.4</v>
      </c>
      <c r="GQ190" s="299">
        <v>0</v>
      </c>
      <c r="GR190" s="199"/>
      <c r="GS190" s="384">
        <f>SUM(GQ190:GQ194)*1.1</f>
        <v>324532.02100000001</v>
      </c>
      <c r="GT190" s="280"/>
      <c r="GU190" s="199">
        <v>26.4</v>
      </c>
      <c r="GV190" s="299">
        <v>0</v>
      </c>
      <c r="GW190" s="199"/>
      <c r="GX190" s="384">
        <f>SUM(GV190:GV194)*1.1</f>
        <v>482972.12700000004</v>
      </c>
      <c r="GY190" s="280"/>
      <c r="GZ190" s="199">
        <v>26.4</v>
      </c>
      <c r="HA190" s="299">
        <v>0</v>
      </c>
      <c r="HB190" s="199"/>
      <c r="HC190" s="384">
        <f>SUM(HA190:HA194)*1.1</f>
        <v>443873.364</v>
      </c>
      <c r="HD190" s="280"/>
      <c r="HE190" s="199">
        <v>26.4</v>
      </c>
      <c r="HF190" s="299">
        <v>0</v>
      </c>
      <c r="HG190" s="199"/>
      <c r="HH190" s="384">
        <f>SUM(HF190:HF194)*1.1</f>
        <v>391703.22400000005</v>
      </c>
      <c r="HI190" s="280"/>
      <c r="HJ190" s="199">
        <v>1</v>
      </c>
      <c r="HK190" s="299">
        <v>1650</v>
      </c>
      <c r="HL190" s="199"/>
      <c r="HM190" s="384">
        <f>SUM(HK190:HK194)*1.1</f>
        <v>280656.94800000003</v>
      </c>
      <c r="HN190" s="280"/>
      <c r="HO190" s="199">
        <v>1</v>
      </c>
      <c r="HP190" s="299">
        <v>1650</v>
      </c>
      <c r="HQ190" s="199"/>
      <c r="HR190" s="384">
        <f>SUM(HP190:HP194)*1.1</f>
        <v>371516.86</v>
      </c>
      <c r="HS190" s="280"/>
      <c r="HT190" s="199">
        <v>1</v>
      </c>
      <c r="HU190" s="299">
        <v>1650</v>
      </c>
      <c r="HV190" s="199"/>
      <c r="HW190" s="384">
        <f>SUM(HU190:HU194)*1.1</f>
        <v>403041.56200000003</v>
      </c>
      <c r="HX190" s="280"/>
      <c r="HY190" s="199">
        <v>1</v>
      </c>
      <c r="HZ190" s="299">
        <v>1650</v>
      </c>
      <c r="IA190" s="199"/>
      <c r="IB190" s="384">
        <f>SUM(HZ190:HZ194)*1.1</f>
        <v>357876.55200000003</v>
      </c>
      <c r="IC190" s="280"/>
      <c r="ID190" s="199">
        <v>1</v>
      </c>
      <c r="IE190" s="299">
        <v>1650</v>
      </c>
      <c r="IF190" s="199"/>
      <c r="IG190" s="384">
        <f>SUM(IE190:IE194)*1.1</f>
        <v>380080.8550000001</v>
      </c>
      <c r="IH190" s="280"/>
      <c r="II190" s="199">
        <v>26.4</v>
      </c>
      <c r="IJ190" s="299">
        <v>0</v>
      </c>
      <c r="IK190" s="199"/>
      <c r="IL190" s="384">
        <f>SUM(IJ190:IJ194)*1.1</f>
        <v>95916.744000000006</v>
      </c>
      <c r="IM190" s="280"/>
      <c r="IN190" s="199">
        <v>26.4</v>
      </c>
      <c r="IO190" s="299">
        <v>0</v>
      </c>
      <c r="IP190" s="199"/>
      <c r="IQ190" s="384">
        <f>SUM(IO190:IO194)*1.1</f>
        <v>95916.744000000006</v>
      </c>
    </row>
    <row r="191" spans="1:251" ht="15" customHeight="1">
      <c r="A191" s="647"/>
      <c r="B191" s="256"/>
      <c r="C191" s="215">
        <v>40232047</v>
      </c>
      <c r="D191" s="220" t="s">
        <v>181</v>
      </c>
      <c r="E191" s="231" t="s">
        <v>11</v>
      </c>
      <c r="F191" s="29"/>
      <c r="G191" s="109"/>
      <c r="H191" s="132">
        <v>1</v>
      </c>
      <c r="I191" s="132" t="s">
        <v>180</v>
      </c>
      <c r="J191" s="130"/>
      <c r="K191" s="41"/>
      <c r="L191" s="109"/>
      <c r="M191" s="132">
        <v>1</v>
      </c>
      <c r="N191" s="133" t="s">
        <v>180</v>
      </c>
      <c r="O191" s="130"/>
      <c r="P191" s="41"/>
      <c r="Q191" s="109"/>
      <c r="R191" s="132">
        <v>1</v>
      </c>
      <c r="S191" s="132" t="s">
        <v>180</v>
      </c>
      <c r="T191" s="130"/>
      <c r="U191" s="41"/>
      <c r="V191" s="120"/>
      <c r="W191" s="132">
        <v>1</v>
      </c>
      <c r="X191" s="132" t="s">
        <v>180</v>
      </c>
      <c r="Y191" s="130"/>
      <c r="Z191" s="403">
        <f>SUM(X190:X194)*1</f>
        <v>247105.8</v>
      </c>
      <c r="AA191" s="97"/>
      <c r="AB191" s="132">
        <v>1</v>
      </c>
      <c r="AC191" s="132" t="s">
        <v>180</v>
      </c>
      <c r="AD191" s="130"/>
      <c r="AE191" s="403">
        <f>SUM(AC190:AC194)*1</f>
        <v>178855.89</v>
      </c>
      <c r="AF191" s="97"/>
      <c r="AG191" s="132">
        <v>1</v>
      </c>
      <c r="AH191" s="132" t="s">
        <v>180</v>
      </c>
      <c r="AI191" s="130"/>
      <c r="AJ191" s="403">
        <f>SUM(AH190:AH194)*1</f>
        <v>179738.57</v>
      </c>
      <c r="AK191" s="97"/>
      <c r="AL191" s="132">
        <v>1</v>
      </c>
      <c r="AM191" s="132" t="s">
        <v>180</v>
      </c>
      <c r="AN191" s="130"/>
      <c r="AO191" s="403">
        <f>SUM(AM190:AM194)*1</f>
        <v>213776.43</v>
      </c>
      <c r="AP191" s="97"/>
      <c r="AQ191" s="132">
        <v>1</v>
      </c>
      <c r="AR191" s="132" t="s">
        <v>180</v>
      </c>
      <c r="AS191" s="130"/>
      <c r="AT191" s="403">
        <f>SUM(AR190:AR194)*1</f>
        <v>290588.76</v>
      </c>
      <c r="AU191" s="97"/>
      <c r="AV191" s="132">
        <v>1</v>
      </c>
      <c r="AW191" s="132" t="s">
        <v>180</v>
      </c>
      <c r="AX191" s="130"/>
      <c r="AY191" s="403">
        <f>SUM(AW190:AW194)*1</f>
        <v>291891.59999999998</v>
      </c>
      <c r="AZ191" s="97"/>
      <c r="BA191" s="77">
        <v>1</v>
      </c>
      <c r="BB191" s="77" t="s">
        <v>180</v>
      </c>
      <c r="BC191" s="64"/>
      <c r="BD191" s="403">
        <f>SUM(BB190:BB194)*1</f>
        <v>289739.52000000002</v>
      </c>
      <c r="BE191" s="97"/>
      <c r="BF191" s="132">
        <v>1</v>
      </c>
      <c r="BG191" s="132" t="s">
        <v>180</v>
      </c>
      <c r="BH191" s="130"/>
      <c r="BI191" s="403">
        <f>SUM(BG190:BG194)*1</f>
        <v>273076.31</v>
      </c>
      <c r="BJ191" s="97"/>
      <c r="BK191" s="132">
        <v>1</v>
      </c>
      <c r="BL191" s="132">
        <v>10014</v>
      </c>
      <c r="BM191" s="130"/>
      <c r="BN191" s="403">
        <f>SUM(BL190:BL194)*1</f>
        <v>273565.68</v>
      </c>
      <c r="BO191" s="97"/>
      <c r="BP191" s="132">
        <v>1</v>
      </c>
      <c r="BQ191" s="132" t="s">
        <v>180</v>
      </c>
      <c r="BR191" s="130"/>
      <c r="BS191" s="403">
        <f>SUM(BQ190:BQ194)*1</f>
        <v>220846.5</v>
      </c>
      <c r="BT191" s="97"/>
      <c r="BU191" s="132">
        <v>1</v>
      </c>
      <c r="BV191" s="132" t="s">
        <v>180</v>
      </c>
      <c r="BW191" s="130"/>
      <c r="BX191" s="403">
        <f>SUM(BV190:BV194)*1</f>
        <v>269978.68</v>
      </c>
      <c r="BY191" s="97"/>
      <c r="BZ191" s="132">
        <v>1</v>
      </c>
      <c r="CA191" s="132" t="s">
        <v>180</v>
      </c>
      <c r="CB191" s="130"/>
      <c r="CC191" s="403">
        <f>SUM(CA190:CA194)*1</f>
        <v>224767.66</v>
      </c>
      <c r="CD191" s="97"/>
      <c r="CE191" s="132">
        <v>1</v>
      </c>
      <c r="CF191" s="132" t="s">
        <v>180</v>
      </c>
      <c r="CG191" s="130"/>
      <c r="CH191" s="403">
        <f>SUM(CF190:CF194)*1</f>
        <v>192689.84</v>
      </c>
      <c r="CI191" s="97"/>
      <c r="CJ191" s="132">
        <v>1</v>
      </c>
      <c r="CK191" s="132" t="s">
        <v>180</v>
      </c>
      <c r="CL191" s="130"/>
      <c r="CM191" s="403">
        <f>SUM(CK190:CK194)*1</f>
        <v>237804.11000000002</v>
      </c>
      <c r="CN191" s="97"/>
      <c r="CO191" s="132">
        <v>1</v>
      </c>
      <c r="CP191" s="132" t="s">
        <v>180</v>
      </c>
      <c r="CQ191" s="130"/>
      <c r="CR191" s="403">
        <f>SUM(CP190:CP194)*1</f>
        <v>231296.52</v>
      </c>
      <c r="CS191" s="97"/>
      <c r="CT191" s="132">
        <v>1</v>
      </c>
      <c r="CU191" s="132">
        <v>10014</v>
      </c>
      <c r="CV191" s="130"/>
      <c r="CW191" s="403">
        <f>SUM(CU190:CU194)*1</f>
        <v>253594.18</v>
      </c>
      <c r="CX191" s="97"/>
      <c r="CY191" s="132">
        <v>1</v>
      </c>
      <c r="CZ191" s="132">
        <v>10014</v>
      </c>
      <c r="DA191" s="130"/>
      <c r="DB191" s="403">
        <f>SUM(CZ190:CZ194)*1</f>
        <v>318418.56</v>
      </c>
      <c r="DC191" s="97"/>
      <c r="DD191" s="132">
        <v>1</v>
      </c>
      <c r="DE191" s="132">
        <v>10014</v>
      </c>
      <c r="DF191" s="130"/>
      <c r="DG191" s="403">
        <f>SUM(DE190:DE194)*1</f>
        <v>343064.16</v>
      </c>
      <c r="DH191" s="97"/>
      <c r="DI191" s="132">
        <v>1</v>
      </c>
      <c r="DJ191" s="132">
        <v>10014</v>
      </c>
      <c r="DK191" s="130"/>
      <c r="DL191" s="403">
        <f>SUM(DJ190:DJ194)*1</f>
        <v>322228.8</v>
      </c>
      <c r="DM191" s="97"/>
      <c r="DN191" s="132">
        <v>1</v>
      </c>
      <c r="DO191" s="132">
        <v>10014</v>
      </c>
      <c r="DP191" s="130"/>
      <c r="DQ191" s="403">
        <f>SUM(DO190:DO194)*1</f>
        <v>343823.52</v>
      </c>
      <c r="DR191" s="97"/>
      <c r="DS191" s="132">
        <v>1</v>
      </c>
      <c r="DT191" s="372">
        <v>11664</v>
      </c>
      <c r="DU191" s="130"/>
      <c r="DV191" s="403">
        <f>SUM(DT190:DT194)*1</f>
        <v>308948.40000000002</v>
      </c>
      <c r="DW191" s="97"/>
      <c r="DX191" s="132">
        <v>1</v>
      </c>
      <c r="DY191" s="132">
        <v>11664</v>
      </c>
      <c r="DZ191" s="130"/>
      <c r="EA191" s="403">
        <f>SUM(DY190:DY194)*1</f>
        <v>101000.54999999999</v>
      </c>
      <c r="EB191" s="97"/>
      <c r="EC191" s="132">
        <v>1</v>
      </c>
      <c r="ED191" s="132" t="s">
        <v>1187</v>
      </c>
      <c r="EE191" s="130"/>
      <c r="EF191" s="403">
        <f>SUM(ED190:ED194)*1</f>
        <v>407813.33</v>
      </c>
      <c r="EG191" s="97"/>
      <c r="EH191" s="132">
        <v>1</v>
      </c>
      <c r="EI191" s="132">
        <v>11664</v>
      </c>
      <c r="EJ191" s="130"/>
      <c r="EK191" s="403">
        <f>SUM(EI190:EI194)*1</f>
        <v>237704.1</v>
      </c>
      <c r="EL191" s="97"/>
      <c r="EM191" s="132">
        <v>1</v>
      </c>
      <c r="EN191" s="132">
        <v>11664</v>
      </c>
      <c r="EO191" s="130"/>
      <c r="EP191" s="403">
        <f>SUM(EN190:EN194)*1</f>
        <v>205054.76</v>
      </c>
      <c r="EQ191" s="97"/>
      <c r="ER191" s="132">
        <v>1</v>
      </c>
      <c r="ES191" s="132">
        <v>11664</v>
      </c>
      <c r="ET191" s="130"/>
      <c r="EU191" s="403">
        <f>SUM(ES190:ES194)*1</f>
        <v>403521.24</v>
      </c>
      <c r="EV191" s="97"/>
      <c r="EW191" s="132">
        <v>1</v>
      </c>
      <c r="EX191" s="132">
        <v>11664</v>
      </c>
      <c r="EY191" s="130"/>
      <c r="EZ191" s="403">
        <f>SUM(EX190:EX194)*1</f>
        <v>356093.84</v>
      </c>
      <c r="FA191" s="97"/>
      <c r="FB191" s="132">
        <v>1</v>
      </c>
      <c r="FC191" s="132">
        <v>11664</v>
      </c>
      <c r="FD191" s="130"/>
      <c r="FE191" s="403">
        <f>SUM(FC190:FC194)*1</f>
        <v>255142.68</v>
      </c>
      <c r="FF191" s="97"/>
      <c r="FG191" s="132">
        <v>1</v>
      </c>
      <c r="FH191" s="132">
        <v>11664</v>
      </c>
      <c r="FI191" s="130"/>
      <c r="FJ191" s="403">
        <f>SUM(FH190:FH194)*1</f>
        <v>339392.6</v>
      </c>
      <c r="FK191" s="97"/>
      <c r="FL191" s="132">
        <v>1</v>
      </c>
      <c r="FM191" s="132">
        <v>11664</v>
      </c>
      <c r="FN191" s="130"/>
      <c r="FO191" s="403">
        <f>SUM(FM190:FM194)*1</f>
        <v>368051.42</v>
      </c>
      <c r="FP191" s="97"/>
      <c r="FQ191" s="132">
        <v>1</v>
      </c>
      <c r="FR191" s="132">
        <v>11664</v>
      </c>
      <c r="FS191" s="130"/>
      <c r="FT191" s="403">
        <f>SUM(FR190:FR194)*1</f>
        <v>326992.32</v>
      </c>
      <c r="FU191" s="97"/>
      <c r="FV191" s="132">
        <v>1</v>
      </c>
      <c r="FW191" s="132">
        <v>11664</v>
      </c>
      <c r="FX191" s="130"/>
      <c r="FY191" s="403">
        <f>SUM(FW190:FW194)*1</f>
        <v>347178.05000000005</v>
      </c>
      <c r="FZ191" s="97"/>
      <c r="GA191" s="132">
        <v>1</v>
      </c>
      <c r="GB191" s="132">
        <v>11664</v>
      </c>
      <c r="GC191" s="130"/>
      <c r="GD191" s="403">
        <f>SUM(GB190:GB194)*1</f>
        <v>98861.04</v>
      </c>
      <c r="GE191" s="97"/>
      <c r="GF191" s="77">
        <v>1</v>
      </c>
      <c r="GG191" s="77" t="s">
        <v>180</v>
      </c>
      <c r="GH191" s="64"/>
      <c r="GI191" s="403">
        <f>SUM(GG190:GG194)*1</f>
        <v>87197.04</v>
      </c>
      <c r="GJ191" s="97"/>
      <c r="GK191" s="77">
        <v>1</v>
      </c>
      <c r="GL191" s="77" t="s">
        <v>1187</v>
      </c>
      <c r="GM191" s="64"/>
      <c r="GN191" s="403">
        <f>SUM(GL190:GL194)*1</f>
        <v>407813.33</v>
      </c>
      <c r="GO191" s="97"/>
      <c r="GP191" s="132">
        <v>1</v>
      </c>
      <c r="GQ191" s="132">
        <v>11664</v>
      </c>
      <c r="GR191" s="130"/>
      <c r="GS191" s="403">
        <f>SUM(GQ190:GQ194)*1</f>
        <v>295029.11</v>
      </c>
      <c r="GT191" s="97"/>
      <c r="GU191" s="132">
        <v>1</v>
      </c>
      <c r="GV191" s="132">
        <v>11664</v>
      </c>
      <c r="GW191" s="130"/>
      <c r="GX191" s="403">
        <f>SUM(GV190:GV194)*1</f>
        <v>439065.57</v>
      </c>
      <c r="GY191" s="97"/>
      <c r="GZ191" s="77">
        <v>1</v>
      </c>
      <c r="HA191" s="77">
        <v>11664</v>
      </c>
      <c r="HB191" s="64"/>
      <c r="HC191" s="403">
        <f>SUM(HA190:HA194)*1</f>
        <v>403521.24</v>
      </c>
      <c r="HD191" s="97"/>
      <c r="HE191" s="77">
        <v>1</v>
      </c>
      <c r="HF191" s="77">
        <v>11664</v>
      </c>
      <c r="HG191" s="64"/>
      <c r="HH191" s="403">
        <f>SUM(HF190:HF194)*1</f>
        <v>356093.84</v>
      </c>
      <c r="HI191" s="97"/>
      <c r="HJ191" s="77">
        <v>1</v>
      </c>
      <c r="HK191" s="77">
        <v>11664</v>
      </c>
      <c r="HL191" s="64"/>
      <c r="HM191" s="403">
        <f>SUM(HK190:HK194)*1</f>
        <v>255142.68</v>
      </c>
      <c r="HN191" s="97"/>
      <c r="HO191" s="77">
        <v>1</v>
      </c>
      <c r="HP191" s="77">
        <v>10014</v>
      </c>
      <c r="HQ191" s="64"/>
      <c r="HR191" s="403">
        <f>SUM(HP190:HP194)*1</f>
        <v>337742.6</v>
      </c>
      <c r="HS191" s="97"/>
      <c r="HT191" s="77">
        <v>1</v>
      </c>
      <c r="HU191" s="77">
        <v>10014</v>
      </c>
      <c r="HV191" s="64"/>
      <c r="HW191" s="403">
        <f>SUM(HU190:HU194)*1</f>
        <v>366401.42</v>
      </c>
      <c r="HX191" s="97"/>
      <c r="HY191" s="77">
        <v>1</v>
      </c>
      <c r="HZ191" s="77">
        <v>10014</v>
      </c>
      <c r="IA191" s="64"/>
      <c r="IB191" s="403">
        <f>SUM(HZ190:HZ194)*1</f>
        <v>325342.32</v>
      </c>
      <c r="IC191" s="97"/>
      <c r="ID191" s="77">
        <v>1</v>
      </c>
      <c r="IE191" s="77">
        <v>10014</v>
      </c>
      <c r="IF191" s="64"/>
      <c r="IG191" s="403">
        <f>SUM(IE190:IE194)*1</f>
        <v>345528.05000000005</v>
      </c>
      <c r="IH191" s="97"/>
      <c r="II191" s="77">
        <v>1</v>
      </c>
      <c r="IJ191" s="77" t="s">
        <v>180</v>
      </c>
      <c r="IK191" s="64"/>
      <c r="IL191" s="403">
        <f>SUM(IJ190:IJ194)*1</f>
        <v>87197.04</v>
      </c>
      <c r="IM191" s="97"/>
      <c r="IN191" s="77">
        <v>1</v>
      </c>
      <c r="IO191" s="77" t="s">
        <v>180</v>
      </c>
      <c r="IP191" s="64"/>
      <c r="IQ191" s="403">
        <f>SUM(IO190:IO194)*1</f>
        <v>87197.04</v>
      </c>
    </row>
    <row r="192" spans="1:251" ht="15" customHeight="1">
      <c r="A192" s="647"/>
      <c r="B192" s="256" t="s">
        <v>336</v>
      </c>
      <c r="C192" s="234" t="s">
        <v>556</v>
      </c>
      <c r="D192" s="220" t="s">
        <v>364</v>
      </c>
      <c r="E192" s="231" t="s">
        <v>13</v>
      </c>
      <c r="F192" s="29"/>
      <c r="G192" s="110">
        <f>I192/H192</f>
        <v>7.0034999999999998</v>
      </c>
      <c r="H192" s="132">
        <v>18680</v>
      </c>
      <c r="I192" s="132">
        <v>130825.38</v>
      </c>
      <c r="J192" s="130"/>
      <c r="K192" s="41"/>
      <c r="L192" s="110">
        <f>N192/M192</f>
        <v>7.6859999999999999</v>
      </c>
      <c r="M192" s="132">
        <v>14080</v>
      </c>
      <c r="N192" s="132">
        <v>108218.88</v>
      </c>
      <c r="O192" s="130"/>
      <c r="P192" s="41"/>
      <c r="Q192" s="110">
        <f>S192/R192</f>
        <v>7.9485000000000001</v>
      </c>
      <c r="R192" s="132">
        <v>19560</v>
      </c>
      <c r="S192" s="132">
        <v>155472.66</v>
      </c>
      <c r="T192" s="130"/>
      <c r="U192" s="41"/>
      <c r="V192" s="121">
        <f>X192/W192</f>
        <v>7.665</v>
      </c>
      <c r="W192" s="132">
        <v>31720</v>
      </c>
      <c r="X192" s="132">
        <v>243133.8</v>
      </c>
      <c r="Y192" s="130"/>
      <c r="Z192" s="130"/>
      <c r="AA192" s="98">
        <f>AC192/AB192</f>
        <v>7.0455000000000005</v>
      </c>
      <c r="AB192" s="132">
        <v>25240</v>
      </c>
      <c r="AC192" s="132">
        <v>177828.42</v>
      </c>
      <c r="AD192" s="130"/>
      <c r="AE192" s="130"/>
      <c r="AF192" s="98">
        <f>AH192/AG192</f>
        <v>5.7854999999999999</v>
      </c>
      <c r="AG192" s="132">
        <v>30920</v>
      </c>
      <c r="AH192" s="132">
        <v>178887.66</v>
      </c>
      <c r="AI192" s="130"/>
      <c r="AJ192" s="130"/>
      <c r="AK192" s="98">
        <f>AM192/AL192</f>
        <v>6.2580922131147538</v>
      </c>
      <c r="AL192" s="132">
        <v>34160</v>
      </c>
      <c r="AM192" s="132">
        <v>213776.43</v>
      </c>
      <c r="AN192" s="130"/>
      <c r="AO192" s="130"/>
      <c r="AP192" s="98">
        <f>AR192/AQ192</f>
        <v>7.6230000000000002</v>
      </c>
      <c r="AQ192" s="132">
        <v>38120</v>
      </c>
      <c r="AR192" s="132">
        <v>290588.76</v>
      </c>
      <c r="AS192" s="130"/>
      <c r="AT192" s="130"/>
      <c r="AU192" s="98">
        <v>7.8046600000000002</v>
      </c>
      <c r="AV192" s="132">
        <v>35640</v>
      </c>
      <c r="AW192" s="132">
        <v>291891.59999999998</v>
      </c>
      <c r="AX192" s="130"/>
      <c r="AY192" s="130"/>
      <c r="AZ192" s="98">
        <f>BB192/BA192</f>
        <v>8.0325000000000006</v>
      </c>
      <c r="BA192" s="132">
        <v>35960</v>
      </c>
      <c r="BB192" s="132">
        <v>288848.7</v>
      </c>
      <c r="BC192" s="130"/>
      <c r="BD192" s="130"/>
      <c r="BE192" s="98">
        <f>BG192/BF192</f>
        <v>8.2004999999999999</v>
      </c>
      <c r="BF192" s="132">
        <v>33200</v>
      </c>
      <c r="BG192" s="132">
        <v>272256.59999999998</v>
      </c>
      <c r="BH192" s="130"/>
      <c r="BI192" s="130"/>
      <c r="BJ192" s="98">
        <f>BL192/BK192</f>
        <v>8.5679999999999996</v>
      </c>
      <c r="BK192" s="132">
        <v>30760</v>
      </c>
      <c r="BL192" s="132">
        <v>263551.68</v>
      </c>
      <c r="BM192" s="130"/>
      <c r="BN192" s="130"/>
      <c r="BO192" s="98">
        <f>BQ192/BP192</f>
        <v>8.1795000000000009</v>
      </c>
      <c r="BP192" s="132">
        <v>27000</v>
      </c>
      <c r="BQ192" s="132">
        <v>220846.5</v>
      </c>
      <c r="BR192" s="130"/>
      <c r="BS192" s="130"/>
      <c r="BT192" s="98">
        <f>BV192/BU192</f>
        <v>7.5390000000000006</v>
      </c>
      <c r="BU192" s="132">
        <v>35680</v>
      </c>
      <c r="BV192" s="132">
        <v>268991.52</v>
      </c>
      <c r="BW192" s="130"/>
      <c r="BX192" s="130"/>
      <c r="BY192" s="98">
        <f>CA192/BZ192</f>
        <v>7.0244999999999997</v>
      </c>
      <c r="BZ192" s="132">
        <v>31880</v>
      </c>
      <c r="CA192" s="132">
        <v>223941.06</v>
      </c>
      <c r="CB192" s="130"/>
      <c r="CC192" s="130"/>
      <c r="CD192" s="98">
        <f>CF192/CE192</f>
        <v>6.7515000000000001</v>
      </c>
      <c r="CE192" s="132">
        <v>28400</v>
      </c>
      <c r="CF192" s="132">
        <v>191742.6</v>
      </c>
      <c r="CG192" s="130"/>
      <c r="CH192" s="130"/>
      <c r="CI192" s="98">
        <f>CK192/CJ192</f>
        <v>7.0140000000000002</v>
      </c>
      <c r="CJ192" s="132">
        <v>33760</v>
      </c>
      <c r="CK192" s="132">
        <v>236792.64</v>
      </c>
      <c r="CL192" s="130"/>
      <c r="CM192" s="130"/>
      <c r="CN192" s="98">
        <f>CP192/CO192</f>
        <v>8.0534999999999997</v>
      </c>
      <c r="CO192" s="132">
        <v>28720</v>
      </c>
      <c r="CP192" s="132">
        <v>231296.52</v>
      </c>
      <c r="CQ192" s="130"/>
      <c r="CR192" s="130"/>
      <c r="CS192" s="98">
        <f>CU192/CT192</f>
        <v>9.1349999999999998</v>
      </c>
      <c r="CT192" s="132">
        <v>26280</v>
      </c>
      <c r="CU192" s="132">
        <v>240067.8</v>
      </c>
      <c r="CV192" s="130"/>
      <c r="CW192" s="130"/>
      <c r="CX192" s="98">
        <f>CZ192/CY192</f>
        <v>9.9855</v>
      </c>
      <c r="CY192" s="132">
        <v>30720</v>
      </c>
      <c r="CZ192" s="132">
        <v>306754.56</v>
      </c>
      <c r="DA192" s="130"/>
      <c r="DB192" s="130"/>
      <c r="DC192" s="98">
        <f>DE192/DD192</f>
        <v>9.8279999999999994</v>
      </c>
      <c r="DD192" s="132">
        <v>33720</v>
      </c>
      <c r="DE192" s="774">
        <v>331400.15999999997</v>
      </c>
      <c r="DF192" s="130"/>
      <c r="DG192" s="130"/>
      <c r="DH192" s="98">
        <f>DJ192/DI192</f>
        <v>9.8279999999999994</v>
      </c>
      <c r="DI192" s="132">
        <v>31600</v>
      </c>
      <c r="DJ192" s="132">
        <v>310564.8</v>
      </c>
      <c r="DK192" s="130"/>
      <c r="DL192" s="130"/>
      <c r="DM192" s="98">
        <f>DO192/DN192</f>
        <v>9.9329999999999998</v>
      </c>
      <c r="DN192" s="132">
        <v>33440</v>
      </c>
      <c r="DO192" s="779">
        <v>332159.52</v>
      </c>
      <c r="DP192" s="130"/>
      <c r="DQ192" s="130"/>
      <c r="DR192" s="98">
        <f>DT192/DS192</f>
        <v>9.870000000000001</v>
      </c>
      <c r="DS192" s="132">
        <v>30120</v>
      </c>
      <c r="DT192" s="132">
        <v>297284.40000000002</v>
      </c>
      <c r="DU192" s="130">
        <v>19256.830000000002</v>
      </c>
      <c r="DV192" s="130"/>
      <c r="DW192" s="98">
        <f>DY192/DX192</f>
        <v>4.5989999999999993</v>
      </c>
      <c r="DX192" s="77">
        <v>18960</v>
      </c>
      <c r="DY192" s="77">
        <v>87197.04</v>
      </c>
      <c r="DZ192" s="64"/>
      <c r="EA192" s="130"/>
      <c r="EB192" s="98">
        <f>ED192/EC192</f>
        <v>10.876716883821933</v>
      </c>
      <c r="EC192" s="132">
        <v>36840</v>
      </c>
      <c r="ED192" s="132">
        <v>400698.25</v>
      </c>
      <c r="EE192" s="130"/>
      <c r="EF192" s="130"/>
      <c r="EG192" s="98">
        <f>EI192/EH192</f>
        <v>7.0244999999999997</v>
      </c>
      <c r="EH192" s="77">
        <v>31880</v>
      </c>
      <c r="EI192" s="77">
        <v>223941.06</v>
      </c>
      <c r="EJ192" s="64"/>
      <c r="EK192" s="130"/>
      <c r="EL192" s="98">
        <f>EN192/EM192</f>
        <v>6.7515000000000001</v>
      </c>
      <c r="EM192" s="77">
        <v>28400</v>
      </c>
      <c r="EN192" s="77">
        <v>191742.6</v>
      </c>
      <c r="EO192" s="64"/>
      <c r="EP192" s="130"/>
      <c r="EQ192" s="98">
        <f>ES192/ER192</f>
        <v>11.949754901960784</v>
      </c>
      <c r="ER192" s="132">
        <v>32640</v>
      </c>
      <c r="ES192" s="132">
        <v>390040</v>
      </c>
      <c r="ET192" s="130"/>
      <c r="EU192" s="130"/>
      <c r="EV192" s="98">
        <f>EX192/EW192</f>
        <v>10.145138625592418</v>
      </c>
      <c r="EW192" s="132">
        <v>33760</v>
      </c>
      <c r="EX192" s="132">
        <v>342499.88</v>
      </c>
      <c r="EY192" s="64"/>
      <c r="EZ192" s="130"/>
      <c r="FA192" s="98">
        <f>FC192/FB192</f>
        <v>9.1349999999999998</v>
      </c>
      <c r="FB192" s="77">
        <v>26280</v>
      </c>
      <c r="FC192" s="77">
        <v>240067.8</v>
      </c>
      <c r="FD192" s="64"/>
      <c r="FE192" s="130"/>
      <c r="FF192" s="98">
        <f>FH192/FG192</f>
        <v>9.5568171160609605</v>
      </c>
      <c r="FG192" s="77">
        <v>34120</v>
      </c>
      <c r="FH192" s="77">
        <v>326078.59999999998</v>
      </c>
      <c r="FI192" s="64"/>
      <c r="FJ192" s="130"/>
      <c r="FK192" s="98">
        <f>FM192/FL192</f>
        <v>9.7993762430939224</v>
      </c>
      <c r="FL192" s="132">
        <v>36200</v>
      </c>
      <c r="FM192" s="774">
        <v>354737.42</v>
      </c>
      <c r="FN192" s="130"/>
      <c r="FO192" s="130"/>
      <c r="FP192" s="98">
        <f>FR192/FQ192</f>
        <v>9.8279999999999994</v>
      </c>
      <c r="FQ192" s="77">
        <v>31600</v>
      </c>
      <c r="FR192" s="77">
        <v>310564.8</v>
      </c>
      <c r="FS192" s="64"/>
      <c r="FT192" s="130"/>
      <c r="FU192" s="98">
        <f>FW192/FV192</f>
        <v>9.9329999999999998</v>
      </c>
      <c r="FV192" s="77">
        <v>33440</v>
      </c>
      <c r="FW192" s="1459">
        <v>332159.52</v>
      </c>
      <c r="FX192" s="64"/>
      <c r="FY192" s="130"/>
      <c r="FZ192" s="98">
        <f>GB192/GA192</f>
        <v>4.5989999999999993</v>
      </c>
      <c r="GA192" s="77">
        <v>18960</v>
      </c>
      <c r="GB192" s="77">
        <v>87197.04</v>
      </c>
      <c r="GC192" s="64"/>
      <c r="GD192" s="130"/>
      <c r="GE192" s="98">
        <f>GG192/GF192</f>
        <v>4.5989999999999993</v>
      </c>
      <c r="GF192" s="77">
        <v>18960</v>
      </c>
      <c r="GG192" s="77">
        <v>87197.04</v>
      </c>
      <c r="GH192" s="64"/>
      <c r="GI192" s="130"/>
      <c r="GJ192" s="98">
        <f>GL192/GK192</f>
        <v>10.876716883821933</v>
      </c>
      <c r="GK192" s="77">
        <v>36840</v>
      </c>
      <c r="GL192" s="77">
        <v>400698.25</v>
      </c>
      <c r="GM192" s="64"/>
      <c r="GN192" s="130"/>
      <c r="GO192" s="98">
        <f>GQ192/GP192</f>
        <v>17.45041707920792</v>
      </c>
      <c r="GP192" s="132">
        <v>16160</v>
      </c>
      <c r="GQ192" s="132">
        <v>281998.74</v>
      </c>
      <c r="GR192" s="130"/>
      <c r="GS192" s="130"/>
      <c r="GT192" s="98">
        <f>GV192/GU192</f>
        <v>16.258734351145041</v>
      </c>
      <c r="GU192" s="132">
        <v>26200</v>
      </c>
      <c r="GV192" s="132">
        <v>425978.84</v>
      </c>
      <c r="GW192" s="130"/>
      <c r="GX192" s="130"/>
      <c r="GY192" s="98">
        <f>HA192/GZ192</f>
        <v>11.949754901960784</v>
      </c>
      <c r="GZ192" s="77">
        <v>32640</v>
      </c>
      <c r="HA192" s="77">
        <v>390040</v>
      </c>
      <c r="HB192" s="64"/>
      <c r="HC192" s="130"/>
      <c r="HD192" s="98">
        <f>HF192/HE192</f>
        <v>10.145138625592418</v>
      </c>
      <c r="HE192" s="77">
        <v>33760</v>
      </c>
      <c r="HF192" s="77">
        <v>342499.88</v>
      </c>
      <c r="HG192" s="64"/>
      <c r="HH192" s="130"/>
      <c r="HI192" s="98">
        <f>HK192/HJ192</f>
        <v>9.1349999999999998</v>
      </c>
      <c r="HJ192" s="77">
        <v>26280</v>
      </c>
      <c r="HK192" s="77">
        <v>240067.8</v>
      </c>
      <c r="HL192" s="64"/>
      <c r="HM192" s="130"/>
      <c r="HN192" s="98">
        <f>HP192/HO192</f>
        <v>9.5568171160609605</v>
      </c>
      <c r="HO192" s="77">
        <v>34120</v>
      </c>
      <c r="HP192" s="77">
        <v>326078.59999999998</v>
      </c>
      <c r="HQ192" s="64"/>
      <c r="HR192" s="130"/>
      <c r="HS192" s="98">
        <f>HU192/HT192</f>
        <v>9.7993762430939224</v>
      </c>
      <c r="HT192" s="77">
        <v>36200</v>
      </c>
      <c r="HU192" s="1577">
        <v>354737.42</v>
      </c>
      <c r="HV192" s="64"/>
      <c r="HW192" s="130"/>
      <c r="HX192" s="98">
        <f>HZ192/HY192</f>
        <v>9.8279999999999994</v>
      </c>
      <c r="HY192" s="77">
        <v>31600</v>
      </c>
      <c r="HZ192" s="77">
        <v>310564.8</v>
      </c>
      <c r="IA192" s="64"/>
      <c r="IB192" s="130"/>
      <c r="IC192" s="98">
        <f>IE192/ID192</f>
        <v>9.9329999999999998</v>
      </c>
      <c r="ID192" s="77">
        <v>33440</v>
      </c>
      <c r="IE192" s="1459">
        <v>332159.52</v>
      </c>
      <c r="IF192" s="64"/>
      <c r="IG192" s="130"/>
      <c r="IH192" s="98">
        <f>IJ192/II192</f>
        <v>4.5989999999999993</v>
      </c>
      <c r="II192" s="77">
        <v>18960</v>
      </c>
      <c r="IJ192" s="77">
        <v>87197.04</v>
      </c>
      <c r="IK192" s="64"/>
      <c r="IL192" s="130"/>
      <c r="IM192" s="98">
        <f>IO192/IN192</f>
        <v>4.5989999999999993</v>
      </c>
      <c r="IN192" s="77">
        <v>18960</v>
      </c>
      <c r="IO192" s="77">
        <v>87197.04</v>
      </c>
      <c r="IP192" s="64"/>
      <c r="IQ192" s="130"/>
    </row>
    <row r="193" spans="1:251" s="705" customFormat="1" ht="15" customHeight="1">
      <c r="A193" s="654"/>
      <c r="B193" s="706"/>
      <c r="C193" s="1592"/>
      <c r="D193" s="220" t="s">
        <v>364</v>
      </c>
      <c r="E193" s="785" t="s">
        <v>1228</v>
      </c>
      <c r="F193" s="785"/>
      <c r="G193" s="1593"/>
      <c r="H193" s="1417"/>
      <c r="I193" s="1417"/>
      <c r="J193" s="784"/>
      <c r="K193" s="1418"/>
      <c r="L193" s="1586"/>
      <c r="M193" s="1587"/>
      <c r="N193" s="1587"/>
      <c r="O193" s="726"/>
      <c r="P193" s="727"/>
      <c r="Q193" s="1586"/>
      <c r="R193" s="1587"/>
      <c r="S193" s="1587"/>
      <c r="T193" s="726"/>
      <c r="U193" s="727"/>
      <c r="V193" s="1588"/>
      <c r="W193" s="1587"/>
      <c r="X193" s="1587"/>
      <c r="Y193" s="726"/>
      <c r="Z193" s="726"/>
      <c r="AA193" s="1446"/>
      <c r="AB193" s="1587"/>
      <c r="AC193" s="1587"/>
      <c r="AD193" s="726"/>
      <c r="AE193" s="726"/>
      <c r="AF193" s="1446"/>
      <c r="AG193" s="1587"/>
      <c r="AH193" s="1587"/>
      <c r="AI193" s="726"/>
      <c r="AJ193" s="726"/>
      <c r="AK193" s="1446"/>
      <c r="AL193" s="1587"/>
      <c r="AM193" s="1587"/>
      <c r="AN193" s="726"/>
      <c r="AO193" s="726"/>
      <c r="AP193" s="1446"/>
      <c r="AQ193" s="1587"/>
      <c r="AR193" s="1587"/>
      <c r="AS193" s="726"/>
      <c r="AT193" s="726"/>
      <c r="AU193" s="1446"/>
      <c r="AV193" s="1587"/>
      <c r="AW193" s="1587"/>
      <c r="AX193" s="726"/>
      <c r="AY193" s="726"/>
      <c r="AZ193" s="1446"/>
      <c r="BA193" s="1587"/>
      <c r="BB193" s="1587"/>
      <c r="BC193" s="726"/>
      <c r="BD193" s="726"/>
      <c r="BE193" s="1446"/>
      <c r="BF193" s="1587"/>
      <c r="BG193" s="1587"/>
      <c r="BH193" s="726"/>
      <c r="BI193" s="726"/>
      <c r="BJ193" s="1446"/>
      <c r="BK193" s="1587"/>
      <c r="BL193" s="1587"/>
      <c r="BM193" s="726"/>
      <c r="BN193" s="726"/>
      <c r="BO193" s="1446"/>
      <c r="BP193" s="1587"/>
      <c r="BQ193" s="1587"/>
      <c r="BR193" s="726"/>
      <c r="BS193" s="726"/>
      <c r="BT193" s="1446"/>
      <c r="BU193" s="1587"/>
      <c r="BV193" s="1587"/>
      <c r="BW193" s="726"/>
      <c r="BX193" s="726"/>
      <c r="BY193" s="1446"/>
      <c r="BZ193" s="1587"/>
      <c r="CA193" s="1587"/>
      <c r="CB193" s="726"/>
      <c r="CC193" s="726"/>
      <c r="CD193" s="1446"/>
      <c r="CE193" s="1587"/>
      <c r="CF193" s="1587"/>
      <c r="CG193" s="726"/>
      <c r="CH193" s="726"/>
      <c r="CI193" s="1446"/>
      <c r="CJ193" s="1587"/>
      <c r="CK193" s="1587"/>
      <c r="CL193" s="726"/>
      <c r="CM193" s="726"/>
      <c r="CN193" s="1446"/>
      <c r="CO193" s="1587"/>
      <c r="CP193" s="1587"/>
      <c r="CQ193" s="726"/>
      <c r="CR193" s="726"/>
      <c r="CS193" s="1446"/>
      <c r="CT193" s="1587"/>
      <c r="CU193" s="1587"/>
      <c r="CV193" s="726"/>
      <c r="CW193" s="726"/>
      <c r="CX193" s="1446"/>
      <c r="CY193" s="1587"/>
      <c r="CZ193" s="1587"/>
      <c r="DA193" s="726"/>
      <c r="DB193" s="726"/>
      <c r="DC193" s="1446"/>
      <c r="DD193" s="1587"/>
      <c r="DE193" s="774"/>
      <c r="DF193" s="726"/>
      <c r="DG193" s="726"/>
      <c r="DH193" s="1446"/>
      <c r="DI193" s="1587"/>
      <c r="DJ193" s="1587"/>
      <c r="DK193" s="726"/>
      <c r="DL193" s="726"/>
      <c r="DM193" s="1446"/>
      <c r="DN193" s="1587"/>
      <c r="DO193" s="1589"/>
      <c r="DP193" s="726"/>
      <c r="DQ193" s="726"/>
      <c r="DR193" s="1446"/>
      <c r="DS193" s="1587"/>
      <c r="DT193" s="1587"/>
      <c r="DU193" s="726"/>
      <c r="DV193" s="726"/>
      <c r="DW193" s="1446"/>
      <c r="DX193" s="1590"/>
      <c r="DY193" s="1590"/>
      <c r="DZ193" s="732"/>
      <c r="EA193" s="726"/>
      <c r="EB193" s="1446"/>
      <c r="EC193" s="1587"/>
      <c r="ED193" s="1587"/>
      <c r="EE193" s="726"/>
      <c r="EF193" s="726"/>
      <c r="EG193" s="1446"/>
      <c r="EH193" s="1590"/>
      <c r="EI193" s="1590"/>
      <c r="EJ193" s="732"/>
      <c r="EK193" s="726"/>
      <c r="EL193" s="1446"/>
      <c r="EM193" s="1590"/>
      <c r="EN193" s="1590"/>
      <c r="EO193" s="732"/>
      <c r="EP193" s="726"/>
      <c r="EQ193" s="1446"/>
      <c r="ER193" s="1587"/>
      <c r="ES193" s="1587"/>
      <c r="ET193" s="726"/>
      <c r="EU193" s="726"/>
      <c r="EV193" s="1446"/>
      <c r="EW193" s="1587"/>
      <c r="EX193" s="1587"/>
      <c r="EY193" s="732"/>
      <c r="EZ193" s="726"/>
      <c r="FA193" s="1446"/>
      <c r="FB193" s="1590"/>
      <c r="FC193" s="1590"/>
      <c r="FD193" s="732"/>
      <c r="FE193" s="726"/>
      <c r="FF193" s="1446"/>
      <c r="FG193" s="1590"/>
      <c r="FH193" s="1590"/>
      <c r="FI193" s="732"/>
      <c r="FJ193" s="726"/>
      <c r="FK193" s="1446"/>
      <c r="FL193" s="1587"/>
      <c r="FM193" s="774"/>
      <c r="FN193" s="726"/>
      <c r="FO193" s="726"/>
      <c r="FP193" s="1446"/>
      <c r="FQ193" s="1590"/>
      <c r="FR193" s="1590"/>
      <c r="FS193" s="732"/>
      <c r="FT193" s="726"/>
      <c r="FU193" s="1446"/>
      <c r="FV193" s="1590"/>
      <c r="FW193" s="1591"/>
      <c r="FX193" s="732"/>
      <c r="FY193" s="726"/>
      <c r="FZ193" s="1446"/>
      <c r="GA193" s="1590"/>
      <c r="GB193" s="1590"/>
      <c r="GC193" s="732"/>
      <c r="GD193" s="726"/>
      <c r="GE193" s="1446"/>
      <c r="GF193" s="1590"/>
      <c r="GG193" s="1590"/>
      <c r="GH193" s="732"/>
      <c r="GI193" s="726"/>
      <c r="GJ193" s="1446"/>
      <c r="GK193" s="1590"/>
      <c r="GL193" s="1590"/>
      <c r="GM193" s="732"/>
      <c r="GN193" s="726"/>
      <c r="GO193" s="1446"/>
      <c r="GP193" s="1590"/>
      <c r="GQ193" s="1590"/>
      <c r="GR193" s="732"/>
      <c r="GS193" s="726"/>
      <c r="GT193" s="1446"/>
      <c r="GU193" s="1590"/>
      <c r="GV193" s="1590"/>
      <c r="GW193" s="732"/>
      <c r="GX193" s="726"/>
      <c r="GY193" s="1446"/>
      <c r="GZ193" s="1590"/>
      <c r="HA193" s="1590"/>
      <c r="HB193" s="732"/>
      <c r="HC193" s="726"/>
      <c r="HD193" s="1446"/>
      <c r="HE193" s="1590"/>
      <c r="HF193" s="1590"/>
      <c r="HG193" s="732"/>
      <c r="HH193" s="726"/>
      <c r="HI193" s="1446"/>
      <c r="HJ193" s="1590"/>
      <c r="HK193" s="1590"/>
      <c r="HL193" s="732"/>
      <c r="HM193" s="726"/>
      <c r="HN193" s="1446"/>
      <c r="HO193" s="1590"/>
      <c r="HP193" s="1590"/>
      <c r="HQ193" s="732"/>
      <c r="HR193" s="726"/>
      <c r="HS193" s="1446"/>
      <c r="HT193" s="1590"/>
      <c r="HU193" s="1577"/>
      <c r="HV193" s="732"/>
      <c r="HW193" s="726"/>
      <c r="HX193" s="1446"/>
      <c r="HY193" s="1590"/>
      <c r="HZ193" s="1590"/>
      <c r="IA193" s="732"/>
      <c r="IB193" s="726"/>
      <c r="IC193" s="1446"/>
      <c r="ID193" s="1590"/>
      <c r="IE193" s="1591"/>
      <c r="IF193" s="732"/>
      <c r="IG193" s="726"/>
      <c r="IH193" s="1446"/>
      <c r="II193" s="1590"/>
      <c r="IJ193" s="1590"/>
      <c r="IK193" s="732"/>
      <c r="IL193" s="726"/>
      <c r="IM193" s="1446"/>
      <c r="IN193" s="1590"/>
      <c r="IO193" s="1590"/>
      <c r="IP193" s="732"/>
      <c r="IQ193" s="726"/>
    </row>
    <row r="194" spans="1:251" s="264" customFormat="1" ht="15" customHeight="1" thickBot="1">
      <c r="A194" s="648"/>
      <c r="B194" s="297"/>
      <c r="C194" s="401" t="s">
        <v>1185</v>
      </c>
      <c r="D194" s="351" t="s">
        <v>1184</v>
      </c>
      <c r="E194" s="352" t="s">
        <v>17</v>
      </c>
      <c r="F194" s="31"/>
      <c r="G194" s="173">
        <f>I194/H194</f>
        <v>0</v>
      </c>
      <c r="H194" s="174">
        <v>30</v>
      </c>
      <c r="I194" s="175">
        <v>0</v>
      </c>
      <c r="J194" s="174"/>
      <c r="K194" s="176"/>
      <c r="L194" s="173">
        <f>N194/M194</f>
        <v>32.364631578947368</v>
      </c>
      <c r="M194" s="340">
        <v>190</v>
      </c>
      <c r="N194" s="341">
        <v>6149.28</v>
      </c>
      <c r="O194" s="340"/>
      <c r="P194" s="342"/>
      <c r="Q194" s="173">
        <f>S194/R194</f>
        <v>0</v>
      </c>
      <c r="R194" s="174">
        <v>30</v>
      </c>
      <c r="S194" s="175">
        <v>0</v>
      </c>
      <c r="T194" s="340"/>
      <c r="U194" s="342"/>
      <c r="V194" s="319">
        <f>X194/W194</f>
        <v>32.555555555555557</v>
      </c>
      <c r="W194" s="340">
        <v>72</v>
      </c>
      <c r="X194" s="341">
        <v>2344</v>
      </c>
      <c r="Y194" s="340"/>
      <c r="Z194" s="340"/>
      <c r="AA194" s="300">
        <f>AC194/AB194</f>
        <v>34.249000000000002</v>
      </c>
      <c r="AB194" s="340">
        <v>30</v>
      </c>
      <c r="AC194" s="341">
        <v>1027.47</v>
      </c>
      <c r="AD194" s="340"/>
      <c r="AE194" s="340"/>
      <c r="AF194" s="300">
        <f>AH194/AG194</f>
        <v>32.72730769230769</v>
      </c>
      <c r="AG194" s="340">
        <v>26</v>
      </c>
      <c r="AH194" s="341">
        <v>850.91</v>
      </c>
      <c r="AI194" s="340"/>
      <c r="AJ194" s="340"/>
      <c r="AK194" s="300">
        <f>AM194/AL194</f>
        <v>0</v>
      </c>
      <c r="AL194" s="174">
        <v>30</v>
      </c>
      <c r="AM194" s="175">
        <v>0</v>
      </c>
      <c r="AN194" s="174"/>
      <c r="AO194" s="174"/>
      <c r="AP194" s="300">
        <f>AR194/AQ194</f>
        <v>0</v>
      </c>
      <c r="AQ194" s="174">
        <v>30</v>
      </c>
      <c r="AR194" s="175">
        <v>0</v>
      </c>
      <c r="AS194" s="174"/>
      <c r="AT194" s="340"/>
      <c r="AU194" s="300">
        <f>AW194/AV194</f>
        <v>0</v>
      </c>
      <c r="AV194" s="174">
        <v>30</v>
      </c>
      <c r="AW194" s="175">
        <v>0</v>
      </c>
      <c r="AX194" s="174"/>
      <c r="AY194" s="340"/>
      <c r="AZ194" s="300">
        <f>BB194/BA194</f>
        <v>29.694000000000003</v>
      </c>
      <c r="BA194" s="340">
        <v>30</v>
      </c>
      <c r="BB194" s="341">
        <v>890.82</v>
      </c>
      <c r="BC194" s="340"/>
      <c r="BD194" s="340"/>
      <c r="BE194" s="300">
        <f>BG194/BF194</f>
        <v>31.527307692307694</v>
      </c>
      <c r="BF194" s="340">
        <v>26</v>
      </c>
      <c r="BG194" s="341">
        <v>819.71</v>
      </c>
      <c r="BH194" s="340"/>
      <c r="BI194" s="340"/>
      <c r="BJ194" s="300">
        <f>BL194/BK194</f>
        <v>0</v>
      </c>
      <c r="BK194" s="174">
        <v>30</v>
      </c>
      <c r="BL194" s="175">
        <v>0</v>
      </c>
      <c r="BM194" s="174"/>
      <c r="BN194" s="340"/>
      <c r="BO194" s="300">
        <f>BQ194/BP194</f>
        <v>0</v>
      </c>
      <c r="BP194" s="174">
        <v>30</v>
      </c>
      <c r="BQ194" s="175">
        <v>0</v>
      </c>
      <c r="BR194" s="174"/>
      <c r="BS194" s="340"/>
      <c r="BT194" s="300">
        <f>BV194/BU194</f>
        <v>32.905333333333331</v>
      </c>
      <c r="BU194" s="340">
        <v>30</v>
      </c>
      <c r="BV194" s="341">
        <f>979.36+7.8</f>
        <v>987.16</v>
      </c>
      <c r="BW194" s="340"/>
      <c r="BX194" s="340"/>
      <c r="BY194" s="300">
        <f>CA194/BZ194</f>
        <v>33.063999999999993</v>
      </c>
      <c r="BZ194" s="340">
        <v>25</v>
      </c>
      <c r="CA194" s="341">
        <f>818.8+7.8</f>
        <v>826.59999999999991</v>
      </c>
      <c r="CB194" s="340"/>
      <c r="CC194" s="340"/>
      <c r="CD194" s="300">
        <f>CF194/CE194</f>
        <v>32.663448275862066</v>
      </c>
      <c r="CE194" s="340">
        <v>29</v>
      </c>
      <c r="CF194" s="341">
        <v>947.24</v>
      </c>
      <c r="CG194" s="340"/>
      <c r="CH194" s="340"/>
      <c r="CI194" s="300">
        <f>CK194/CJ194</f>
        <v>32.628064516129037</v>
      </c>
      <c r="CJ194" s="340">
        <v>31</v>
      </c>
      <c r="CK194" s="341">
        <v>1011.47</v>
      </c>
      <c r="CL194" s="340"/>
      <c r="CM194" s="340"/>
      <c r="CN194" s="300">
        <f>CP194/CO194</f>
        <v>0</v>
      </c>
      <c r="CO194" s="174">
        <v>30</v>
      </c>
      <c r="CP194" s="175">
        <v>0</v>
      </c>
      <c r="CQ194" s="174"/>
      <c r="CR194" s="340"/>
      <c r="CS194" s="300">
        <f>CU194/CT194</f>
        <v>32.673333333333332</v>
      </c>
      <c r="CT194" s="340">
        <v>57</v>
      </c>
      <c r="CU194" s="341">
        <v>1862.38</v>
      </c>
      <c r="CV194" s="340"/>
      <c r="CW194" s="340"/>
      <c r="CX194" s="300">
        <f>CZ194/CY194</f>
        <v>0</v>
      </c>
      <c r="CY194" s="174">
        <v>30</v>
      </c>
      <c r="CZ194" s="175">
        <v>0</v>
      </c>
      <c r="DA194" s="174"/>
      <c r="DB194" s="340"/>
      <c r="DC194" s="300">
        <f>DE194/DD194</f>
        <v>0</v>
      </c>
      <c r="DD194" s="174">
        <v>30</v>
      </c>
      <c r="DE194" s="175">
        <v>0</v>
      </c>
      <c r="DF194" s="174"/>
      <c r="DG194" s="340"/>
      <c r="DH194" s="300">
        <f>DJ194/DI194</f>
        <v>0</v>
      </c>
      <c r="DI194" s="174">
        <v>30</v>
      </c>
      <c r="DJ194" s="175">
        <v>0</v>
      </c>
      <c r="DK194" s="174"/>
      <c r="DL194" s="340"/>
      <c r="DM194" s="300">
        <f>DO194/DN194</f>
        <v>0</v>
      </c>
      <c r="DN194" s="174">
        <v>30</v>
      </c>
      <c r="DO194" s="175">
        <v>0</v>
      </c>
      <c r="DP194" s="174"/>
      <c r="DQ194" s="340"/>
      <c r="DR194" s="300" t="e">
        <f>DT194/DS194</f>
        <v>#DIV/0!</v>
      </c>
      <c r="DS194" s="174"/>
      <c r="DT194" s="175"/>
      <c r="DU194" s="174"/>
      <c r="DV194" s="174"/>
      <c r="DW194" s="300">
        <f>DY194/DX194</f>
        <v>31.93298507462687</v>
      </c>
      <c r="DX194" s="340">
        <v>67</v>
      </c>
      <c r="DY194" s="341">
        <v>2139.5100000000002</v>
      </c>
      <c r="DZ194" s="340"/>
      <c r="EA194" s="340"/>
      <c r="EB194" s="300">
        <f>ED194/EC194</f>
        <v>56.468888888888891</v>
      </c>
      <c r="EC194" s="340">
        <v>126</v>
      </c>
      <c r="ED194" s="1460">
        <v>7115.08</v>
      </c>
      <c r="EE194" s="340"/>
      <c r="EF194" s="340"/>
      <c r="EG194" s="300">
        <f>EI194/EH194</f>
        <v>56.730810810810809</v>
      </c>
      <c r="EH194" s="340">
        <v>37</v>
      </c>
      <c r="EI194" s="341">
        <v>2099.04</v>
      </c>
      <c r="EJ194" s="340"/>
      <c r="EK194" s="340"/>
      <c r="EL194" s="300">
        <f>EN194/EM194</f>
        <v>56.833103448275864</v>
      </c>
      <c r="EM194" s="340">
        <v>29</v>
      </c>
      <c r="EN194" s="341">
        <v>1648.16</v>
      </c>
      <c r="EO194" s="340"/>
      <c r="EP194" s="340"/>
      <c r="EQ194" s="300">
        <f>ES194/ER194</f>
        <v>56.78875</v>
      </c>
      <c r="ER194" s="340">
        <v>32</v>
      </c>
      <c r="ES194" s="506">
        <v>1817.24</v>
      </c>
      <c r="ET194" s="340"/>
      <c r="EU194" s="340"/>
      <c r="EV194" s="300">
        <f>EX194/EW194</f>
        <v>56.763529411764708</v>
      </c>
      <c r="EW194" s="340">
        <v>34</v>
      </c>
      <c r="EX194" s="341">
        <v>1929.96</v>
      </c>
      <c r="EY194" s="340"/>
      <c r="EZ194" s="340"/>
      <c r="FA194" s="300">
        <f>FC194/FB194</f>
        <v>56.802580645161292</v>
      </c>
      <c r="FB194" s="340">
        <v>31</v>
      </c>
      <c r="FC194" s="341">
        <v>1760.88</v>
      </c>
      <c r="FD194" s="340"/>
      <c r="FE194" s="340"/>
      <c r="FF194" s="300">
        <f>FH194/FG194</f>
        <v>0</v>
      </c>
      <c r="FG194" s="174">
        <v>30</v>
      </c>
      <c r="FH194" s="175">
        <v>0</v>
      </c>
      <c r="FI194" s="174"/>
      <c r="FJ194" s="340"/>
      <c r="FK194" s="300">
        <f>FM194/FL194</f>
        <v>0</v>
      </c>
      <c r="FL194" s="174">
        <v>30</v>
      </c>
      <c r="FM194" s="175">
        <v>0</v>
      </c>
      <c r="FN194" s="174"/>
      <c r="FO194" s="340"/>
      <c r="FP194" s="300">
        <f>FR194/FQ194</f>
        <v>56.609454545454547</v>
      </c>
      <c r="FQ194" s="340">
        <v>55</v>
      </c>
      <c r="FR194" s="341">
        <v>3113.52</v>
      </c>
      <c r="FS194" s="340"/>
      <c r="FT194" s="340"/>
      <c r="FU194" s="300">
        <f>FW194/FV194</f>
        <v>56.817666666666668</v>
      </c>
      <c r="FV194" s="340">
        <v>30</v>
      </c>
      <c r="FW194" s="341">
        <v>1704.53</v>
      </c>
      <c r="FX194" s="340"/>
      <c r="FY194" s="340"/>
      <c r="FZ194" s="300">
        <f>GB194/GA194</f>
        <v>0</v>
      </c>
      <c r="GA194" s="174">
        <v>30</v>
      </c>
      <c r="GB194" s="175">
        <v>0</v>
      </c>
      <c r="GC194" s="174"/>
      <c r="GD194" s="340"/>
      <c r="GE194" s="300">
        <f>GG194/GF194</f>
        <v>0</v>
      </c>
      <c r="GF194" s="174">
        <v>30</v>
      </c>
      <c r="GG194" s="175">
        <v>0</v>
      </c>
      <c r="GH194" s="174"/>
      <c r="GI194" s="340"/>
      <c r="GJ194" s="300">
        <f>GL194/GK194</f>
        <v>56.468888888888891</v>
      </c>
      <c r="GK194" s="174">
        <v>126</v>
      </c>
      <c r="GL194" s="1558">
        <v>7115.08</v>
      </c>
      <c r="GM194" s="174"/>
      <c r="GN194" s="340"/>
      <c r="GO194" s="300">
        <f>GQ194/GP194</f>
        <v>56.932083333333331</v>
      </c>
      <c r="GP194" s="340">
        <v>24</v>
      </c>
      <c r="GQ194" s="341">
        <v>1366.37</v>
      </c>
      <c r="GR194" s="340"/>
      <c r="GS194" s="340"/>
      <c r="GT194" s="300">
        <f>GV194/GU194</f>
        <v>56.909199999999998</v>
      </c>
      <c r="GU194" s="340">
        <v>25</v>
      </c>
      <c r="GV194" s="341">
        <v>1422.73</v>
      </c>
      <c r="GW194" s="340"/>
      <c r="GX194" s="340"/>
      <c r="GY194" s="300">
        <f>HA194/GZ194</f>
        <v>56.78875</v>
      </c>
      <c r="GZ194" s="174">
        <v>32</v>
      </c>
      <c r="HA194" s="737">
        <v>1817.24</v>
      </c>
      <c r="HB194" s="174"/>
      <c r="HC194" s="340"/>
      <c r="HD194" s="300">
        <f>HF194/HE194</f>
        <v>56.763529411764708</v>
      </c>
      <c r="HE194" s="174">
        <v>34</v>
      </c>
      <c r="HF194" s="175">
        <v>1929.96</v>
      </c>
      <c r="HG194" s="174"/>
      <c r="HH194" s="340"/>
      <c r="HI194" s="300">
        <f>HK194/HJ194</f>
        <v>56.802580645161292</v>
      </c>
      <c r="HJ194" s="174">
        <v>31</v>
      </c>
      <c r="HK194" s="175">
        <v>1760.88</v>
      </c>
      <c r="HL194" s="174"/>
      <c r="HM194" s="340"/>
      <c r="HN194" s="300">
        <f>HP194/HO194</f>
        <v>0</v>
      </c>
      <c r="HO194" s="174">
        <v>30</v>
      </c>
      <c r="HP194" s="175">
        <v>0</v>
      </c>
      <c r="HQ194" s="174"/>
      <c r="HR194" s="340"/>
      <c r="HS194" s="300">
        <f>HU194/HT194</f>
        <v>0</v>
      </c>
      <c r="HT194" s="174">
        <v>30</v>
      </c>
      <c r="HU194" s="175">
        <v>0</v>
      </c>
      <c r="HV194" s="174"/>
      <c r="HW194" s="340"/>
      <c r="HX194" s="300">
        <f>HZ194/HY194</f>
        <v>56.609454545454547</v>
      </c>
      <c r="HY194" s="174">
        <v>55</v>
      </c>
      <c r="HZ194" s="175">
        <v>3113.52</v>
      </c>
      <c r="IA194" s="174"/>
      <c r="IB194" s="340"/>
      <c r="IC194" s="300">
        <f>IE194/ID194</f>
        <v>56.817666666666668</v>
      </c>
      <c r="ID194" s="174">
        <v>30</v>
      </c>
      <c r="IE194" s="175">
        <v>1704.53</v>
      </c>
      <c r="IF194" s="174"/>
      <c r="IG194" s="340"/>
      <c r="IH194" s="300">
        <f>IJ194/II194</f>
        <v>0</v>
      </c>
      <c r="II194" s="174">
        <v>30</v>
      </c>
      <c r="IJ194" s="175">
        <v>0</v>
      </c>
      <c r="IK194" s="174"/>
      <c r="IL194" s="340"/>
      <c r="IM194" s="300">
        <f>IO194/IN194</f>
        <v>0</v>
      </c>
      <c r="IN194" s="174">
        <v>30</v>
      </c>
      <c r="IO194" s="175">
        <v>0</v>
      </c>
      <c r="IP194" s="174"/>
      <c r="IQ194" s="340"/>
    </row>
    <row r="195" spans="1:251" s="249" customFormat="1" ht="15" customHeight="1" thickBot="1">
      <c r="A195" s="649"/>
      <c r="B195" s="265" t="s">
        <v>320</v>
      </c>
      <c r="C195" s="5" t="s">
        <v>98</v>
      </c>
      <c r="D195" s="6" t="s">
        <v>19</v>
      </c>
      <c r="E195" s="7" t="s">
        <v>10</v>
      </c>
      <c r="F195" s="4"/>
      <c r="G195" s="196"/>
      <c r="H195" s="197"/>
      <c r="I195" s="197"/>
      <c r="J195" s="38"/>
      <c r="K195" s="206"/>
      <c r="L195" s="196"/>
      <c r="M195" s="197"/>
      <c r="N195" s="197"/>
      <c r="O195" s="38"/>
      <c r="P195" s="206"/>
      <c r="Q195" s="196"/>
      <c r="R195" s="197"/>
      <c r="S195" s="197"/>
      <c r="T195" s="38"/>
      <c r="U195" s="206"/>
      <c r="V195" s="207"/>
      <c r="W195" s="197"/>
      <c r="X195" s="204">
        <v>5970</v>
      </c>
      <c r="Y195" s="38"/>
      <c r="Z195" s="384">
        <f>SUM(X195:X198)*1.1</f>
        <v>301484.01360000001</v>
      </c>
      <c r="AA195" s="36"/>
      <c r="AB195" s="197"/>
      <c r="AC195" s="204">
        <v>5085</v>
      </c>
      <c r="AD195" s="38"/>
      <c r="AE195" s="384">
        <f>SUM(AC195:AC198)*1.1</f>
        <v>232952.27780000001</v>
      </c>
      <c r="AF195" s="36"/>
      <c r="AG195" s="204"/>
      <c r="AH195" s="204">
        <v>6191</v>
      </c>
      <c r="AI195" s="427"/>
      <c r="AJ195" s="384">
        <f>AJ196*1.1</f>
        <v>372046.67500000005</v>
      </c>
      <c r="AK195" s="36"/>
      <c r="AL195" s="204"/>
      <c r="AM195" s="204">
        <v>5749</v>
      </c>
      <c r="AN195" s="427"/>
      <c r="AO195" s="384">
        <f>AO196*1.2</f>
        <v>384791.87279999995</v>
      </c>
      <c r="AP195" s="36"/>
      <c r="AQ195" s="197"/>
      <c r="AR195" s="204">
        <v>6412</v>
      </c>
      <c r="AS195" s="38"/>
      <c r="AT195" s="384">
        <f>SUM(AR195:AR198)*1.1</f>
        <v>299070.6862</v>
      </c>
      <c r="AU195" s="36"/>
      <c r="AV195" s="197"/>
      <c r="AW195" s="197"/>
      <c r="AX195" s="38"/>
      <c r="AY195" s="384">
        <f>SUM(AW195:AW198)*1.1</f>
        <v>457976.29900000006</v>
      </c>
      <c r="AZ195" s="36"/>
      <c r="BA195" s="197"/>
      <c r="BB195" s="197"/>
      <c r="BC195" s="38"/>
      <c r="BD195" s="384">
        <f>SUM(BB195:BB198)*1.1</f>
        <v>295881.10200000001</v>
      </c>
      <c r="BE195" s="36"/>
      <c r="BF195" s="197"/>
      <c r="BG195" s="197"/>
      <c r="BH195" s="38"/>
      <c r="BI195" s="384">
        <f>SUM(BG195:BG198)*1.1</f>
        <v>288831.12939999998</v>
      </c>
      <c r="BJ195" s="36"/>
      <c r="BK195" s="197"/>
      <c r="BL195" s="197"/>
      <c r="BM195" s="38"/>
      <c r="BN195" s="384">
        <f>SUM(BL195:BL198)*1.1</f>
        <v>354915.95040000003</v>
      </c>
      <c r="BO195" s="36"/>
      <c r="BP195" s="197"/>
      <c r="BQ195" s="197"/>
      <c r="BR195" s="38"/>
      <c r="BS195" s="384">
        <f>SUM(BQ195:BQ198)*1.1</f>
        <v>409510.96559999994</v>
      </c>
      <c r="BT195" s="36"/>
      <c r="BU195" s="197"/>
      <c r="BV195" s="197"/>
      <c r="BW195" s="38"/>
      <c r="BX195" s="384">
        <f>SUM(BV195:BV198)*1.1</f>
        <v>405964.38740000007</v>
      </c>
      <c r="BY195" s="36"/>
      <c r="BZ195" s="197"/>
      <c r="CA195" s="197"/>
      <c r="CB195" s="38"/>
      <c r="CC195" s="384">
        <f>SUM(CA195:CA198)*1.1</f>
        <v>322506.35560000001</v>
      </c>
      <c r="CD195" s="36"/>
      <c r="CE195" s="197"/>
      <c r="CF195" s="197"/>
      <c r="CG195" s="38"/>
      <c r="CH195" s="384">
        <f>SUM(CF195:CF198)*1.1</f>
        <v>248933.3132</v>
      </c>
      <c r="CI195" s="36"/>
      <c r="CJ195" s="197"/>
      <c r="CK195" s="197"/>
      <c r="CL195" s="38"/>
      <c r="CM195" s="384">
        <f>SUM(CK195:CK198)*1.1</f>
        <v>267105.179</v>
      </c>
      <c r="CN195" s="36"/>
      <c r="CO195" s="197"/>
      <c r="CP195" s="197"/>
      <c r="CQ195" s="38"/>
      <c r="CR195" s="384">
        <f>SUM(CP195:CP198)*1.1</f>
        <v>321677.18</v>
      </c>
      <c r="CS195" s="36"/>
      <c r="CT195" s="197"/>
      <c r="CU195" s="197"/>
      <c r="CV195" s="38"/>
      <c r="CW195" s="384">
        <f>SUM(CU195:CU198)*1.1</f>
        <v>393580.53900000005</v>
      </c>
      <c r="CX195" s="36"/>
      <c r="CY195" s="197"/>
      <c r="CZ195" s="197"/>
      <c r="DA195" s="38"/>
      <c r="DB195" s="384">
        <f>SUM(CZ195:CZ198)*1.1</f>
        <v>463149.28440000006</v>
      </c>
      <c r="DC195" s="36"/>
      <c r="DD195" s="197"/>
      <c r="DE195" s="197"/>
      <c r="DF195" s="38"/>
      <c r="DG195" s="384">
        <f>SUM(DE195:DE198)*1.1</f>
        <v>271011.89280000003</v>
      </c>
      <c r="DH195" s="36"/>
      <c r="DI195" s="197"/>
      <c r="DJ195" s="197"/>
      <c r="DK195" s="38"/>
      <c r="DL195" s="384">
        <f>SUM(DJ195:DJ198)*1.1</f>
        <v>271206.00760000001</v>
      </c>
      <c r="DM195" s="36"/>
      <c r="DN195" s="197"/>
      <c r="DO195" s="197"/>
      <c r="DP195" s="38"/>
      <c r="DQ195" s="384">
        <f>SUM(DO195:DO198)*1.1</f>
        <v>583313.79479999992</v>
      </c>
      <c r="DR195" s="36"/>
      <c r="DS195" s="197"/>
      <c r="DT195" s="197"/>
      <c r="DU195" s="38"/>
      <c r="DV195" s="384">
        <f>SUM(DT195:DT198)*1.1</f>
        <v>499535.40339999995</v>
      </c>
      <c r="DW195" s="36"/>
      <c r="DX195" s="197"/>
      <c r="DY195" s="197"/>
      <c r="DZ195" s="38"/>
      <c r="EA195" s="384">
        <f>SUM(DY195:DY198)*1.1</f>
        <v>585981.7128000001</v>
      </c>
      <c r="EB195" s="36"/>
      <c r="EC195" s="197"/>
      <c r="ED195" s="197"/>
      <c r="EE195" s="38"/>
      <c r="EF195" s="384">
        <f>SUM(ED195:ED198)*1.1</f>
        <v>575809.43420000002</v>
      </c>
      <c r="EG195" s="36"/>
      <c r="EH195" s="197"/>
      <c r="EI195" s="197"/>
      <c r="EJ195" s="1468"/>
      <c r="EK195" s="384">
        <f>SUM(EI195:EI198)*1.1</f>
        <v>572622.37780000002</v>
      </c>
      <c r="EL195" s="36"/>
      <c r="EM195" s="197"/>
      <c r="EN195" s="197"/>
      <c r="EO195" s="38"/>
      <c r="EP195" s="384">
        <f>SUM(EN195:EN198)*1.1</f>
        <v>458583.41320000007</v>
      </c>
      <c r="EQ195" s="36"/>
      <c r="ER195" s="197"/>
      <c r="ES195" s="197"/>
      <c r="ET195" s="38"/>
      <c r="EU195" s="384">
        <f>SUM(ES195:ES198)*1.1</f>
        <v>267711.29879999999</v>
      </c>
      <c r="EV195" s="36"/>
      <c r="EW195" s="197"/>
      <c r="EX195" s="197"/>
      <c r="EY195" s="38"/>
      <c r="EZ195" s="384">
        <f>SUM(EX195:EX198)*1.1</f>
        <v>360110.26040000003</v>
      </c>
      <c r="FA195" s="36"/>
      <c r="FB195" s="197"/>
      <c r="FC195" s="197"/>
      <c r="FD195" s="38"/>
      <c r="FE195" s="384">
        <f>SUM(FC195:FC198)*1.1</f>
        <v>379088.65500000003</v>
      </c>
      <c r="FF195" s="36"/>
      <c r="FG195" s="197"/>
      <c r="FH195" s="197"/>
      <c r="FI195" s="38"/>
      <c r="FJ195" s="384">
        <f>SUM(FH195:FH198)*1.1</f>
        <v>433935.40080000006</v>
      </c>
      <c r="FK195" s="36"/>
      <c r="FL195" s="197"/>
      <c r="FM195" s="197"/>
      <c r="FN195" s="38"/>
      <c r="FO195" s="384">
        <f>SUM(FM195:FM198)*1.1</f>
        <v>464908.75200000004</v>
      </c>
      <c r="FP195" s="36"/>
      <c r="FQ195" s="197"/>
      <c r="FR195" s="197"/>
      <c r="FS195" s="38"/>
      <c r="FT195" s="384">
        <f>SUM(FR195:FR198)*1.1</f>
        <v>353587.30000000005</v>
      </c>
      <c r="FU195" s="36"/>
      <c r="FV195" s="197"/>
      <c r="FW195" s="197"/>
      <c r="FX195" s="38"/>
      <c r="FY195" s="384">
        <f>SUM(FW195:FW198)*1.1</f>
        <v>441473.88119999995</v>
      </c>
      <c r="FZ195" s="36"/>
      <c r="GA195" s="197"/>
      <c r="GB195" s="197"/>
      <c r="GC195" s="1468"/>
      <c r="GD195" s="384">
        <f>SUM(GB195:GB198)*1.1</f>
        <v>414768.98979999998</v>
      </c>
      <c r="GE195" s="36"/>
      <c r="GF195" s="197"/>
      <c r="GG195" s="197"/>
      <c r="GH195" s="38"/>
      <c r="GI195" s="384">
        <f>SUM(GG195:GG198)*1.1</f>
        <v>268161.80160000001</v>
      </c>
      <c r="GJ195" s="280"/>
      <c r="GK195" s="197"/>
      <c r="GL195" s="197"/>
      <c r="GM195" s="38"/>
      <c r="GN195" s="384">
        <f>SUM(GL195:GL198)*1.1</f>
        <v>575809.43420000002</v>
      </c>
      <c r="GO195" s="36"/>
      <c r="GP195" s="197"/>
      <c r="GQ195" s="197"/>
      <c r="GR195" s="1468"/>
      <c r="GS195" s="384">
        <f>SUM(GQ195:GQ198)*1.1</f>
        <v>409258.59700000007</v>
      </c>
      <c r="GT195" s="36"/>
      <c r="GU195" s="197"/>
      <c r="GV195" s="197"/>
      <c r="GW195" s="38"/>
      <c r="GX195" s="384">
        <f>SUM(GV195:GV198)*1.1</f>
        <v>519572.30600000004</v>
      </c>
      <c r="GY195" s="36"/>
      <c r="GZ195" s="197"/>
      <c r="HA195" s="197"/>
      <c r="HB195" s="38"/>
      <c r="HC195" s="384">
        <f>SUM(HA195:HA198)*1.1</f>
        <v>267711.29879999999</v>
      </c>
      <c r="HD195" s="36"/>
      <c r="HE195" s="197"/>
      <c r="HF195" s="197"/>
      <c r="HG195" s="38"/>
      <c r="HH195" s="384">
        <f>SUM(HF195:HF198)*1.1</f>
        <v>360110.26040000003</v>
      </c>
      <c r="HI195" s="36"/>
      <c r="HJ195" s="197"/>
      <c r="HK195" s="197"/>
      <c r="HL195" s="38"/>
      <c r="HM195" s="384">
        <f>SUM(HK195:HK198)*1.1</f>
        <v>379088.65500000003</v>
      </c>
      <c r="HN195" s="36"/>
      <c r="HO195" s="197"/>
      <c r="HP195" s="197"/>
      <c r="HQ195" s="38"/>
      <c r="HR195" s="384">
        <f>SUM(HP195:HP198)*1.1</f>
        <v>433935.40080000006</v>
      </c>
      <c r="HS195" s="36"/>
      <c r="HT195" s="197"/>
      <c r="HU195" s="197"/>
      <c r="HV195" s="38"/>
      <c r="HW195" s="384">
        <f>SUM(HU195:HU198)*1.1</f>
        <v>464908.75200000004</v>
      </c>
      <c r="HX195" s="36"/>
      <c r="HY195" s="197"/>
      <c r="HZ195" s="197"/>
      <c r="IA195" s="38"/>
      <c r="IB195" s="384">
        <f>SUM(HZ195:HZ198)*1.1</f>
        <v>353587.30000000005</v>
      </c>
      <c r="IC195" s="36"/>
      <c r="ID195" s="197"/>
      <c r="IE195" s="197"/>
      <c r="IF195" s="38"/>
      <c r="IG195" s="384">
        <f>SUM(IE195:IE198)*1.1</f>
        <v>441473.88119999995</v>
      </c>
      <c r="IH195" s="36"/>
      <c r="II195" s="197"/>
      <c r="IJ195" s="197"/>
      <c r="IK195" s="38"/>
      <c r="IL195" s="384">
        <f>SUM(IJ195:IJ198)*1.1</f>
        <v>282236.22460000002</v>
      </c>
      <c r="IM195" s="36"/>
      <c r="IN195" s="197"/>
      <c r="IO195" s="197"/>
      <c r="IP195" s="38"/>
      <c r="IQ195" s="384">
        <f>SUM(IO195:IO198)*1.1</f>
        <v>271011.89280000003</v>
      </c>
    </row>
    <row r="196" spans="1:251" ht="15" customHeight="1" thickBot="1">
      <c r="A196" s="647"/>
      <c r="B196" s="256"/>
      <c r="C196" s="215">
        <v>45179093</v>
      </c>
      <c r="D196" s="45" t="s">
        <v>453</v>
      </c>
      <c r="E196" s="216" t="s">
        <v>13</v>
      </c>
      <c r="F196" s="22"/>
      <c r="G196" s="104">
        <f>I196/H196</f>
        <v>5.3077199999999998</v>
      </c>
      <c r="H196" s="145">
        <v>44800</v>
      </c>
      <c r="I196" s="146">
        <v>237785.856</v>
      </c>
      <c r="J196" s="81">
        <v>165129.1</v>
      </c>
      <c r="K196" s="88"/>
      <c r="L196" s="104">
        <f>N196/M196</f>
        <v>5.368548065564088</v>
      </c>
      <c r="M196" s="145">
        <v>54176</v>
      </c>
      <c r="N196" s="146">
        <v>290846.46000000002</v>
      </c>
      <c r="O196" s="81">
        <v>290846.46000000002</v>
      </c>
      <c r="P196" s="88"/>
      <c r="Q196" s="104">
        <f>S196/R196</f>
        <v>4.9663920231585719</v>
      </c>
      <c r="R196" s="145">
        <v>46635</v>
      </c>
      <c r="S196" s="146">
        <v>231607.69200000001</v>
      </c>
      <c r="T196" s="81">
        <v>231607.69200000001</v>
      </c>
      <c r="U196" s="88"/>
      <c r="V196" s="115">
        <f>X196/W196</f>
        <v>5.2077239457921234</v>
      </c>
      <c r="W196" s="145">
        <v>50251</v>
      </c>
      <c r="X196" s="146">
        <v>261693.33600000001</v>
      </c>
      <c r="Y196" s="81">
        <v>261693.33599999998</v>
      </c>
      <c r="Z196" s="403">
        <f>SUM(X195:X198)*1</f>
        <v>274076.37599999999</v>
      </c>
      <c r="AA196" s="92">
        <f>AC196/AB196</f>
        <v>4.6829521901211555</v>
      </c>
      <c r="AB196" s="145">
        <v>42920</v>
      </c>
      <c r="AC196" s="146">
        <v>200992.30799999999</v>
      </c>
      <c r="AD196" s="81">
        <v>200992.30799999999</v>
      </c>
      <c r="AE196" s="403">
        <f>SUM(AC195:AC198)*1</f>
        <v>211774.79799999998</v>
      </c>
      <c r="AF196" s="92">
        <f>AH196/AG196</f>
        <v>4.819943887581001</v>
      </c>
      <c r="AG196" s="415">
        <v>41203</v>
      </c>
      <c r="AH196" s="416">
        <v>198596.14799999999</v>
      </c>
      <c r="AI196" s="81">
        <f>86246.13+36962.63+142399.8+61028.49</f>
        <v>326637.05</v>
      </c>
      <c r="AJ196" s="403">
        <f>SUM(AH197:AH198)+AI196+AH195*1</f>
        <v>338224.25</v>
      </c>
      <c r="AK196" s="92">
        <f>AM196/AL196</f>
        <v>3.9089902357876465</v>
      </c>
      <c r="AL196" s="415">
        <v>55304</v>
      </c>
      <c r="AM196" s="416">
        <v>216182.796</v>
      </c>
      <c r="AN196" s="81">
        <f>83712.37+226677.384</f>
        <v>310389.75399999996</v>
      </c>
      <c r="AO196" s="403">
        <f>SUM(AM197:AM198)+AN196+AM195*1</f>
        <v>320659.89399999997</v>
      </c>
      <c r="AP196" s="92">
        <f>AR196/AQ196</f>
        <v>5.9466959609613053</v>
      </c>
      <c r="AQ196" s="415">
        <v>43649</v>
      </c>
      <c r="AR196" s="416">
        <v>259567.33199999999</v>
      </c>
      <c r="AS196" s="81">
        <v>292719.44399999996</v>
      </c>
      <c r="AT196" s="403">
        <f>SUM(AR195:AR198)*1</f>
        <v>271882.44199999998</v>
      </c>
      <c r="AU196" s="92">
        <f>AW196/AV196</f>
        <v>6.6107647125268274</v>
      </c>
      <c r="AV196" s="415">
        <v>61971</v>
      </c>
      <c r="AW196" s="416">
        <v>409675.7</v>
      </c>
      <c r="AX196" s="44">
        <v>165129.1</v>
      </c>
      <c r="AY196" s="403">
        <f>SUM(AW195:AW198)*1</f>
        <v>416342.09</v>
      </c>
      <c r="AZ196" s="92">
        <f>BB196/BA196</f>
        <v>6.3494520381655297</v>
      </c>
      <c r="BA196" s="415">
        <v>41189</v>
      </c>
      <c r="BB196" s="416">
        <v>261527.58</v>
      </c>
      <c r="BC196" s="81">
        <v>217939.65</v>
      </c>
      <c r="BD196" s="403">
        <f>SUM(BB198)+BC196*1</f>
        <v>222992.02</v>
      </c>
      <c r="BE196" s="92">
        <f>BG196/BF196</f>
        <v>6.1794479123854646</v>
      </c>
      <c r="BF196" s="415">
        <v>41363</v>
      </c>
      <c r="BG196" s="416">
        <v>255600.50399999996</v>
      </c>
      <c r="BH196" s="81">
        <v>217939.65</v>
      </c>
      <c r="BI196" s="403">
        <f>SUM(BG195:BG198)*1</f>
        <v>262573.75399999996</v>
      </c>
      <c r="BJ196" s="92">
        <f>BL196/BK196</f>
        <v>6.7239718989377453</v>
      </c>
      <c r="BK196" s="415">
        <v>47258</v>
      </c>
      <c r="BL196" s="416">
        <v>317761.46399999998</v>
      </c>
      <c r="BM196" s="81">
        <v>164755.70000000001</v>
      </c>
      <c r="BN196" s="403">
        <f>SUM(BL195:BL198)*1</f>
        <v>322650.864</v>
      </c>
      <c r="BO196" s="92">
        <f>BQ196/BP196</f>
        <v>6.5420640354268436</v>
      </c>
      <c r="BP196" s="415">
        <v>56906</v>
      </c>
      <c r="BQ196" s="416">
        <v>372282.69599999994</v>
      </c>
      <c r="BR196" s="44">
        <v>165129.1</v>
      </c>
      <c r="BS196" s="403">
        <f>SUM(BQ195:BQ198)*1</f>
        <v>372282.69599999994</v>
      </c>
      <c r="BT196" s="92">
        <f>BV196/BU196</f>
        <v>6.0580081378409618</v>
      </c>
      <c r="BU196" s="415">
        <v>59721</v>
      </c>
      <c r="BV196" s="416">
        <v>361790.30400000006</v>
      </c>
      <c r="BW196" s="372">
        <f>283193.51+94397.84</f>
        <v>377591.35</v>
      </c>
      <c r="BX196" s="403">
        <f>SUM(BV195:BV198)*1</f>
        <v>369058.53400000004</v>
      </c>
      <c r="BY196" s="92">
        <f>CA196/BZ196</f>
        <v>5.445096091989444</v>
      </c>
      <c r="BZ196" s="415">
        <v>51919</v>
      </c>
      <c r="CA196" s="416">
        <v>282703.94399999996</v>
      </c>
      <c r="CB196" s="81">
        <v>361813.4</v>
      </c>
      <c r="CC196" s="403">
        <f>SUM(CA195:CA198)*1</f>
        <v>293187.59599999996</v>
      </c>
      <c r="CD196" s="92">
        <f>CF196/CE196</f>
        <v>4.3023998884328796</v>
      </c>
      <c r="CE196" s="415">
        <f>37089+13105</f>
        <v>50194</v>
      </c>
      <c r="CF196" s="416">
        <f>159571.71+56382.95</f>
        <v>215954.65999999997</v>
      </c>
      <c r="CG196" s="81">
        <v>187478.79411764702</v>
      </c>
      <c r="CH196" s="403">
        <f>SUM(CF195:CF198)*1</f>
        <v>226303.01199999999</v>
      </c>
      <c r="CI196" s="92">
        <f>CK196/CJ196</f>
        <v>5.3688240121720678</v>
      </c>
      <c r="CJ196" s="415">
        <v>43378</v>
      </c>
      <c r="CK196" s="416">
        <v>232888.84799999997</v>
      </c>
      <c r="CL196" s="44">
        <v>165129.1</v>
      </c>
      <c r="CM196" s="403">
        <f>SUM(CK195:CK198)*1</f>
        <v>242822.88999999998</v>
      </c>
      <c r="CN196" s="92">
        <f>CP196/CO196</f>
        <v>6.3223561791205336</v>
      </c>
      <c r="CO196" s="415">
        <v>44618</v>
      </c>
      <c r="CP196" s="416">
        <v>282090.88799999998</v>
      </c>
      <c r="CQ196" s="81">
        <f>164390.04+54796.68</f>
        <v>219186.72</v>
      </c>
      <c r="CR196" s="403">
        <f>SUM(CP195:CP198)*1</f>
        <v>292433.8</v>
      </c>
      <c r="CS196" s="92">
        <f>CU196/CT196</f>
        <v>7.4151240110042442</v>
      </c>
      <c r="CT196" s="415">
        <v>46891</v>
      </c>
      <c r="CU196" s="416">
        <v>347702.58</v>
      </c>
      <c r="CV196" s="81">
        <f>267710.69+89236.9</f>
        <v>356947.58999999997</v>
      </c>
      <c r="CW196" s="403">
        <f>SUM(CU195:CU198)*1</f>
        <v>357800.49</v>
      </c>
      <c r="CX196" s="92">
        <f>CZ196/CY196</f>
        <v>7.9440718798151</v>
      </c>
      <c r="CY196" s="415">
        <f>29870+22050</f>
        <v>51920</v>
      </c>
      <c r="CZ196" s="416">
        <f>(197741.19+145972.32)*1.2</f>
        <v>412456.212</v>
      </c>
      <c r="DA196" s="81">
        <v>415291.42800000001</v>
      </c>
      <c r="DB196" s="403">
        <f>SUM(CZ195:CZ198)*1</f>
        <v>421044.804</v>
      </c>
      <c r="DC196" s="92">
        <f>DE196/DD196</f>
        <v>5.3077199999999998</v>
      </c>
      <c r="DD196" s="78">
        <v>44800</v>
      </c>
      <c r="DE196" s="79">
        <v>237785.856</v>
      </c>
      <c r="DF196" s="81">
        <v>442538.53</v>
      </c>
      <c r="DG196" s="403">
        <f>SUM(DE195:DE198)*1</f>
        <v>246374.448</v>
      </c>
      <c r="DH196" s="92">
        <f>DJ196/DI196</f>
        <v>5.3077199999999998</v>
      </c>
      <c r="DI196" s="78">
        <v>44800</v>
      </c>
      <c r="DJ196" s="79">
        <v>237785.856</v>
      </c>
      <c r="DK196" s="81">
        <v>320123.7</v>
      </c>
      <c r="DL196" s="403">
        <f>SUM(DJ195:DJ198)*1</f>
        <v>246550.916</v>
      </c>
      <c r="DM196" s="92">
        <f>DO196/DN196</f>
        <v>7.8526198976897188</v>
      </c>
      <c r="DN196" s="415">
        <v>66269</v>
      </c>
      <c r="DO196" s="416">
        <v>520385.26799999998</v>
      </c>
      <c r="DP196" s="81">
        <v>327853.97272727272</v>
      </c>
      <c r="DQ196" s="403">
        <f>SUM(DO195:DO198)*1</f>
        <v>530285.26799999992</v>
      </c>
      <c r="DR196" s="92">
        <f>DT196/DS196</f>
        <v>8.0868361569326783</v>
      </c>
      <c r="DS196" s="415">
        <v>53832</v>
      </c>
      <c r="DT196" s="416">
        <v>435330.56399999995</v>
      </c>
      <c r="DU196" s="372">
        <f>329577.34+104077.05</f>
        <v>433654.39</v>
      </c>
      <c r="DV196" s="403">
        <f>SUM(DT195:DT198)*1</f>
        <v>454123.09399999992</v>
      </c>
      <c r="DW196" s="92">
        <f>DY196/DX196</f>
        <v>8.6070958837061333</v>
      </c>
      <c r="DX196" s="415">
        <v>61293</v>
      </c>
      <c r="DY196" s="416">
        <v>527554.728</v>
      </c>
      <c r="DZ196" s="81">
        <v>404239.36800000002</v>
      </c>
      <c r="EA196" s="403">
        <f>SUM(DY195:DY198)*1</f>
        <v>532710.64800000004</v>
      </c>
      <c r="EB196" s="92">
        <f>ED196/EC196</f>
        <v>8.6203561069717942</v>
      </c>
      <c r="EC196" s="415">
        <v>60128</v>
      </c>
      <c r="ED196" s="416">
        <v>518324.772</v>
      </c>
      <c r="EE196" s="372">
        <v>542433.48</v>
      </c>
      <c r="EF196" s="403">
        <f>SUM(ED195:ED198)*1</f>
        <v>523463.12199999997</v>
      </c>
      <c r="EG196" s="92">
        <f>EI196/EH196</f>
        <v>8.8460039769827734</v>
      </c>
      <c r="EH196" s="78">
        <f>11062+45765</f>
        <v>56827</v>
      </c>
      <c r="EI196" s="146">
        <f>1.2*(337364.48+81545.41)</f>
        <v>502691.86800000002</v>
      </c>
      <c r="EJ196" s="1469">
        <v>518324.772</v>
      </c>
      <c r="EK196" s="1467">
        <f>SUM(EI195:EI198)*1</f>
        <v>520565.79800000001</v>
      </c>
      <c r="EL196" s="92">
        <f>EN196/EM196</f>
        <v>7.8388560425171381</v>
      </c>
      <c r="EM196" s="415">
        <v>51932</v>
      </c>
      <c r="EN196" s="416">
        <v>407087.47200000001</v>
      </c>
      <c r="EO196" s="81">
        <v>502691.86800000002</v>
      </c>
      <c r="EP196" s="403">
        <f>SUM(EN195:EN198)*1</f>
        <v>416894.01200000005</v>
      </c>
      <c r="EQ196" s="92">
        <f>ES196/ER196</f>
        <v>5.3688240121720678</v>
      </c>
      <c r="ER196" s="78">
        <v>43378</v>
      </c>
      <c r="ES196" s="79">
        <v>232888.84799999997</v>
      </c>
      <c r="ET196" s="81">
        <v>502691.86800000002</v>
      </c>
      <c r="EU196" s="403">
        <f>SUM(ES195:ES198)*1</f>
        <v>243373.90799999997</v>
      </c>
      <c r="EV196" s="92">
        <f>EX196/EW196</f>
        <v>6.8310720103425977</v>
      </c>
      <c r="EW196" s="415">
        <v>46410</v>
      </c>
      <c r="EX196" s="416">
        <v>317030.05199999997</v>
      </c>
      <c r="EY196" s="44">
        <f>164390.04+54796.68</f>
        <v>219186.72</v>
      </c>
      <c r="EZ196" s="403">
        <f>SUM(EX195:EX198)*1</f>
        <v>327372.96399999998</v>
      </c>
      <c r="FA196" s="92">
        <f>FC196/FB196</f>
        <v>7.0144920425237469</v>
      </c>
      <c r="FB196" s="415">
        <v>47691</v>
      </c>
      <c r="FC196" s="416">
        <v>334528.14</v>
      </c>
      <c r="FD196" s="81">
        <v>317030</v>
      </c>
      <c r="FE196" s="403">
        <f>SUM(FC195:FC198)*1</f>
        <v>344626.05</v>
      </c>
      <c r="FF196" s="92">
        <f>FH196/FG196</f>
        <v>7.7520718360787466</v>
      </c>
      <c r="FG196" s="415">
        <v>49780</v>
      </c>
      <c r="FH196" s="416">
        <v>385898.136</v>
      </c>
      <c r="FI196" s="81">
        <v>334528</v>
      </c>
      <c r="FJ196" s="403">
        <f>SUM(FH195:FH198)*1</f>
        <v>394486.728</v>
      </c>
      <c r="FK196" s="92">
        <f>FM196/FL196</f>
        <v>7.6847759465478847</v>
      </c>
      <c r="FL196" s="415">
        <v>53880</v>
      </c>
      <c r="FM196" s="416">
        <v>414055.728</v>
      </c>
      <c r="FN196" s="81">
        <v>385898</v>
      </c>
      <c r="FO196" s="403">
        <f>SUM(FM195:FM198)*1</f>
        <v>422644.32</v>
      </c>
      <c r="FP196" s="92">
        <f>FR196/FQ196</f>
        <v>6.8244961477180963</v>
      </c>
      <c r="FQ196" s="415">
        <v>45817</v>
      </c>
      <c r="FR196" s="416">
        <v>312677.94</v>
      </c>
      <c r="FS196" s="81">
        <v>419737.05599999998</v>
      </c>
      <c r="FT196" s="403">
        <f>SUM(FR195:FR198)*1</f>
        <v>321443</v>
      </c>
      <c r="FU196" s="92">
        <f>FW196/FV196</f>
        <v>8.8894920288867674</v>
      </c>
      <c r="FV196" s="415">
        <v>44034</v>
      </c>
      <c r="FW196" s="416">
        <v>391439.89199999993</v>
      </c>
      <c r="FX196" s="44">
        <v>327853.97272727272</v>
      </c>
      <c r="FY196" s="403">
        <f>SUM(FW195:FW198)*1</f>
        <v>401339.89199999993</v>
      </c>
      <c r="FZ196" s="92">
        <f>GB196/GA196</f>
        <v>9.7021200747420568</v>
      </c>
      <c r="GA196" s="415">
        <v>36927</v>
      </c>
      <c r="GB196" s="416">
        <v>358270.18799999997</v>
      </c>
      <c r="GC196" s="1582">
        <v>391439.89199999993</v>
      </c>
      <c r="GD196" s="1467">
        <f>SUM(GB195:GB198)*1</f>
        <v>377062.71799999994</v>
      </c>
      <c r="GE196" s="92">
        <f>GG196/GF196</f>
        <v>5.3077199999999998</v>
      </c>
      <c r="GF196" s="78">
        <v>44800</v>
      </c>
      <c r="GG196" s="79">
        <v>237785.856</v>
      </c>
      <c r="GH196" s="1584">
        <v>494080.46399999992</v>
      </c>
      <c r="GI196" s="403">
        <f>SUM(GG195:GG198)*1</f>
        <v>243783.45600000001</v>
      </c>
      <c r="GJ196" s="98">
        <f>GL196/GK196</f>
        <v>8.6203561069717942</v>
      </c>
      <c r="GK196" s="78">
        <v>60128</v>
      </c>
      <c r="GL196" s="79">
        <v>518324.772</v>
      </c>
      <c r="GM196" s="509">
        <v>542433.48</v>
      </c>
      <c r="GN196" s="403">
        <f>SUM(GL195:GL198)*1</f>
        <v>523463.12199999997</v>
      </c>
      <c r="GO196" s="92">
        <f>GQ196/GP196</f>
        <v>13.511075761043719</v>
      </c>
      <c r="GP196" s="415">
        <v>26214</v>
      </c>
      <c r="GQ196" s="416">
        <v>354179.34</v>
      </c>
      <c r="GR196" s="1566">
        <v>518324.772</v>
      </c>
      <c r="GS196" s="1467">
        <f>SUM(GQ195:GQ198)*1</f>
        <v>372053.27</v>
      </c>
      <c r="GT196" s="92">
        <f>GV196/GU196</f>
        <v>10.294655863235686</v>
      </c>
      <c r="GU196" s="415">
        <v>44924</v>
      </c>
      <c r="GV196" s="416">
        <v>462477.12</v>
      </c>
      <c r="GW196" s="44">
        <v>502691.86800000002</v>
      </c>
      <c r="GX196" s="403">
        <f>SUM(GV195:GV198)*1</f>
        <v>472338.46</v>
      </c>
      <c r="GY196" s="92">
        <f>HA196/GZ196</f>
        <v>5.3688240121720678</v>
      </c>
      <c r="GZ196" s="78">
        <v>43378</v>
      </c>
      <c r="HA196" s="79">
        <v>232888.84799999997</v>
      </c>
      <c r="HB196" s="44">
        <v>502691.86800000002</v>
      </c>
      <c r="HC196" s="403">
        <f>SUM(HA195:HA198)*1</f>
        <v>243373.90799999997</v>
      </c>
      <c r="HD196" s="92">
        <f>HF196/HE196</f>
        <v>6.8310720103425977</v>
      </c>
      <c r="HE196" s="78">
        <v>46410</v>
      </c>
      <c r="HF196" s="79">
        <v>317030.05199999997</v>
      </c>
      <c r="HG196" s="44">
        <f>164390.04+54796.68</f>
        <v>219186.72</v>
      </c>
      <c r="HH196" s="403">
        <f>SUM(HF195:HF198)*1</f>
        <v>327372.96399999998</v>
      </c>
      <c r="HI196" s="92">
        <f>HK196/HJ196</f>
        <v>7.0144920425237469</v>
      </c>
      <c r="HJ196" s="78">
        <v>47691</v>
      </c>
      <c r="HK196" s="79">
        <v>334528.14</v>
      </c>
      <c r="HL196" s="44">
        <v>317030</v>
      </c>
      <c r="HM196" s="403">
        <f>SUM(HK195:HK198)*1</f>
        <v>344626.05</v>
      </c>
      <c r="HN196" s="92">
        <f>HP196/HO196</f>
        <v>7.7520718360787466</v>
      </c>
      <c r="HO196" s="78">
        <v>49780</v>
      </c>
      <c r="HP196" s="79">
        <v>385898.136</v>
      </c>
      <c r="HQ196" s="44">
        <v>334528</v>
      </c>
      <c r="HR196" s="403">
        <f>SUM(HP195:HP198)*1</f>
        <v>394486.728</v>
      </c>
      <c r="HS196" s="92">
        <f>HU196/HT196</f>
        <v>7.6847759465478847</v>
      </c>
      <c r="HT196" s="78">
        <v>53880</v>
      </c>
      <c r="HU196" s="79">
        <v>414055.728</v>
      </c>
      <c r="HV196" s="44">
        <v>385898</v>
      </c>
      <c r="HW196" s="403">
        <f>SUM(HU195:HU198)*1</f>
        <v>422644.32</v>
      </c>
      <c r="HX196" s="92">
        <f>HZ196/HY196</f>
        <v>6.8244961477180963</v>
      </c>
      <c r="HY196" s="78">
        <v>45817</v>
      </c>
      <c r="HZ196" s="79">
        <v>312677.94</v>
      </c>
      <c r="IA196" s="44">
        <v>419737.05599999998</v>
      </c>
      <c r="IB196" s="403">
        <f>SUM(HZ195:HZ198)*1</f>
        <v>321443</v>
      </c>
      <c r="IC196" s="92">
        <f>IE196/ID196</f>
        <v>8.8894920288867674</v>
      </c>
      <c r="ID196" s="78">
        <v>44034</v>
      </c>
      <c r="IE196" s="79">
        <v>391439.89199999993</v>
      </c>
      <c r="IF196" s="44">
        <v>327853.97272727272</v>
      </c>
      <c r="IG196" s="403">
        <f>SUM(IE195:IE198)*1</f>
        <v>401339.89199999993</v>
      </c>
      <c r="IH196" s="92">
        <f>IJ196/II196</f>
        <v>5.3077199999999998</v>
      </c>
      <c r="II196" s="78">
        <v>44800</v>
      </c>
      <c r="IJ196" s="79">
        <v>237785.856</v>
      </c>
      <c r="IK196" s="509">
        <f>329577.34+104077.05</f>
        <v>433654.39</v>
      </c>
      <c r="IL196" s="403">
        <f>SUM(IJ195:IJ198)*1</f>
        <v>256578.386</v>
      </c>
      <c r="IM196" s="92">
        <f>IO196/IN196</f>
        <v>5.3077199999999998</v>
      </c>
      <c r="IN196" s="78">
        <v>44800</v>
      </c>
      <c r="IO196" s="79">
        <v>237785.856</v>
      </c>
      <c r="IP196" s="44">
        <v>165129.1</v>
      </c>
      <c r="IQ196" s="403">
        <f>SUM(IO195:IO198)*1</f>
        <v>246374.448</v>
      </c>
    </row>
    <row r="197" spans="1:251" ht="15" customHeight="1">
      <c r="A197" s="647"/>
      <c r="B197" s="256"/>
      <c r="C197" s="215">
        <v>41946011</v>
      </c>
      <c r="D197" s="45" t="s">
        <v>200</v>
      </c>
      <c r="E197" s="216" t="s">
        <v>15</v>
      </c>
      <c r="F197" s="22"/>
      <c r="G197" s="103"/>
      <c r="H197" s="128"/>
      <c r="I197" s="69" t="s">
        <v>184</v>
      </c>
      <c r="J197" s="81"/>
      <c r="K197" s="88"/>
      <c r="L197" s="103"/>
      <c r="M197" s="128"/>
      <c r="N197" s="69">
        <v>1678.21</v>
      </c>
      <c r="O197" s="81"/>
      <c r="P197" s="88"/>
      <c r="Q197" s="103"/>
      <c r="R197" s="128"/>
      <c r="S197" s="69" t="s">
        <v>209</v>
      </c>
      <c r="T197" s="81"/>
      <c r="U197" s="88"/>
      <c r="V197" s="47"/>
      <c r="W197" s="128"/>
      <c r="X197" s="69">
        <v>1636.68</v>
      </c>
      <c r="Y197" s="81"/>
      <c r="Z197" s="81"/>
      <c r="AA197" s="46"/>
      <c r="AB197" s="128"/>
      <c r="AC197" s="69">
        <v>1504.5</v>
      </c>
      <c r="AD197" s="81"/>
      <c r="AE197" s="81"/>
      <c r="AF197" s="46"/>
      <c r="AG197" s="128"/>
      <c r="AH197" s="69" t="s">
        <v>235</v>
      </c>
      <c r="AI197" s="81"/>
      <c r="AJ197" s="81"/>
      <c r="AK197" s="46"/>
      <c r="AL197" s="408"/>
      <c r="AM197" s="410" t="s">
        <v>288</v>
      </c>
      <c r="AN197" s="511"/>
      <c r="AO197" s="44"/>
      <c r="AP197" s="46"/>
      <c r="AQ197" s="408"/>
      <c r="AR197" s="513">
        <v>1953.19</v>
      </c>
      <c r="AS197" s="511"/>
      <c r="AT197" s="81"/>
      <c r="AU197" s="46"/>
      <c r="AV197" s="408"/>
      <c r="AW197" s="410">
        <v>2320.27</v>
      </c>
      <c r="AX197" s="511"/>
      <c r="AY197" s="81"/>
      <c r="AZ197" s="46"/>
      <c r="BA197" s="408"/>
      <c r="BB197" s="410">
        <v>2402.87</v>
      </c>
      <c r="BC197" s="511"/>
      <c r="BD197" s="81"/>
      <c r="BE197" s="46"/>
      <c r="BF197" s="408"/>
      <c r="BG197" s="410">
        <v>1920.88</v>
      </c>
      <c r="BH197" s="511"/>
      <c r="BI197" s="81"/>
      <c r="BJ197" s="46"/>
      <c r="BK197" s="408"/>
      <c r="BL197" s="410" t="s">
        <v>369</v>
      </c>
      <c r="BM197" s="511"/>
      <c r="BN197" s="81"/>
      <c r="BO197" s="46"/>
      <c r="BP197" s="408"/>
      <c r="BQ197" s="410" t="s">
        <v>383</v>
      </c>
      <c r="BR197" s="511"/>
      <c r="BS197" s="81"/>
      <c r="BT197" s="46"/>
      <c r="BU197" s="408"/>
      <c r="BV197" s="410">
        <v>2215.86</v>
      </c>
      <c r="BW197" s="44"/>
      <c r="BX197" s="81"/>
      <c r="BY197" s="46"/>
      <c r="BZ197" s="128"/>
      <c r="CA197" s="69">
        <v>1895.06</v>
      </c>
      <c r="CB197" s="81"/>
      <c r="CC197" s="81"/>
      <c r="CD197" s="46"/>
      <c r="CE197" s="128"/>
      <c r="CF197" s="69">
        <v>1759.76</v>
      </c>
      <c r="CG197" s="81"/>
      <c r="CH197" s="81"/>
      <c r="CI197" s="46"/>
      <c r="CJ197" s="56"/>
      <c r="CK197" s="69">
        <v>1345.45</v>
      </c>
      <c r="CL197" s="44"/>
      <c r="CM197" s="81"/>
      <c r="CN197" s="46"/>
      <c r="CO197" s="128"/>
      <c r="CP197" s="69">
        <v>1754.32</v>
      </c>
      <c r="CQ197" s="81"/>
      <c r="CR197" s="81"/>
      <c r="CS197" s="46"/>
      <c r="CT197" s="128"/>
      <c r="CU197" s="69">
        <v>2767.06</v>
      </c>
      <c r="CV197" s="81"/>
      <c r="CW197" s="81"/>
      <c r="CX197" s="46"/>
      <c r="CY197" s="56"/>
      <c r="CZ197" s="58" t="s">
        <v>184</v>
      </c>
      <c r="DA197" s="44"/>
      <c r="DB197" s="81"/>
      <c r="DC197" s="46"/>
      <c r="DD197" s="56"/>
      <c r="DE197" s="58" t="s">
        <v>184</v>
      </c>
      <c r="DF197" s="44"/>
      <c r="DG197" s="81"/>
      <c r="DH197" s="46"/>
      <c r="DI197" s="56"/>
      <c r="DJ197" s="58" t="s">
        <v>184</v>
      </c>
      <c r="DK197" s="44"/>
      <c r="DL197" s="81"/>
      <c r="DM197" s="46"/>
      <c r="DN197" s="56"/>
      <c r="DO197" s="58" t="s">
        <v>184</v>
      </c>
      <c r="DP197" s="44"/>
      <c r="DQ197" s="81"/>
      <c r="DR197" s="46"/>
      <c r="DS197" s="128">
        <v>1</v>
      </c>
      <c r="DT197" s="69">
        <v>2559.8000000000002</v>
      </c>
      <c r="DU197" s="81"/>
      <c r="DV197" s="81"/>
      <c r="DW197" s="46"/>
      <c r="DX197" s="56"/>
      <c r="DY197" s="58" t="s">
        <v>184</v>
      </c>
      <c r="DZ197" s="44"/>
      <c r="EA197" s="81"/>
      <c r="EB197" s="46"/>
      <c r="EC197" s="128"/>
      <c r="ED197" s="69">
        <v>3619.62</v>
      </c>
      <c r="EE197" s="81"/>
      <c r="EF197" s="81"/>
      <c r="EG197" s="46"/>
      <c r="EH197" s="128"/>
      <c r="EI197" s="69">
        <v>2430.11</v>
      </c>
      <c r="EJ197" s="427"/>
      <c r="EK197" s="81"/>
      <c r="EL197" s="46"/>
      <c r="EM197" s="56"/>
      <c r="EN197" s="58">
        <v>1759.76</v>
      </c>
      <c r="EO197" s="44"/>
      <c r="EP197" s="81"/>
      <c r="EQ197" s="46"/>
      <c r="ER197" s="128"/>
      <c r="ES197" s="69">
        <v>3088.02</v>
      </c>
      <c r="ET197" s="81"/>
      <c r="EU197" s="81"/>
      <c r="EV197" s="46"/>
      <c r="EW197" s="56"/>
      <c r="EX197" s="58">
        <v>1754.32</v>
      </c>
      <c r="EY197" s="44"/>
      <c r="EZ197" s="81"/>
      <c r="FA197" s="46"/>
      <c r="FB197" s="56"/>
      <c r="FC197" s="58">
        <v>2767.06</v>
      </c>
      <c r="FD197" s="44"/>
      <c r="FE197" s="81"/>
      <c r="FF197" s="46"/>
      <c r="FG197" s="56"/>
      <c r="FH197" s="58" t="s">
        <v>184</v>
      </c>
      <c r="FI197" s="81">
        <v>4204.46</v>
      </c>
      <c r="FJ197" s="81"/>
      <c r="FK197" s="46"/>
      <c r="FL197" s="56"/>
      <c r="FM197" s="58" t="s">
        <v>184</v>
      </c>
      <c r="FN197" s="44"/>
      <c r="FO197" s="81"/>
      <c r="FP197" s="46"/>
      <c r="FQ197" s="56"/>
      <c r="FR197" s="58" t="s">
        <v>184</v>
      </c>
      <c r="FS197" s="44"/>
      <c r="FT197" s="81"/>
      <c r="FU197" s="46"/>
      <c r="FV197" s="56"/>
      <c r="FW197" s="58" t="s">
        <v>184</v>
      </c>
      <c r="FX197" s="44"/>
      <c r="FY197" s="81"/>
      <c r="FZ197" s="46"/>
      <c r="GA197" s="56">
        <v>1</v>
      </c>
      <c r="GB197" s="58">
        <v>2559.8000000000002</v>
      </c>
      <c r="GC197" s="38"/>
      <c r="GD197" s="81"/>
      <c r="GE197" s="46"/>
      <c r="GF197" s="56"/>
      <c r="GG197" s="58" t="s">
        <v>184</v>
      </c>
      <c r="GH197" s="44"/>
      <c r="GI197" s="81"/>
      <c r="GJ197" s="97"/>
      <c r="GK197" s="56"/>
      <c r="GL197" s="58">
        <v>3619.62</v>
      </c>
      <c r="GM197" s="44"/>
      <c r="GN197" s="81"/>
      <c r="GO197" s="46"/>
      <c r="GP197" s="56"/>
      <c r="GQ197" s="58">
        <v>2430.11</v>
      </c>
      <c r="GR197" s="38"/>
      <c r="GS197" s="81"/>
      <c r="GT197" s="46"/>
      <c r="GU197" s="56"/>
      <c r="GV197" s="58">
        <v>1759.76</v>
      </c>
      <c r="GW197" s="44"/>
      <c r="GX197" s="81"/>
      <c r="GY197" s="46"/>
      <c r="GZ197" s="56"/>
      <c r="HA197" s="58">
        <v>3088.02</v>
      </c>
      <c r="HB197" s="44"/>
      <c r="HC197" s="81"/>
      <c r="HD197" s="46"/>
      <c r="HE197" s="56"/>
      <c r="HF197" s="58">
        <v>1754.32</v>
      </c>
      <c r="HG197" s="44"/>
      <c r="HH197" s="81"/>
      <c r="HI197" s="46"/>
      <c r="HJ197" s="56"/>
      <c r="HK197" s="58">
        <v>2767.06</v>
      </c>
      <c r="HL197" s="44"/>
      <c r="HM197" s="81"/>
      <c r="HN197" s="46"/>
      <c r="HO197" s="56"/>
      <c r="HP197" s="58" t="s">
        <v>184</v>
      </c>
      <c r="HQ197" s="44">
        <v>4204.46</v>
      </c>
      <c r="HR197" s="81"/>
      <c r="HS197" s="46"/>
      <c r="HT197" s="56"/>
      <c r="HU197" s="58" t="s">
        <v>184</v>
      </c>
      <c r="HV197" s="44"/>
      <c r="HW197" s="81"/>
      <c r="HX197" s="46"/>
      <c r="HY197" s="56"/>
      <c r="HZ197" s="58" t="s">
        <v>184</v>
      </c>
      <c r="IA197" s="44"/>
      <c r="IB197" s="81"/>
      <c r="IC197" s="46"/>
      <c r="ID197" s="56"/>
      <c r="IE197" s="58" t="s">
        <v>184</v>
      </c>
      <c r="IF197" s="44"/>
      <c r="IG197" s="81"/>
      <c r="IH197" s="46"/>
      <c r="II197" s="56">
        <v>1</v>
      </c>
      <c r="IJ197" s="58">
        <v>2559.8000000000002</v>
      </c>
      <c r="IK197" s="44"/>
      <c r="IL197" s="81"/>
      <c r="IM197" s="46"/>
      <c r="IN197" s="56"/>
      <c r="IO197" s="58" t="s">
        <v>184</v>
      </c>
      <c r="IP197" s="44"/>
      <c r="IQ197" s="81"/>
    </row>
    <row r="198" spans="1:251" s="264" customFormat="1" ht="30.75" customHeight="1" thickBot="1">
      <c r="A198" s="648"/>
      <c r="B198" s="257" t="s">
        <v>1165</v>
      </c>
      <c r="C198" s="365" t="s">
        <v>219</v>
      </c>
      <c r="D198" s="20" t="s">
        <v>177</v>
      </c>
      <c r="E198" s="259" t="s">
        <v>17</v>
      </c>
      <c r="F198" s="23"/>
      <c r="G198" s="168">
        <f>I198/H198</f>
        <v>36.460763358778621</v>
      </c>
      <c r="H198" s="170">
        <v>131</v>
      </c>
      <c r="I198" s="170">
        <v>4776.3599999999997</v>
      </c>
      <c r="J198" s="179"/>
      <c r="K198" s="182"/>
      <c r="L198" s="168">
        <f>N198/M198</f>
        <v>36.460777202072542</v>
      </c>
      <c r="M198" s="170">
        <v>193</v>
      </c>
      <c r="N198" s="170">
        <v>7036.93</v>
      </c>
      <c r="O198" s="179"/>
      <c r="P198" s="182"/>
      <c r="Q198" s="168">
        <f>S198/R198</f>
        <v>36.460845070422529</v>
      </c>
      <c r="R198" s="170">
        <v>142</v>
      </c>
      <c r="S198" s="170">
        <v>5177.4399999999996</v>
      </c>
      <c r="T198" s="179"/>
      <c r="U198" s="182"/>
      <c r="V198" s="209">
        <f>X198/W198</f>
        <v>36.460763358778621</v>
      </c>
      <c r="W198" s="170">
        <v>131</v>
      </c>
      <c r="X198" s="170">
        <v>4776.3599999999997</v>
      </c>
      <c r="Y198" s="179"/>
      <c r="Z198" s="179"/>
      <c r="AA198" s="3">
        <f>AC198/AB198</f>
        <v>36.460782608695652</v>
      </c>
      <c r="AB198" s="170">
        <v>115</v>
      </c>
      <c r="AC198" s="170">
        <v>4192.99</v>
      </c>
      <c r="AD198" s="179"/>
      <c r="AE198" s="179"/>
      <c r="AF198" s="3">
        <f>AH198/AG198</f>
        <v>36.460810810810813</v>
      </c>
      <c r="AG198" s="170">
        <v>148</v>
      </c>
      <c r="AH198" s="170">
        <v>5396.2</v>
      </c>
      <c r="AI198" s="179"/>
      <c r="AJ198" s="179"/>
      <c r="AK198" s="3">
        <f>AM198/AL198</f>
        <v>36.460806451612903</v>
      </c>
      <c r="AL198" s="170">
        <v>124</v>
      </c>
      <c r="AM198" s="170">
        <v>4521.1400000000003</v>
      </c>
      <c r="AN198" s="179"/>
      <c r="AO198" s="179"/>
      <c r="AP198" s="3">
        <f>AR198/AQ198</f>
        <v>36.573333333333331</v>
      </c>
      <c r="AQ198" s="170">
        <v>108</v>
      </c>
      <c r="AR198" s="170">
        <v>3949.92</v>
      </c>
      <c r="AS198" s="179"/>
      <c r="AT198" s="179"/>
      <c r="AU198" s="3">
        <f>AW198/AV198</f>
        <v>36.522016806722689</v>
      </c>
      <c r="AV198" s="170">
        <v>119</v>
      </c>
      <c r="AW198" s="170">
        <v>4346.12</v>
      </c>
      <c r="AX198" s="179"/>
      <c r="AY198" s="179"/>
      <c r="AZ198" s="3">
        <f>BB198/BA198</f>
        <v>36.611376811594205</v>
      </c>
      <c r="BA198" s="170">
        <v>138</v>
      </c>
      <c r="BB198" s="170">
        <v>5052.37</v>
      </c>
      <c r="BC198" s="179"/>
      <c r="BD198" s="179"/>
      <c r="BE198" s="3">
        <f>BG198/BF198</f>
        <v>36.611376811594205</v>
      </c>
      <c r="BF198" s="170">
        <v>138</v>
      </c>
      <c r="BG198" s="170">
        <v>5052.37</v>
      </c>
      <c r="BH198" s="179"/>
      <c r="BI198" s="179"/>
      <c r="BJ198" s="3">
        <f>BL198/BK198</f>
        <v>36.45541306292872</v>
      </c>
      <c r="BK198" s="170">
        <v>134.12</v>
      </c>
      <c r="BL198" s="170">
        <v>4889.3999999999996</v>
      </c>
      <c r="BM198" s="179"/>
      <c r="BN198" s="179"/>
      <c r="BO198" s="3" t="e">
        <f>BQ198/BP198</f>
        <v>#VALUE!</v>
      </c>
      <c r="BP198" s="170">
        <v>134</v>
      </c>
      <c r="BQ198" s="170" t="s">
        <v>452</v>
      </c>
      <c r="BR198" s="179"/>
      <c r="BS198" s="179"/>
      <c r="BT198" s="3">
        <f>BV198/BU198</f>
        <v>36.611376811594205</v>
      </c>
      <c r="BU198" s="170">
        <v>138</v>
      </c>
      <c r="BV198" s="170">
        <v>5052.37</v>
      </c>
      <c r="BW198" s="179"/>
      <c r="BX198" s="179"/>
      <c r="BY198" s="3">
        <f>CA198/BZ198</f>
        <v>48.509415419373049</v>
      </c>
      <c r="BZ198" s="169">
        <v>177.05</v>
      </c>
      <c r="CA198" s="169">
        <f>1.2*(3394.15+3763.01)</f>
        <v>8588.5919999999987</v>
      </c>
      <c r="CB198" s="48"/>
      <c r="CC198" s="179"/>
      <c r="CD198" s="3">
        <f>CF198/CE198</f>
        <v>48.509415419373049</v>
      </c>
      <c r="CE198" s="169">
        <v>177.05</v>
      </c>
      <c r="CF198" s="169">
        <f>1.2*(3394.15+3763.01)</f>
        <v>8588.5919999999987</v>
      </c>
      <c r="CG198" s="48"/>
      <c r="CH198" s="179"/>
      <c r="CI198" s="3">
        <f>CK198/CJ198</f>
        <v>48.509415419373049</v>
      </c>
      <c r="CJ198" s="169">
        <v>177.05</v>
      </c>
      <c r="CK198" s="169">
        <f>1.2*(3394.15+3763.01)</f>
        <v>8588.5919999999987</v>
      </c>
      <c r="CL198" s="48"/>
      <c r="CM198" s="179"/>
      <c r="CN198" s="3">
        <f>CP198/CO198</f>
        <v>48.509415419373049</v>
      </c>
      <c r="CO198" s="169">
        <v>177.05</v>
      </c>
      <c r="CP198" s="169">
        <f>1.2*(3394.15+3763.01)</f>
        <v>8588.5919999999987</v>
      </c>
      <c r="CQ198" s="48"/>
      <c r="CR198" s="179"/>
      <c r="CS198" s="3">
        <f>CU198/CT198</f>
        <v>33.655541272610414</v>
      </c>
      <c r="CT198" s="170">
        <f>82+135.82</f>
        <v>217.82</v>
      </c>
      <c r="CU198" s="170">
        <f>2491.49+4839.36</f>
        <v>7330.8499999999995</v>
      </c>
      <c r="CV198" s="179"/>
      <c r="CW198" s="179"/>
      <c r="CX198" s="3">
        <f>CZ198/CY198</f>
        <v>48.509415419373049</v>
      </c>
      <c r="CY198" s="169">
        <v>177.05</v>
      </c>
      <c r="CZ198" s="169">
        <f>1.2*(3394.15+3763.01)</f>
        <v>8588.5919999999987</v>
      </c>
      <c r="DA198" s="48"/>
      <c r="DB198" s="179"/>
      <c r="DC198" s="3">
        <f>DE198/DD198</f>
        <v>48.509415419373049</v>
      </c>
      <c r="DD198" s="169">
        <v>177.05</v>
      </c>
      <c r="DE198" s="169">
        <f>1.2*(3394.15+3763.01)</f>
        <v>8588.5919999999987</v>
      </c>
      <c r="DF198" s="48"/>
      <c r="DG198" s="179"/>
      <c r="DH198" s="3">
        <f>DJ198/DI198</f>
        <v>46.871978609625664</v>
      </c>
      <c r="DI198" s="170">
        <v>187</v>
      </c>
      <c r="DJ198" s="170">
        <v>8765.06</v>
      </c>
      <c r="DK198" s="179"/>
      <c r="DL198" s="179"/>
      <c r="DM198" s="3">
        <v>46.872</v>
      </c>
      <c r="DN198" s="170">
        <v>190</v>
      </c>
      <c r="DO198" s="170">
        <v>9900</v>
      </c>
      <c r="DP198" s="179"/>
      <c r="DQ198" s="179"/>
      <c r="DR198" s="3">
        <v>46.872</v>
      </c>
      <c r="DS198" s="170">
        <v>201</v>
      </c>
      <c r="DT198" s="170">
        <v>16232.73</v>
      </c>
      <c r="DU198" s="179"/>
      <c r="DV198" s="179"/>
      <c r="DW198" s="3">
        <f>DY198/DX198</f>
        <v>46.872</v>
      </c>
      <c r="DX198" s="170">
        <v>110</v>
      </c>
      <c r="DY198" s="170">
        <v>5155.92</v>
      </c>
      <c r="DZ198" s="179"/>
      <c r="EA198" s="179"/>
      <c r="EB198" s="3">
        <f>ED198/EC198</f>
        <v>11.682538461538462</v>
      </c>
      <c r="EC198" s="170">
        <v>130</v>
      </c>
      <c r="ED198" s="170">
        <v>1518.73</v>
      </c>
      <c r="EE198" s="179"/>
      <c r="EF198" s="179"/>
      <c r="EG198" s="3">
        <f>EI198/EH198</f>
        <v>49.98</v>
      </c>
      <c r="EH198" s="170">
        <v>309</v>
      </c>
      <c r="EI198" s="170">
        <v>15443.82</v>
      </c>
      <c r="EJ198" s="179"/>
      <c r="EK198" s="179"/>
      <c r="EL198" s="3">
        <f>EN198/EM198</f>
        <v>49.98</v>
      </c>
      <c r="EM198" s="170">
        <v>161</v>
      </c>
      <c r="EN198" s="170">
        <v>8046.78</v>
      </c>
      <c r="EO198" s="179"/>
      <c r="EP198" s="179"/>
      <c r="EQ198" s="3">
        <f>ES198/ER198</f>
        <v>49.98</v>
      </c>
      <c r="ER198" s="170">
        <v>148</v>
      </c>
      <c r="ES198" s="170">
        <v>7397.04</v>
      </c>
      <c r="ET198" s="179"/>
      <c r="EU198" s="179"/>
      <c r="EV198" s="3">
        <f>EX198/EW198</f>
        <v>48.509415419373049</v>
      </c>
      <c r="EW198" s="169">
        <v>177.05</v>
      </c>
      <c r="EX198" s="169">
        <f>1.2*(3394.15+3763.01)</f>
        <v>8588.5919999999987</v>
      </c>
      <c r="EY198" s="48"/>
      <c r="EZ198" s="179"/>
      <c r="FA198" s="3">
        <f>FC198/FB198</f>
        <v>33.655541272610414</v>
      </c>
      <c r="FB198" s="169">
        <f>82+135.82</f>
        <v>217.82</v>
      </c>
      <c r="FC198" s="169">
        <f>2491.49+4839.36</f>
        <v>7330.8499999999995</v>
      </c>
      <c r="FD198" s="48"/>
      <c r="FE198" s="179"/>
      <c r="FF198" s="3">
        <f>FH198/FG198</f>
        <v>48.509415419373049</v>
      </c>
      <c r="FG198" s="169">
        <v>177.05</v>
      </c>
      <c r="FH198" s="169">
        <f>1.2*(3394.15+3763.01)</f>
        <v>8588.5919999999987</v>
      </c>
      <c r="FI198" s="48"/>
      <c r="FJ198" s="179"/>
      <c r="FK198" s="3">
        <f>FM198/FL198</f>
        <v>48.509415419373049</v>
      </c>
      <c r="FL198" s="169">
        <v>177.05</v>
      </c>
      <c r="FM198" s="169">
        <f>1.2*(3394.15+3763.01)</f>
        <v>8588.5919999999987</v>
      </c>
      <c r="FN198" s="48"/>
      <c r="FO198" s="179"/>
      <c r="FP198" s="3">
        <f>FR198/FQ198</f>
        <v>46.871978609625664</v>
      </c>
      <c r="FQ198" s="169">
        <v>187</v>
      </c>
      <c r="FR198" s="169">
        <v>8765.06</v>
      </c>
      <c r="FS198" s="48"/>
      <c r="FT198" s="179"/>
      <c r="FU198" s="3">
        <v>46.872</v>
      </c>
      <c r="FV198" s="169">
        <v>190</v>
      </c>
      <c r="FW198" s="169">
        <v>9900</v>
      </c>
      <c r="FX198" s="48"/>
      <c r="FY198" s="179"/>
      <c r="FZ198" s="3">
        <v>46.872</v>
      </c>
      <c r="GA198" s="169">
        <v>201</v>
      </c>
      <c r="GB198" s="169">
        <v>16232.73</v>
      </c>
      <c r="GC198" s="48"/>
      <c r="GD198" s="179"/>
      <c r="GE198" s="3">
        <f>GG198/GF198</f>
        <v>49.980000000000004</v>
      </c>
      <c r="GF198" s="170">
        <v>120</v>
      </c>
      <c r="GG198" s="170">
        <v>5997.6</v>
      </c>
      <c r="GH198" s="179"/>
      <c r="GI198" s="179"/>
      <c r="GJ198" s="285">
        <f>GL198/GK198</f>
        <v>11.682538461538462</v>
      </c>
      <c r="GK198" s="169">
        <v>130</v>
      </c>
      <c r="GL198" s="169">
        <v>1518.73</v>
      </c>
      <c r="GM198" s="48"/>
      <c r="GN198" s="179"/>
      <c r="GO198" s="3">
        <f>GQ198/GP198</f>
        <v>49.98</v>
      </c>
      <c r="GP198" s="169">
        <v>309</v>
      </c>
      <c r="GQ198" s="169">
        <v>15443.82</v>
      </c>
      <c r="GR198" s="48"/>
      <c r="GS198" s="179"/>
      <c r="GT198" s="3">
        <f>GV198/GU198</f>
        <v>63.791968503937007</v>
      </c>
      <c r="GU198" s="170">
        <v>127</v>
      </c>
      <c r="GV198" s="170">
        <v>8101.58</v>
      </c>
      <c r="GW198" s="179"/>
      <c r="GX198" s="179"/>
      <c r="GY198" s="3">
        <f>HA198/GZ198</f>
        <v>49.98</v>
      </c>
      <c r="GZ198" s="169">
        <v>148</v>
      </c>
      <c r="HA198" s="169">
        <v>7397.04</v>
      </c>
      <c r="HB198" s="48"/>
      <c r="HC198" s="179"/>
      <c r="HD198" s="3">
        <f>HF198/HE198</f>
        <v>48.509415419373049</v>
      </c>
      <c r="HE198" s="169">
        <v>177.05</v>
      </c>
      <c r="HF198" s="169">
        <f>1.2*(3394.15+3763.01)</f>
        <v>8588.5919999999987</v>
      </c>
      <c r="HG198" s="48"/>
      <c r="HH198" s="179"/>
      <c r="HI198" s="3">
        <f>HK198/HJ198</f>
        <v>33.655541272610414</v>
      </c>
      <c r="HJ198" s="169">
        <f>82+135.82</f>
        <v>217.82</v>
      </c>
      <c r="HK198" s="169">
        <f>2491.49+4839.36</f>
        <v>7330.8499999999995</v>
      </c>
      <c r="HL198" s="48"/>
      <c r="HM198" s="179"/>
      <c r="HN198" s="3">
        <f>HP198/HO198</f>
        <v>48.509415419373049</v>
      </c>
      <c r="HO198" s="169">
        <v>177.05</v>
      </c>
      <c r="HP198" s="169">
        <f>1.2*(3394.15+3763.01)</f>
        <v>8588.5919999999987</v>
      </c>
      <c r="HQ198" s="48"/>
      <c r="HR198" s="179"/>
      <c r="HS198" s="3">
        <f>HU198/HT198</f>
        <v>48.509415419373049</v>
      </c>
      <c r="HT198" s="169">
        <v>177.05</v>
      </c>
      <c r="HU198" s="169">
        <f>1.2*(3394.15+3763.01)</f>
        <v>8588.5919999999987</v>
      </c>
      <c r="HV198" s="48"/>
      <c r="HW198" s="179"/>
      <c r="HX198" s="3">
        <f>HZ198/HY198</f>
        <v>46.871978609625664</v>
      </c>
      <c r="HY198" s="169">
        <v>187</v>
      </c>
      <c r="HZ198" s="169">
        <v>8765.06</v>
      </c>
      <c r="IA198" s="48"/>
      <c r="IB198" s="179"/>
      <c r="IC198" s="3">
        <v>46.872</v>
      </c>
      <c r="ID198" s="169">
        <v>190</v>
      </c>
      <c r="IE198" s="169">
        <v>9900</v>
      </c>
      <c r="IF198" s="48"/>
      <c r="IG198" s="179"/>
      <c r="IH198" s="3">
        <v>46.872</v>
      </c>
      <c r="II198" s="169">
        <v>201</v>
      </c>
      <c r="IJ198" s="169">
        <v>16232.73</v>
      </c>
      <c r="IK198" s="48"/>
      <c r="IL198" s="179"/>
      <c r="IM198" s="3">
        <f>IO198/IN198</f>
        <v>48.509415419373049</v>
      </c>
      <c r="IN198" s="169">
        <v>177.05</v>
      </c>
      <c r="IO198" s="169">
        <f>1.2*(3394.15+3763.01)</f>
        <v>8588.5919999999987</v>
      </c>
      <c r="IP198" s="48"/>
      <c r="IQ198" s="179"/>
    </row>
    <row r="199" spans="1:251" s="249" customFormat="1" ht="15" customHeight="1">
      <c r="A199" s="649"/>
      <c r="B199" s="265" t="s">
        <v>321</v>
      </c>
      <c r="C199" s="5" t="s">
        <v>100</v>
      </c>
      <c r="D199" s="6" t="s">
        <v>101</v>
      </c>
      <c r="E199" s="7" t="s">
        <v>10</v>
      </c>
      <c r="F199" s="4"/>
      <c r="G199" s="196"/>
      <c r="H199" s="197"/>
      <c r="I199" s="200"/>
      <c r="J199" s="38"/>
      <c r="K199" s="206"/>
      <c r="L199" s="196"/>
      <c r="M199" s="197"/>
      <c r="N199" s="200"/>
      <c r="O199" s="38"/>
      <c r="P199" s="206"/>
      <c r="Q199" s="196"/>
      <c r="R199" s="197"/>
      <c r="S199" s="200"/>
      <c r="T199" s="38"/>
      <c r="U199" s="206"/>
      <c r="V199" s="207"/>
      <c r="W199" s="197"/>
      <c r="X199" s="380">
        <v>8387</v>
      </c>
      <c r="Y199" s="38"/>
      <c r="Z199" s="384">
        <f>SUM(X199:X204)*1.1</f>
        <v>410329.11040000001</v>
      </c>
      <c r="AA199" s="36"/>
      <c r="AB199" s="197"/>
      <c r="AC199" s="380">
        <v>8387.81</v>
      </c>
      <c r="AD199" s="38"/>
      <c r="AE199" s="384">
        <f>SUM(AC199:AC204)*1.1</f>
        <v>330897.29420000012</v>
      </c>
      <c r="AF199" s="36"/>
      <c r="AG199" s="204"/>
      <c r="AH199" s="380">
        <v>8387.81</v>
      </c>
      <c r="AI199" s="427"/>
      <c r="AJ199" s="384">
        <f>AJ200*1.1</f>
        <v>373731.40860000008</v>
      </c>
      <c r="AK199" s="36"/>
      <c r="AL199" s="197"/>
      <c r="AM199" s="200"/>
      <c r="AN199" s="38"/>
      <c r="AO199" s="384">
        <f>AO200*1.2</f>
        <v>440399.74079999997</v>
      </c>
      <c r="AP199" s="36"/>
      <c r="AQ199" s="197"/>
      <c r="AR199" s="200"/>
      <c r="AS199" s="38"/>
      <c r="AT199" s="384">
        <f>SUM(AR199:AR204)*1.1</f>
        <v>513789.98439999996</v>
      </c>
      <c r="AU199" s="36"/>
      <c r="AV199" s="197"/>
      <c r="AW199" s="200"/>
      <c r="AX199" s="38"/>
      <c r="AY199" s="384">
        <f>SUM(AW199:AW204)*1.1</f>
        <v>597817.96360000002</v>
      </c>
      <c r="AZ199" s="36"/>
      <c r="BA199" s="197"/>
      <c r="BB199" s="200"/>
      <c r="BC199" s="38"/>
      <c r="BD199" s="384">
        <f>SUM(BB199:BB204)*1.1</f>
        <v>503086.15720000002</v>
      </c>
      <c r="BE199" s="36"/>
      <c r="BF199" s="197"/>
      <c r="BG199" s="200"/>
      <c r="BH199" s="38"/>
      <c r="BI199" s="384">
        <f>SUM(BG199:BG204)*1.1</f>
        <v>510939.81399999995</v>
      </c>
      <c r="BJ199" s="36"/>
      <c r="BK199" s="197"/>
      <c r="BL199" s="200"/>
      <c r="BM199" s="38"/>
      <c r="BN199" s="384">
        <f>SUM(BL199:BL204)*1.1</f>
        <v>525466.47560000001</v>
      </c>
      <c r="BO199" s="36"/>
      <c r="BP199" s="197"/>
      <c r="BQ199" s="200"/>
      <c r="BR199" s="38"/>
      <c r="BS199" s="384">
        <f>SUM(BQ199:BQ204)*1.1</f>
        <v>626136.7574</v>
      </c>
      <c r="BT199" s="36"/>
      <c r="BU199" s="197"/>
      <c r="BV199" s="200"/>
      <c r="BW199" s="38"/>
      <c r="BX199" s="384">
        <f>SUM(BV199:BV204)*1.1</f>
        <v>589012.04119999998</v>
      </c>
      <c r="BY199" s="36"/>
      <c r="BZ199" s="197"/>
      <c r="CA199" s="200"/>
      <c r="CB199" s="38"/>
      <c r="CC199" s="384">
        <f>SUM(CA199:CA204)*1.1</f>
        <v>501816.67579999997</v>
      </c>
      <c r="CD199" s="36"/>
      <c r="CE199" s="197"/>
      <c r="CF199" s="200"/>
      <c r="CG199" s="38"/>
      <c r="CH199" s="384">
        <f>SUM(CF199:CF204)*1.1</f>
        <v>491991.35040000011</v>
      </c>
      <c r="CI199" s="36"/>
      <c r="CJ199" s="197"/>
      <c r="CK199" s="200"/>
      <c r="CL199" s="38"/>
      <c r="CM199" s="384">
        <f>SUM(CK199:CK204)*1.1</f>
        <v>368953.9348000001</v>
      </c>
      <c r="CN199" s="36"/>
      <c r="CO199" s="197"/>
      <c r="CP199" s="200"/>
      <c r="CQ199" s="38"/>
      <c r="CR199" s="384">
        <f>SUM(CP199:CP204)*1.1</f>
        <v>639249.81560000009</v>
      </c>
      <c r="CS199" s="36"/>
      <c r="CT199" s="197"/>
      <c r="CU199" s="200"/>
      <c r="CV199" s="38"/>
      <c r="CW199" s="384">
        <f>SUM(CU199:CU204)*1.1</f>
        <v>669818.44379999989</v>
      </c>
      <c r="CX199" s="36"/>
      <c r="CY199" s="197"/>
      <c r="CZ199" s="200"/>
      <c r="DA199" s="38"/>
      <c r="DB199" s="384">
        <f>SUM(CZ199:CZ204)*1.1</f>
        <v>786730.54460000026</v>
      </c>
      <c r="DC199" s="36"/>
      <c r="DD199" s="197"/>
      <c r="DE199" s="200"/>
      <c r="DF199" s="38"/>
      <c r="DG199" s="384">
        <f>SUM(DE199:DE204)*1.1</f>
        <v>720887.76760000014</v>
      </c>
      <c r="DH199" s="36"/>
      <c r="DI199" s="197"/>
      <c r="DJ199" s="200"/>
      <c r="DK199" s="38"/>
      <c r="DL199" s="384">
        <f>SUM(DJ199:DJ204)*1.1</f>
        <v>706194.82559999998</v>
      </c>
      <c r="DM199" s="36"/>
      <c r="DN199" s="197"/>
      <c r="DO199" s="200"/>
      <c r="DP199" s="38"/>
      <c r="DQ199" s="384">
        <f>SUM(DO199:DO204)*1.1</f>
        <v>594687.35920000018</v>
      </c>
      <c r="DR199" s="36"/>
      <c r="DS199" s="197"/>
      <c r="DT199" s="200"/>
      <c r="DU199" s="38"/>
      <c r="DV199" s="384">
        <f>SUM(DT199:DT204)*1.1</f>
        <v>759820.66600000008</v>
      </c>
      <c r="DW199" s="36"/>
      <c r="DX199" s="197"/>
      <c r="DY199" s="200"/>
      <c r="DZ199" s="38"/>
      <c r="EA199" s="384">
        <f>SUM(DY199:DY204)*1.1</f>
        <v>858054.33340000012</v>
      </c>
      <c r="EB199" s="36"/>
      <c r="EC199" s="197"/>
      <c r="ED199" s="200"/>
      <c r="EE199" s="38"/>
      <c r="EF199" s="384">
        <f>SUM(ED199:ED204)*1.1</f>
        <v>906350.32840000011</v>
      </c>
      <c r="EG199" s="36"/>
      <c r="EH199" s="197"/>
      <c r="EI199" s="200"/>
      <c r="EJ199" s="38"/>
      <c r="EK199" s="384">
        <f>SUM(EI199:EI204)*1.1</f>
        <v>839647.5340000001</v>
      </c>
      <c r="EL199" s="36"/>
      <c r="EM199" s="197"/>
      <c r="EN199" s="200"/>
      <c r="EO199" s="38"/>
      <c r="EP199" s="384">
        <f>SUM(EN199:EN204)*1.1</f>
        <v>973449.67940000002</v>
      </c>
      <c r="EQ199" s="36"/>
      <c r="ER199" s="197"/>
      <c r="ES199" s="200"/>
      <c r="ET199" s="38"/>
      <c r="EU199" s="384">
        <f>SUM(ES199:ES204)*1.1</f>
        <v>655169.67560000008</v>
      </c>
      <c r="EV199" s="36"/>
      <c r="EW199" s="197"/>
      <c r="EX199" s="200"/>
      <c r="EY199" s="38"/>
      <c r="EZ199" s="384">
        <f>SUM(EX199:EX204)*1.1</f>
        <v>528877.96940000006</v>
      </c>
      <c r="FA199" s="36"/>
      <c r="FB199" s="197"/>
      <c r="FC199" s="200"/>
      <c r="FD199" s="38"/>
      <c r="FE199" s="384">
        <f>SUM(FC199:FC204)*1.1</f>
        <v>675729.99780000013</v>
      </c>
      <c r="FF199" s="36"/>
      <c r="FG199" s="197"/>
      <c r="FH199" s="200"/>
      <c r="FI199" s="38"/>
      <c r="FJ199" s="384">
        <f>SUM(FH199:FH204)*1.1</f>
        <v>788308.08760000009</v>
      </c>
      <c r="FK199" s="36"/>
      <c r="FL199" s="197"/>
      <c r="FM199" s="200"/>
      <c r="FN199" s="38"/>
      <c r="FO199" s="384">
        <f>SUM(FM199:FM204)*1.1</f>
        <v>712208.05039999995</v>
      </c>
      <c r="FP199" s="36"/>
      <c r="FQ199" s="197"/>
      <c r="FR199" s="200"/>
      <c r="FS199" s="38"/>
      <c r="FT199" s="384">
        <f>SUM(FR199:FR204)*1.1</f>
        <v>609216.37920000008</v>
      </c>
      <c r="FU199" s="36"/>
      <c r="FV199" s="197"/>
      <c r="FW199" s="200"/>
      <c r="FX199" s="38"/>
      <c r="FY199" s="384">
        <f>SUM(FW199:FW204)*1.1</f>
        <v>588804.8056000002</v>
      </c>
      <c r="FZ199" s="36"/>
      <c r="GA199" s="197"/>
      <c r="GB199" s="200"/>
      <c r="GC199" s="38"/>
      <c r="GD199" s="384">
        <f>SUM(GB199:GB204)*1.1</f>
        <v>576551.87920000008</v>
      </c>
      <c r="GE199" s="36"/>
      <c r="GF199" s="197"/>
      <c r="GG199" s="200"/>
      <c r="GH199" s="38"/>
      <c r="GI199" s="384">
        <f>SUM(GG199:GG204)*1.1</f>
        <v>713128.9968000002</v>
      </c>
      <c r="GJ199" s="280"/>
      <c r="GK199" s="197"/>
      <c r="GL199" s="200"/>
      <c r="GM199" s="38"/>
      <c r="GN199" s="384">
        <f>SUM(GL199:GL204)*1.1</f>
        <v>906350.32840000011</v>
      </c>
      <c r="GO199" s="36"/>
      <c r="GP199" s="197"/>
      <c r="GQ199" s="200"/>
      <c r="GR199" s="38"/>
      <c r="GS199" s="384">
        <f>SUM(GQ199:GQ204)*1.1</f>
        <v>649684.15599999996</v>
      </c>
      <c r="GT199" s="36"/>
      <c r="GU199" s="197"/>
      <c r="GV199" s="200"/>
      <c r="GW199" s="38"/>
      <c r="GX199" s="384">
        <f>SUM(GV199:GV204)*1.1</f>
        <v>1076854.9022000001</v>
      </c>
      <c r="GY199" s="36"/>
      <c r="GZ199" s="197"/>
      <c r="HA199" s="200"/>
      <c r="HB199" s="38"/>
      <c r="HC199" s="384">
        <f>SUM(HA199:HA204)*1.1</f>
        <v>655169.67560000008</v>
      </c>
      <c r="HD199" s="36"/>
      <c r="HE199" s="197"/>
      <c r="HF199" s="200"/>
      <c r="HG199" s="38"/>
      <c r="HH199" s="384">
        <f>SUM(HF199:HF204)*1.1</f>
        <v>528877.96940000006</v>
      </c>
      <c r="HI199" s="36"/>
      <c r="HJ199" s="197"/>
      <c r="HK199" s="200"/>
      <c r="HL199" s="38"/>
      <c r="HM199" s="384">
        <f>SUM(HK199:HK204)*1.1</f>
        <v>675729.99780000013</v>
      </c>
      <c r="HN199" s="36"/>
      <c r="HO199" s="197"/>
      <c r="HP199" s="200"/>
      <c r="HQ199" s="38"/>
      <c r="HR199" s="384">
        <f>SUM(HP199:HP204)*1.1</f>
        <v>788308.08760000009</v>
      </c>
      <c r="HS199" s="36"/>
      <c r="HT199" s="197"/>
      <c r="HU199" s="200"/>
      <c r="HV199" s="38"/>
      <c r="HW199" s="384">
        <f>SUM(HU199:HU204)*1.1</f>
        <v>712208.05039999995</v>
      </c>
      <c r="HX199" s="36"/>
      <c r="HY199" s="197"/>
      <c r="HZ199" s="200"/>
      <c r="IA199" s="38"/>
      <c r="IB199" s="384">
        <f>SUM(HZ199:HZ204)*1.1</f>
        <v>609216.37920000008</v>
      </c>
      <c r="IC199" s="36"/>
      <c r="ID199" s="197"/>
      <c r="IE199" s="200"/>
      <c r="IF199" s="38"/>
      <c r="IG199" s="384">
        <f>SUM(IE199:IE204)*1.1</f>
        <v>588804.8056000002</v>
      </c>
      <c r="IH199" s="36"/>
      <c r="II199" s="197"/>
      <c r="IJ199" s="200"/>
      <c r="IK199" s="38"/>
      <c r="IL199" s="384">
        <f>SUM(IJ199:IJ204)*1.1</f>
        <v>345807.10120000003</v>
      </c>
      <c r="IM199" s="36"/>
      <c r="IN199" s="197"/>
      <c r="IO199" s="200"/>
      <c r="IP199" s="38"/>
      <c r="IQ199" s="384">
        <f>SUM(IO199:IO204)*1.1</f>
        <v>464445.92040000006</v>
      </c>
    </row>
    <row r="200" spans="1:251" ht="15" customHeight="1">
      <c r="A200" s="647"/>
      <c r="B200" s="256"/>
      <c r="C200" s="215">
        <v>44878589</v>
      </c>
      <c r="D200" s="222" t="s">
        <v>378</v>
      </c>
      <c r="E200" s="216" t="s">
        <v>13</v>
      </c>
      <c r="F200" s="22"/>
      <c r="G200" s="104">
        <f>I200/H200</f>
        <v>4.6461264590562896</v>
      </c>
      <c r="H200" s="69">
        <v>66567</v>
      </c>
      <c r="I200" s="74">
        <v>309278.7</v>
      </c>
      <c r="J200" s="81"/>
      <c r="K200" s="88"/>
      <c r="L200" s="104">
        <f>N200/M200</f>
        <v>4.6764877328350112</v>
      </c>
      <c r="M200" s="69">
        <v>66356</v>
      </c>
      <c r="N200" s="134">
        <v>310313.02</v>
      </c>
      <c r="O200" s="81"/>
      <c r="P200" s="88"/>
      <c r="Q200" s="104">
        <f>S200/R200</f>
        <v>4.3541735930816792</v>
      </c>
      <c r="R200" s="69">
        <v>53539</v>
      </c>
      <c r="S200" s="134">
        <v>233118.1</v>
      </c>
      <c r="T200" s="363"/>
      <c r="U200" s="364"/>
      <c r="V200" s="115">
        <f>X200/W200</f>
        <v>4.546969141840818</v>
      </c>
      <c r="W200" s="69">
        <v>56225</v>
      </c>
      <c r="X200" s="134">
        <v>255653.34</v>
      </c>
      <c r="Y200" s="363"/>
      <c r="Z200" s="403">
        <f>SUM(X199:X204)*1</f>
        <v>373026.46399999998</v>
      </c>
      <c r="AA200" s="92">
        <f>AC200/AB200</f>
        <v>4.2091355541588102</v>
      </c>
      <c r="AB200" s="69">
        <v>47730</v>
      </c>
      <c r="AC200" s="134">
        <v>200902.04</v>
      </c>
      <c r="AD200" s="81"/>
      <c r="AE200" s="403">
        <f>SUM(AC199:AC204)*1</f>
        <v>300815.72200000007</v>
      </c>
      <c r="AF200" s="92">
        <f>AH200/AG200</f>
        <v>4.291146071594607</v>
      </c>
      <c r="AG200" s="69">
        <v>53775</v>
      </c>
      <c r="AH200" s="361">
        <v>230756.38</v>
      </c>
      <c r="AI200" s="81"/>
      <c r="AJ200" s="403">
        <f>SUM(AH199:AH204)*1</f>
        <v>339755.82600000006</v>
      </c>
      <c r="AK200" s="92">
        <f>AM200/AL200</f>
        <v>4.2939636710605367</v>
      </c>
      <c r="AL200" s="69">
        <v>56594</v>
      </c>
      <c r="AM200" s="361">
        <v>243012.58</v>
      </c>
      <c r="AN200" s="81"/>
      <c r="AO200" s="403">
        <f>SUM(AM199:AM204)*1</f>
        <v>366999.78399999999</v>
      </c>
      <c r="AP200" s="92">
        <f>AR200/AQ200</f>
        <v>5.1245050605608098</v>
      </c>
      <c r="AQ200" s="128">
        <v>60270</v>
      </c>
      <c r="AR200" s="134">
        <v>308853.92</v>
      </c>
      <c r="AS200" s="81"/>
      <c r="AT200" s="403">
        <f>SUM(AR199:AR204)*1</f>
        <v>467081.80399999995</v>
      </c>
      <c r="AU200" s="92">
        <f>AW200/AV200</f>
        <v>5.8086179570612329</v>
      </c>
      <c r="AV200" s="69">
        <v>64231</v>
      </c>
      <c r="AW200" s="361">
        <v>373093.34</v>
      </c>
      <c r="AX200" s="81"/>
      <c r="AY200" s="403">
        <f>SUM(AW199:AW204)*1</f>
        <v>543470.87599999993</v>
      </c>
      <c r="AZ200" s="92">
        <f>BB200/BA200</f>
        <v>5.5242504142352855</v>
      </c>
      <c r="BA200" s="69">
        <v>55524</v>
      </c>
      <c r="BB200" s="134">
        <v>306728.48</v>
      </c>
      <c r="BC200" s="81"/>
      <c r="BD200" s="403">
        <f>SUM(BB199:BB204)*1</f>
        <v>457351.05199999997</v>
      </c>
      <c r="BE200" s="92">
        <f>BG200/BF200</f>
        <v>5.6273975204242515</v>
      </c>
      <c r="BF200" s="69">
        <v>55816</v>
      </c>
      <c r="BG200" s="74">
        <v>314098.82</v>
      </c>
      <c r="BH200" s="81"/>
      <c r="BI200" s="403">
        <f>SUM(BG199:BG204)*1</f>
        <v>464490.73999999993</v>
      </c>
      <c r="BJ200" s="92">
        <f>BL200/BK200</f>
        <v>5.9487372617758751</v>
      </c>
      <c r="BK200" s="69">
        <v>58191</v>
      </c>
      <c r="BL200" s="74">
        <v>346162.97</v>
      </c>
      <c r="BM200" s="81"/>
      <c r="BN200" s="403">
        <f>SUM(BL199:BL204)*1</f>
        <v>477696.79599999997</v>
      </c>
      <c r="BO200" s="92">
        <f>BQ200/BP200</f>
        <v>5.4848627870489226</v>
      </c>
      <c r="BP200" s="69">
        <v>70110</v>
      </c>
      <c r="BQ200" s="134">
        <v>384543.73</v>
      </c>
      <c r="BR200" s="81"/>
      <c r="BS200" s="403">
        <f>SUM(BQ199:BQ204)*1</f>
        <v>569215.23399999994</v>
      </c>
      <c r="BT200" s="92">
        <f>BV200/BU200</f>
        <v>5.1578303874517148</v>
      </c>
      <c r="BU200" s="69">
        <v>68344</v>
      </c>
      <c r="BV200" s="74">
        <v>352506.76</v>
      </c>
      <c r="BW200" s="81"/>
      <c r="BX200" s="403">
        <f>SUM(BV199:BV204)*1</f>
        <v>535465.49199999997</v>
      </c>
      <c r="BY200" s="92">
        <f>CA200/BZ200</f>
        <v>4.6349975158265888</v>
      </c>
      <c r="BZ200" s="69">
        <v>62395</v>
      </c>
      <c r="CA200" s="134">
        <v>289200.67</v>
      </c>
      <c r="CB200" s="81"/>
      <c r="CC200" s="403">
        <f>SUM(CA199:CA204)*1</f>
        <v>456196.97799999994</v>
      </c>
      <c r="CD200" s="92">
        <f>CF200/CE200</f>
        <v>4.4230823133997088</v>
      </c>
      <c r="CE200" s="69">
        <v>63076</v>
      </c>
      <c r="CF200" s="134">
        <v>278990.34000000003</v>
      </c>
      <c r="CG200" s="81"/>
      <c r="CH200" s="403">
        <f>SUM(CF199:CF204)*1</f>
        <v>447264.86400000006</v>
      </c>
      <c r="CI200" s="92">
        <f>CK200/CJ200</f>
        <v>4.9239396140749152</v>
      </c>
      <c r="CJ200" s="128">
        <v>44050</v>
      </c>
      <c r="CK200" s="134">
        <v>216899.54</v>
      </c>
      <c r="CL200" s="81"/>
      <c r="CM200" s="403">
        <f>SUM(CK199:CK204)*1</f>
        <v>335412.66800000006</v>
      </c>
      <c r="CN200" s="92">
        <f>CP200/CO200</f>
        <v>8.404031924362025</v>
      </c>
      <c r="CO200" s="410">
        <v>68537</v>
      </c>
      <c r="CP200" s="134">
        <f>1.2*479989.28</f>
        <v>575987.13600000006</v>
      </c>
      <c r="CQ200" s="81"/>
      <c r="CR200" s="403">
        <f>SUM(CP199:CP204)*1</f>
        <v>581136.196</v>
      </c>
      <c r="CS200" s="92">
        <f>CU200/CT200</f>
        <v>9.4079760166184059</v>
      </c>
      <c r="CT200" s="410">
        <v>63544</v>
      </c>
      <c r="CU200" s="524">
        <f>1.2*498183.69</f>
        <v>597820.42799999996</v>
      </c>
      <c r="CV200" s="81">
        <f>536904.13+364405.69+78086.93+78086.94</f>
        <v>1057483.69</v>
      </c>
      <c r="CW200" s="403">
        <f>SUM(CU199:CU204)*1</f>
        <v>608925.85799999989</v>
      </c>
      <c r="CX200" s="92">
        <f>CZ200/CY200</f>
        <v>10.014348015996823</v>
      </c>
      <c r="CY200" s="410">
        <v>70514</v>
      </c>
      <c r="CZ200" s="522">
        <f>1.2*588459.78</f>
        <v>706151.73600000003</v>
      </c>
      <c r="DA200" s="81">
        <f>291827.25+145913.63+29182.73+116730.9</f>
        <v>583654.51</v>
      </c>
      <c r="DB200" s="403">
        <f>SUM(CZ199:CZ204)*1</f>
        <v>715209.58600000013</v>
      </c>
      <c r="DC200" s="92">
        <f>DE200/DD200</f>
        <v>9.9796320430706391</v>
      </c>
      <c r="DD200" s="410">
        <v>64638</v>
      </c>
      <c r="DE200" s="522">
        <f>1.2*537552.88</f>
        <v>645063.45600000001</v>
      </c>
      <c r="DF200" s="81">
        <v>715590</v>
      </c>
      <c r="DG200" s="403">
        <f>SUM(DE199:DE204)*1</f>
        <v>655352.51600000006</v>
      </c>
      <c r="DH200" s="92">
        <f>DJ200/DI200</f>
        <v>10.165824051601973</v>
      </c>
      <c r="DI200" s="410">
        <v>61393</v>
      </c>
      <c r="DJ200" s="522">
        <f>1.2*520092.03</f>
        <v>624110.43599999999</v>
      </c>
      <c r="DK200" s="44"/>
      <c r="DL200" s="403">
        <f>SUM(DJ199:DJ204)*1</f>
        <v>641995.29599999997</v>
      </c>
      <c r="DM200" s="92">
        <f>DO200/DN200</f>
        <v>10.03277994450003</v>
      </c>
      <c r="DN200" s="410">
        <v>52973</v>
      </c>
      <c r="DO200" s="524">
        <f>1.2*442888.71</f>
        <v>531466.45200000005</v>
      </c>
      <c r="DP200" s="81">
        <f>369595.14+201597.35+100798.67</f>
        <v>671991.16</v>
      </c>
      <c r="DQ200" s="403">
        <f>SUM(DO199:DO204)*1</f>
        <v>540624.87200000009</v>
      </c>
      <c r="DR200" s="92">
        <f>DT200/DS200</f>
        <v>10.197359992816306</v>
      </c>
      <c r="DS200" s="410">
        <v>66818</v>
      </c>
      <c r="DT200" s="522">
        <f>1.2*567806</f>
        <v>681367.2</v>
      </c>
      <c r="DU200" s="81">
        <v>477988.5</v>
      </c>
      <c r="DV200" s="403">
        <f>SUM(DT199:DT204)*1</f>
        <v>690746.06</v>
      </c>
      <c r="DW200" s="92">
        <f>DY200/DX200</f>
        <v>10.756187972012439</v>
      </c>
      <c r="DX200" s="410">
        <v>72032</v>
      </c>
      <c r="DY200" s="522">
        <f>1.2*645658.11</f>
        <v>774789.73199999996</v>
      </c>
      <c r="DZ200" s="81">
        <v>587933.99999999988</v>
      </c>
      <c r="EA200" s="403">
        <f>SUM(DY199:DY204)*1</f>
        <v>780049.39400000009</v>
      </c>
      <c r="EB200" s="92">
        <f>ED200/EC200</f>
        <v>10.871424030821093</v>
      </c>
      <c r="EC200" s="410">
        <v>74754</v>
      </c>
      <c r="ED200" s="524">
        <f>1.2*677235.36</f>
        <v>812682.43199999991</v>
      </c>
      <c r="EE200" s="81">
        <f>397494.43+198747.22+66249.07</f>
        <v>662490.72</v>
      </c>
      <c r="EF200" s="403">
        <f>SUM(ED199:ED204)*1</f>
        <v>823954.84400000004</v>
      </c>
      <c r="EG200" s="92">
        <f>EI200/EH200</f>
        <v>11.16475199074692</v>
      </c>
      <c r="EH200" s="410">
        <v>67437</v>
      </c>
      <c r="EI200" s="524">
        <f>1.2*627431.15</f>
        <v>752917.38</v>
      </c>
      <c r="EJ200" s="81">
        <v>591238.56999999995</v>
      </c>
      <c r="EK200" s="403">
        <f>SUM(EI199:EI204)*1</f>
        <v>763315.94000000006</v>
      </c>
      <c r="EL200" s="92">
        <f>EN200/EM200</f>
        <v>10.078967979911189</v>
      </c>
      <c r="EM200" s="410">
        <v>70487</v>
      </c>
      <c r="EN200" s="524">
        <f>1.2*592030.18</f>
        <v>710436.21600000001</v>
      </c>
      <c r="EO200" s="44"/>
      <c r="EP200" s="403">
        <f>SUM(EN199:EN204)*1</f>
        <v>884954.25399999996</v>
      </c>
      <c r="EQ200" s="92">
        <f>ES200/ER200</f>
        <v>9.1089720982575955</v>
      </c>
      <c r="ER200" s="128">
        <v>51538</v>
      </c>
      <c r="ES200" s="134">
        <f>1.2*391215.17</f>
        <v>469458.20399999997</v>
      </c>
      <c r="ET200" s="44"/>
      <c r="EU200" s="403">
        <f>SUM(ES199:ES204)*1</f>
        <v>595608.79599999997</v>
      </c>
      <c r="EV200" s="92">
        <f>EX200/EW200</f>
        <v>9.1728120364321128</v>
      </c>
      <c r="EW200" s="410">
        <v>52042</v>
      </c>
      <c r="EX200" s="524">
        <f>1.2*397809.57</f>
        <v>477371.484</v>
      </c>
      <c r="EY200" s="1480"/>
      <c r="EZ200" s="403">
        <f>SUM(EX199:EX204)*1</f>
        <v>480798.15399999998</v>
      </c>
      <c r="FA200" s="92">
        <f>FC200/FB200</f>
        <v>9.4079760166184059</v>
      </c>
      <c r="FB200" s="58">
        <v>63544</v>
      </c>
      <c r="FC200" s="72">
        <f>1.2*498183.69</f>
        <v>597820.42799999996</v>
      </c>
      <c r="FD200" s="81">
        <v>361867.8</v>
      </c>
      <c r="FE200" s="403">
        <f>SUM(FC199:FC204)*1</f>
        <v>614299.99800000002</v>
      </c>
      <c r="FF200" s="92">
        <f>FH200/FG200</f>
        <v>10.014348015996823</v>
      </c>
      <c r="FG200" s="58">
        <v>70514</v>
      </c>
      <c r="FH200" s="57">
        <f>1.2*588459.78</f>
        <v>706151.73600000003</v>
      </c>
      <c r="FI200" s="44">
        <f>291827.25+145913.63+29182.73+116730.9</f>
        <v>583654.51</v>
      </c>
      <c r="FJ200" s="403">
        <f>SUM(FH199:FH204)*1</f>
        <v>716643.71600000001</v>
      </c>
      <c r="FK200" s="92">
        <f>FM200/FL200</f>
        <v>9.9681359381870713</v>
      </c>
      <c r="FL200" s="410">
        <v>63676</v>
      </c>
      <c r="FM200" s="522">
        <f>1.2*528942.52</f>
        <v>634731.02399999998</v>
      </c>
      <c r="FN200" s="81">
        <v>705222</v>
      </c>
      <c r="FO200" s="403">
        <f>SUM(FM199:FM204)*1</f>
        <v>647461.86399999994</v>
      </c>
      <c r="FP200" s="92">
        <f>FR200/FQ200</f>
        <v>9.1304399050201237</v>
      </c>
      <c r="FQ200" s="410">
        <v>59381</v>
      </c>
      <c r="FR200" s="522">
        <f>1.2*451812.21</f>
        <v>542174.652</v>
      </c>
      <c r="FS200" s="81">
        <v>597646</v>
      </c>
      <c r="FT200" s="403">
        <f>SUM(FR199:FR204)*1</f>
        <v>553833.07200000004</v>
      </c>
      <c r="FU200" s="92">
        <f>FW200/FV200</f>
        <v>11.070299887260429</v>
      </c>
      <c r="FV200" s="410">
        <v>47898</v>
      </c>
      <c r="FW200" s="524">
        <f>1.2*441871.02</f>
        <v>530245.22400000005</v>
      </c>
      <c r="FX200" s="44">
        <f>369595.14+201597.35+100798.67</f>
        <v>671991.16</v>
      </c>
      <c r="FY200" s="403">
        <f>SUM(FW199:FW204)*1</f>
        <v>535277.09600000014</v>
      </c>
      <c r="FZ200" s="92">
        <f>GB200/GA200</f>
        <v>11.668427938763124</v>
      </c>
      <c r="GA200" s="410">
        <v>44483</v>
      </c>
      <c r="GB200" s="524">
        <f>1.2*432538.9</f>
        <v>519046.68</v>
      </c>
      <c r="GC200" s="44">
        <v>477988.5</v>
      </c>
      <c r="GD200" s="403">
        <f>SUM(GB199:GB204)*1</f>
        <v>524138.07199999999</v>
      </c>
      <c r="GE200" s="92">
        <f>GG200/GF200</f>
        <v>12.32115590333717</v>
      </c>
      <c r="GF200" s="410">
        <v>43450</v>
      </c>
      <c r="GG200" s="524">
        <f>1.2*446128.52</f>
        <v>535354.22400000005</v>
      </c>
      <c r="GH200" s="44"/>
      <c r="GI200" s="403">
        <f>SUM(GG199:GG204)*1</f>
        <v>648299.08800000011</v>
      </c>
      <c r="GJ200" s="98">
        <f>GL200/GK200</f>
        <v>10.871424030821093</v>
      </c>
      <c r="GK200" s="58">
        <v>74754</v>
      </c>
      <c r="GL200" s="72">
        <f>1.2*677235.36</f>
        <v>812682.43199999991</v>
      </c>
      <c r="GM200" s="44">
        <f>397494.43+198747.22+66249.07</f>
        <v>662490.72</v>
      </c>
      <c r="GN200" s="403">
        <f>SUM(GL199:GL204)*1</f>
        <v>823954.84400000004</v>
      </c>
      <c r="GO200" s="92">
        <f>GQ200/GP200</f>
        <v>16.862939831563104</v>
      </c>
      <c r="GP200" s="410">
        <v>34553</v>
      </c>
      <c r="GQ200" s="524">
        <f>1.2*485554.3</f>
        <v>582665.15999999992</v>
      </c>
      <c r="GR200" s="44">
        <v>591238.56999999995</v>
      </c>
      <c r="GS200" s="403">
        <f>SUM(GQ199:GQ204)*1</f>
        <v>590621.96</v>
      </c>
      <c r="GT200" s="92">
        <f>GV200/GU200</f>
        <v>13.485672012830793</v>
      </c>
      <c r="GU200" s="410">
        <v>59856</v>
      </c>
      <c r="GV200" s="524">
        <f>1.2*672665.32</f>
        <v>807198.38399999996</v>
      </c>
      <c r="GW200" s="44"/>
      <c r="GX200" s="403">
        <f>SUM(GV199:GV204)*1</f>
        <v>978959.00199999998</v>
      </c>
      <c r="GY200" s="92">
        <f>HA200/GZ200</f>
        <v>9.1089720982575955</v>
      </c>
      <c r="GZ200" s="56">
        <v>51538</v>
      </c>
      <c r="HA200" s="72">
        <f>1.2*391215.17</f>
        <v>469458.20399999997</v>
      </c>
      <c r="HB200" s="44"/>
      <c r="HC200" s="403">
        <f>SUM(HA199:HA204)*1</f>
        <v>595608.79599999997</v>
      </c>
      <c r="HD200" s="92">
        <f>HF200/HE200</f>
        <v>9.1728120364321128</v>
      </c>
      <c r="HE200" s="58">
        <v>52042</v>
      </c>
      <c r="HF200" s="72">
        <f>1.2*397809.57</f>
        <v>477371.484</v>
      </c>
      <c r="HG200" s="1480"/>
      <c r="HH200" s="403">
        <f>SUM(HF199:HF204)*1</f>
        <v>480798.15399999998</v>
      </c>
      <c r="HI200" s="92">
        <f>HK200/HJ200</f>
        <v>9.4079760166184059</v>
      </c>
      <c r="HJ200" s="58">
        <v>63544</v>
      </c>
      <c r="HK200" s="72">
        <f>1.2*498183.69</f>
        <v>597820.42799999996</v>
      </c>
      <c r="HL200" s="44">
        <v>361867.8</v>
      </c>
      <c r="HM200" s="403">
        <f>SUM(HK199:HK204)*1</f>
        <v>614299.99800000002</v>
      </c>
      <c r="HN200" s="92">
        <f>HP200/HO200</f>
        <v>10.014348015996823</v>
      </c>
      <c r="HO200" s="58">
        <v>70514</v>
      </c>
      <c r="HP200" s="57">
        <f>1.2*588459.78</f>
        <v>706151.73600000003</v>
      </c>
      <c r="HQ200" s="44">
        <f>291827.25+145913.63+29182.73+116730.9</f>
        <v>583654.51</v>
      </c>
      <c r="HR200" s="403">
        <f>SUM(HP199:HP204)*1</f>
        <v>716643.71600000001</v>
      </c>
      <c r="HS200" s="92">
        <f>HU200/HT200</f>
        <v>9.9681359381870713</v>
      </c>
      <c r="HT200" s="58">
        <v>63676</v>
      </c>
      <c r="HU200" s="57">
        <f>1.2*528942.52</f>
        <v>634731.02399999998</v>
      </c>
      <c r="HV200" s="44">
        <v>705222</v>
      </c>
      <c r="HW200" s="403">
        <f>SUM(HU199:HU204)*1</f>
        <v>647461.86399999994</v>
      </c>
      <c r="HX200" s="92">
        <f>HZ200/HY200</f>
        <v>9.1304399050201237</v>
      </c>
      <c r="HY200" s="58">
        <v>59381</v>
      </c>
      <c r="HZ200" s="57">
        <f>1.2*451812.21</f>
        <v>542174.652</v>
      </c>
      <c r="IA200" s="44">
        <v>597646</v>
      </c>
      <c r="IB200" s="403">
        <f>SUM(HZ199:HZ204)*1</f>
        <v>553833.07200000004</v>
      </c>
      <c r="IC200" s="92">
        <f>IE200/ID200</f>
        <v>11.070299887260429</v>
      </c>
      <c r="ID200" s="58">
        <v>47898</v>
      </c>
      <c r="IE200" s="72">
        <f>1.2*441871.02</f>
        <v>530245.22400000005</v>
      </c>
      <c r="IF200" s="44">
        <f>369595.14+201597.35+100798.67</f>
        <v>671991.16</v>
      </c>
      <c r="IG200" s="403">
        <f>SUM(IE199:IE204)*1</f>
        <v>535277.09600000014</v>
      </c>
      <c r="IH200" s="92">
        <f>IJ200/II200</f>
        <v>4.6461264590562896</v>
      </c>
      <c r="II200" s="58">
        <v>66567</v>
      </c>
      <c r="IJ200" s="57">
        <v>309278.7</v>
      </c>
      <c r="IK200" s="44">
        <v>477988.5</v>
      </c>
      <c r="IL200" s="403">
        <f>SUM(IJ199:IJ204)*1</f>
        <v>314370.092</v>
      </c>
      <c r="IM200" s="92">
        <f>IO200/IN200</f>
        <v>4.6461264590562896</v>
      </c>
      <c r="IN200" s="58">
        <v>66567</v>
      </c>
      <c r="IO200" s="57">
        <v>309278.7</v>
      </c>
      <c r="IP200" s="44"/>
      <c r="IQ200" s="403">
        <f>SUM(IO199:IO204)*1</f>
        <v>422223.56400000001</v>
      </c>
    </row>
    <row r="201" spans="1:251" ht="15" customHeight="1">
      <c r="A201" s="647"/>
      <c r="B201" s="256"/>
      <c r="C201" s="215"/>
      <c r="D201" s="45"/>
      <c r="E201" s="347" t="s">
        <v>185</v>
      </c>
      <c r="F201" s="22"/>
      <c r="G201" s="104">
        <f>Таблица32[[#This Row],[Сумма]]/Таблица32[[#This Row],[Показатели]]</f>
        <v>1.6148399657487946</v>
      </c>
      <c r="H201" s="128">
        <v>66567</v>
      </c>
      <c r="I201" s="134">
        <f>1.2*89579.21</f>
        <v>107495.05200000001</v>
      </c>
      <c r="J201" s="81"/>
      <c r="K201" s="88"/>
      <c r="L201" s="104">
        <f>Таблица32[[#This Row],[Сумма]]/Таблица32[[#This Row],[Показатели]]</f>
        <v>1.6148399657487946</v>
      </c>
      <c r="M201" s="128">
        <v>66356</v>
      </c>
      <c r="N201" s="134">
        <f>1.2*98071.51</f>
        <v>117685.81199999999</v>
      </c>
      <c r="O201" s="81"/>
      <c r="P201" s="88"/>
      <c r="Q201" s="104">
        <f>Таблица32[[#This Row],[Сумма]]/Таблица32[[#This Row],[Показатели]]</f>
        <v>1.6148399657487946</v>
      </c>
      <c r="R201" s="128">
        <v>53539</v>
      </c>
      <c r="S201" s="134">
        <f>1.2*79128.5</f>
        <v>94954.2</v>
      </c>
      <c r="T201" s="81">
        <v>168487.44</v>
      </c>
      <c r="U201" s="88"/>
      <c r="V201" s="115">
        <f>Таблица32[[#This Row],[Сумма]]/Таблица32[[#This Row],[Показатели]]</f>
        <v>1.6148399657487946</v>
      </c>
      <c r="W201" s="69">
        <v>56225</v>
      </c>
      <c r="X201" s="134">
        <f>1.2*83098.3</f>
        <v>99717.96</v>
      </c>
      <c r="Y201" s="81">
        <v>159619.68</v>
      </c>
      <c r="Z201" s="81"/>
      <c r="AA201" s="92">
        <f>Таблица32[[#This Row],[Сумма]]/Таблица32[[#This Row],[Показатели]]</f>
        <v>1.6148399657487946</v>
      </c>
      <c r="AB201" s="128">
        <v>47730</v>
      </c>
      <c r="AC201" s="134">
        <f>1.2*70543.03</f>
        <v>84651.635999999999</v>
      </c>
      <c r="AD201" s="81"/>
      <c r="AE201" s="81"/>
      <c r="AF201" s="92">
        <f>Таблица32[[#This Row],[Сумма]]/Таблица32[[#This Row],[Показатели]]</f>
        <v>1.6148399657487946</v>
      </c>
      <c r="AG201" s="128">
        <v>53775</v>
      </c>
      <c r="AH201" s="134">
        <f>1.2*79477.3</f>
        <v>95372.76</v>
      </c>
      <c r="AI201" s="81"/>
      <c r="AJ201" s="81"/>
      <c r="AK201" s="92">
        <f>AM201/AL201</f>
        <v>2.079648089903523</v>
      </c>
      <c r="AL201" s="128">
        <v>56594</v>
      </c>
      <c r="AM201" s="134">
        <f>1.2*98079.67</f>
        <v>117695.60399999999</v>
      </c>
      <c r="AN201" s="81"/>
      <c r="AO201" s="81"/>
      <c r="AP201" s="92">
        <f>AR201/AQ201</f>
        <v>2.5387920358387253</v>
      </c>
      <c r="AQ201" s="128">
        <v>60270</v>
      </c>
      <c r="AR201" s="134">
        <f>1.2*127510.83</f>
        <v>153012.99599999998</v>
      </c>
      <c r="AS201" s="81"/>
      <c r="AT201" s="81"/>
      <c r="AU201" s="92">
        <f>AW201/AV201</f>
        <v>2.5387920474537213</v>
      </c>
      <c r="AV201" s="128">
        <v>64231</v>
      </c>
      <c r="AW201" s="134">
        <f>1.2*135890.96</f>
        <v>163069.15199999997</v>
      </c>
      <c r="AX201" s="81"/>
      <c r="AY201" s="81"/>
      <c r="AZ201" s="92">
        <f>Таблица32[[#This Row],[Сумма]]/Таблица32[[#This Row],[Показатели]]</f>
        <v>1.6148399657487946</v>
      </c>
      <c r="BA201" s="69">
        <v>55524</v>
      </c>
      <c r="BB201" s="134">
        <f>1.2*117469.91</f>
        <v>140963.89199999999</v>
      </c>
      <c r="BC201" s="81"/>
      <c r="BD201" s="81"/>
      <c r="BE201" s="92">
        <f>Таблица32[[#This Row],[Сумма]]/Таблица32[[#This Row],[Показатели]]</f>
        <v>1.6148399657487946</v>
      </c>
      <c r="BF201" s="128">
        <v>55816</v>
      </c>
      <c r="BG201" s="134">
        <f>1.2*118083.45</f>
        <v>141700.13999999998</v>
      </c>
      <c r="BH201" s="81"/>
      <c r="BI201" s="81"/>
      <c r="BJ201" s="92">
        <f>BL201/BK201</f>
        <v>2.1156599817841246</v>
      </c>
      <c r="BK201" s="69">
        <v>58191</v>
      </c>
      <c r="BL201" s="554">
        <v>123112.37</v>
      </c>
      <c r="BM201" s="81"/>
      <c r="BN201" s="81"/>
      <c r="BO201" s="92">
        <f>BQ201/BP201</f>
        <v>2.5387919554985023</v>
      </c>
      <c r="BP201" s="69">
        <v>70110</v>
      </c>
      <c r="BQ201" s="134">
        <f>1.2*148328.92</f>
        <v>177994.704</v>
      </c>
      <c r="BR201" s="81"/>
      <c r="BS201" s="81"/>
      <c r="BT201" s="92">
        <f>BV201/BU201</f>
        <v>2.5766999297670603</v>
      </c>
      <c r="BU201" s="128">
        <v>68344</v>
      </c>
      <c r="BV201" s="134">
        <f>1.2*146751.65</f>
        <v>176101.97999999998</v>
      </c>
      <c r="BW201" s="81"/>
      <c r="BX201" s="81"/>
      <c r="BY201" s="92">
        <f>Таблица32[[#This Row],[Сумма]]/Таблица32[[#This Row],[Показатели]]</f>
        <v>1.6148399657487946</v>
      </c>
      <c r="BZ201" s="128">
        <v>62395</v>
      </c>
      <c r="CA201" s="134">
        <f>1.2*133977.66</f>
        <v>160773.19200000001</v>
      </c>
      <c r="CB201" s="81"/>
      <c r="CC201" s="81"/>
      <c r="CD201" s="92">
        <f>CF201/CE201</f>
        <v>2.5766999809753313</v>
      </c>
      <c r="CE201" s="128">
        <v>63076</v>
      </c>
      <c r="CF201" s="134">
        <f>1.2*135439.94</f>
        <v>162527.92799999999</v>
      </c>
      <c r="CG201" s="81"/>
      <c r="CH201" s="81"/>
      <c r="CI201" s="92">
        <f>CK201/CJ201</f>
        <v>2.5766999318955732</v>
      </c>
      <c r="CJ201" s="128">
        <v>44050</v>
      </c>
      <c r="CK201" s="134">
        <f>1.2*94586.36</f>
        <v>113503.632</v>
      </c>
      <c r="CL201" s="81"/>
      <c r="CM201" s="81"/>
      <c r="CN201" s="92">
        <f>Таблица32[[#This Row],[Сумма]]/Таблица32[[#This Row],[Показатели]]</f>
        <v>1.6148399657487946</v>
      </c>
      <c r="CO201" s="56">
        <v>0</v>
      </c>
      <c r="CP201" s="72">
        <v>0</v>
      </c>
      <c r="CQ201" s="44"/>
      <c r="CR201" s="81"/>
      <c r="CS201" s="92">
        <v>1.6148399657487946</v>
      </c>
      <c r="CT201" s="56"/>
      <c r="CU201" s="72"/>
      <c r="CV201" s="81"/>
      <c r="CW201" s="81"/>
      <c r="CX201" s="92">
        <v>1.6148399657487946</v>
      </c>
      <c r="CY201" s="56"/>
      <c r="CZ201" s="72"/>
      <c r="DA201" s="44"/>
      <c r="DB201" s="81"/>
      <c r="DC201" s="92">
        <f>Таблица32[[#This Row],[Сумма]]/Таблица32[[#This Row],[Показатели]]</f>
        <v>1.6148399657487946</v>
      </c>
      <c r="DD201" s="56"/>
      <c r="DE201" s="72"/>
      <c r="DF201" s="44"/>
      <c r="DG201" s="81"/>
      <c r="DH201" s="92">
        <f>Таблица32[[#This Row],[Сумма]]/Таблица32[[#This Row],[Показатели]]</f>
        <v>1.6148399657487946</v>
      </c>
      <c r="DI201" s="56"/>
      <c r="DJ201" s="72"/>
      <c r="DK201" s="44"/>
      <c r="DL201" s="81"/>
      <c r="DM201" s="92">
        <f>Таблица32[[#This Row],[Сумма]]/Таблица32[[#This Row],[Показатели]]</f>
        <v>1.6148399657487946</v>
      </c>
      <c r="DN201" s="56"/>
      <c r="DO201" s="72"/>
      <c r="DP201" s="44"/>
      <c r="DQ201" s="81"/>
      <c r="DR201" s="92">
        <f>Таблица32[[#This Row],[Сумма]]/Таблица32[[#This Row],[Показатели]]</f>
        <v>1.6148399657487946</v>
      </c>
      <c r="DS201" s="56"/>
      <c r="DT201" s="72"/>
      <c r="DU201" s="44"/>
      <c r="DV201" s="81"/>
      <c r="DW201" s="92">
        <f>Таблица32[[#This Row],[Сумма]]/Таблица32[[#This Row],[Показатели]]</f>
        <v>1.6148399657487946</v>
      </c>
      <c r="DX201" s="56"/>
      <c r="DY201" s="72"/>
      <c r="EA201" s="81"/>
      <c r="EB201" s="92"/>
      <c r="EC201" s="56"/>
      <c r="ED201" s="72"/>
      <c r="EE201" s="44"/>
      <c r="EF201" s="81"/>
      <c r="EG201" s="92"/>
      <c r="EH201" s="56"/>
      <c r="EI201" s="72"/>
      <c r="EJ201" s="44"/>
      <c r="EK201" s="81"/>
      <c r="EL201" s="92">
        <f>EN201/EM201</f>
        <v>2.5766999809753313</v>
      </c>
      <c r="EM201" s="56">
        <v>63076</v>
      </c>
      <c r="EN201" s="72">
        <f>1.2*135439.94</f>
        <v>162527.92799999999</v>
      </c>
      <c r="EO201" s="44"/>
      <c r="EP201" s="81"/>
      <c r="EQ201" s="92">
        <f>ES201/ER201</f>
        <v>2.5766999318955732</v>
      </c>
      <c r="ER201" s="56">
        <v>44050</v>
      </c>
      <c r="ES201" s="72">
        <f>1.2*94586.36</f>
        <v>113503.632</v>
      </c>
      <c r="ET201" s="44"/>
      <c r="EU201" s="81"/>
      <c r="EV201" s="92">
        <f>Таблица32[[#This Row],[Сумма]]/Таблица32[[#This Row],[Показатели]]</f>
        <v>1.6148399657487946</v>
      </c>
      <c r="EW201" s="56">
        <v>0</v>
      </c>
      <c r="EX201" s="72">
        <v>0</v>
      </c>
      <c r="EY201" s="44"/>
      <c r="EZ201" s="81"/>
      <c r="FA201" s="92">
        <v>1.6148399657487946</v>
      </c>
      <c r="FB201" s="56"/>
      <c r="FC201" s="72"/>
      <c r="FD201" s="44"/>
      <c r="FE201" s="81"/>
      <c r="FF201" s="92">
        <v>1.6148399657487946</v>
      </c>
      <c r="FG201" s="56"/>
      <c r="FH201" s="72"/>
      <c r="FI201" s="44"/>
      <c r="FJ201" s="81"/>
      <c r="FK201" s="92">
        <f>Таблица32[[#This Row],[Сумма]]/Таблица32[[#This Row],[Показатели]]</f>
        <v>1.6148399657487946</v>
      </c>
      <c r="FL201" s="56"/>
      <c r="FM201" s="72"/>
      <c r="FN201" s="44"/>
      <c r="FO201" s="81"/>
      <c r="FP201" s="92">
        <f>Таблица32[[#This Row],[Сумма]]/Таблица32[[#This Row],[Показатели]]</f>
        <v>1.6148399657487946</v>
      </c>
      <c r="FQ201" s="56"/>
      <c r="FR201" s="72"/>
      <c r="FS201" s="44"/>
      <c r="FT201" s="81"/>
      <c r="FU201" s="92">
        <f>Таблица32[[#This Row],[Сумма]]/Таблица32[[#This Row],[Показатели]]</f>
        <v>1.6148399657487946</v>
      </c>
      <c r="FV201" s="56"/>
      <c r="FW201" s="72"/>
      <c r="FX201" s="44"/>
      <c r="FY201" s="81"/>
      <c r="FZ201" s="92">
        <f>Таблица32[[#This Row],[Сумма]]/Таблица32[[#This Row],[Показатели]]</f>
        <v>1.6148399657487946</v>
      </c>
      <c r="GA201" s="56"/>
      <c r="GB201" s="72"/>
      <c r="GC201" s="44"/>
      <c r="GD201" s="81"/>
      <c r="GE201" s="92">
        <f>Таблица32[[#This Row],[Сумма]]/Таблица32[[#This Row],[Показатели]]</f>
        <v>1.6148399657487946</v>
      </c>
      <c r="GF201" s="56">
        <v>66567</v>
      </c>
      <c r="GG201" s="72">
        <f>1.2*89579.21</f>
        <v>107495.05200000001</v>
      </c>
      <c r="GH201" s="44"/>
      <c r="GI201" s="81"/>
      <c r="GJ201" s="98"/>
      <c r="GK201" s="56"/>
      <c r="GL201" s="72"/>
      <c r="GM201" s="44"/>
      <c r="GN201" s="81"/>
      <c r="GO201" s="92"/>
      <c r="GP201" s="56"/>
      <c r="GQ201" s="72"/>
      <c r="GR201" s="44"/>
      <c r="GS201" s="81"/>
      <c r="GT201" s="92">
        <f>GV201/GU201</f>
        <v>2.5766999809753313</v>
      </c>
      <c r="GU201" s="56">
        <v>63076</v>
      </c>
      <c r="GV201" s="72">
        <f>1.2*135439.94</f>
        <v>162527.92799999999</v>
      </c>
      <c r="GW201" s="44"/>
      <c r="GX201" s="81"/>
      <c r="GY201" s="92">
        <f>HA201/GZ201</f>
        <v>2.5766999318955732</v>
      </c>
      <c r="GZ201" s="56">
        <v>44050</v>
      </c>
      <c r="HA201" s="72">
        <f>1.2*94586.36</f>
        <v>113503.632</v>
      </c>
      <c r="HB201" s="44"/>
      <c r="HC201" s="81"/>
      <c r="HD201" s="92">
        <f>Таблица32[[#This Row],[Сумма]]/Таблица32[[#This Row],[Показатели]]</f>
        <v>1.6148399657487946</v>
      </c>
      <c r="HE201" s="56">
        <v>0</v>
      </c>
      <c r="HF201" s="72">
        <v>0</v>
      </c>
      <c r="HG201" s="44"/>
      <c r="HH201" s="81"/>
      <c r="HI201" s="92">
        <v>1.6148399657487946</v>
      </c>
      <c r="HJ201" s="56"/>
      <c r="HK201" s="72"/>
      <c r="HL201" s="44"/>
      <c r="HM201" s="81"/>
      <c r="HN201" s="92">
        <v>1.6148399657487946</v>
      </c>
      <c r="HO201" s="56"/>
      <c r="HP201" s="72"/>
      <c r="HQ201" s="44"/>
      <c r="HR201" s="81"/>
      <c r="HS201" s="92">
        <f>Таблица32[[#This Row],[Сумма]]/Таблица32[[#This Row],[Показатели]]</f>
        <v>1.6148399657487946</v>
      </c>
      <c r="HT201" s="56"/>
      <c r="HU201" s="72"/>
      <c r="HV201" s="44"/>
      <c r="HW201" s="81"/>
      <c r="HX201" s="92">
        <f>Таблица32[[#This Row],[Сумма]]/Таблица32[[#This Row],[Показатели]]</f>
        <v>1.6148399657487946</v>
      </c>
      <c r="HY201" s="56"/>
      <c r="HZ201" s="72"/>
      <c r="IA201" s="44"/>
      <c r="IB201" s="81"/>
      <c r="IC201" s="92">
        <f>Таблица32[[#This Row],[Сумма]]/Таблица32[[#This Row],[Показатели]]</f>
        <v>1.6148399657487946</v>
      </c>
      <c r="ID201" s="56"/>
      <c r="IE201" s="72"/>
      <c r="IF201" s="44"/>
      <c r="IG201" s="81"/>
      <c r="IH201" s="92">
        <f>Таблица32[[#This Row],[Сумма]]/Таблица32[[#This Row],[Показатели]]</f>
        <v>1.6148399657487946</v>
      </c>
      <c r="II201" s="56"/>
      <c r="IJ201" s="72"/>
      <c r="IK201" s="44"/>
      <c r="IL201" s="81"/>
      <c r="IM201" s="92">
        <f>Таблица32[[#This Row],[Сумма]]/Таблица32[[#This Row],[Показатели]]</f>
        <v>1.6148399657487946</v>
      </c>
      <c r="IN201" s="56">
        <v>66567</v>
      </c>
      <c r="IO201" s="72">
        <f>1.2*89579.21</f>
        <v>107495.05200000001</v>
      </c>
      <c r="IP201" s="44"/>
      <c r="IQ201" s="81"/>
    </row>
    <row r="202" spans="1:251" ht="15" customHeight="1">
      <c r="A202" s="647"/>
      <c r="B202" s="256"/>
      <c r="C202" s="215">
        <v>14254632</v>
      </c>
      <c r="D202" s="45" t="s">
        <v>534</v>
      </c>
      <c r="E202" s="216" t="s">
        <v>15</v>
      </c>
      <c r="F202" s="22"/>
      <c r="G202" s="103"/>
      <c r="H202" s="128">
        <v>20814</v>
      </c>
      <c r="I202" s="134">
        <f>1.2*2087.75</f>
        <v>2505.2999999999997</v>
      </c>
      <c r="J202" s="81"/>
      <c r="K202" s="88"/>
      <c r="L202" s="103"/>
      <c r="M202" s="128">
        <v>22940</v>
      </c>
      <c r="N202" s="134">
        <f>1.2*2608.76</f>
        <v>3130.5120000000002</v>
      </c>
      <c r="O202" s="81"/>
      <c r="P202" s="88"/>
      <c r="Q202" s="103"/>
      <c r="R202" s="128">
        <v>19657</v>
      </c>
      <c r="S202" s="134">
        <f>1.2*2433.77</f>
        <v>2920.5239999999999</v>
      </c>
      <c r="T202" s="81"/>
      <c r="U202" s="88"/>
      <c r="V202" s="47"/>
      <c r="W202" s="128">
        <v>20466</v>
      </c>
      <c r="X202" s="134">
        <f>1.2*2416.91</f>
        <v>2900.2919999999999</v>
      </c>
      <c r="Y202" s="81"/>
      <c r="Z202" s="81"/>
      <c r="AA202" s="46"/>
      <c r="AB202" s="128">
        <v>19608</v>
      </c>
      <c r="AC202" s="134">
        <f>1.2*2328.21</f>
        <v>2793.8519999999999</v>
      </c>
      <c r="AD202" s="81"/>
      <c r="AE202" s="81"/>
      <c r="AF202" s="46"/>
      <c r="AG202" s="128">
        <v>20250</v>
      </c>
      <c r="AH202" s="134">
        <f>1.2*2176.13</f>
        <v>2611.3560000000002</v>
      </c>
      <c r="AI202" s="81"/>
      <c r="AJ202" s="81"/>
      <c r="AK202" s="46"/>
      <c r="AL202" s="128">
        <v>20244</v>
      </c>
      <c r="AM202" s="134">
        <f>1.2*2074.52</f>
        <v>2489.424</v>
      </c>
      <c r="AN202" s="81"/>
      <c r="AO202" s="81"/>
      <c r="AP202" s="46"/>
      <c r="AQ202" s="128">
        <v>1</v>
      </c>
      <c r="AR202" s="134">
        <f>1.2*2259.18</f>
        <v>2711.0159999999996</v>
      </c>
      <c r="AS202" s="81"/>
      <c r="AT202" s="81"/>
      <c r="AU202" s="46"/>
      <c r="AV202" s="56">
        <v>1</v>
      </c>
      <c r="AW202" s="361">
        <f>1.2*2870.32</f>
        <v>3444.384</v>
      </c>
      <c r="AX202" s="81"/>
      <c r="AY202" s="81"/>
      <c r="AZ202" s="46"/>
      <c r="BA202" s="128">
        <v>19134</v>
      </c>
      <c r="BB202" s="134">
        <f>1.2*2819.62</f>
        <v>3383.5439999999999</v>
      </c>
      <c r="BC202" s="81"/>
      <c r="BD202" s="81"/>
      <c r="BE202" s="46"/>
      <c r="BF202" s="128">
        <v>18630</v>
      </c>
      <c r="BG202" s="134">
        <f>1.2*2554.83</f>
        <v>3065.7959999999998</v>
      </c>
      <c r="BH202" s="81"/>
      <c r="BI202" s="81"/>
      <c r="BJ202" s="46"/>
      <c r="BK202" s="128">
        <v>17763</v>
      </c>
      <c r="BL202" s="134">
        <f>1.2*2638.68</f>
        <v>3166.4159999999997</v>
      </c>
      <c r="BM202" s="81"/>
      <c r="BN202" s="81"/>
      <c r="BO202" s="46"/>
      <c r="BP202" s="128">
        <v>20814</v>
      </c>
      <c r="BQ202" s="134">
        <f>1.2*2936.48</f>
        <v>3523.7759999999998</v>
      </c>
      <c r="BR202" s="81"/>
      <c r="BS202" s="81"/>
      <c r="BT202" s="46"/>
      <c r="BU202" s="128">
        <v>1</v>
      </c>
      <c r="BV202" s="134">
        <f>1.2*3137.96</f>
        <v>3765.5519999999997</v>
      </c>
      <c r="BW202" s="81"/>
      <c r="BX202" s="81"/>
      <c r="BY202" s="46"/>
      <c r="BZ202" s="128">
        <v>1</v>
      </c>
      <c r="CA202" s="134">
        <f>1.2*2532.65</f>
        <v>3039.18</v>
      </c>
      <c r="CB202" s="81"/>
      <c r="CC202" s="81"/>
      <c r="CD202" s="46"/>
      <c r="CE202" s="128">
        <v>1</v>
      </c>
      <c r="CF202" s="134">
        <f>1.2*2187.07</f>
        <v>2624.4839999999999</v>
      </c>
      <c r="CG202" s="81"/>
      <c r="CH202" s="81"/>
      <c r="CI202" s="46"/>
      <c r="CJ202" s="128">
        <v>1</v>
      </c>
      <c r="CK202" s="134">
        <f>1.2*1572.82</f>
        <v>1887.3839999999998</v>
      </c>
      <c r="CL202" s="81"/>
      <c r="CM202" s="81"/>
      <c r="CN202" s="46"/>
      <c r="CO202" s="128">
        <v>1</v>
      </c>
      <c r="CP202" s="134">
        <v>1625.09</v>
      </c>
      <c r="CQ202" s="81"/>
      <c r="CR202" s="81"/>
      <c r="CS202" s="46"/>
      <c r="CT202" s="128">
        <v>1</v>
      </c>
      <c r="CU202" s="134">
        <v>2286.44</v>
      </c>
      <c r="CV202" s="81"/>
      <c r="CW202" s="81"/>
      <c r="CX202" s="46"/>
      <c r="CY202" s="128">
        <v>1</v>
      </c>
      <c r="CZ202" s="134">
        <v>3465.3</v>
      </c>
      <c r="DA202" s="81"/>
      <c r="DB202" s="81"/>
      <c r="DC202" s="46"/>
      <c r="DD202" s="128"/>
      <c r="DE202" s="134">
        <v>3339.74</v>
      </c>
      <c r="DF202" s="81"/>
      <c r="DG202" s="81"/>
      <c r="DH202" s="46"/>
      <c r="DI202" s="128">
        <v>1</v>
      </c>
      <c r="DJ202" s="134">
        <f>2912.36+48.05</f>
        <v>2960.4100000000003</v>
      </c>
      <c r="DK202" s="81"/>
      <c r="DL202" s="81"/>
      <c r="DM202" s="46"/>
      <c r="DN202" s="128">
        <v>1</v>
      </c>
      <c r="DO202" s="134">
        <v>2322.16</v>
      </c>
      <c r="DP202" s="81"/>
      <c r="DQ202" s="81"/>
      <c r="DR202" s="46"/>
      <c r="DS202" s="128">
        <v>1</v>
      </c>
      <c r="DT202" s="134">
        <v>2146.88</v>
      </c>
      <c r="DU202" s="81"/>
      <c r="DV202" s="81"/>
      <c r="DW202" s="46"/>
      <c r="DX202" s="128">
        <v>1</v>
      </c>
      <c r="DY202" s="134">
        <v>2179.5500000000002</v>
      </c>
      <c r="DZ202" s="81"/>
      <c r="EA202" s="81"/>
      <c r="EB202" s="46"/>
      <c r="EC202" s="56">
        <v>1</v>
      </c>
      <c r="ED202" s="72">
        <f>1.2*3137.96</f>
        <v>3765.5519999999997</v>
      </c>
      <c r="EE202" s="44"/>
      <c r="EF202" s="81"/>
      <c r="EG202" s="46"/>
      <c r="EH202" s="128">
        <v>1</v>
      </c>
      <c r="EI202" s="134">
        <v>2559.54</v>
      </c>
      <c r="EJ202" s="81"/>
      <c r="EK202" s="81"/>
      <c r="EL202" s="46"/>
      <c r="EM202" s="128">
        <v>1</v>
      </c>
      <c r="EN202" s="134">
        <v>3021.74</v>
      </c>
      <c r="EO202" s="81"/>
      <c r="EP202" s="81"/>
      <c r="EQ202" s="46"/>
      <c r="ER202" s="128">
        <v>1</v>
      </c>
      <c r="ES202" s="134">
        <v>2749.34</v>
      </c>
      <c r="ET202" s="81"/>
      <c r="EU202" s="81"/>
      <c r="EV202" s="46"/>
      <c r="EW202" s="128">
        <v>1</v>
      </c>
      <c r="EX202" s="134">
        <v>2596.67</v>
      </c>
      <c r="EY202" s="81"/>
      <c r="EZ202" s="81"/>
      <c r="FA202" s="46"/>
      <c r="FB202" s="128">
        <v>1</v>
      </c>
      <c r="FC202" s="134">
        <v>3093.92</v>
      </c>
      <c r="FD202" s="81"/>
      <c r="FE202" s="81"/>
      <c r="FF202" s="46"/>
      <c r="FG202" s="128">
        <v>1</v>
      </c>
      <c r="FH202" s="134">
        <v>3948.83</v>
      </c>
      <c r="FI202" s="81"/>
      <c r="FJ202" s="81"/>
      <c r="FK202" s="46"/>
      <c r="FL202" s="128">
        <v>1</v>
      </c>
      <c r="FM202" s="134">
        <v>3796.14</v>
      </c>
      <c r="FN202" s="81"/>
      <c r="FO202" s="81"/>
      <c r="FP202" s="46"/>
      <c r="FQ202" s="1540"/>
      <c r="FR202" s="372" t="s">
        <v>1212</v>
      </c>
      <c r="FS202" s="363"/>
      <c r="FT202" s="81"/>
      <c r="FU202" s="46"/>
      <c r="FV202" s="56">
        <v>1</v>
      </c>
      <c r="FW202" s="72">
        <v>2322.16</v>
      </c>
      <c r="FX202" s="44"/>
      <c r="FY202" s="81"/>
      <c r="FZ202" s="46"/>
      <c r="GA202" s="56">
        <v>1</v>
      </c>
      <c r="GB202" s="72">
        <v>2146.88</v>
      </c>
      <c r="GC202" s="44"/>
      <c r="GD202" s="81"/>
      <c r="GE202" s="46"/>
      <c r="GF202" s="56">
        <v>20814</v>
      </c>
      <c r="GG202" s="72">
        <f>1.2*2087.75</f>
        <v>2505.2999999999997</v>
      </c>
      <c r="GH202" s="44"/>
      <c r="GI202" s="81"/>
      <c r="GJ202" s="97"/>
      <c r="GK202" s="56">
        <v>1</v>
      </c>
      <c r="GL202" s="72">
        <f>1.2*3137.96</f>
        <v>3765.5519999999997</v>
      </c>
      <c r="GM202" s="44"/>
      <c r="GN202" s="81"/>
      <c r="GO202" s="46"/>
      <c r="GP202" s="56">
        <v>1</v>
      </c>
      <c r="GQ202" s="72">
        <v>2559.54</v>
      </c>
      <c r="GR202" s="44"/>
      <c r="GS202" s="81"/>
      <c r="GT202" s="46"/>
      <c r="GU202" s="128">
        <v>1</v>
      </c>
      <c r="GV202" s="134">
        <v>3764.72</v>
      </c>
      <c r="GW202" s="81"/>
      <c r="GX202" s="81"/>
      <c r="GY202" s="46"/>
      <c r="GZ202" s="56">
        <v>1</v>
      </c>
      <c r="HA202" s="72">
        <v>2749.34</v>
      </c>
      <c r="HB202" s="44"/>
      <c r="HC202" s="81"/>
      <c r="HD202" s="46"/>
      <c r="HE202" s="56">
        <v>1</v>
      </c>
      <c r="HF202" s="72">
        <v>2596.67</v>
      </c>
      <c r="HG202" s="44"/>
      <c r="HH202" s="81"/>
      <c r="HI202" s="46"/>
      <c r="HJ202" s="56">
        <v>1</v>
      </c>
      <c r="HK202" s="72">
        <v>3093.92</v>
      </c>
      <c r="HL202" s="44"/>
      <c r="HM202" s="81"/>
      <c r="HN202" s="46"/>
      <c r="HO202" s="56">
        <v>1</v>
      </c>
      <c r="HP202" s="72">
        <v>3948.83</v>
      </c>
      <c r="HQ202" s="44"/>
      <c r="HR202" s="81"/>
      <c r="HS202" s="46"/>
      <c r="HT202" s="56">
        <v>1</v>
      </c>
      <c r="HU202" s="72">
        <v>3796.14</v>
      </c>
      <c r="HV202" s="44"/>
      <c r="HW202" s="81"/>
      <c r="HX202" s="46"/>
      <c r="HZ202" s="509" t="s">
        <v>1212</v>
      </c>
      <c r="IB202" s="81"/>
      <c r="IC202" s="46"/>
      <c r="ID202" s="56">
        <v>1</v>
      </c>
      <c r="IE202" s="72">
        <v>2322.16</v>
      </c>
      <c r="IF202" s="44"/>
      <c r="IG202" s="81"/>
      <c r="IH202" s="46"/>
      <c r="II202" s="56">
        <v>1</v>
      </c>
      <c r="IJ202" s="72">
        <v>2146.88</v>
      </c>
      <c r="IK202" s="44"/>
      <c r="IL202" s="81"/>
      <c r="IM202" s="46"/>
      <c r="IN202" s="56">
        <v>20814</v>
      </c>
      <c r="IO202" s="72">
        <f>1.2*2087.75</f>
        <v>2505.2999999999997</v>
      </c>
      <c r="IP202" s="44"/>
      <c r="IQ202" s="81"/>
    </row>
    <row r="203" spans="1:251" s="705" customFormat="1" ht="15" customHeight="1">
      <c r="A203" s="654"/>
      <c r="B203" s="706"/>
      <c r="C203" s="772">
        <v>14254632</v>
      </c>
      <c r="D203" s="734"/>
      <c r="E203" s="735" t="s">
        <v>535</v>
      </c>
      <c r="F203" s="568"/>
      <c r="G203" s="103"/>
      <c r="H203" s="570"/>
      <c r="I203" s="707"/>
      <c r="J203" s="571"/>
      <c r="K203" s="86"/>
      <c r="L203" s="717"/>
      <c r="M203" s="718"/>
      <c r="N203" s="696"/>
      <c r="O203" s="697"/>
      <c r="P203" s="698"/>
      <c r="Q203" s="717"/>
      <c r="R203" s="718"/>
      <c r="S203" s="696"/>
      <c r="T203" s="697"/>
      <c r="U203" s="698"/>
      <c r="V203" s="719"/>
      <c r="W203" s="718"/>
      <c r="X203" s="696"/>
      <c r="Y203" s="697"/>
      <c r="Z203" s="697"/>
      <c r="AA203" s="720"/>
      <c r="AB203" s="718"/>
      <c r="AC203" s="696"/>
      <c r="AD203" s="697"/>
      <c r="AE203" s="697"/>
      <c r="AF203" s="720"/>
      <c r="AG203" s="718"/>
      <c r="AH203" s="696"/>
      <c r="AI203" s="697"/>
      <c r="AJ203" s="697"/>
      <c r="AK203" s="720"/>
      <c r="AL203" s="718"/>
      <c r="AM203" s="696"/>
      <c r="AN203" s="697"/>
      <c r="AO203" s="697"/>
      <c r="AP203" s="720"/>
      <c r="AQ203" s="718"/>
      <c r="AR203" s="696"/>
      <c r="AS203" s="697"/>
      <c r="AT203" s="697"/>
      <c r="AU203" s="720"/>
      <c r="AV203" s="716"/>
      <c r="AW203" s="361"/>
      <c r="AX203" s="697"/>
      <c r="AY203" s="697"/>
      <c r="AZ203" s="720"/>
      <c r="BA203" s="718"/>
      <c r="BB203" s="696"/>
      <c r="BC203" s="697"/>
      <c r="BD203" s="697"/>
      <c r="BE203" s="720"/>
      <c r="BF203" s="718"/>
      <c r="BG203" s="696"/>
      <c r="BH203" s="697"/>
      <c r="BI203" s="697"/>
      <c r="BJ203" s="720"/>
      <c r="BK203" s="718"/>
      <c r="BL203" s="696"/>
      <c r="BM203" s="697"/>
      <c r="BN203" s="697"/>
      <c r="BO203" s="720"/>
      <c r="BP203" s="718"/>
      <c r="BQ203" s="696"/>
      <c r="BR203" s="697"/>
      <c r="BS203" s="697"/>
      <c r="BT203" s="720"/>
      <c r="BU203" s="718"/>
      <c r="BV203" s="696"/>
      <c r="BW203" s="697"/>
      <c r="BX203" s="697"/>
      <c r="BY203" s="720"/>
      <c r="BZ203" s="718"/>
      <c r="CA203" s="696"/>
      <c r="CB203" s="697"/>
      <c r="CC203" s="697"/>
      <c r="CD203" s="720"/>
      <c r="CE203" s="718"/>
      <c r="CF203" s="696"/>
      <c r="CG203" s="697"/>
      <c r="CH203" s="697"/>
      <c r="CI203" s="720"/>
      <c r="CJ203" s="718"/>
      <c r="CK203" s="696"/>
      <c r="CL203" s="697"/>
      <c r="CM203" s="697"/>
      <c r="CN203" s="720"/>
      <c r="CO203" s="718"/>
      <c r="CP203" s="696"/>
      <c r="CQ203" s="697"/>
      <c r="CR203" s="697"/>
      <c r="CS203" s="720"/>
      <c r="CT203" s="716"/>
      <c r="CU203" s="703"/>
      <c r="CV203" s="704"/>
      <c r="CW203" s="697"/>
      <c r="CX203" s="720"/>
      <c r="CY203" s="718"/>
      <c r="CZ203" s="696">
        <v>730.8</v>
      </c>
      <c r="DA203" s="697"/>
      <c r="DB203" s="697"/>
      <c r="DC203" s="762"/>
      <c r="DD203" s="718"/>
      <c r="DE203" s="696">
        <v>730.8</v>
      </c>
      <c r="DF203" s="697"/>
      <c r="DG203" s="697"/>
      <c r="DH203" s="720"/>
      <c r="DI203" s="716"/>
      <c r="DJ203" s="703"/>
      <c r="DK203" s="704"/>
      <c r="DL203" s="697"/>
      <c r="DM203" s="720"/>
      <c r="DN203" s="718"/>
      <c r="DO203" s="696">
        <v>730.8</v>
      </c>
      <c r="DP203" s="697"/>
      <c r="DQ203" s="697"/>
      <c r="DR203" s="720"/>
      <c r="DS203" s="718"/>
      <c r="DT203" s="1423">
        <v>730.8</v>
      </c>
      <c r="DU203" s="697"/>
      <c r="DV203" s="697"/>
      <c r="DW203" s="720"/>
      <c r="DX203" s="718"/>
      <c r="DY203" s="1423">
        <v>730.8</v>
      </c>
      <c r="DZ203" s="697"/>
      <c r="EA203" s="697"/>
      <c r="EB203" s="720"/>
      <c r="EC203" s="718"/>
      <c r="ED203" s="1423">
        <v>730.8</v>
      </c>
      <c r="EE203" s="697"/>
      <c r="EF203" s="697"/>
      <c r="EG203" s="720"/>
      <c r="EH203" s="718"/>
      <c r="EI203" s="1423">
        <v>730.8</v>
      </c>
      <c r="EJ203" s="697"/>
      <c r="EK203" s="697"/>
      <c r="EL203" s="720"/>
      <c r="EM203" s="718"/>
      <c r="EN203" s="1423">
        <v>730.8</v>
      </c>
      <c r="EO203" s="697"/>
      <c r="EP203" s="697"/>
      <c r="EQ203" s="720"/>
      <c r="ER203" s="718"/>
      <c r="ES203" s="696">
        <v>730</v>
      </c>
      <c r="ET203" s="697"/>
      <c r="EU203" s="697"/>
      <c r="EV203" s="720"/>
      <c r="EW203" s="718"/>
      <c r="EX203" s="696">
        <v>830</v>
      </c>
      <c r="EY203" s="697"/>
      <c r="EZ203" s="697"/>
      <c r="FA203" s="720"/>
      <c r="FB203" s="718"/>
      <c r="FC203" s="696">
        <v>830</v>
      </c>
      <c r="FD203" s="697"/>
      <c r="FE203" s="697"/>
      <c r="FF203" s="720"/>
      <c r="FG203" s="718"/>
      <c r="FH203" s="696">
        <v>830</v>
      </c>
      <c r="FI203" s="697"/>
      <c r="FJ203" s="697"/>
      <c r="FK203" s="762"/>
      <c r="FL203" s="718"/>
      <c r="FM203" s="696">
        <v>830</v>
      </c>
      <c r="FN203" s="697"/>
      <c r="FO203" s="697"/>
      <c r="FP203" s="720"/>
      <c r="FQ203" s="718"/>
      <c r="FR203" s="696">
        <v>830</v>
      </c>
      <c r="FS203" s="697"/>
      <c r="FT203" s="697"/>
      <c r="FU203" s="720"/>
      <c r="FV203" s="372"/>
      <c r="FW203" s="1542">
        <v>360.4</v>
      </c>
      <c r="FX203" s="697"/>
      <c r="FY203" s="697"/>
      <c r="FZ203" s="720"/>
      <c r="GA203" s="718"/>
      <c r="GB203" s="696">
        <v>595.20000000000005</v>
      </c>
      <c r="GC203" s="697"/>
      <c r="GD203" s="697"/>
      <c r="GE203" s="720"/>
      <c r="GF203" s="718"/>
      <c r="GG203" s="696">
        <v>595.20000000000005</v>
      </c>
      <c r="GH203" s="697"/>
      <c r="GI203" s="697"/>
      <c r="GJ203" s="764"/>
      <c r="GK203" s="716"/>
      <c r="GL203" s="1461">
        <v>730.8</v>
      </c>
      <c r="GM203" s="704"/>
      <c r="GN203" s="697"/>
      <c r="GO203" s="720"/>
      <c r="GP203" s="716"/>
      <c r="GQ203" s="1461">
        <v>730.8</v>
      </c>
      <c r="GR203" s="704"/>
      <c r="GS203" s="697"/>
      <c r="GT203" s="720"/>
      <c r="GU203" s="716"/>
      <c r="GV203" s="1461">
        <v>730.8</v>
      </c>
      <c r="GW203" s="704"/>
      <c r="GX203" s="697"/>
      <c r="GY203" s="720"/>
      <c r="GZ203" s="716"/>
      <c r="HA203" s="703">
        <v>730</v>
      </c>
      <c r="HB203" s="704"/>
      <c r="HC203" s="697"/>
      <c r="HD203" s="720"/>
      <c r="HE203" s="716"/>
      <c r="HF203" s="703">
        <v>830</v>
      </c>
      <c r="HG203" s="704"/>
      <c r="HH203" s="697"/>
      <c r="HI203" s="720"/>
      <c r="HJ203" s="716"/>
      <c r="HK203" s="703">
        <v>830</v>
      </c>
      <c r="HL203" s="704"/>
      <c r="HM203" s="697"/>
      <c r="HN203" s="720"/>
      <c r="HO203" s="716"/>
      <c r="HP203" s="703">
        <v>830</v>
      </c>
      <c r="HQ203" s="704"/>
      <c r="HR203" s="697"/>
      <c r="HS203" s="762"/>
      <c r="HT203" s="716"/>
      <c r="HU203" s="703">
        <v>830</v>
      </c>
      <c r="HV203" s="704"/>
      <c r="HW203" s="697"/>
      <c r="HX203" s="720"/>
      <c r="HY203" s="716"/>
      <c r="HZ203" s="703">
        <v>830</v>
      </c>
      <c r="IA203" s="704"/>
      <c r="IB203" s="697"/>
      <c r="IC203" s="720"/>
      <c r="ID203" s="509"/>
      <c r="IE203" s="1050">
        <v>360.4</v>
      </c>
      <c r="IF203" s="704"/>
      <c r="IG203" s="697"/>
      <c r="IH203" s="720"/>
      <c r="II203" s="716"/>
      <c r="IJ203" s="703">
        <v>595.20000000000005</v>
      </c>
      <c r="IK203" s="704"/>
      <c r="IL203" s="697"/>
      <c r="IM203" s="720"/>
      <c r="IN203" s="718"/>
      <c r="IO203" s="696">
        <v>595.20000000000005</v>
      </c>
      <c r="IP203" s="697"/>
      <c r="IQ203" s="697"/>
    </row>
    <row r="204" spans="1:251" s="264" customFormat="1" ht="15" customHeight="1" thickBot="1">
      <c r="A204" s="648"/>
      <c r="B204" s="257"/>
      <c r="C204" s="258">
        <v>32946702</v>
      </c>
      <c r="D204" s="20" t="s">
        <v>1188</v>
      </c>
      <c r="E204" s="259" t="s">
        <v>17</v>
      </c>
      <c r="F204" s="23"/>
      <c r="G204" s="168">
        <f>I204/H204</f>
        <v>30.911999999999999</v>
      </c>
      <c r="H204" s="172">
        <v>76</v>
      </c>
      <c r="I204" s="170">
        <f>1.2*(985.72+972.04)</f>
        <v>2349.3119999999999</v>
      </c>
      <c r="J204" s="179"/>
      <c r="K204" s="182"/>
      <c r="L204" s="168">
        <f>N204/M204</f>
        <v>30.911999999999999</v>
      </c>
      <c r="M204" s="172">
        <v>76</v>
      </c>
      <c r="N204" s="170">
        <f>1.2*(985.72+972.04)</f>
        <v>2349.3119999999999</v>
      </c>
      <c r="O204" s="179"/>
      <c r="P204" s="182"/>
      <c r="Q204" s="168">
        <f>S204/R204</f>
        <v>30.911999999999995</v>
      </c>
      <c r="R204" s="172">
        <v>72</v>
      </c>
      <c r="S204" s="170">
        <f>1.2*(933.84+920.88)</f>
        <v>2225.6639999999998</v>
      </c>
      <c r="T204" s="179"/>
      <c r="U204" s="182"/>
      <c r="V204" s="209">
        <f>X204/W204</f>
        <v>30.911999999999995</v>
      </c>
      <c r="W204" s="172">
        <v>206</v>
      </c>
      <c r="X204" s="170">
        <f>1.2*(2671.82+2634.74)</f>
        <v>6367.8719999999994</v>
      </c>
      <c r="Y204" s="179"/>
      <c r="Z204" s="179"/>
      <c r="AA204" s="3">
        <f>AC204/AB204</f>
        <v>30.911999999999995</v>
      </c>
      <c r="AB204" s="172">
        <v>132</v>
      </c>
      <c r="AC204" s="170">
        <f>1.2*(1712.04+1688.28)</f>
        <v>4080.3839999999996</v>
      </c>
      <c r="AD204" s="179"/>
      <c r="AE204" s="179"/>
      <c r="AF204" s="3">
        <f>AH204/AG204</f>
        <v>30.912000000000006</v>
      </c>
      <c r="AG204" s="172">
        <v>85</v>
      </c>
      <c r="AH204" s="170">
        <f>1.2*(1102.45+1087.15)</f>
        <v>2627.5200000000004</v>
      </c>
      <c r="AI204" s="179"/>
      <c r="AJ204" s="179"/>
      <c r="AK204" s="3">
        <f>AM204/AL204</f>
        <v>30.911999999999999</v>
      </c>
      <c r="AL204" s="172">
        <v>123</v>
      </c>
      <c r="AM204" s="170">
        <f>1.2*(1595.31+1573.17)</f>
        <v>3802.1759999999999</v>
      </c>
      <c r="AN204" s="179"/>
      <c r="AO204" s="179"/>
      <c r="AP204" s="3">
        <f>AR204/AQ204</f>
        <v>32.945684210526316</v>
      </c>
      <c r="AQ204" s="172">
        <v>76</v>
      </c>
      <c r="AR204" s="170">
        <f>1.2*(1050.57+1035.99)</f>
        <v>2503.8719999999998</v>
      </c>
      <c r="AS204" s="179"/>
      <c r="AT204" s="179"/>
      <c r="AU204" s="3">
        <f>AW204/AV204</f>
        <v>30.911999999999999</v>
      </c>
      <c r="AV204" s="172">
        <v>125</v>
      </c>
      <c r="AW204" s="170">
        <f>1.2*(1621.25+1598.75)</f>
        <v>3864</v>
      </c>
      <c r="AX204" s="179"/>
      <c r="AY204" s="179"/>
      <c r="AZ204" s="3">
        <f>BB204/BA204</f>
        <v>30.911999999999999</v>
      </c>
      <c r="BA204" s="172">
        <v>203</v>
      </c>
      <c r="BB204" s="170">
        <f>1.2*(2632.91+2596.37)</f>
        <v>6275.1359999999995</v>
      </c>
      <c r="BC204" s="179"/>
      <c r="BD204" s="179"/>
      <c r="BE204" s="3">
        <f>BG204/BF204</f>
        <v>74.026105263157888</v>
      </c>
      <c r="BF204" s="172">
        <v>76</v>
      </c>
      <c r="BG204" s="170">
        <f>1.2*(2360.54+2327.78)</f>
        <v>5625.9839999999995</v>
      </c>
      <c r="BH204" s="179"/>
      <c r="BI204" s="179"/>
      <c r="BJ204" s="3">
        <f>BL204/BK204</f>
        <v>30.912000000000006</v>
      </c>
      <c r="BK204" s="172">
        <v>170</v>
      </c>
      <c r="BL204" s="170">
        <f>1.2*(2204.9+2174.3)</f>
        <v>5255.0400000000009</v>
      </c>
      <c r="BM204" s="179"/>
      <c r="BN204" s="179"/>
      <c r="BO204" s="3">
        <f>BQ204/BP204</f>
        <v>30.911999999999999</v>
      </c>
      <c r="BP204" s="172">
        <v>102</v>
      </c>
      <c r="BQ204" s="170">
        <f>1.2*(1322.94+1304.58)</f>
        <v>3153.0239999999999</v>
      </c>
      <c r="BR204" s="179"/>
      <c r="BS204" s="179"/>
      <c r="BT204" s="3">
        <f>BV204/BU204</f>
        <v>30.911999999999999</v>
      </c>
      <c r="BU204" s="172">
        <v>100</v>
      </c>
      <c r="BV204" s="170">
        <f>1.2*(1297+1279)</f>
        <v>3091.2</v>
      </c>
      <c r="BW204" s="179"/>
      <c r="BX204" s="179"/>
      <c r="BY204" s="3">
        <f>CA204/BZ204</f>
        <v>30.911999999999995</v>
      </c>
      <c r="BZ204" s="172">
        <v>103</v>
      </c>
      <c r="CA204" s="170">
        <f>1.2*(1335.91+1317.37)</f>
        <v>3183.9359999999997</v>
      </c>
      <c r="CB204" s="179"/>
      <c r="CC204" s="179"/>
      <c r="CD204" s="3">
        <f>CF204/CE204</f>
        <v>30.911999999999999</v>
      </c>
      <c r="CE204" s="172">
        <v>101</v>
      </c>
      <c r="CF204" s="170">
        <f>1.2*(1309.97+1291.79)</f>
        <v>3122.1120000000001</v>
      </c>
      <c r="CG204" s="179"/>
      <c r="CH204" s="179"/>
      <c r="CI204" s="3">
        <f>CK204/CJ204</f>
        <v>30.911999999999999</v>
      </c>
      <c r="CJ204" s="172">
        <v>101</v>
      </c>
      <c r="CK204" s="170">
        <f>1.2*(1309.97+1291.79)</f>
        <v>3122.1120000000001</v>
      </c>
      <c r="CL204" s="179"/>
      <c r="CM204" s="179"/>
      <c r="CN204" s="3">
        <f>CP204/CO204</f>
        <v>30.912017543859648</v>
      </c>
      <c r="CO204" s="172">
        <v>114</v>
      </c>
      <c r="CP204" s="369">
        <v>3523.97</v>
      </c>
      <c r="CQ204" s="179"/>
      <c r="CR204" s="179"/>
      <c r="CS204" s="3">
        <f>CU204/CT204</f>
        <v>56.531987179487182</v>
      </c>
      <c r="CT204" s="172">
        <v>156</v>
      </c>
      <c r="CU204" s="170">
        <v>8818.99</v>
      </c>
      <c r="CV204" s="179"/>
      <c r="CW204" s="179"/>
      <c r="CX204" s="3">
        <f>CZ204/CY204</f>
        <v>56.531976744186046</v>
      </c>
      <c r="CY204" s="172">
        <v>86</v>
      </c>
      <c r="CZ204" s="170">
        <v>4861.75</v>
      </c>
      <c r="DA204" s="179"/>
      <c r="DB204" s="179"/>
      <c r="DC204" s="3">
        <f>DE204/DD204</f>
        <v>56.532000000000004</v>
      </c>
      <c r="DD204" s="172">
        <v>110</v>
      </c>
      <c r="DE204" s="170">
        <v>6218.52</v>
      </c>
      <c r="DF204" s="179"/>
      <c r="DG204" s="179"/>
      <c r="DH204" s="3">
        <f>DJ204/DI204</f>
        <v>56.532007575757575</v>
      </c>
      <c r="DI204" s="172">
        <v>264</v>
      </c>
      <c r="DJ204" s="369">
        <v>14924.45</v>
      </c>
      <c r="DK204" s="179"/>
      <c r="DL204" s="179"/>
      <c r="DM204" s="3">
        <f>DO204/DN204</f>
        <v>56.532037037037036</v>
      </c>
      <c r="DN204" s="172">
        <v>108</v>
      </c>
      <c r="DO204" s="170">
        <v>6105.46</v>
      </c>
      <c r="DP204" s="179"/>
      <c r="DQ204" s="179"/>
      <c r="DR204" s="3">
        <f>DT204/DS204</f>
        <v>56.532000000000004</v>
      </c>
      <c r="DS204" s="172">
        <v>115</v>
      </c>
      <c r="DT204" s="1422">
        <v>6501.18</v>
      </c>
      <c r="DU204" s="179"/>
      <c r="DV204" s="179"/>
      <c r="DW204" s="3">
        <f>DY204/DX204</f>
        <v>30.911999999999999</v>
      </c>
      <c r="DX204" s="177">
        <v>76</v>
      </c>
      <c r="DY204" s="169">
        <f>1.2*(985.72+972.04)</f>
        <v>2349.3119999999999</v>
      </c>
      <c r="DZ204" s="48"/>
      <c r="EA204" s="179"/>
      <c r="EB204" s="3">
        <f>ED204/EC204</f>
        <v>66.431960784313731</v>
      </c>
      <c r="EC204" s="177">
        <v>102</v>
      </c>
      <c r="ED204" s="170">
        <v>6776.06</v>
      </c>
      <c r="EE204" s="48"/>
      <c r="EF204" s="179"/>
      <c r="EG204" s="3">
        <f>EI204/EH204</f>
        <v>66.431962616822432</v>
      </c>
      <c r="EH204" s="172">
        <v>107</v>
      </c>
      <c r="EI204" s="170">
        <v>7108.22</v>
      </c>
      <c r="EJ204" s="179"/>
      <c r="EK204" s="179"/>
      <c r="EL204" s="3">
        <f>EN204/EM204</f>
        <v>66.432016129032249</v>
      </c>
      <c r="EM204" s="172">
        <v>124</v>
      </c>
      <c r="EN204" s="369">
        <v>8237.57</v>
      </c>
      <c r="EO204" s="179"/>
      <c r="EP204" s="179"/>
      <c r="EQ204" s="3">
        <f>ES204/ER204</f>
        <v>66.432028985507259</v>
      </c>
      <c r="ER204" s="172">
        <v>138</v>
      </c>
      <c r="ES204" s="170">
        <v>9167.6200000000008</v>
      </c>
      <c r="ET204" s="179"/>
      <c r="EU204" s="179"/>
      <c r="EV204" s="3" t="e">
        <f>EX204/EW204</f>
        <v>#DIV/0!</v>
      </c>
      <c r="EW204" s="177"/>
      <c r="EX204" s="775"/>
      <c r="EY204" s="48"/>
      <c r="EZ204" s="179"/>
      <c r="FA204" s="3">
        <f>FC204/FB204</f>
        <v>66.432010582010577</v>
      </c>
      <c r="FB204" s="172">
        <v>189</v>
      </c>
      <c r="FC204" s="170">
        <v>12555.65</v>
      </c>
      <c r="FD204" s="179"/>
      <c r="FE204" s="179"/>
      <c r="FF204" s="3">
        <f>FH204/FG204</f>
        <v>66.431976744186045</v>
      </c>
      <c r="FG204" s="172">
        <v>86</v>
      </c>
      <c r="FH204" s="170">
        <v>5713.15</v>
      </c>
      <c r="FI204" s="179"/>
      <c r="FJ204" s="179"/>
      <c r="FK204" s="3">
        <f>FM204/FL204</f>
        <v>66.431967213114746</v>
      </c>
      <c r="FL204" s="172">
        <v>122</v>
      </c>
      <c r="FM204" s="170">
        <v>8104.7</v>
      </c>
      <c r="FN204" s="179"/>
      <c r="FO204" s="179"/>
      <c r="FP204" s="3">
        <f>FR204/FQ204</f>
        <v>66.432024539877304</v>
      </c>
      <c r="FQ204" s="172">
        <v>163</v>
      </c>
      <c r="FR204" s="369">
        <v>10828.42</v>
      </c>
      <c r="FS204" s="179"/>
      <c r="FT204" s="179"/>
      <c r="FU204" s="3">
        <f>FW204/FV204</f>
        <v>30.911999999999999</v>
      </c>
      <c r="FV204" s="177">
        <v>76</v>
      </c>
      <c r="FW204" s="169">
        <f>1.2*(985.72+972.04)</f>
        <v>2349.3119999999999</v>
      </c>
      <c r="FX204" s="48"/>
      <c r="FY204" s="179"/>
      <c r="FZ204" s="3">
        <f>GB204/GA204</f>
        <v>30.911999999999999</v>
      </c>
      <c r="GA204" s="177">
        <v>76</v>
      </c>
      <c r="GB204" s="169">
        <f>1.2*(985.72+972.04)</f>
        <v>2349.3119999999999</v>
      </c>
      <c r="GC204" s="48"/>
      <c r="GD204" s="179"/>
      <c r="GE204" s="3">
        <f>GG204/GF204</f>
        <v>30.911999999999999</v>
      </c>
      <c r="GF204" s="177">
        <v>76</v>
      </c>
      <c r="GG204" s="169">
        <f>1.2*(985.72+972.04)</f>
        <v>2349.3119999999999</v>
      </c>
      <c r="GH204" s="48"/>
      <c r="GI204" s="179"/>
      <c r="GJ204" s="285">
        <f>GL204/GK204</f>
        <v>66.431960784313731</v>
      </c>
      <c r="GK204" s="177">
        <v>102</v>
      </c>
      <c r="GL204" s="169">
        <v>6776.06</v>
      </c>
      <c r="GM204" s="48"/>
      <c r="GN204" s="179"/>
      <c r="GO204" s="3">
        <f>GQ204/GP204</f>
        <v>70.703939393939393</v>
      </c>
      <c r="GP204" s="172">
        <v>66</v>
      </c>
      <c r="GQ204" s="170">
        <v>4666.46</v>
      </c>
      <c r="GR204" s="179"/>
      <c r="GS204" s="179"/>
      <c r="GT204" s="3">
        <f>GV204/GU204</f>
        <v>70.704029850746267</v>
      </c>
      <c r="GU204" s="172">
        <v>67</v>
      </c>
      <c r="GV204" s="369">
        <v>4737.17</v>
      </c>
      <c r="GW204" s="179"/>
      <c r="GX204" s="179"/>
      <c r="GY204" s="3">
        <f>HA204/GZ204</f>
        <v>66.432028985507259</v>
      </c>
      <c r="GZ204" s="177">
        <v>138</v>
      </c>
      <c r="HA204" s="169">
        <v>9167.6200000000008</v>
      </c>
      <c r="HB204" s="48"/>
      <c r="HC204" s="179"/>
      <c r="HD204" s="3" t="e">
        <f>HF204/HE204</f>
        <v>#DIV/0!</v>
      </c>
      <c r="HE204" s="177"/>
      <c r="HF204" s="775"/>
      <c r="HG204" s="48"/>
      <c r="HH204" s="179"/>
      <c r="HI204" s="3">
        <f>HK204/HJ204</f>
        <v>66.432010582010577</v>
      </c>
      <c r="HJ204" s="177">
        <v>189</v>
      </c>
      <c r="HK204" s="169">
        <v>12555.65</v>
      </c>
      <c r="HL204" s="48"/>
      <c r="HM204" s="179"/>
      <c r="HN204" s="3">
        <f>HP204/HO204</f>
        <v>66.431976744186045</v>
      </c>
      <c r="HO204" s="177">
        <v>86</v>
      </c>
      <c r="HP204" s="169">
        <v>5713.15</v>
      </c>
      <c r="HQ204" s="48"/>
      <c r="HR204" s="179"/>
      <c r="HS204" s="3">
        <f>HU204/HT204</f>
        <v>66.431967213114746</v>
      </c>
      <c r="HT204" s="177">
        <v>122</v>
      </c>
      <c r="HU204" s="169">
        <v>8104.7</v>
      </c>
      <c r="HV204" s="48"/>
      <c r="HW204" s="179"/>
      <c r="HX204" s="3">
        <f>HZ204/HY204</f>
        <v>66.432024539877304</v>
      </c>
      <c r="HY204" s="177">
        <v>163</v>
      </c>
      <c r="HZ204" s="775">
        <v>10828.42</v>
      </c>
      <c r="IA204" s="48"/>
      <c r="IB204" s="179"/>
      <c r="IC204" s="3">
        <f>IE204/ID204</f>
        <v>30.911999999999999</v>
      </c>
      <c r="ID204" s="177">
        <v>76</v>
      </c>
      <c r="IE204" s="169">
        <f>1.2*(985.72+972.04)</f>
        <v>2349.3119999999999</v>
      </c>
      <c r="IF204" s="48"/>
      <c r="IG204" s="179"/>
      <c r="IH204" s="3">
        <f>IJ204/II204</f>
        <v>30.911999999999999</v>
      </c>
      <c r="II204" s="177">
        <v>76</v>
      </c>
      <c r="IJ204" s="169">
        <f>1.2*(985.72+972.04)</f>
        <v>2349.3119999999999</v>
      </c>
      <c r="IK204" s="48"/>
      <c r="IL204" s="179"/>
      <c r="IM204" s="3">
        <f>IO204/IN204</f>
        <v>30.911999999999999</v>
      </c>
      <c r="IN204" s="177">
        <v>76</v>
      </c>
      <c r="IO204" s="169">
        <f>1.2*(985.72+972.04)</f>
        <v>2349.3119999999999</v>
      </c>
      <c r="IP204" s="48"/>
      <c r="IQ204" s="179"/>
    </row>
    <row r="205" spans="1:251" s="249" customFormat="1" ht="15" customHeight="1">
      <c r="A205" s="649"/>
      <c r="B205" s="288" t="s">
        <v>322</v>
      </c>
      <c r="C205" s="278" t="s">
        <v>103</v>
      </c>
      <c r="D205" s="301" t="s">
        <v>25</v>
      </c>
      <c r="E205" s="302" t="s">
        <v>10</v>
      </c>
      <c r="F205" s="311"/>
      <c r="G205" s="328"/>
      <c r="H205" s="197"/>
      <c r="I205" s="197"/>
      <c r="J205" s="38"/>
      <c r="K205" s="206"/>
      <c r="L205" s="328"/>
      <c r="M205" s="197"/>
      <c r="N205" s="197"/>
      <c r="O205" s="38"/>
      <c r="P205" s="206"/>
      <c r="Q205" s="328"/>
      <c r="R205" s="197"/>
      <c r="S205" s="197"/>
      <c r="T205" s="38"/>
      <c r="U205" s="206"/>
      <c r="V205" s="320"/>
      <c r="W205" s="197"/>
      <c r="X205" s="197"/>
      <c r="Y205" s="38"/>
      <c r="Z205" s="38"/>
      <c r="AA205" s="303"/>
      <c r="AB205" s="197"/>
      <c r="AC205" s="197"/>
      <c r="AD205" s="38"/>
      <c r="AE205" s="38"/>
      <c r="AF205" s="303"/>
      <c r="AG205" s="197"/>
      <c r="AH205" s="197"/>
      <c r="AI205" s="38"/>
      <c r="AJ205" s="38"/>
      <c r="AK205" s="303"/>
      <c r="AL205" s="197"/>
      <c r="AM205" s="197"/>
      <c r="AN205" s="38"/>
      <c r="AO205" s="38"/>
      <c r="AP205" s="303"/>
      <c r="AQ205" s="197"/>
      <c r="AR205" s="197"/>
      <c r="AS205" s="38"/>
      <c r="AT205" s="38"/>
      <c r="AU205" s="303"/>
      <c r="AV205" s="197"/>
      <c r="AW205" s="197"/>
      <c r="AX205" s="38"/>
      <c r="AY205" s="38"/>
      <c r="AZ205" s="303"/>
      <c r="BA205" s="197"/>
      <c r="BB205" s="197"/>
      <c r="BC205" s="38"/>
      <c r="BD205" s="38"/>
      <c r="BE205" s="303"/>
      <c r="BF205" s="197"/>
      <c r="BG205" s="197"/>
      <c r="BH205" s="38"/>
      <c r="BI205" s="38"/>
      <c r="BJ205" s="303"/>
      <c r="BK205" s="197"/>
      <c r="BL205" s="197"/>
      <c r="BM205" s="38"/>
      <c r="BN205" s="38"/>
      <c r="BO205" s="303"/>
      <c r="BP205" s="197"/>
      <c r="BQ205" s="197"/>
      <c r="BR205" s="38"/>
      <c r="BS205" s="38"/>
      <c r="BT205" s="303"/>
      <c r="BU205" s="197"/>
      <c r="BV205" s="197"/>
      <c r="BW205" s="38"/>
      <c r="BX205" s="38"/>
      <c r="BY205" s="303"/>
      <c r="BZ205" s="197"/>
      <c r="CA205" s="197"/>
      <c r="CB205" s="38"/>
      <c r="CC205" s="38"/>
      <c r="CD205" s="303"/>
      <c r="CE205" s="197"/>
      <c r="CF205" s="197"/>
      <c r="CG205" s="38"/>
      <c r="CH205" s="38"/>
      <c r="CI205" s="303"/>
      <c r="CJ205" s="197"/>
      <c r="CK205" s="197"/>
      <c r="CL205" s="38"/>
      <c r="CM205" s="38"/>
      <c r="CN205" s="303"/>
      <c r="CO205" s="197"/>
      <c r="CP205" s="197"/>
      <c r="CQ205" s="38"/>
      <c r="CR205" s="38"/>
      <c r="CS205" s="303"/>
      <c r="CT205" s="197"/>
      <c r="CU205" s="197"/>
      <c r="CV205" s="38"/>
      <c r="CW205" s="38"/>
      <c r="CX205" s="303"/>
      <c r="CY205" s="197"/>
      <c r="CZ205" s="197"/>
      <c r="DA205" s="38"/>
      <c r="DB205" s="38"/>
      <c r="DC205" s="303"/>
      <c r="DD205" s="197"/>
      <c r="DE205" s="197"/>
      <c r="DF205" s="38"/>
      <c r="DG205" s="38"/>
      <c r="DH205" s="303"/>
      <c r="DI205" s="197"/>
      <c r="DJ205" s="197"/>
      <c r="DK205" s="38"/>
      <c r="DL205" s="38"/>
      <c r="DM205" s="303"/>
      <c r="DN205" s="197"/>
      <c r="DO205" s="197"/>
      <c r="DP205" s="38"/>
      <c r="DQ205" s="38"/>
      <c r="DR205" s="303"/>
      <c r="DS205" s="197"/>
      <c r="DT205" s="197"/>
      <c r="DU205" s="38"/>
      <c r="DV205" s="38"/>
      <c r="DW205" s="303"/>
      <c r="DX205" s="197"/>
      <c r="DY205" s="197"/>
      <c r="DZ205" s="38"/>
      <c r="EA205" s="38"/>
      <c r="EB205" s="303"/>
      <c r="EC205" s="197"/>
      <c r="ED205" s="197"/>
      <c r="EE205" s="38"/>
      <c r="EF205" s="38"/>
      <c r="EG205" s="303"/>
      <c r="EH205" s="197"/>
      <c r="EI205" s="197"/>
      <c r="EJ205" s="38"/>
      <c r="EK205" s="38"/>
      <c r="EL205" s="303"/>
      <c r="EM205" s="197"/>
      <c r="EN205" s="197"/>
      <c r="EO205" s="38"/>
      <c r="EP205" s="38"/>
      <c r="EQ205" s="303"/>
      <c r="ER205" s="197"/>
      <c r="ES205" s="197"/>
      <c r="ET205" s="38"/>
      <c r="EU205" s="38"/>
      <c r="EV205" s="303"/>
      <c r="EW205" s="197"/>
      <c r="EX205" s="197"/>
      <c r="EY205" s="38"/>
      <c r="EZ205" s="38"/>
      <c r="FA205" s="303"/>
      <c r="FB205" s="197"/>
      <c r="FC205" s="197"/>
      <c r="FD205" s="38"/>
      <c r="FE205" s="38"/>
      <c r="FF205" s="303"/>
      <c r="FG205" s="197"/>
      <c r="FH205" s="197"/>
      <c r="FI205" s="38"/>
      <c r="FJ205" s="38"/>
      <c r="FK205" s="303"/>
      <c r="FL205" s="197"/>
      <c r="FM205" s="197"/>
      <c r="FN205" s="38"/>
      <c r="FO205" s="38"/>
      <c r="FP205" s="303"/>
      <c r="FQ205" s="197"/>
      <c r="FR205" s="197"/>
      <c r="FS205" s="38"/>
      <c r="FT205" s="38"/>
      <c r="FU205" s="303"/>
      <c r="FV205" s="197"/>
      <c r="FW205" s="197"/>
      <c r="FX205" s="38"/>
      <c r="FY205" s="38"/>
      <c r="FZ205" s="303"/>
      <c r="GA205" s="197"/>
      <c r="GB205" s="197"/>
      <c r="GC205" s="38"/>
      <c r="GD205" s="38"/>
      <c r="GE205" s="303"/>
      <c r="GF205" s="197"/>
      <c r="GG205" s="197"/>
      <c r="GH205" s="38"/>
      <c r="GI205" s="38"/>
      <c r="GJ205" s="280"/>
      <c r="GK205" s="197"/>
      <c r="GL205" s="197"/>
      <c r="GM205" s="38"/>
      <c r="GN205" s="38"/>
      <c r="GO205" s="303"/>
      <c r="GP205" s="197"/>
      <c r="GQ205" s="197"/>
      <c r="GR205" s="38"/>
      <c r="GS205" s="38"/>
      <c r="GT205" s="303"/>
      <c r="GU205" s="197"/>
      <c r="GV205" s="197"/>
      <c r="GW205" s="38"/>
      <c r="GX205" s="38"/>
      <c r="GY205" s="303"/>
      <c r="GZ205" s="197"/>
      <c r="HA205" s="197"/>
      <c r="HB205" s="38"/>
      <c r="HC205" s="38"/>
      <c r="HD205" s="303"/>
      <c r="HE205" s="197"/>
      <c r="HF205" s="197"/>
      <c r="HG205" s="38"/>
      <c r="HH205" s="38"/>
      <c r="HI205" s="303"/>
      <c r="HJ205" s="197"/>
      <c r="HK205" s="197"/>
      <c r="HL205" s="38"/>
      <c r="HM205" s="38"/>
      <c r="HN205" s="303"/>
      <c r="HO205" s="197"/>
      <c r="HP205" s="197"/>
      <c r="HQ205" s="38"/>
      <c r="HR205" s="38"/>
      <c r="HS205" s="303"/>
      <c r="HT205" s="197"/>
      <c r="HU205" s="197"/>
      <c r="HV205" s="38"/>
      <c r="HW205" s="38"/>
      <c r="HX205" s="303"/>
      <c r="HY205" s="197"/>
      <c r="HZ205" s="197"/>
      <c r="IA205" s="38"/>
      <c r="IB205" s="38"/>
      <c r="IC205" s="303"/>
      <c r="ID205" s="197"/>
      <c r="IE205" s="197"/>
      <c r="IF205" s="38"/>
      <c r="IG205" s="38"/>
      <c r="IH205" s="303"/>
      <c r="II205" s="197"/>
      <c r="IJ205" s="197"/>
      <c r="IK205" s="38"/>
      <c r="IL205" s="38"/>
      <c r="IM205" s="303"/>
      <c r="IN205" s="197"/>
      <c r="IO205" s="197"/>
      <c r="IP205" s="38"/>
      <c r="IQ205" s="38"/>
    </row>
    <row r="206" spans="1:251" ht="16.5" customHeight="1">
      <c r="A206" s="647"/>
      <c r="B206" s="276"/>
      <c r="C206" s="228"/>
      <c r="D206" s="229" t="s">
        <v>104</v>
      </c>
      <c r="E206" s="230" t="s">
        <v>13</v>
      </c>
      <c r="F206" s="27"/>
      <c r="G206" s="111" t="e">
        <f>I206/H206</f>
        <v>#DIV/0!</v>
      </c>
      <c r="H206" s="57">
        <v>0</v>
      </c>
      <c r="I206" s="57">
        <v>0</v>
      </c>
      <c r="J206" s="44"/>
      <c r="K206" s="86"/>
      <c r="L206" s="111" t="e">
        <f>N206/M206</f>
        <v>#DIV/0!</v>
      </c>
      <c r="M206" s="57">
        <v>0</v>
      </c>
      <c r="N206" s="57">
        <v>0</v>
      </c>
      <c r="O206" s="44"/>
      <c r="P206" s="86"/>
      <c r="Q206" s="111" t="e">
        <f>S206/R206</f>
        <v>#DIV/0!</v>
      </c>
      <c r="R206" s="57">
        <v>0</v>
      </c>
      <c r="S206" s="57">
        <v>0</v>
      </c>
      <c r="T206" s="44"/>
      <c r="U206" s="86"/>
      <c r="V206" s="122" t="e">
        <f>X206/W206</f>
        <v>#DIV/0!</v>
      </c>
      <c r="W206" s="57">
        <v>0</v>
      </c>
      <c r="X206" s="57">
        <v>0</v>
      </c>
      <c r="Y206" s="44"/>
      <c r="Z206" s="44"/>
      <c r="AA206" s="99" t="e">
        <f>AC206/AB206</f>
        <v>#DIV/0!</v>
      </c>
      <c r="AB206" s="57">
        <v>0</v>
      </c>
      <c r="AC206" s="57">
        <v>0</v>
      </c>
      <c r="AD206" s="44"/>
      <c r="AE206" s="44"/>
      <c r="AF206" s="99" t="e">
        <f>AH206/AG206</f>
        <v>#DIV/0!</v>
      </c>
      <c r="AG206" s="57">
        <v>0</v>
      </c>
      <c r="AH206" s="57">
        <v>0</v>
      </c>
      <c r="AI206" s="44"/>
      <c r="AJ206" s="44"/>
      <c r="AK206" s="99" t="e">
        <f>AM206/AL206</f>
        <v>#DIV/0!</v>
      </c>
      <c r="AL206" s="57">
        <v>0</v>
      </c>
      <c r="AM206" s="57">
        <v>0</v>
      </c>
      <c r="AN206" s="44"/>
      <c r="AO206" s="44"/>
      <c r="AP206" s="99" t="e">
        <f>AR206/AQ206</f>
        <v>#DIV/0!</v>
      </c>
      <c r="AQ206" s="57">
        <v>0</v>
      </c>
      <c r="AR206" s="57">
        <v>0</v>
      </c>
      <c r="AS206" s="44"/>
      <c r="AT206" s="44"/>
      <c r="AU206" s="99" t="e">
        <f>AW206/AV206</f>
        <v>#DIV/0!</v>
      </c>
      <c r="AV206" s="57">
        <v>0</v>
      </c>
      <c r="AW206" s="57">
        <v>0</v>
      </c>
      <c r="AX206" s="44"/>
      <c r="AY206" s="44"/>
      <c r="AZ206" s="99" t="e">
        <f>BB206/BA206</f>
        <v>#DIV/0!</v>
      </c>
      <c r="BA206" s="57">
        <v>0</v>
      </c>
      <c r="BB206" s="57">
        <v>0</v>
      </c>
      <c r="BC206" s="44"/>
      <c r="BD206" s="44"/>
      <c r="BE206" s="99" t="e">
        <f>BG206/BF206</f>
        <v>#DIV/0!</v>
      </c>
      <c r="BF206" s="57">
        <v>0</v>
      </c>
      <c r="BG206" s="57">
        <v>0</v>
      </c>
      <c r="BH206" s="44"/>
      <c r="BI206" s="44"/>
      <c r="BJ206" s="99" t="e">
        <f>BL206/BK206</f>
        <v>#DIV/0!</v>
      </c>
      <c r="BK206" s="57">
        <v>0</v>
      </c>
      <c r="BL206" s="57">
        <v>0</v>
      </c>
      <c r="BM206" s="44"/>
      <c r="BN206" s="44"/>
      <c r="BO206" s="99" t="e">
        <f>BQ206/BP206</f>
        <v>#DIV/0!</v>
      </c>
      <c r="BP206" s="57">
        <v>0</v>
      </c>
      <c r="BQ206" s="57">
        <v>0</v>
      </c>
      <c r="BR206" s="44"/>
      <c r="BS206" s="44"/>
      <c r="BT206" s="99" t="e">
        <f>BV206/BU206</f>
        <v>#DIV/0!</v>
      </c>
      <c r="BU206" s="57">
        <v>0</v>
      </c>
      <c r="BV206" s="57">
        <v>0</v>
      </c>
      <c r="BW206" s="44"/>
      <c r="BX206" s="44"/>
      <c r="BY206" s="99" t="e">
        <f>CA206/BZ206</f>
        <v>#DIV/0!</v>
      </c>
      <c r="BZ206" s="57">
        <v>0</v>
      </c>
      <c r="CA206" s="57">
        <v>0</v>
      </c>
      <c r="CB206" s="44"/>
      <c r="CC206" s="44"/>
      <c r="CD206" s="99" t="e">
        <f>CF206/CE206</f>
        <v>#DIV/0!</v>
      </c>
      <c r="CE206" s="57">
        <v>0</v>
      </c>
      <c r="CF206" s="57">
        <v>0</v>
      </c>
      <c r="CG206" s="44"/>
      <c r="CH206" s="44"/>
      <c r="CI206" s="99" t="e">
        <f>CK206/CJ206</f>
        <v>#DIV/0!</v>
      </c>
      <c r="CJ206" s="57">
        <v>0</v>
      </c>
      <c r="CK206" s="57">
        <v>0</v>
      </c>
      <c r="CL206" s="44"/>
      <c r="CM206" s="44"/>
      <c r="CN206" s="99" t="e">
        <f>CP206/CO206</f>
        <v>#DIV/0!</v>
      </c>
      <c r="CO206" s="57">
        <v>0</v>
      </c>
      <c r="CP206" s="57">
        <v>0</v>
      </c>
      <c r="CQ206" s="44"/>
      <c r="CR206" s="44"/>
      <c r="CS206" s="99" t="e">
        <f>CU206/CT206</f>
        <v>#DIV/0!</v>
      </c>
      <c r="CT206" s="57">
        <v>0</v>
      </c>
      <c r="CU206" s="57">
        <v>0</v>
      </c>
      <c r="CV206" s="44"/>
      <c r="CW206" s="44"/>
      <c r="CX206" s="99" t="e">
        <f>CZ206/CY206</f>
        <v>#DIV/0!</v>
      </c>
      <c r="CY206" s="57">
        <v>0</v>
      </c>
      <c r="CZ206" s="57">
        <v>0</v>
      </c>
      <c r="DA206" s="44"/>
      <c r="DB206" s="44"/>
      <c r="DC206" s="99" t="e">
        <f>DE206/DD206</f>
        <v>#DIV/0!</v>
      </c>
      <c r="DD206" s="57">
        <v>0</v>
      </c>
      <c r="DE206" s="57">
        <v>0</v>
      </c>
      <c r="DF206" s="44"/>
      <c r="DG206" s="44"/>
      <c r="DH206" s="99" t="e">
        <f>DJ206/DI206</f>
        <v>#DIV/0!</v>
      </c>
      <c r="DI206" s="57">
        <v>0</v>
      </c>
      <c r="DJ206" s="57">
        <v>0</v>
      </c>
      <c r="DK206" s="44"/>
      <c r="DL206" s="44"/>
      <c r="DM206" s="99" t="e">
        <f>DO206/DN206</f>
        <v>#DIV/0!</v>
      </c>
      <c r="DN206" s="57">
        <v>0</v>
      </c>
      <c r="DO206" s="57">
        <v>0</v>
      </c>
      <c r="DP206" s="44"/>
      <c r="DQ206" s="44"/>
      <c r="DR206" s="99" t="e">
        <f>DT206/DS206</f>
        <v>#DIV/0!</v>
      </c>
      <c r="DS206" s="57">
        <v>0</v>
      </c>
      <c r="DT206" s="57">
        <v>0</v>
      </c>
      <c r="DU206" s="44"/>
      <c r="DV206" s="44"/>
      <c r="DW206" s="99" t="e">
        <f>DY206/DX206</f>
        <v>#DIV/0!</v>
      </c>
      <c r="DX206" s="57">
        <v>0</v>
      </c>
      <c r="DY206" s="57">
        <v>0</v>
      </c>
      <c r="DZ206" s="44"/>
      <c r="EA206" s="44"/>
      <c r="EB206" s="99" t="e">
        <f>ED206/EC206</f>
        <v>#DIV/0!</v>
      </c>
      <c r="EC206" s="57">
        <v>0</v>
      </c>
      <c r="ED206" s="57">
        <v>0</v>
      </c>
      <c r="EE206" s="44"/>
      <c r="EF206" s="44"/>
      <c r="EG206" s="99" t="e">
        <f>EI206/EH206</f>
        <v>#DIV/0!</v>
      </c>
      <c r="EH206" s="57">
        <v>0</v>
      </c>
      <c r="EI206" s="57">
        <v>0</v>
      </c>
      <c r="EJ206" s="44"/>
      <c r="EK206" s="44"/>
      <c r="EL206" s="99" t="e">
        <f>EN206/EM206</f>
        <v>#DIV/0!</v>
      </c>
      <c r="EM206" s="57">
        <v>0</v>
      </c>
      <c r="EN206" s="57">
        <v>0</v>
      </c>
      <c r="EO206" s="44"/>
      <c r="EP206" s="44"/>
      <c r="EQ206" s="99" t="e">
        <f>ES206/ER206</f>
        <v>#DIV/0!</v>
      </c>
      <c r="ER206" s="57">
        <v>0</v>
      </c>
      <c r="ES206" s="57">
        <v>0</v>
      </c>
      <c r="ET206" s="44"/>
      <c r="EU206" s="44"/>
      <c r="EV206" s="99" t="e">
        <f>EX206/EW206</f>
        <v>#DIV/0!</v>
      </c>
      <c r="EW206" s="57">
        <v>0</v>
      </c>
      <c r="EX206" s="57">
        <v>0</v>
      </c>
      <c r="EY206" s="44"/>
      <c r="EZ206" s="44"/>
      <c r="FA206" s="99" t="e">
        <f>FC206/FB206</f>
        <v>#DIV/0!</v>
      </c>
      <c r="FB206" s="57">
        <v>0</v>
      </c>
      <c r="FC206" s="57">
        <v>0</v>
      </c>
      <c r="FD206" s="44"/>
      <c r="FE206" s="44"/>
      <c r="FF206" s="99" t="e">
        <f>FH206/FG206</f>
        <v>#DIV/0!</v>
      </c>
      <c r="FG206" s="57">
        <v>0</v>
      </c>
      <c r="FH206" s="57">
        <v>0</v>
      </c>
      <c r="FI206" s="44"/>
      <c r="FJ206" s="44"/>
      <c r="FK206" s="99" t="e">
        <f>FM206/FL206</f>
        <v>#DIV/0!</v>
      </c>
      <c r="FL206" s="57">
        <v>0</v>
      </c>
      <c r="FM206" s="57">
        <v>0</v>
      </c>
      <c r="FN206" s="44"/>
      <c r="FO206" s="44"/>
      <c r="FP206" s="99" t="e">
        <f>FR206/FQ206</f>
        <v>#DIV/0!</v>
      </c>
      <c r="FQ206" s="57">
        <v>0</v>
      </c>
      <c r="FR206" s="57">
        <v>0</v>
      </c>
      <c r="FS206" s="44"/>
      <c r="FT206" s="44"/>
      <c r="FU206" s="99" t="e">
        <f>FW206/FV206</f>
        <v>#DIV/0!</v>
      </c>
      <c r="FV206" s="57">
        <v>0</v>
      </c>
      <c r="FW206" s="57">
        <v>0</v>
      </c>
      <c r="FX206" s="44"/>
      <c r="FY206" s="44"/>
      <c r="FZ206" s="99" t="e">
        <f>GB206/GA206</f>
        <v>#DIV/0!</v>
      </c>
      <c r="GA206" s="57">
        <v>0</v>
      </c>
      <c r="GB206" s="57">
        <v>0</v>
      </c>
      <c r="GC206" s="44"/>
      <c r="GD206" s="44"/>
      <c r="GE206" s="99" t="e">
        <f>GG206/GF206</f>
        <v>#DIV/0!</v>
      </c>
      <c r="GF206" s="57">
        <v>0</v>
      </c>
      <c r="GG206" s="57">
        <v>0</v>
      </c>
      <c r="GH206" s="44"/>
      <c r="GI206" s="44"/>
      <c r="GJ206" s="1559" t="e">
        <f>GL206/GK206</f>
        <v>#DIV/0!</v>
      </c>
      <c r="GK206" s="57">
        <v>0</v>
      </c>
      <c r="GL206" s="57">
        <v>0</v>
      </c>
      <c r="GM206" s="44"/>
      <c r="GN206" s="44"/>
      <c r="GO206" s="99" t="e">
        <f>GQ206/GP206</f>
        <v>#DIV/0!</v>
      </c>
      <c r="GP206" s="57">
        <v>0</v>
      </c>
      <c r="GQ206" s="57">
        <v>0</v>
      </c>
      <c r="GR206" s="44"/>
      <c r="GS206" s="44"/>
      <c r="GT206" s="99" t="e">
        <f>GV206/GU206</f>
        <v>#DIV/0!</v>
      </c>
      <c r="GU206" s="57">
        <v>0</v>
      </c>
      <c r="GV206" s="57">
        <v>0</v>
      </c>
      <c r="GW206" s="44"/>
      <c r="GX206" s="44"/>
      <c r="GY206" s="99" t="e">
        <f>HA206/GZ206</f>
        <v>#DIV/0!</v>
      </c>
      <c r="GZ206" s="57">
        <v>0</v>
      </c>
      <c r="HA206" s="57">
        <v>0</v>
      </c>
      <c r="HB206" s="44"/>
      <c r="HC206" s="44"/>
      <c r="HD206" s="99" t="e">
        <f>HF206/HE206</f>
        <v>#DIV/0!</v>
      </c>
      <c r="HE206" s="57">
        <v>0</v>
      </c>
      <c r="HF206" s="57">
        <v>0</v>
      </c>
      <c r="HG206" s="44"/>
      <c r="HH206" s="44"/>
      <c r="HI206" s="99" t="e">
        <f>HK206/HJ206</f>
        <v>#DIV/0!</v>
      </c>
      <c r="HJ206" s="57">
        <v>0</v>
      </c>
      <c r="HK206" s="57">
        <v>0</v>
      </c>
      <c r="HL206" s="44"/>
      <c r="HM206" s="44"/>
      <c r="HN206" s="99" t="e">
        <f>HP206/HO206</f>
        <v>#DIV/0!</v>
      </c>
      <c r="HO206" s="57">
        <v>0</v>
      </c>
      <c r="HP206" s="57">
        <v>0</v>
      </c>
      <c r="HQ206" s="44"/>
      <c r="HR206" s="44"/>
      <c r="HS206" s="99" t="e">
        <f>HU206/HT206</f>
        <v>#DIV/0!</v>
      </c>
      <c r="HT206" s="57">
        <v>0</v>
      </c>
      <c r="HU206" s="57">
        <v>0</v>
      </c>
      <c r="HV206" s="44"/>
      <c r="HW206" s="44"/>
      <c r="HX206" s="99" t="e">
        <f>HZ206/HY206</f>
        <v>#DIV/0!</v>
      </c>
      <c r="HY206" s="57">
        <v>0</v>
      </c>
      <c r="HZ206" s="57">
        <v>0</v>
      </c>
      <c r="IA206" s="44"/>
      <c r="IB206" s="44"/>
      <c r="IC206" s="99" t="e">
        <f>IE206/ID206</f>
        <v>#DIV/0!</v>
      </c>
      <c r="ID206" s="57">
        <v>0</v>
      </c>
      <c r="IE206" s="57">
        <v>0</v>
      </c>
      <c r="IF206" s="44"/>
      <c r="IG206" s="44"/>
      <c r="IH206" s="99" t="e">
        <f>IJ206/II206</f>
        <v>#DIV/0!</v>
      </c>
      <c r="II206" s="57">
        <v>0</v>
      </c>
      <c r="IJ206" s="57">
        <v>0</v>
      </c>
      <c r="IK206" s="44"/>
      <c r="IL206" s="44"/>
      <c r="IM206" s="99" t="e">
        <f>IO206/IN206</f>
        <v>#DIV/0!</v>
      </c>
      <c r="IN206" s="57">
        <v>0</v>
      </c>
      <c r="IO206" s="57">
        <v>0</v>
      </c>
      <c r="IP206" s="44"/>
      <c r="IQ206" s="44"/>
    </row>
    <row r="207" spans="1:251" ht="15" customHeight="1">
      <c r="A207" s="647"/>
      <c r="B207" s="276"/>
      <c r="C207" s="228"/>
      <c r="D207" s="229"/>
      <c r="E207" s="230" t="s">
        <v>15</v>
      </c>
      <c r="F207" s="27"/>
      <c r="G207" s="108"/>
      <c r="H207" s="57">
        <v>0</v>
      </c>
      <c r="I207" s="57">
        <v>0</v>
      </c>
      <c r="J207" s="44"/>
      <c r="K207" s="86"/>
      <c r="L207" s="108"/>
      <c r="M207" s="57">
        <v>0</v>
      </c>
      <c r="N207" s="57">
        <v>0</v>
      </c>
      <c r="O207" s="44"/>
      <c r="P207" s="86"/>
      <c r="Q207" s="108"/>
      <c r="R207" s="57">
        <v>0</v>
      </c>
      <c r="S207" s="57">
        <v>0</v>
      </c>
      <c r="T207" s="44"/>
      <c r="U207" s="86"/>
      <c r="V207" s="119"/>
      <c r="W207" s="57">
        <v>0</v>
      </c>
      <c r="X207" s="57">
        <v>0</v>
      </c>
      <c r="Y207" s="44"/>
      <c r="Z207" s="44"/>
      <c r="AA207" s="96"/>
      <c r="AB207" s="57">
        <v>0</v>
      </c>
      <c r="AC207" s="57">
        <v>0</v>
      </c>
      <c r="AD207" s="44"/>
      <c r="AE207" s="44"/>
      <c r="AF207" s="96"/>
      <c r="AG207" s="57">
        <v>0</v>
      </c>
      <c r="AH207" s="57">
        <v>0</v>
      </c>
      <c r="AI207" s="44"/>
      <c r="AJ207" s="44"/>
      <c r="AK207" s="96"/>
      <c r="AL207" s="57">
        <v>0</v>
      </c>
      <c r="AM207" s="57">
        <v>0</v>
      </c>
      <c r="AN207" s="44"/>
      <c r="AO207" s="44"/>
      <c r="AP207" s="96"/>
      <c r="AQ207" s="57">
        <v>0</v>
      </c>
      <c r="AR207" s="57">
        <v>0</v>
      </c>
      <c r="AS207" s="44"/>
      <c r="AT207" s="44"/>
      <c r="AU207" s="96"/>
      <c r="AV207" s="57">
        <v>0</v>
      </c>
      <c r="AW207" s="57">
        <v>0</v>
      </c>
      <c r="AX207" s="44"/>
      <c r="AY207" s="44"/>
      <c r="AZ207" s="96"/>
      <c r="BA207" s="57">
        <v>0</v>
      </c>
      <c r="BB207" s="57">
        <v>0</v>
      </c>
      <c r="BC207" s="44"/>
      <c r="BD207" s="44"/>
      <c r="BE207" s="96"/>
      <c r="BF207" s="57">
        <v>0</v>
      </c>
      <c r="BG207" s="57">
        <v>0</v>
      </c>
      <c r="BH207" s="44"/>
      <c r="BI207" s="44"/>
      <c r="BJ207" s="96"/>
      <c r="BK207" s="57">
        <v>0</v>
      </c>
      <c r="BL207" s="57">
        <v>0</v>
      </c>
      <c r="BM207" s="44"/>
      <c r="BN207" s="44"/>
      <c r="BO207" s="96"/>
      <c r="BP207" s="57">
        <v>0</v>
      </c>
      <c r="BQ207" s="57">
        <v>0</v>
      </c>
      <c r="BR207" s="44"/>
      <c r="BS207" s="44"/>
      <c r="BT207" s="96"/>
      <c r="BU207" s="57">
        <v>0</v>
      </c>
      <c r="BV207" s="57">
        <v>0</v>
      </c>
      <c r="BW207" s="44"/>
      <c r="BX207" s="44"/>
      <c r="BY207" s="96"/>
      <c r="BZ207" s="57">
        <v>0</v>
      </c>
      <c r="CA207" s="57">
        <v>0</v>
      </c>
      <c r="CB207" s="44"/>
      <c r="CC207" s="44"/>
      <c r="CD207" s="96"/>
      <c r="CE207" s="57">
        <v>0</v>
      </c>
      <c r="CF207" s="57">
        <v>0</v>
      </c>
      <c r="CG207" s="44"/>
      <c r="CH207" s="44"/>
      <c r="CI207" s="96"/>
      <c r="CJ207" s="57">
        <v>0</v>
      </c>
      <c r="CK207" s="57">
        <v>0</v>
      </c>
      <c r="CL207" s="44"/>
      <c r="CM207" s="44"/>
      <c r="CN207" s="96"/>
      <c r="CO207" s="57">
        <v>0</v>
      </c>
      <c r="CP207" s="57">
        <v>0</v>
      </c>
      <c r="CQ207" s="44"/>
      <c r="CR207" s="44"/>
      <c r="CS207" s="96"/>
      <c r="CT207" s="57">
        <v>0</v>
      </c>
      <c r="CU207" s="57">
        <v>0</v>
      </c>
      <c r="CV207" s="44"/>
      <c r="CW207" s="44"/>
      <c r="CX207" s="96"/>
      <c r="CY207" s="57">
        <v>0</v>
      </c>
      <c r="CZ207" s="57">
        <v>0</v>
      </c>
      <c r="DA207" s="44"/>
      <c r="DB207" s="44"/>
      <c r="DC207" s="96"/>
      <c r="DD207" s="57">
        <v>0</v>
      </c>
      <c r="DE207" s="57">
        <v>0</v>
      </c>
      <c r="DF207" s="44"/>
      <c r="DG207" s="44"/>
      <c r="DH207" s="96"/>
      <c r="DI207" s="57">
        <v>0</v>
      </c>
      <c r="DJ207" s="57">
        <v>0</v>
      </c>
      <c r="DK207" s="44"/>
      <c r="DL207" s="44"/>
      <c r="DM207" s="96"/>
      <c r="DN207" s="57">
        <v>0</v>
      </c>
      <c r="DO207" s="57">
        <v>0</v>
      </c>
      <c r="DP207" s="44"/>
      <c r="DQ207" s="44"/>
      <c r="DR207" s="96"/>
      <c r="DS207" s="57">
        <v>0</v>
      </c>
      <c r="DT207" s="57">
        <v>0</v>
      </c>
      <c r="DU207" s="44"/>
      <c r="DV207" s="44"/>
      <c r="DW207" s="96"/>
      <c r="DX207" s="57">
        <v>0</v>
      </c>
      <c r="DY207" s="57">
        <v>0</v>
      </c>
      <c r="DZ207" s="44"/>
      <c r="EA207" s="44"/>
      <c r="EB207" s="96"/>
      <c r="EC207" s="57">
        <v>0</v>
      </c>
      <c r="ED207" s="57">
        <v>0</v>
      </c>
      <c r="EE207" s="44"/>
      <c r="EF207" s="44"/>
      <c r="EG207" s="96"/>
      <c r="EH207" s="57">
        <v>0</v>
      </c>
      <c r="EI207" s="57">
        <v>0</v>
      </c>
      <c r="EJ207" s="44"/>
      <c r="EK207" s="44"/>
      <c r="EL207" s="96"/>
      <c r="EM207" s="57">
        <v>0</v>
      </c>
      <c r="EN207" s="57">
        <v>0</v>
      </c>
      <c r="EO207" s="44"/>
      <c r="EP207" s="44"/>
      <c r="EQ207" s="96"/>
      <c r="ER207" s="57">
        <v>0</v>
      </c>
      <c r="ES207" s="57">
        <v>0</v>
      </c>
      <c r="ET207" s="44"/>
      <c r="EU207" s="44"/>
      <c r="EV207" s="96"/>
      <c r="EW207" s="57">
        <v>0</v>
      </c>
      <c r="EX207" s="57">
        <v>0</v>
      </c>
      <c r="EY207" s="44"/>
      <c r="EZ207" s="44"/>
      <c r="FA207" s="96"/>
      <c r="FB207" s="57">
        <v>0</v>
      </c>
      <c r="FC207" s="57">
        <v>0</v>
      </c>
      <c r="FD207" s="44"/>
      <c r="FE207" s="44"/>
      <c r="FF207" s="96"/>
      <c r="FG207" s="57">
        <v>0</v>
      </c>
      <c r="FH207" s="57">
        <v>0</v>
      </c>
      <c r="FI207" s="44"/>
      <c r="FJ207" s="44"/>
      <c r="FK207" s="96"/>
      <c r="FL207" s="57">
        <v>0</v>
      </c>
      <c r="FM207" s="57">
        <v>0</v>
      </c>
      <c r="FN207" s="44"/>
      <c r="FO207" s="44"/>
      <c r="FP207" s="96"/>
      <c r="FQ207" s="57">
        <v>0</v>
      </c>
      <c r="FR207" s="57">
        <v>0</v>
      </c>
      <c r="FS207" s="44"/>
      <c r="FT207" s="44"/>
      <c r="FU207" s="96"/>
      <c r="FV207" s="57">
        <v>0</v>
      </c>
      <c r="FW207" s="57">
        <v>0</v>
      </c>
      <c r="FX207" s="44"/>
      <c r="FY207" s="44"/>
      <c r="FZ207" s="96"/>
      <c r="GA207" s="57">
        <v>0</v>
      </c>
      <c r="GB207" s="57">
        <v>0</v>
      </c>
      <c r="GC207" s="44"/>
      <c r="GD207" s="44"/>
      <c r="GE207" s="96"/>
      <c r="GF207" s="57">
        <v>0</v>
      </c>
      <c r="GG207" s="57">
        <v>0</v>
      </c>
      <c r="GH207" s="44"/>
      <c r="GI207" s="44"/>
      <c r="GJ207" s="97"/>
      <c r="GK207" s="57">
        <v>0</v>
      </c>
      <c r="GL207" s="57">
        <v>0</v>
      </c>
      <c r="GM207" s="44"/>
      <c r="GN207" s="44"/>
      <c r="GO207" s="96"/>
      <c r="GP207" s="57">
        <v>0</v>
      </c>
      <c r="GQ207" s="57">
        <v>0</v>
      </c>
      <c r="GR207" s="44"/>
      <c r="GS207" s="44"/>
      <c r="GT207" s="96"/>
      <c r="GU207" s="57">
        <v>0</v>
      </c>
      <c r="GV207" s="57">
        <v>0</v>
      </c>
      <c r="GW207" s="44"/>
      <c r="GX207" s="44"/>
      <c r="GY207" s="96"/>
      <c r="GZ207" s="57">
        <v>0</v>
      </c>
      <c r="HA207" s="57">
        <v>0</v>
      </c>
      <c r="HB207" s="44"/>
      <c r="HC207" s="44"/>
      <c r="HD207" s="96"/>
      <c r="HE207" s="57">
        <v>0</v>
      </c>
      <c r="HF207" s="57">
        <v>0</v>
      </c>
      <c r="HG207" s="44"/>
      <c r="HH207" s="44"/>
      <c r="HI207" s="96"/>
      <c r="HJ207" s="57">
        <v>0</v>
      </c>
      <c r="HK207" s="57">
        <v>0</v>
      </c>
      <c r="HL207" s="44"/>
      <c r="HM207" s="44"/>
      <c r="HN207" s="96"/>
      <c r="HO207" s="57">
        <v>0</v>
      </c>
      <c r="HP207" s="57">
        <v>0</v>
      </c>
      <c r="HQ207" s="44"/>
      <c r="HR207" s="44"/>
      <c r="HS207" s="96"/>
      <c r="HT207" s="57">
        <v>0</v>
      </c>
      <c r="HU207" s="57">
        <v>0</v>
      </c>
      <c r="HV207" s="44"/>
      <c r="HW207" s="44"/>
      <c r="HX207" s="96"/>
      <c r="HY207" s="57">
        <v>0</v>
      </c>
      <c r="HZ207" s="57">
        <v>0</v>
      </c>
      <c r="IA207" s="44"/>
      <c r="IB207" s="44"/>
      <c r="IC207" s="96"/>
      <c r="ID207" s="57">
        <v>0</v>
      </c>
      <c r="IE207" s="57">
        <v>0</v>
      </c>
      <c r="IF207" s="44"/>
      <c r="IG207" s="44"/>
      <c r="IH207" s="96"/>
      <c r="II207" s="57">
        <v>0</v>
      </c>
      <c r="IJ207" s="57">
        <v>0</v>
      </c>
      <c r="IK207" s="44"/>
      <c r="IL207" s="44"/>
      <c r="IM207" s="96"/>
      <c r="IN207" s="57">
        <v>0</v>
      </c>
      <c r="IO207" s="57">
        <v>0</v>
      </c>
      <c r="IP207" s="44"/>
      <c r="IQ207" s="44"/>
    </row>
    <row r="208" spans="1:251" ht="15" customHeight="1">
      <c r="A208" s="647"/>
      <c r="B208" s="276"/>
      <c r="C208" s="228"/>
      <c r="D208" s="229"/>
      <c r="E208" s="230" t="s">
        <v>33</v>
      </c>
      <c r="F208" s="27"/>
      <c r="G208" s="108"/>
      <c r="H208" s="57">
        <v>1</v>
      </c>
      <c r="I208" s="57">
        <v>0</v>
      </c>
      <c r="J208" s="44"/>
      <c r="K208" s="86"/>
      <c r="L208" s="108"/>
      <c r="M208" s="57">
        <v>1</v>
      </c>
      <c r="N208" s="57">
        <v>0</v>
      </c>
      <c r="O208" s="44"/>
      <c r="P208" s="86"/>
      <c r="Q208" s="108"/>
      <c r="R208" s="57">
        <v>1</v>
      </c>
      <c r="S208" s="57">
        <v>0</v>
      </c>
      <c r="T208" s="44"/>
      <c r="U208" s="86"/>
      <c r="V208" s="119"/>
      <c r="W208" s="57">
        <v>1</v>
      </c>
      <c r="X208" s="57">
        <v>0</v>
      </c>
      <c r="Y208" s="44"/>
      <c r="Z208" s="44"/>
      <c r="AA208" s="96"/>
      <c r="AB208" s="57">
        <v>1</v>
      </c>
      <c r="AC208" s="57">
        <v>0</v>
      </c>
      <c r="AD208" s="44"/>
      <c r="AE208" s="44"/>
      <c r="AF208" s="96"/>
      <c r="AG208" s="57">
        <v>1</v>
      </c>
      <c r="AH208" s="57">
        <v>0</v>
      </c>
      <c r="AI208" s="44"/>
      <c r="AJ208" s="44"/>
      <c r="AK208" s="96"/>
      <c r="AL208" s="57">
        <v>1</v>
      </c>
      <c r="AM208" s="57">
        <v>0</v>
      </c>
      <c r="AN208" s="44"/>
      <c r="AO208" s="44"/>
      <c r="AP208" s="96"/>
      <c r="AQ208" s="57">
        <v>1</v>
      </c>
      <c r="AR208" s="57">
        <v>0</v>
      </c>
      <c r="AS208" s="44"/>
      <c r="AT208" s="44"/>
      <c r="AU208" s="96"/>
      <c r="AV208" s="57">
        <v>1</v>
      </c>
      <c r="AW208" s="57">
        <v>0</v>
      </c>
      <c r="AX208" s="44"/>
      <c r="AY208" s="44"/>
      <c r="AZ208" s="96"/>
      <c r="BA208" s="57">
        <v>1</v>
      </c>
      <c r="BB208" s="57">
        <v>0</v>
      </c>
      <c r="BC208" s="44"/>
      <c r="BD208" s="44"/>
      <c r="BE208" s="96"/>
      <c r="BF208" s="57">
        <v>1</v>
      </c>
      <c r="BG208" s="57">
        <v>0</v>
      </c>
      <c r="BH208" s="44"/>
      <c r="BI208" s="44"/>
      <c r="BJ208" s="96"/>
      <c r="BK208" s="57">
        <v>1</v>
      </c>
      <c r="BL208" s="57">
        <v>0</v>
      </c>
      <c r="BM208" s="44"/>
      <c r="BN208" s="44"/>
      <c r="BO208" s="96"/>
      <c r="BP208" s="57">
        <v>1</v>
      </c>
      <c r="BQ208" s="57">
        <v>0</v>
      </c>
      <c r="BR208" s="44"/>
      <c r="BS208" s="44"/>
      <c r="BT208" s="96"/>
      <c r="BU208" s="57">
        <v>1</v>
      </c>
      <c r="BV208" s="57">
        <v>0</v>
      </c>
      <c r="BW208" s="44"/>
      <c r="BX208" s="44"/>
      <c r="BY208" s="96"/>
      <c r="BZ208" s="57">
        <v>1</v>
      </c>
      <c r="CA208" s="57">
        <v>0</v>
      </c>
      <c r="CB208" s="44"/>
      <c r="CC208" s="44"/>
      <c r="CD208" s="96"/>
      <c r="CE208" s="57">
        <v>1</v>
      </c>
      <c r="CF208" s="57">
        <v>0</v>
      </c>
      <c r="CG208" s="44"/>
      <c r="CH208" s="44"/>
      <c r="CI208" s="96"/>
      <c r="CJ208" s="57">
        <v>1</v>
      </c>
      <c r="CK208" s="57">
        <v>0</v>
      </c>
      <c r="CL208" s="44"/>
      <c r="CM208" s="44"/>
      <c r="CN208" s="96"/>
      <c r="CO208" s="57">
        <v>1</v>
      </c>
      <c r="CP208" s="57">
        <v>0</v>
      </c>
      <c r="CQ208" s="44"/>
      <c r="CR208" s="44"/>
      <c r="CS208" s="96"/>
      <c r="CT208" s="57">
        <v>1</v>
      </c>
      <c r="CU208" s="57">
        <v>0</v>
      </c>
      <c r="CV208" s="44"/>
      <c r="CW208" s="44"/>
      <c r="CX208" s="96"/>
      <c r="CY208" s="57">
        <v>1</v>
      </c>
      <c r="CZ208" s="57">
        <v>0</v>
      </c>
      <c r="DA208" s="44"/>
      <c r="DB208" s="44"/>
      <c r="DC208" s="96"/>
      <c r="DD208" s="57">
        <v>1</v>
      </c>
      <c r="DE208" s="57">
        <v>0</v>
      </c>
      <c r="DF208" s="44"/>
      <c r="DG208" s="44"/>
      <c r="DH208" s="96"/>
      <c r="DI208" s="57">
        <v>1</v>
      </c>
      <c r="DJ208" s="57">
        <v>0</v>
      </c>
      <c r="DK208" s="44"/>
      <c r="DL208" s="44"/>
      <c r="DM208" s="96"/>
      <c r="DN208" s="57">
        <v>1</v>
      </c>
      <c r="DO208" s="57">
        <v>0</v>
      </c>
      <c r="DP208" s="44"/>
      <c r="DQ208" s="44"/>
      <c r="DR208" s="96"/>
      <c r="DS208" s="57">
        <v>1</v>
      </c>
      <c r="DT208" s="57">
        <v>0</v>
      </c>
      <c r="DU208" s="44"/>
      <c r="DV208" s="44"/>
      <c r="DW208" s="96"/>
      <c r="DX208" s="57">
        <v>1</v>
      </c>
      <c r="DY208" s="57">
        <v>0</v>
      </c>
      <c r="DZ208" s="44"/>
      <c r="EA208" s="44"/>
      <c r="EB208" s="96"/>
      <c r="EC208" s="57">
        <v>1</v>
      </c>
      <c r="ED208" s="57">
        <v>0</v>
      </c>
      <c r="EE208" s="44"/>
      <c r="EF208" s="44"/>
      <c r="EG208" s="96"/>
      <c r="EH208" s="57">
        <v>1</v>
      </c>
      <c r="EI208" s="57">
        <v>0</v>
      </c>
      <c r="EJ208" s="44"/>
      <c r="EK208" s="44"/>
      <c r="EL208" s="96"/>
      <c r="EM208" s="57">
        <v>1</v>
      </c>
      <c r="EN208" s="57">
        <v>0</v>
      </c>
      <c r="EO208" s="44"/>
      <c r="EP208" s="44"/>
      <c r="EQ208" s="96"/>
      <c r="ER208" s="57">
        <v>1</v>
      </c>
      <c r="ES208" s="57">
        <v>0</v>
      </c>
      <c r="ET208" s="44"/>
      <c r="EU208" s="44"/>
      <c r="EV208" s="96"/>
      <c r="EW208" s="57">
        <v>1</v>
      </c>
      <c r="EX208" s="57">
        <v>0</v>
      </c>
      <c r="EY208" s="44"/>
      <c r="EZ208" s="44"/>
      <c r="FA208" s="96"/>
      <c r="FB208" s="57">
        <v>1</v>
      </c>
      <c r="FC208" s="57">
        <v>0</v>
      </c>
      <c r="FD208" s="44"/>
      <c r="FE208" s="44"/>
      <c r="FF208" s="96"/>
      <c r="FG208" s="57">
        <v>1</v>
      </c>
      <c r="FH208" s="57">
        <v>0</v>
      </c>
      <c r="FI208" s="44"/>
      <c r="FJ208" s="44"/>
      <c r="FK208" s="96"/>
      <c r="FL208" s="57">
        <v>1</v>
      </c>
      <c r="FM208" s="57">
        <v>0</v>
      </c>
      <c r="FN208" s="44"/>
      <c r="FO208" s="44"/>
      <c r="FP208" s="96"/>
      <c r="FQ208" s="57">
        <v>1</v>
      </c>
      <c r="FR208" s="57">
        <v>0</v>
      </c>
      <c r="FS208" s="44"/>
      <c r="FT208" s="44"/>
      <c r="FU208" s="96"/>
      <c r="FV208" s="57">
        <v>1</v>
      </c>
      <c r="FW208" s="57">
        <v>0</v>
      </c>
      <c r="FX208" s="44"/>
      <c r="FY208" s="44"/>
      <c r="FZ208" s="96"/>
      <c r="GA208" s="57">
        <v>1</v>
      </c>
      <c r="GB208" s="57">
        <v>0</v>
      </c>
      <c r="GC208" s="44"/>
      <c r="GD208" s="44"/>
      <c r="GE208" s="96"/>
      <c r="GF208" s="57">
        <v>1</v>
      </c>
      <c r="GG208" s="57">
        <v>0</v>
      </c>
      <c r="GH208" s="44"/>
      <c r="GI208" s="44"/>
      <c r="GJ208" s="97"/>
      <c r="GK208" s="57">
        <v>1</v>
      </c>
      <c r="GL208" s="57">
        <v>0</v>
      </c>
      <c r="GM208" s="44"/>
      <c r="GN208" s="44"/>
      <c r="GO208" s="96"/>
      <c r="GP208" s="57">
        <v>1</v>
      </c>
      <c r="GQ208" s="57">
        <v>0</v>
      </c>
      <c r="GR208" s="44"/>
      <c r="GS208" s="44"/>
      <c r="GT208" s="96"/>
      <c r="GU208" s="57">
        <v>1</v>
      </c>
      <c r="GV208" s="57">
        <v>0</v>
      </c>
      <c r="GW208" s="44"/>
      <c r="GX208" s="44"/>
      <c r="GY208" s="96"/>
      <c r="GZ208" s="57">
        <v>1</v>
      </c>
      <c r="HA208" s="57">
        <v>0</v>
      </c>
      <c r="HB208" s="44"/>
      <c r="HC208" s="44"/>
      <c r="HD208" s="96"/>
      <c r="HE208" s="57">
        <v>1</v>
      </c>
      <c r="HF208" s="57">
        <v>0</v>
      </c>
      <c r="HG208" s="44"/>
      <c r="HH208" s="44"/>
      <c r="HI208" s="96"/>
      <c r="HJ208" s="57">
        <v>1</v>
      </c>
      <c r="HK208" s="57">
        <v>0</v>
      </c>
      <c r="HL208" s="44"/>
      <c r="HM208" s="44"/>
      <c r="HN208" s="96"/>
      <c r="HO208" s="57">
        <v>1</v>
      </c>
      <c r="HP208" s="57">
        <v>0</v>
      </c>
      <c r="HQ208" s="44"/>
      <c r="HR208" s="44"/>
      <c r="HS208" s="96"/>
      <c r="HT208" s="57">
        <v>1</v>
      </c>
      <c r="HU208" s="57">
        <v>0</v>
      </c>
      <c r="HV208" s="44"/>
      <c r="HW208" s="44"/>
      <c r="HX208" s="96"/>
      <c r="HY208" s="57">
        <v>1</v>
      </c>
      <c r="HZ208" s="57">
        <v>0</v>
      </c>
      <c r="IA208" s="44"/>
      <c r="IB208" s="44"/>
      <c r="IC208" s="96"/>
      <c r="ID208" s="57">
        <v>1</v>
      </c>
      <c r="IE208" s="57">
        <v>0</v>
      </c>
      <c r="IF208" s="44"/>
      <c r="IG208" s="44"/>
      <c r="IH208" s="96"/>
      <c r="II208" s="57">
        <v>1</v>
      </c>
      <c r="IJ208" s="57">
        <v>0</v>
      </c>
      <c r="IK208" s="44"/>
      <c r="IL208" s="44"/>
      <c r="IM208" s="96"/>
      <c r="IN208" s="57">
        <v>1</v>
      </c>
      <c r="IO208" s="57">
        <v>0</v>
      </c>
      <c r="IP208" s="44"/>
      <c r="IQ208" s="44"/>
    </row>
    <row r="209" spans="1:251" s="248" customFormat="1" ht="15" customHeight="1" thickBot="1">
      <c r="A209" s="654"/>
      <c r="B209" s="671"/>
      <c r="C209" s="354"/>
      <c r="D209" s="672"/>
      <c r="E209" s="673" t="s">
        <v>17</v>
      </c>
      <c r="F209" s="674"/>
      <c r="G209" s="675" t="e">
        <f>I209/H209</f>
        <v>#DIV/0!</v>
      </c>
      <c r="H209" s="676">
        <v>0</v>
      </c>
      <c r="I209" s="676">
        <v>0</v>
      </c>
      <c r="J209" s="358"/>
      <c r="K209" s="359"/>
      <c r="L209" s="675" t="e">
        <f>N209/M209</f>
        <v>#DIV/0!</v>
      </c>
      <c r="M209" s="676">
        <v>0</v>
      </c>
      <c r="N209" s="676">
        <v>0</v>
      </c>
      <c r="O209" s="358"/>
      <c r="P209" s="359"/>
      <c r="Q209" s="675" t="e">
        <f>S209/R209</f>
        <v>#DIV/0!</v>
      </c>
      <c r="R209" s="676">
        <v>0</v>
      </c>
      <c r="S209" s="676">
        <v>0</v>
      </c>
      <c r="T209" s="358"/>
      <c r="U209" s="359"/>
      <c r="V209" s="677" t="e">
        <f>X209/W209</f>
        <v>#DIV/0!</v>
      </c>
      <c r="W209" s="676">
        <v>0</v>
      </c>
      <c r="X209" s="676">
        <v>0</v>
      </c>
      <c r="Y209" s="358"/>
      <c r="Z209" s="358"/>
      <c r="AA209" s="678" t="e">
        <f>AC209/AB209</f>
        <v>#DIV/0!</v>
      </c>
      <c r="AB209" s="676">
        <v>0</v>
      </c>
      <c r="AC209" s="676">
        <v>0</v>
      </c>
      <c r="AD209" s="358"/>
      <c r="AE209" s="358"/>
      <c r="AF209" s="678" t="e">
        <f>AH209/AG209</f>
        <v>#DIV/0!</v>
      </c>
      <c r="AG209" s="676">
        <v>0</v>
      </c>
      <c r="AH209" s="676">
        <v>0</v>
      </c>
      <c r="AI209" s="358"/>
      <c r="AJ209" s="358"/>
      <c r="AK209" s="678" t="e">
        <f>AM209/AL209</f>
        <v>#DIV/0!</v>
      </c>
      <c r="AL209" s="676">
        <v>0</v>
      </c>
      <c r="AM209" s="676">
        <v>0</v>
      </c>
      <c r="AN209" s="358"/>
      <c r="AO209" s="358"/>
      <c r="AP209" s="678" t="e">
        <f>AR209/AQ209</f>
        <v>#DIV/0!</v>
      </c>
      <c r="AQ209" s="676">
        <v>0</v>
      </c>
      <c r="AR209" s="676">
        <v>0</v>
      </c>
      <c r="AS209" s="358"/>
      <c r="AT209" s="358"/>
      <c r="AU209" s="678" t="e">
        <f>AW209/AV209</f>
        <v>#DIV/0!</v>
      </c>
      <c r="AV209" s="676">
        <v>0</v>
      </c>
      <c r="AW209" s="676">
        <v>0</v>
      </c>
      <c r="AX209" s="358"/>
      <c r="AY209" s="358"/>
      <c r="AZ209" s="678" t="e">
        <f>BB209/BA209</f>
        <v>#DIV/0!</v>
      </c>
      <c r="BA209" s="676">
        <v>0</v>
      </c>
      <c r="BB209" s="676">
        <v>0</v>
      </c>
      <c r="BC209" s="358"/>
      <c r="BD209" s="358"/>
      <c r="BE209" s="678" t="e">
        <f>BG209/BF209</f>
        <v>#DIV/0!</v>
      </c>
      <c r="BF209" s="676">
        <v>0</v>
      </c>
      <c r="BG209" s="676">
        <v>0</v>
      </c>
      <c r="BH209" s="358"/>
      <c r="BI209" s="358"/>
      <c r="BJ209" s="678" t="e">
        <f>BL209/BK209</f>
        <v>#DIV/0!</v>
      </c>
      <c r="BK209" s="676">
        <v>0</v>
      </c>
      <c r="BL209" s="676">
        <v>0</v>
      </c>
      <c r="BM209" s="358"/>
      <c r="BN209" s="358"/>
      <c r="BO209" s="678" t="e">
        <f>BQ209/BP209</f>
        <v>#DIV/0!</v>
      </c>
      <c r="BP209" s="676">
        <v>0</v>
      </c>
      <c r="BQ209" s="676">
        <v>0</v>
      </c>
      <c r="BR209" s="358"/>
      <c r="BS209" s="358"/>
      <c r="BT209" s="678" t="e">
        <f>BV209/BU209</f>
        <v>#DIV/0!</v>
      </c>
      <c r="BU209" s="676">
        <v>0</v>
      </c>
      <c r="BV209" s="676">
        <v>0</v>
      </c>
      <c r="BW209" s="358"/>
      <c r="BX209" s="358"/>
      <c r="BY209" s="678" t="e">
        <f>CA209/BZ209</f>
        <v>#DIV/0!</v>
      </c>
      <c r="BZ209" s="676">
        <v>0</v>
      </c>
      <c r="CA209" s="676">
        <v>0</v>
      </c>
      <c r="CB209" s="358"/>
      <c r="CC209" s="358"/>
      <c r="CD209" s="678" t="e">
        <f>CF209/CE209</f>
        <v>#DIV/0!</v>
      </c>
      <c r="CE209" s="676">
        <v>0</v>
      </c>
      <c r="CF209" s="676">
        <v>0</v>
      </c>
      <c r="CG209" s="358"/>
      <c r="CH209" s="358"/>
      <c r="CI209" s="678" t="e">
        <f>CK209/CJ209</f>
        <v>#DIV/0!</v>
      </c>
      <c r="CJ209" s="676">
        <v>0</v>
      </c>
      <c r="CK209" s="676">
        <v>0</v>
      </c>
      <c r="CL209" s="358"/>
      <c r="CM209" s="358"/>
      <c r="CN209" s="678" t="e">
        <f>CP209/CO209</f>
        <v>#DIV/0!</v>
      </c>
      <c r="CO209" s="676">
        <v>0</v>
      </c>
      <c r="CP209" s="676">
        <v>0</v>
      </c>
      <c r="CQ209" s="358"/>
      <c r="CR209" s="358"/>
      <c r="CS209" s="678" t="e">
        <f>CU209/CT209</f>
        <v>#DIV/0!</v>
      </c>
      <c r="CT209" s="676">
        <v>0</v>
      </c>
      <c r="CU209" s="676">
        <v>0</v>
      </c>
      <c r="CV209" s="358"/>
      <c r="CW209" s="358"/>
      <c r="CX209" s="678" t="e">
        <f>CZ209/CY209</f>
        <v>#DIV/0!</v>
      </c>
      <c r="CY209" s="676">
        <v>0</v>
      </c>
      <c r="CZ209" s="676">
        <v>0</v>
      </c>
      <c r="DA209" s="358"/>
      <c r="DB209" s="358"/>
      <c r="DC209" s="678" t="e">
        <f>DE209/DD209</f>
        <v>#DIV/0!</v>
      </c>
      <c r="DD209" s="676">
        <v>0</v>
      </c>
      <c r="DE209" s="676">
        <v>0</v>
      </c>
      <c r="DF209" s="358"/>
      <c r="DG209" s="358"/>
      <c r="DH209" s="678" t="e">
        <f>DJ209/DI209</f>
        <v>#DIV/0!</v>
      </c>
      <c r="DI209" s="676">
        <v>0</v>
      </c>
      <c r="DJ209" s="676">
        <v>0</v>
      </c>
      <c r="DK209" s="358"/>
      <c r="DL209" s="358"/>
      <c r="DM209" s="678" t="e">
        <f>DO209/DN209</f>
        <v>#DIV/0!</v>
      </c>
      <c r="DN209" s="676">
        <v>0</v>
      </c>
      <c r="DO209" s="676">
        <v>0</v>
      </c>
      <c r="DP209" s="358"/>
      <c r="DQ209" s="358"/>
      <c r="DR209" s="678" t="e">
        <f>DT209/DS209</f>
        <v>#DIV/0!</v>
      </c>
      <c r="DS209" s="676">
        <v>0</v>
      </c>
      <c r="DT209" s="676">
        <v>0</v>
      </c>
      <c r="DU209" s="358"/>
      <c r="DV209" s="358"/>
      <c r="DW209" s="678" t="e">
        <f>DY209/DX209</f>
        <v>#DIV/0!</v>
      </c>
      <c r="DX209" s="676">
        <v>0</v>
      </c>
      <c r="DY209" s="676">
        <v>0</v>
      </c>
      <c r="DZ209" s="358"/>
      <c r="EA209" s="358"/>
      <c r="EB209" s="678" t="e">
        <f>ED209/EC209</f>
        <v>#DIV/0!</v>
      </c>
      <c r="EC209" s="676">
        <v>0</v>
      </c>
      <c r="ED209" s="676">
        <v>0</v>
      </c>
      <c r="EE209" s="358"/>
      <c r="EF209" s="358"/>
      <c r="EG209" s="678" t="e">
        <f>EI209/EH209</f>
        <v>#DIV/0!</v>
      </c>
      <c r="EH209" s="676">
        <v>0</v>
      </c>
      <c r="EI209" s="676">
        <v>0</v>
      </c>
      <c r="EJ209" s="358"/>
      <c r="EK209" s="358"/>
      <c r="EL209" s="678" t="e">
        <f>EN209/EM209</f>
        <v>#DIV/0!</v>
      </c>
      <c r="EM209" s="676">
        <v>0</v>
      </c>
      <c r="EN209" s="676">
        <v>0</v>
      </c>
      <c r="EO209" s="358"/>
      <c r="EP209" s="358"/>
      <c r="EQ209" s="678" t="e">
        <f>ES209/ER209</f>
        <v>#DIV/0!</v>
      </c>
      <c r="ER209" s="676">
        <v>0</v>
      </c>
      <c r="ES209" s="676">
        <v>0</v>
      </c>
      <c r="ET209" s="358"/>
      <c r="EU209" s="358"/>
      <c r="EV209" s="678" t="e">
        <f>EX209/EW209</f>
        <v>#DIV/0!</v>
      </c>
      <c r="EW209" s="676">
        <v>0</v>
      </c>
      <c r="EX209" s="676">
        <v>0</v>
      </c>
      <c r="EY209" s="358"/>
      <c r="EZ209" s="358"/>
      <c r="FA209" s="678" t="e">
        <f>FC209/FB209</f>
        <v>#DIV/0!</v>
      </c>
      <c r="FB209" s="676">
        <v>0</v>
      </c>
      <c r="FC209" s="676">
        <v>0</v>
      </c>
      <c r="FD209" s="358"/>
      <c r="FE209" s="358"/>
      <c r="FF209" s="678" t="e">
        <f>FH209/FG209</f>
        <v>#DIV/0!</v>
      </c>
      <c r="FG209" s="676">
        <v>0</v>
      </c>
      <c r="FH209" s="676">
        <v>0</v>
      </c>
      <c r="FI209" s="358"/>
      <c r="FJ209" s="358"/>
      <c r="FK209" s="678" t="e">
        <f>FM209/FL209</f>
        <v>#DIV/0!</v>
      </c>
      <c r="FL209" s="676">
        <v>0</v>
      </c>
      <c r="FM209" s="676">
        <v>0</v>
      </c>
      <c r="FN209" s="358"/>
      <c r="FO209" s="358"/>
      <c r="FP209" s="678" t="e">
        <f>FR209/FQ209</f>
        <v>#DIV/0!</v>
      </c>
      <c r="FQ209" s="676">
        <v>0</v>
      </c>
      <c r="FR209" s="676">
        <v>0</v>
      </c>
      <c r="FS209" s="358"/>
      <c r="FT209" s="358"/>
      <c r="FU209" s="678" t="e">
        <f>FW209/FV209</f>
        <v>#DIV/0!</v>
      </c>
      <c r="FV209" s="676">
        <v>0</v>
      </c>
      <c r="FW209" s="676">
        <v>0</v>
      </c>
      <c r="FX209" s="358"/>
      <c r="FY209" s="358"/>
      <c r="FZ209" s="678" t="e">
        <f>GB209/GA209</f>
        <v>#DIV/0!</v>
      </c>
      <c r="GA209" s="676">
        <v>0</v>
      </c>
      <c r="GB209" s="676">
        <v>0</v>
      </c>
      <c r="GC209" s="358"/>
      <c r="GD209" s="358"/>
      <c r="GE209" s="678" t="e">
        <f>GG209/GF209</f>
        <v>#DIV/0!</v>
      </c>
      <c r="GF209" s="676">
        <v>0</v>
      </c>
      <c r="GG209" s="676">
        <v>0</v>
      </c>
      <c r="GH209" s="358"/>
      <c r="GI209" s="358"/>
      <c r="GJ209" s="1549" t="e">
        <f>GL209/GK209</f>
        <v>#DIV/0!</v>
      </c>
      <c r="GK209" s="676">
        <v>0</v>
      </c>
      <c r="GL209" s="676">
        <v>0</v>
      </c>
      <c r="GM209" s="358"/>
      <c r="GN209" s="358"/>
      <c r="GO209" s="678" t="e">
        <f>GQ209/GP209</f>
        <v>#DIV/0!</v>
      </c>
      <c r="GP209" s="676">
        <v>0</v>
      </c>
      <c r="GQ209" s="676">
        <v>0</v>
      </c>
      <c r="GR209" s="358"/>
      <c r="GS209" s="358"/>
      <c r="GT209" s="678" t="e">
        <f>GV209/GU209</f>
        <v>#DIV/0!</v>
      </c>
      <c r="GU209" s="676">
        <v>0</v>
      </c>
      <c r="GV209" s="676">
        <v>0</v>
      </c>
      <c r="GW209" s="358"/>
      <c r="GX209" s="358"/>
      <c r="GY209" s="678" t="e">
        <f>HA209/GZ209</f>
        <v>#DIV/0!</v>
      </c>
      <c r="GZ209" s="676">
        <v>0</v>
      </c>
      <c r="HA209" s="676">
        <v>0</v>
      </c>
      <c r="HB209" s="358"/>
      <c r="HC209" s="358"/>
      <c r="HD209" s="678" t="e">
        <f>HF209/HE209</f>
        <v>#DIV/0!</v>
      </c>
      <c r="HE209" s="676">
        <v>0</v>
      </c>
      <c r="HF209" s="676">
        <v>0</v>
      </c>
      <c r="HG209" s="358"/>
      <c r="HH209" s="358"/>
      <c r="HI209" s="678" t="e">
        <f>HK209/HJ209</f>
        <v>#DIV/0!</v>
      </c>
      <c r="HJ209" s="676">
        <v>0</v>
      </c>
      <c r="HK209" s="676">
        <v>0</v>
      </c>
      <c r="HL209" s="358"/>
      <c r="HM209" s="358"/>
      <c r="HN209" s="678" t="e">
        <f>HP209/HO209</f>
        <v>#DIV/0!</v>
      </c>
      <c r="HO209" s="676">
        <v>0</v>
      </c>
      <c r="HP209" s="676">
        <v>0</v>
      </c>
      <c r="HQ209" s="358"/>
      <c r="HR209" s="358"/>
      <c r="HS209" s="678" t="e">
        <f>HU209/HT209</f>
        <v>#DIV/0!</v>
      </c>
      <c r="HT209" s="676">
        <v>0</v>
      </c>
      <c r="HU209" s="676">
        <v>0</v>
      </c>
      <c r="HV209" s="358"/>
      <c r="HW209" s="358"/>
      <c r="HX209" s="678" t="e">
        <f>HZ209/HY209</f>
        <v>#DIV/0!</v>
      </c>
      <c r="HY209" s="676">
        <v>0</v>
      </c>
      <c r="HZ209" s="676">
        <v>0</v>
      </c>
      <c r="IA209" s="358"/>
      <c r="IB209" s="358"/>
      <c r="IC209" s="678" t="e">
        <f>IE209/ID209</f>
        <v>#DIV/0!</v>
      </c>
      <c r="ID209" s="676">
        <v>0</v>
      </c>
      <c r="IE209" s="676">
        <v>0</v>
      </c>
      <c r="IF209" s="358"/>
      <c r="IG209" s="358"/>
      <c r="IH209" s="678" t="e">
        <f>IJ209/II209</f>
        <v>#DIV/0!</v>
      </c>
      <c r="II209" s="676">
        <v>0</v>
      </c>
      <c r="IJ209" s="676">
        <v>0</v>
      </c>
      <c r="IK209" s="358"/>
      <c r="IL209" s="358"/>
      <c r="IM209" s="678" t="e">
        <f>IO209/IN209</f>
        <v>#DIV/0!</v>
      </c>
      <c r="IN209" s="676">
        <v>0</v>
      </c>
      <c r="IO209" s="676">
        <v>0</v>
      </c>
      <c r="IP209" s="358"/>
      <c r="IQ209" s="358"/>
    </row>
    <row r="210" spans="1:251" s="255" customFormat="1" ht="15" customHeight="1">
      <c r="A210" s="683"/>
      <c r="B210" s="251" t="s">
        <v>323</v>
      </c>
      <c r="C210" s="251" t="s">
        <v>105</v>
      </c>
      <c r="D210" s="26" t="s">
        <v>25</v>
      </c>
      <c r="E210" s="253" t="s">
        <v>10</v>
      </c>
      <c r="F210" s="253"/>
      <c r="G210" s="2"/>
      <c r="H210" s="165"/>
      <c r="I210" s="165"/>
      <c r="J210" s="166"/>
      <c r="K210" s="166"/>
      <c r="L210" s="2"/>
      <c r="M210" s="165"/>
      <c r="N210" s="165"/>
      <c r="O210" s="166"/>
      <c r="P210" s="166"/>
      <c r="Q210" s="2"/>
      <c r="R210" s="165"/>
      <c r="S210" s="165"/>
      <c r="T210" s="166"/>
      <c r="U210" s="166"/>
      <c r="V210" s="2"/>
      <c r="W210" s="165"/>
      <c r="X210" s="373">
        <v>2024</v>
      </c>
      <c r="Y210" s="166"/>
      <c r="Z210" s="623">
        <f>SUM(X210:X215)*1.1</f>
        <v>300629.27399999998</v>
      </c>
      <c r="AA210" s="2"/>
      <c r="AB210" s="165"/>
      <c r="AC210" s="373">
        <v>1518</v>
      </c>
      <c r="AD210" s="166"/>
      <c r="AE210" s="623">
        <f>SUM(AC210:AC215)*1.1</f>
        <v>256404.698</v>
      </c>
      <c r="AF210" s="2"/>
      <c r="AG210" s="373"/>
      <c r="AH210" s="373">
        <v>2530</v>
      </c>
      <c r="AI210" s="512"/>
      <c r="AJ210" s="623">
        <f>AJ211*1.1</f>
        <v>286229.174</v>
      </c>
      <c r="AK210" s="2"/>
      <c r="AL210" s="373"/>
      <c r="AM210" s="373">
        <v>2024</v>
      </c>
      <c r="AN210" s="512"/>
      <c r="AO210" s="623">
        <f>AO211*1.2</f>
        <v>351243.38400000002</v>
      </c>
      <c r="AP210" s="2"/>
      <c r="AQ210" s="165"/>
      <c r="AR210" s="165"/>
      <c r="AS210" s="166"/>
      <c r="AT210" s="623">
        <f>SUM(AR210:AR215)*1.1</f>
        <v>397624.17199999996</v>
      </c>
      <c r="AU210" s="2"/>
      <c r="AV210" s="165"/>
      <c r="AW210" s="165"/>
      <c r="AX210" s="166"/>
      <c r="AY210" s="623">
        <f>SUM(AW210:AW215)*1.1</f>
        <v>467061.33100000001</v>
      </c>
      <c r="AZ210" s="2"/>
      <c r="BA210" s="165"/>
      <c r="BB210" s="165"/>
      <c r="BC210" s="166"/>
      <c r="BD210" s="623">
        <f>SUM(BB210:BB215)*1.1</f>
        <v>408773.65100000001</v>
      </c>
      <c r="BE210" s="2"/>
      <c r="BF210" s="165"/>
      <c r="BG210" s="165"/>
      <c r="BH210" s="166"/>
      <c r="BI210" s="623">
        <f>SUM(BG210:BG215)*1.1</f>
        <v>400750.658</v>
      </c>
      <c r="BJ210" s="2"/>
      <c r="BK210" s="165"/>
      <c r="BL210" s="165"/>
      <c r="BM210" s="166"/>
      <c r="BN210" s="623">
        <f>SUM(BL210:BL215)*1.1</f>
        <v>452906.179</v>
      </c>
      <c r="BO210" s="2"/>
      <c r="BP210" s="165"/>
      <c r="BQ210" s="165"/>
      <c r="BR210" s="166"/>
      <c r="BS210" s="623">
        <f>SUM(BQ210:BQ215)*1.1</f>
        <v>386275.14200000005</v>
      </c>
      <c r="BT210" s="2"/>
      <c r="BU210" s="165"/>
      <c r="BV210" s="165"/>
      <c r="BW210" s="166"/>
      <c r="BX210" s="623">
        <f>SUM(BV210:BV215)*1.1</f>
        <v>466447.70700000011</v>
      </c>
      <c r="BY210" s="2"/>
      <c r="BZ210" s="165"/>
      <c r="CA210" s="165"/>
      <c r="CB210" s="166"/>
      <c r="CC210" s="623">
        <f>SUM(CA210:CA215)*1.1</f>
        <v>408315.02140000003</v>
      </c>
      <c r="CD210" s="2"/>
      <c r="CE210" s="165"/>
      <c r="CF210" s="165"/>
      <c r="CG210" s="166"/>
      <c r="CH210" s="623">
        <f>SUM(CF210:CF215)*1.1</f>
        <v>414120.223</v>
      </c>
      <c r="CI210" s="2"/>
      <c r="CJ210" s="165"/>
      <c r="CK210" s="165"/>
      <c r="CL210" s="166"/>
      <c r="CM210" s="623">
        <f>SUM(CK210:CK215)*1.1</f>
        <v>380924.44719999994</v>
      </c>
      <c r="CN210" s="2"/>
      <c r="CO210" s="165"/>
      <c r="CP210" s="165"/>
      <c r="CQ210" s="166"/>
      <c r="CR210" s="623">
        <f>SUM(CP210:CP215)*1.1</f>
        <v>441620.77520000003</v>
      </c>
      <c r="CS210" s="2"/>
      <c r="CT210" s="165"/>
      <c r="CU210" s="165"/>
      <c r="CV210" s="166"/>
      <c r="CW210" s="623">
        <f>SUM(CU210:CU215)*1.1</f>
        <v>467421.86480000004</v>
      </c>
      <c r="CX210" s="2"/>
      <c r="CY210" s="165"/>
      <c r="CZ210" s="165"/>
      <c r="DA210" s="166"/>
      <c r="DB210" s="623">
        <f>SUM(CZ210:CZ215)*1.1</f>
        <v>307406.98559999996</v>
      </c>
      <c r="DC210" s="2"/>
      <c r="DD210" s="165"/>
      <c r="DE210" s="165"/>
      <c r="DF210" s="166"/>
      <c r="DG210" s="623">
        <f>SUM(DE210:DE215)*1.1</f>
        <v>674503.071</v>
      </c>
      <c r="DH210" s="2"/>
      <c r="DI210" s="165"/>
      <c r="DJ210" s="165"/>
      <c r="DK210" s="166"/>
      <c r="DL210" s="623">
        <f>SUM(DJ210:DJ215)*1.1</f>
        <v>504920.99900000001</v>
      </c>
      <c r="DM210" s="2"/>
      <c r="DN210" s="165"/>
      <c r="DO210" s="165"/>
      <c r="DP210" s="166"/>
      <c r="DQ210" s="623">
        <f>SUM(DO210:DO215)*1.1</f>
        <v>565469.674</v>
      </c>
      <c r="DR210" s="2"/>
      <c r="DS210" s="165"/>
      <c r="DT210" s="165"/>
      <c r="DU210" s="166"/>
      <c r="DV210" s="623">
        <f>SUM(DT210:DT215)*1.1</f>
        <v>508504.49540000007</v>
      </c>
      <c r="DW210" s="2"/>
      <c r="DX210" s="165"/>
      <c r="DY210" s="165"/>
      <c r="DZ210" s="166"/>
      <c r="EA210" s="623">
        <f>SUM(DY210:DY215)*1.1</f>
        <v>624648.84019999998</v>
      </c>
      <c r="EB210" s="2"/>
      <c r="EC210" s="165"/>
      <c r="ED210" s="165"/>
      <c r="EE210" s="166"/>
      <c r="EF210" s="623">
        <f>SUM(ED210:ED215)*1.1</f>
        <v>466447.70700000011</v>
      </c>
      <c r="EG210" s="2"/>
      <c r="EH210" s="165"/>
      <c r="EI210" s="165"/>
      <c r="EJ210" s="166"/>
      <c r="EK210" s="623">
        <f>SUM(EI210:EI215)*1.1</f>
        <v>679919.71300000011</v>
      </c>
      <c r="EL210" s="2"/>
      <c r="EM210" s="165"/>
      <c r="EN210" s="165"/>
      <c r="EO210" s="166"/>
      <c r="EP210" s="623">
        <f>SUM(EN210:EN215)*1.1</f>
        <v>529390.34499999997</v>
      </c>
      <c r="EQ210" s="2"/>
      <c r="ER210" s="165"/>
      <c r="ES210" s="165"/>
      <c r="ET210" s="166"/>
      <c r="EU210" s="623">
        <f>SUM(ES210:ES215)*1.1</f>
        <v>286588.92019999999</v>
      </c>
      <c r="EV210" s="2"/>
      <c r="EW210" s="165"/>
      <c r="EX210" s="165"/>
      <c r="EY210" s="166"/>
      <c r="EZ210" s="623">
        <f>SUM(EX210:EX215)*1.1</f>
        <v>457512.88880000002</v>
      </c>
      <c r="FA210" s="2"/>
      <c r="FB210" s="165"/>
      <c r="FC210" s="165"/>
      <c r="FD210" s="166"/>
      <c r="FE210" s="623">
        <f>SUM(FC210:FC215)*1.1</f>
        <v>485522.19320000004</v>
      </c>
      <c r="FF210" s="2"/>
      <c r="FG210" s="165"/>
      <c r="FH210" s="165"/>
      <c r="FI210" s="166"/>
      <c r="FJ210" s="623">
        <f>SUM(FH210:FH215)*1.1</f>
        <v>582676.90359999996</v>
      </c>
      <c r="FK210" s="2"/>
      <c r="FL210" s="165"/>
      <c r="FM210" s="165"/>
      <c r="FN210" s="166"/>
      <c r="FO210" s="623">
        <f>SUM(FM210:FM215)*1.1</f>
        <v>555070.60620000004</v>
      </c>
      <c r="FP210" s="2"/>
      <c r="FQ210" s="165"/>
      <c r="FR210" s="165"/>
      <c r="FS210" s="166"/>
      <c r="FT210" s="623">
        <f>SUM(FR210:FR215)*1.1</f>
        <v>481877.44440000009</v>
      </c>
      <c r="FU210" s="2"/>
      <c r="FV210" s="165"/>
      <c r="FW210" s="165"/>
      <c r="FX210" s="166"/>
      <c r="FY210" s="623">
        <f>SUM(FW210:FW215)*1.1</f>
        <v>562421.52119999996</v>
      </c>
      <c r="FZ210" s="2"/>
      <c r="GA210" s="165"/>
      <c r="GB210" s="165"/>
      <c r="GC210" s="166"/>
      <c r="GD210" s="623">
        <f>SUM(GB210:GB215)*1.1</f>
        <v>495657.43260000006</v>
      </c>
      <c r="GE210" s="2"/>
      <c r="GF210" s="165"/>
      <c r="GG210" s="165"/>
      <c r="GH210" s="166"/>
      <c r="GI210" s="623">
        <f>SUM(GG210:GG215)*1.1</f>
        <v>563622.44180000003</v>
      </c>
      <c r="GJ210" s="1548"/>
      <c r="GK210" s="165"/>
      <c r="GL210" s="165"/>
      <c r="GM210" s="166"/>
      <c r="GN210" s="623">
        <f>SUM(GL210:GL215)*1.1</f>
        <v>466447.70700000011</v>
      </c>
      <c r="GO210" s="2"/>
      <c r="GP210" s="165"/>
      <c r="GQ210" s="165"/>
      <c r="GR210" s="166"/>
      <c r="GS210" s="623">
        <f>SUM(GQ210:GQ215)*1.1</f>
        <v>703946.1814</v>
      </c>
      <c r="GT210" s="2"/>
      <c r="GU210" s="165"/>
      <c r="GV210" s="165"/>
      <c r="GW210" s="166"/>
      <c r="GX210" s="623">
        <f>SUM(GV210:GV215)*1.1</f>
        <v>620438.42740000004</v>
      </c>
      <c r="GY210" s="2"/>
      <c r="GZ210" s="165"/>
      <c r="HA210" s="165"/>
      <c r="HB210" s="166"/>
      <c r="HC210" s="623">
        <f>SUM(HA210:HA215)*1.1</f>
        <v>286588.92019999999</v>
      </c>
      <c r="HD210" s="2"/>
      <c r="HE210" s="165"/>
      <c r="HF210" s="165"/>
      <c r="HG210" s="166"/>
      <c r="HH210" s="623">
        <f>SUM(HF210:HF215)*1.1</f>
        <v>457512.88880000002</v>
      </c>
      <c r="HI210" s="2"/>
      <c r="HJ210" s="165"/>
      <c r="HK210" s="165"/>
      <c r="HL210" s="166"/>
      <c r="HM210" s="623">
        <f>SUM(HK210:HK215)*1.1</f>
        <v>467421.86480000004</v>
      </c>
      <c r="HN210" s="2"/>
      <c r="HO210" s="165"/>
      <c r="HP210" s="165"/>
      <c r="HQ210" s="166"/>
      <c r="HR210" s="623">
        <f>SUM(HP210:HP215)*1.1</f>
        <v>307406.98559999996</v>
      </c>
      <c r="HS210" s="2"/>
      <c r="HT210" s="165"/>
      <c r="HU210" s="165"/>
      <c r="HV210" s="166"/>
      <c r="HW210" s="623">
        <f>SUM(HU210:HU215)*1.1</f>
        <v>540025.29020000005</v>
      </c>
      <c r="HX210" s="2"/>
      <c r="HY210" s="165"/>
      <c r="HZ210" s="165"/>
      <c r="IA210" s="166"/>
      <c r="IB210" s="623">
        <f>SUM(HZ210:HZ215)*1.1</f>
        <v>466299.34340000013</v>
      </c>
      <c r="IC210" s="2"/>
      <c r="ID210" s="165"/>
      <c r="IE210" s="165"/>
      <c r="IF210" s="166"/>
      <c r="IG210" s="623">
        <f>SUM(IE210:IE215)*1.1</f>
        <v>563542.22320000001</v>
      </c>
      <c r="IH210" s="2"/>
      <c r="II210" s="165"/>
      <c r="IJ210" s="165"/>
      <c r="IK210" s="166"/>
      <c r="IL210" s="623">
        <f>SUM(IJ210:IJ215)*1.1</f>
        <v>246074.70800000001</v>
      </c>
      <c r="IM210" s="2"/>
      <c r="IN210" s="165"/>
      <c r="IO210" s="165"/>
      <c r="IP210" s="166"/>
      <c r="IQ210" s="623">
        <f>SUM(IO210:IO215)*1.1</f>
        <v>246074.70800000001</v>
      </c>
    </row>
    <row r="211" spans="1:251" s="577" customFormat="1" ht="15" customHeight="1">
      <c r="A211" s="684"/>
      <c r="B211" s="520"/>
      <c r="C211" s="215">
        <v>44878589</v>
      </c>
      <c r="D211" s="222" t="s">
        <v>378</v>
      </c>
      <c r="E211" s="568" t="s">
        <v>13</v>
      </c>
      <c r="F211" s="568"/>
      <c r="G211" s="615">
        <f>I211/H211</f>
        <v>5.7989162028855539</v>
      </c>
      <c r="H211" s="679">
        <v>37913</v>
      </c>
      <c r="I211" s="679">
        <v>219854.31</v>
      </c>
      <c r="J211" s="564"/>
      <c r="K211" s="564"/>
      <c r="L211" s="615">
        <f>N211/M211</f>
        <v>5.8685160187706389</v>
      </c>
      <c r="M211" s="679">
        <v>34522</v>
      </c>
      <c r="N211" s="679">
        <v>202592.91</v>
      </c>
      <c r="O211" s="564"/>
      <c r="P211" s="564"/>
      <c r="Q211" s="615">
        <f>S211/R211</f>
        <v>5.5922880880778836</v>
      </c>
      <c r="R211" s="679">
        <v>39238</v>
      </c>
      <c r="S211" s="679">
        <v>219430.2</v>
      </c>
      <c r="T211" s="564"/>
      <c r="U211" s="564"/>
      <c r="V211" s="615">
        <f>X211/W211</f>
        <v>5.7964559046587212</v>
      </c>
      <c r="W211" s="679">
        <v>46150</v>
      </c>
      <c r="X211" s="552">
        <v>267506.44</v>
      </c>
      <c r="Y211" s="564"/>
      <c r="Z211" s="627">
        <f>SUM(X210:X215)*1</f>
        <v>273299.33999999997</v>
      </c>
      <c r="AA211" s="615">
        <f>AC211/AB211</f>
        <v>5.3263801010857357</v>
      </c>
      <c r="AB211" s="679">
        <v>42736</v>
      </c>
      <c r="AC211" s="679">
        <v>227628.18</v>
      </c>
      <c r="AD211" s="564"/>
      <c r="AE211" s="627">
        <f>SUM(AC210:AC215)*1</f>
        <v>233095.18</v>
      </c>
      <c r="AF211" s="615">
        <f>AH211/AG211</f>
        <v>6.6892076596418111</v>
      </c>
      <c r="AG211" s="679">
        <v>37913</v>
      </c>
      <c r="AH211" s="679">
        <v>253607.93</v>
      </c>
      <c r="AI211" s="564"/>
      <c r="AJ211" s="627">
        <f>SUM(AH210:AH215)*1</f>
        <v>260208.34</v>
      </c>
      <c r="AK211" s="615">
        <f>AM211/AL211</f>
        <v>5.7478199947731339</v>
      </c>
      <c r="AL211" s="679">
        <v>49743</v>
      </c>
      <c r="AM211" s="679">
        <v>285913.81</v>
      </c>
      <c r="AN211" s="564"/>
      <c r="AO211" s="627">
        <f>SUM(AM210:AM215)*1</f>
        <v>292702.82</v>
      </c>
      <c r="AP211" s="615">
        <f>AR211/AQ211</f>
        <v>6.8830320092556878</v>
      </c>
      <c r="AQ211" s="679">
        <v>51860</v>
      </c>
      <c r="AR211" s="679">
        <v>356954.04</v>
      </c>
      <c r="AS211" s="564"/>
      <c r="AT211" s="627">
        <f>SUM(AR210:AR215)+AS215*1</f>
        <v>407803.75999999995</v>
      </c>
      <c r="AU211" s="615">
        <f>AW211/AV211</f>
        <v>7.5443437454964686</v>
      </c>
      <c r="AV211" s="679">
        <v>55512</v>
      </c>
      <c r="AW211" s="679">
        <v>418801.61</v>
      </c>
      <c r="AX211" s="564"/>
      <c r="AY211" s="627">
        <f>SUM(AW210:AW215)*1</f>
        <v>424601.20999999996</v>
      </c>
      <c r="AZ211" s="615">
        <f>BB211/BA211</f>
        <v>5.6198278084343656</v>
      </c>
      <c r="BA211" s="679">
        <v>49654</v>
      </c>
      <c r="BB211" s="680">
        <v>279046.93</v>
      </c>
      <c r="BC211" s="564"/>
      <c r="BD211" s="627">
        <f>SUM(BB210:BB215)+BC214*1</f>
        <v>396821.69999999995</v>
      </c>
      <c r="BE211" s="615">
        <f>BG211/BF211</f>
        <v>5.7303479925905894</v>
      </c>
      <c r="BF211" s="679">
        <v>48047</v>
      </c>
      <c r="BG211" s="680">
        <v>275326.03000000003</v>
      </c>
      <c r="BH211" s="564"/>
      <c r="BI211" s="627">
        <f>SUM(BG210:BG215)*1</f>
        <v>364318.77999999997</v>
      </c>
      <c r="BJ211" s="615">
        <f>BL211/BK211</f>
        <v>5.9988230859926164</v>
      </c>
      <c r="BK211" s="679">
        <v>51737</v>
      </c>
      <c r="BL211" s="680">
        <v>310361.11</v>
      </c>
      <c r="BM211" s="564" t="s">
        <v>377</v>
      </c>
      <c r="BN211" s="627">
        <f>SUM(BL210:BL215)*1</f>
        <v>411732.88999999996</v>
      </c>
      <c r="BO211" s="615">
        <f>BQ211/BP211</f>
        <v>5.6274486770257788</v>
      </c>
      <c r="BP211" s="679">
        <v>61717</v>
      </c>
      <c r="BQ211" s="679">
        <v>347309.25</v>
      </c>
      <c r="BR211" s="571"/>
      <c r="BS211" s="627">
        <f>SUM(BQ210:BQ215)*1</f>
        <v>351159.22000000003</v>
      </c>
      <c r="BT211" s="615">
        <f>BV211/BU211</f>
        <v>6.5955201417982598</v>
      </c>
      <c r="BU211" s="679">
        <v>62060</v>
      </c>
      <c r="BV211" s="680">
        <v>409317.98</v>
      </c>
      <c r="BW211" s="564"/>
      <c r="BX211" s="627">
        <f>SUM(BV210:BV215)*1</f>
        <v>424043.37000000005</v>
      </c>
      <c r="BY211" s="615">
        <f>CA211/BZ211</f>
        <v>6.6231839860622124</v>
      </c>
      <c r="BZ211" s="681">
        <v>55102</v>
      </c>
      <c r="CA211" s="682">
        <f>1.2*304125.57</f>
        <v>364950.68400000001</v>
      </c>
      <c r="CB211" s="552" t="s">
        <v>467</v>
      </c>
      <c r="CC211" s="627">
        <f>SUM(CA210:CA215)*1</f>
        <v>371195.47399999999</v>
      </c>
      <c r="CD211" s="615">
        <f>CF211/CE211</f>
        <v>6.4699320673976999</v>
      </c>
      <c r="CE211" s="682">
        <v>56085</v>
      </c>
      <c r="CF211" s="682">
        <f>1.2*302388.45</f>
        <v>362866.14</v>
      </c>
      <c r="CG211" s="564">
        <v>406418.16</v>
      </c>
      <c r="CH211" s="627">
        <f>SUM(CF210:CF215)*1</f>
        <v>376472.93</v>
      </c>
      <c r="CI211" s="615">
        <f>CK211/CJ211</f>
        <v>6.7377079768369157</v>
      </c>
      <c r="CJ211" s="709">
        <v>49907</v>
      </c>
      <c r="CK211" s="682">
        <f>1.2*280215.66</f>
        <v>336258.79199999996</v>
      </c>
      <c r="CL211" s="564">
        <v>319020</v>
      </c>
      <c r="CM211" s="627">
        <f>SUM(CK210:CK215)*1</f>
        <v>346294.95199999993</v>
      </c>
      <c r="CN211" s="615">
        <f>CP211/CO211</f>
        <v>7.684631934731935</v>
      </c>
      <c r="CO211" s="681">
        <v>51480</v>
      </c>
      <c r="CP211" s="681">
        <f>329670.71*1.2</f>
        <v>395604.85200000001</v>
      </c>
      <c r="CQ211" s="564">
        <f>216409.75+83234.52+33293.81</f>
        <v>332938.08</v>
      </c>
      <c r="CR211" s="627">
        <f>SUM(CP210:CP215)*1</f>
        <v>401473.43199999997</v>
      </c>
      <c r="CS211" s="615">
        <f>CU211/CT211</f>
        <v>8.6037358892438771</v>
      </c>
      <c r="CT211" s="682">
        <v>47889</v>
      </c>
      <c r="CU211" s="681">
        <f>1.2*343353.59</f>
        <v>412024.30800000002</v>
      </c>
      <c r="CV211" s="564">
        <f>266556.96+128835.86+48868.78</f>
        <v>444261.6</v>
      </c>
      <c r="CW211" s="627">
        <f>SUM(CU210:CU215)*1</f>
        <v>424928.96799999999</v>
      </c>
      <c r="CX211" s="615">
        <f>CZ211/CY211</f>
        <v>9.0596280421849631</v>
      </c>
      <c r="CY211" s="709">
        <v>29584</v>
      </c>
      <c r="CZ211" s="681">
        <f>1.2*223350.03</f>
        <v>268020.03599999996</v>
      </c>
      <c r="DA211" s="564">
        <f>299677.1+144843.93+54940.8</f>
        <v>499461.82999999996</v>
      </c>
      <c r="DB211" s="627">
        <f>SUM(CZ210:CZ215)*1</f>
        <v>279460.89599999995</v>
      </c>
      <c r="DC211" s="615">
        <f>DE211/DD211</f>
        <v>7.6347200260615704</v>
      </c>
      <c r="DD211" s="709">
        <v>79811</v>
      </c>
      <c r="DE211" s="682">
        <v>609334.64</v>
      </c>
      <c r="DF211" s="564">
        <v>581485.68000000005</v>
      </c>
      <c r="DG211" s="627">
        <f>SUM(DE210:DE215)*1</f>
        <v>613184.61</v>
      </c>
      <c r="DH211" s="615">
        <f>DJ211/DI211</f>
        <v>9.2651519531011441</v>
      </c>
      <c r="DI211" s="681">
        <v>49127</v>
      </c>
      <c r="DJ211" s="681">
        <f>1.2*379307.6</f>
        <v>455169.11999999994</v>
      </c>
      <c r="DK211" s="571"/>
      <c r="DL211" s="627">
        <f>SUM(DJ210:DJ215)*1</f>
        <v>459019.08999999997</v>
      </c>
      <c r="DM211" s="615">
        <f>DO211/DN211</f>
        <v>9.8201578699340253</v>
      </c>
      <c r="DN211" s="709">
        <f>50888+40</f>
        <v>50928</v>
      </c>
      <c r="DO211" s="682">
        <f>1.2*416502.5+318</f>
        <v>500121</v>
      </c>
      <c r="DP211" s="564">
        <f>348761.4+168568.01+63939.59</f>
        <v>581269</v>
      </c>
      <c r="DQ211" s="627">
        <f>SUM(DO210:DO215)*1</f>
        <v>514063.33999999997</v>
      </c>
      <c r="DR211" s="615">
        <f>DT211/DS211</f>
        <v>9.4093560563024674</v>
      </c>
      <c r="DS211" s="709">
        <v>47529</v>
      </c>
      <c r="DT211" s="681">
        <f>1.2*372681.07</f>
        <v>447217.28399999999</v>
      </c>
      <c r="DU211" s="564">
        <v>441967.02</v>
      </c>
      <c r="DV211" s="627">
        <f>SUM(DT210:DT215)*1</f>
        <v>462276.81400000001</v>
      </c>
      <c r="DW211" s="615">
        <f>DY211/DX211</f>
        <v>10.090032058392071</v>
      </c>
      <c r="DX211" s="709">
        <v>55898</v>
      </c>
      <c r="DY211" s="682">
        <f>1.2*470010.51</f>
        <v>564012.61199999996</v>
      </c>
      <c r="DZ211" s="564">
        <v>548637.84</v>
      </c>
      <c r="EA211" s="627">
        <f>SUM(DY210:DY215)*1</f>
        <v>567862.58199999994</v>
      </c>
      <c r="EB211" s="615">
        <f>ED211/EC211</f>
        <v>6.5955201417982598</v>
      </c>
      <c r="EC211" s="569">
        <v>62060</v>
      </c>
      <c r="ED211" s="707">
        <v>409317.98</v>
      </c>
      <c r="EE211" s="564">
        <f>400058.1+153868.5+61547.4</f>
        <v>615474</v>
      </c>
      <c r="EF211" s="627">
        <f>SUM(ED210:ED215)*1</f>
        <v>424043.37000000005</v>
      </c>
      <c r="EG211" s="615">
        <f>EI211/EH211</f>
        <v>10.181951974439619</v>
      </c>
      <c r="EH211" s="709">
        <v>60093</v>
      </c>
      <c r="EI211" s="682">
        <f>1.2*509886.7</f>
        <v>611864.04</v>
      </c>
      <c r="EJ211" s="1449" t="s">
        <v>467</v>
      </c>
      <c r="EK211" s="627">
        <f>SUM(EI210:EI215)*1</f>
        <v>618108.83000000007</v>
      </c>
      <c r="EL211" s="615">
        <f>EN211/EM211</f>
        <v>9.1460760384886175</v>
      </c>
      <c r="EM211" s="682">
        <v>51132</v>
      </c>
      <c r="EN211" s="682">
        <f>1.2*389714.3</f>
        <v>467657.16</v>
      </c>
      <c r="EO211" s="564">
        <v>437728.32</v>
      </c>
      <c r="EP211" s="627">
        <f>SUM(EN210:EN215)*1</f>
        <v>481263.94999999995</v>
      </c>
      <c r="EQ211" s="615">
        <f>ES211/ER211</f>
        <v>8.340167963295432</v>
      </c>
      <c r="ER211" s="709">
        <v>30078</v>
      </c>
      <c r="ES211" s="682">
        <f>1.2*209046.31</f>
        <v>250855.57199999999</v>
      </c>
      <c r="ET211" s="571">
        <v>319020</v>
      </c>
      <c r="EU211" s="627">
        <f>SUM(ES210:ES215)*1</f>
        <v>260535.38199999998</v>
      </c>
      <c r="EV211" s="615">
        <f>EX211/EW211</f>
        <v>8.3330399122093972</v>
      </c>
      <c r="EW211" s="681">
        <v>49208</v>
      </c>
      <c r="EX211" s="681">
        <f>341710.19*1.2</f>
        <v>410052.228</v>
      </c>
      <c r="EY211" s="571">
        <f>216409.75+83234.52+33293.81</f>
        <v>332938.08</v>
      </c>
      <c r="EZ211" s="627">
        <f>SUM(EX210:EX215)*1</f>
        <v>415920.80799999996</v>
      </c>
      <c r="FA211" s="615">
        <f>FC211/FB211</f>
        <v>8.3524201169590651</v>
      </c>
      <c r="FB211" s="682">
        <v>51300</v>
      </c>
      <c r="FC211" s="681">
        <f>1.2*357065.96</f>
        <v>428479.152</v>
      </c>
      <c r="FD211" s="571">
        <f>266556.96+128835.86+48868.78</f>
        <v>444261.6</v>
      </c>
      <c r="FE211" s="627">
        <f>SUM(FC210:FC215)*1</f>
        <v>441383.81199999998</v>
      </c>
      <c r="FF211" s="615">
        <f>FH211/FG211</f>
        <v>9.3250199445682291</v>
      </c>
      <c r="FG211" s="709">
        <v>55203</v>
      </c>
      <c r="FH211" s="681">
        <f>1.2*428974.23</f>
        <v>514769.07599999994</v>
      </c>
      <c r="FI211" s="571">
        <f>299677.1+144843.93+54940.8</f>
        <v>499461.82999999996</v>
      </c>
      <c r="FJ211" s="627">
        <f>SUM(FH210:FH215)*1</f>
        <v>529706.27599999995</v>
      </c>
      <c r="FK211" s="615">
        <f>FM211/FL211</f>
        <v>9.3540119834075881</v>
      </c>
      <c r="FL211" s="709">
        <v>52072</v>
      </c>
      <c r="FM211" s="682">
        <f>1.2*405901.76</f>
        <v>487082.11199999996</v>
      </c>
      <c r="FN211" s="564">
        <v>512876.1</v>
      </c>
      <c r="FO211" s="627">
        <f>SUM(FM210:FM215)*1</f>
        <v>504609.64199999999</v>
      </c>
      <c r="FP211" s="615">
        <f>FR211/FQ211</f>
        <v>8.689307930991685</v>
      </c>
      <c r="FQ211" s="709">
        <v>48342</v>
      </c>
      <c r="FR211" s="681">
        <f>1.2*350048.77</f>
        <v>420058.52400000003</v>
      </c>
      <c r="FS211" s="564">
        <v>447286.39999999997</v>
      </c>
      <c r="FT211" s="627">
        <f>SUM(FR210:FR215)*1</f>
        <v>438070.40400000004</v>
      </c>
      <c r="FU211" s="615">
        <f>FW211/FV211</f>
        <v>11.045651986967796</v>
      </c>
      <c r="FV211" s="709">
        <f>45119</f>
        <v>45119</v>
      </c>
      <c r="FW211" s="682">
        <f>1.2*415307.31</f>
        <v>498368.772</v>
      </c>
      <c r="FX211" s="571">
        <f>348761.4+168568.01+63939.59</f>
        <v>581269</v>
      </c>
      <c r="FY211" s="627">
        <f>SUM(FW210:FW215)*1</f>
        <v>511292.29199999996</v>
      </c>
      <c r="FZ211" s="615">
        <f>GB211/GA211</f>
        <v>11.566718434310131</v>
      </c>
      <c r="GA211" s="681">
        <v>37913</v>
      </c>
      <c r="GB211" s="681">
        <f>1.2*365440.83</f>
        <v>438528.99599999998</v>
      </c>
      <c r="GC211" s="571">
        <v>441967.02</v>
      </c>
      <c r="GD211" s="627">
        <f>SUM(GB210:GB215)*1</f>
        <v>450597.66600000003</v>
      </c>
      <c r="GE211" s="615">
        <f>GG211/GF211</f>
        <v>11.867495927749644</v>
      </c>
      <c r="GF211" s="709">
        <v>42851</v>
      </c>
      <c r="GG211" s="682">
        <f>1.2*423778.39</f>
        <v>508534.06799999997</v>
      </c>
      <c r="GH211" s="571"/>
      <c r="GI211" s="627">
        <f>SUM(GG210:GG215)*1</f>
        <v>512384.038</v>
      </c>
      <c r="GJ211" s="1554">
        <f>GL211/GK211</f>
        <v>6.5955201417982598</v>
      </c>
      <c r="GK211" s="569">
        <v>62060</v>
      </c>
      <c r="GL211" s="707">
        <v>409317.98</v>
      </c>
      <c r="GM211" s="571">
        <f>400058.1+153868.5+61547.4</f>
        <v>615474</v>
      </c>
      <c r="GN211" s="627">
        <f>SUM(GL210:GL215)*1</f>
        <v>424043.37000000005</v>
      </c>
      <c r="GO211" s="615">
        <f>GQ211/GP211</f>
        <v>15.510347896321312</v>
      </c>
      <c r="GP211" s="709">
        <v>40857</v>
      </c>
      <c r="GQ211" s="682">
        <f>1.2*528088.57</f>
        <v>633706.28399999987</v>
      </c>
      <c r="GR211" s="1449" t="s">
        <v>467</v>
      </c>
      <c r="GS211" s="627">
        <f>SUM(GQ210:GQ215)*1</f>
        <v>639951.07399999991</v>
      </c>
      <c r="GT211" s="615">
        <f>GV211/GU211</f>
        <v>12.085103938874983</v>
      </c>
      <c r="GU211" s="682">
        <v>45546</v>
      </c>
      <c r="GV211" s="682">
        <f>1.2*458690.12</f>
        <v>550428.14399999997</v>
      </c>
      <c r="GW211" s="571">
        <v>437728.32</v>
      </c>
      <c r="GX211" s="627">
        <f>SUM(GV210:GV215)*1</f>
        <v>564034.93400000001</v>
      </c>
      <c r="GY211" s="615">
        <f>HA211/GZ211</f>
        <v>8.340167963295432</v>
      </c>
      <c r="GZ211" s="1454">
        <v>30078</v>
      </c>
      <c r="HA211" s="707">
        <f>1.2*209046.31</f>
        <v>250855.57199999999</v>
      </c>
      <c r="HB211" s="571">
        <v>319020</v>
      </c>
      <c r="HC211" s="627">
        <f>SUM(HA210:HA215)*1</f>
        <v>260535.38199999998</v>
      </c>
      <c r="HD211" s="615">
        <f>HF211/HE211</f>
        <v>8.3330399122093972</v>
      </c>
      <c r="HE211" s="569">
        <v>49208</v>
      </c>
      <c r="HF211" s="569">
        <f>341710.19*1.2</f>
        <v>410052.228</v>
      </c>
      <c r="HG211" s="571">
        <f>216409.75+83234.52+33293.81</f>
        <v>332938.08</v>
      </c>
      <c r="HH211" s="627">
        <f>SUM(HF210:HF215)*1</f>
        <v>415920.80799999996</v>
      </c>
      <c r="HI211" s="615">
        <f>HK211/HJ211</f>
        <v>8.6037358892438771</v>
      </c>
      <c r="HJ211" s="707">
        <v>47889</v>
      </c>
      <c r="HK211" s="569">
        <f>1.2*343353.59</f>
        <v>412024.30800000002</v>
      </c>
      <c r="HL211" s="571">
        <f>266556.96+128835.86+48868.78</f>
        <v>444261.6</v>
      </c>
      <c r="HM211" s="627">
        <f>SUM(HK210:HK215)*1</f>
        <v>424928.96799999999</v>
      </c>
      <c r="HN211" s="615">
        <f>HP211/HO211</f>
        <v>9.0596280421849631</v>
      </c>
      <c r="HO211" s="1454">
        <v>29584</v>
      </c>
      <c r="HP211" s="569">
        <f>1.2*223350.03</f>
        <v>268020.03599999996</v>
      </c>
      <c r="HQ211" s="571">
        <f>299677.1+144843.93+54940.8</f>
        <v>499461.82999999996</v>
      </c>
      <c r="HR211" s="627">
        <f>SUM(HP210:HP215)*1</f>
        <v>279460.89599999995</v>
      </c>
      <c r="HS211" s="615">
        <f>HU211/HT211</f>
        <v>9.3540119834075881</v>
      </c>
      <c r="HT211" s="1454">
        <v>52072</v>
      </c>
      <c r="HU211" s="707">
        <f>1.2*405901.76</f>
        <v>487082.11199999996</v>
      </c>
      <c r="HV211" s="571">
        <v>512876.1</v>
      </c>
      <c r="HW211" s="627">
        <f>SUM(HU210:HU215)*1</f>
        <v>490932.08199999999</v>
      </c>
      <c r="HX211" s="615">
        <f>HZ211/HY211</f>
        <v>8.689307930991685</v>
      </c>
      <c r="HY211" s="1454">
        <v>48342</v>
      </c>
      <c r="HZ211" s="569">
        <f>1.2*350048.77</f>
        <v>420058.52400000003</v>
      </c>
      <c r="IA211" s="571">
        <v>447286.39999999997</v>
      </c>
      <c r="IB211" s="627">
        <f>SUM(HZ210:HZ215)*1</f>
        <v>423908.49400000006</v>
      </c>
      <c r="IC211" s="615">
        <f>IE211/ID211</f>
        <v>11.045651986967796</v>
      </c>
      <c r="ID211" s="1454">
        <f>45119</f>
        <v>45119</v>
      </c>
      <c r="IE211" s="707">
        <f>1.2*415307.31</f>
        <v>498368.772</v>
      </c>
      <c r="IF211" s="571">
        <f>348761.4+168568.01+63939.59</f>
        <v>581269</v>
      </c>
      <c r="IG211" s="627">
        <f>SUM(IE210:IE215)*1</f>
        <v>512311.11199999996</v>
      </c>
      <c r="IH211" s="615">
        <f>IJ211/II211</f>
        <v>5.7989162028855539</v>
      </c>
      <c r="II211" s="569">
        <v>37913</v>
      </c>
      <c r="IJ211" s="569">
        <v>219854.31</v>
      </c>
      <c r="IK211" s="571">
        <v>441967.02</v>
      </c>
      <c r="IL211" s="627">
        <f>SUM(IJ210:IJ215)*1</f>
        <v>223704.28</v>
      </c>
      <c r="IM211" s="615">
        <f>IO211/IN211</f>
        <v>5.7989162028855539</v>
      </c>
      <c r="IN211" s="569">
        <v>37913</v>
      </c>
      <c r="IO211" s="569">
        <v>219854.31</v>
      </c>
      <c r="IP211" s="571"/>
      <c r="IQ211" s="627">
        <f>SUM(IO210:IO215)*1</f>
        <v>223704.28</v>
      </c>
    </row>
    <row r="212" spans="1:251" s="577" customFormat="1" ht="15" customHeight="1">
      <c r="A212" s="684"/>
      <c r="B212" s="520"/>
      <c r="C212" s="520">
        <v>23243188</v>
      </c>
      <c r="D212" s="633" t="s">
        <v>38</v>
      </c>
      <c r="E212" s="568" t="s">
        <v>15</v>
      </c>
      <c r="F212" s="568"/>
      <c r="G212" s="631"/>
      <c r="H212" s="679">
        <v>1</v>
      </c>
      <c r="I212" s="679">
        <v>644.94000000000005</v>
      </c>
      <c r="J212" s="564"/>
      <c r="K212" s="564"/>
      <c r="L212" s="631"/>
      <c r="M212" s="679">
        <v>1</v>
      </c>
      <c r="N212" s="679">
        <v>538.21</v>
      </c>
      <c r="O212" s="564"/>
      <c r="P212" s="564"/>
      <c r="Q212" s="631"/>
      <c r="R212" s="679">
        <v>1</v>
      </c>
      <c r="S212" s="679">
        <v>604.04</v>
      </c>
      <c r="T212" s="564"/>
      <c r="U212" s="564"/>
      <c r="V212" s="631"/>
      <c r="W212" s="679">
        <v>1</v>
      </c>
      <c r="X212" s="679">
        <v>754.24</v>
      </c>
      <c r="Y212" s="564"/>
      <c r="Z212" s="564"/>
      <c r="AA212" s="631"/>
      <c r="AB212" s="679">
        <v>14628</v>
      </c>
      <c r="AC212" s="679">
        <v>737.95</v>
      </c>
      <c r="AD212" s="564"/>
      <c r="AE212" s="564"/>
      <c r="AF212" s="631"/>
      <c r="AG212" s="679">
        <v>1</v>
      </c>
      <c r="AH212" s="679">
        <v>861.56</v>
      </c>
      <c r="AI212" s="564"/>
      <c r="AJ212" s="564"/>
      <c r="AK212" s="631"/>
      <c r="AL212" s="679">
        <v>12006</v>
      </c>
      <c r="AM212" s="679">
        <v>1038.52</v>
      </c>
      <c r="AN212" s="564"/>
      <c r="AO212" s="564"/>
      <c r="AP212" s="631"/>
      <c r="AQ212" s="679">
        <v>12030</v>
      </c>
      <c r="AR212" s="679">
        <v>1109.44</v>
      </c>
      <c r="AS212" s="564"/>
      <c r="AT212" s="564"/>
      <c r="AU212" s="631"/>
      <c r="AV212" s="679">
        <v>14628</v>
      </c>
      <c r="AW212" s="679">
        <v>1382.16</v>
      </c>
      <c r="AX212" s="564"/>
      <c r="AY212" s="564"/>
      <c r="AZ212" s="631"/>
      <c r="BA212" s="679">
        <v>1</v>
      </c>
      <c r="BB212" s="680">
        <v>1280.3499999999999</v>
      </c>
      <c r="BC212" s="564"/>
      <c r="BD212" s="564"/>
      <c r="BE212" s="631"/>
      <c r="BF212" s="679">
        <v>1</v>
      </c>
      <c r="BG212" s="679">
        <v>985.72</v>
      </c>
      <c r="BH212" s="564"/>
      <c r="BI212" s="564"/>
      <c r="BJ212" s="631"/>
      <c r="BK212" s="679">
        <v>14628</v>
      </c>
      <c r="BL212" s="679">
        <v>1073.48</v>
      </c>
      <c r="BM212" s="564"/>
      <c r="BN212" s="564"/>
      <c r="BO212" s="631"/>
      <c r="BP212" s="569">
        <v>14628</v>
      </c>
      <c r="BQ212" s="569">
        <v>644.94000000000005</v>
      </c>
      <c r="BR212" s="571"/>
      <c r="BS212" s="564"/>
      <c r="BT212" s="631"/>
      <c r="BU212" s="679">
        <v>14628</v>
      </c>
      <c r="BV212" s="679">
        <v>962.27</v>
      </c>
      <c r="BW212" s="564"/>
      <c r="BX212" s="564"/>
      <c r="BY212" s="631"/>
      <c r="BZ212" s="679">
        <v>6660</v>
      </c>
      <c r="CA212" s="679">
        <v>795.11</v>
      </c>
      <c r="CB212" s="564">
        <v>795.11</v>
      </c>
      <c r="CC212" s="564"/>
      <c r="CD212" s="631"/>
      <c r="CE212" s="679">
        <v>1</v>
      </c>
      <c r="CF212" s="679">
        <v>724.91</v>
      </c>
      <c r="CG212" s="564" t="s">
        <v>479</v>
      </c>
      <c r="CH212" s="564"/>
      <c r="CI212" s="631"/>
      <c r="CJ212" s="681">
        <v>1</v>
      </c>
      <c r="CK212" s="681">
        <v>748.37</v>
      </c>
      <c r="CL212" s="679">
        <v>724.91</v>
      </c>
      <c r="CM212" s="564"/>
      <c r="CN212" s="631"/>
      <c r="CO212" s="681">
        <v>1</v>
      </c>
      <c r="CP212" s="681">
        <v>910.23</v>
      </c>
      <c r="CQ212" s="679">
        <v>724.91</v>
      </c>
      <c r="CR212" s="564"/>
      <c r="CS212" s="631"/>
      <c r="CT212" s="569">
        <v>14628</v>
      </c>
      <c r="CU212" s="569">
        <v>644.94000000000005</v>
      </c>
      <c r="CV212" s="564">
        <v>748.37</v>
      </c>
      <c r="CW212" s="564"/>
      <c r="CX212" s="631"/>
      <c r="CY212" s="569">
        <v>14628</v>
      </c>
      <c r="CZ212" s="569">
        <v>644.94000000000005</v>
      </c>
      <c r="DA212" s="564">
        <v>910.23</v>
      </c>
      <c r="DB212" s="564"/>
      <c r="DC212" s="631"/>
      <c r="DD212" s="569">
        <v>14628</v>
      </c>
      <c r="DE212" s="569">
        <v>644.94000000000005</v>
      </c>
      <c r="DF212" s="571"/>
      <c r="DG212" s="564"/>
      <c r="DH212" s="631"/>
      <c r="DI212" s="569">
        <v>14628</v>
      </c>
      <c r="DJ212" s="569">
        <v>644.94000000000005</v>
      </c>
      <c r="DK212" s="571"/>
      <c r="DL212" s="564"/>
      <c r="DM212" s="631"/>
      <c r="DN212" s="569">
        <v>14628</v>
      </c>
      <c r="DO212" s="569">
        <v>644.94000000000005</v>
      </c>
      <c r="DP212" s="571"/>
      <c r="DQ212" s="564"/>
      <c r="DR212" s="631"/>
      <c r="DS212" s="569">
        <v>14628</v>
      </c>
      <c r="DT212" s="569">
        <v>644.94000000000005</v>
      </c>
      <c r="DU212" s="571"/>
      <c r="DV212" s="564"/>
      <c r="DW212" s="631"/>
      <c r="DX212" s="569">
        <v>14628</v>
      </c>
      <c r="DY212" s="569">
        <v>644.94000000000005</v>
      </c>
      <c r="DZ212" s="571"/>
      <c r="EA212" s="564"/>
      <c r="EB212" s="631"/>
      <c r="EC212" s="569">
        <v>14628</v>
      </c>
      <c r="ED212" s="569">
        <v>962.27</v>
      </c>
      <c r="EE212" s="1421">
        <v>900.26</v>
      </c>
      <c r="EF212" s="564"/>
      <c r="EG212" s="631"/>
      <c r="EH212" s="569">
        <v>6660</v>
      </c>
      <c r="EI212" s="569">
        <v>795.11</v>
      </c>
      <c r="EJ212" s="571">
        <v>795.11</v>
      </c>
      <c r="EK212" s="564"/>
      <c r="EL212" s="631"/>
      <c r="EM212" s="569">
        <v>1</v>
      </c>
      <c r="EN212" s="569">
        <v>724.91</v>
      </c>
      <c r="EO212" s="571" t="s">
        <v>479</v>
      </c>
      <c r="EP212" s="564"/>
      <c r="EQ212" s="631"/>
      <c r="ER212" s="569">
        <v>1</v>
      </c>
      <c r="ES212" s="679">
        <v>392.02</v>
      </c>
      <c r="ET212" s="372">
        <v>1501.46</v>
      </c>
      <c r="EU212" s="564"/>
      <c r="EV212" s="631"/>
      <c r="EW212" s="569">
        <v>1</v>
      </c>
      <c r="EX212" s="569">
        <v>910.23</v>
      </c>
      <c r="EY212" s="569"/>
      <c r="EZ212" s="564"/>
      <c r="FA212" s="631"/>
      <c r="FB212" s="569">
        <v>14628</v>
      </c>
      <c r="FC212" s="569">
        <v>644.94000000000005</v>
      </c>
      <c r="FD212" s="571">
        <v>748.37</v>
      </c>
      <c r="FE212" s="564"/>
      <c r="FF212" s="631"/>
      <c r="FG212" s="569">
        <v>14628</v>
      </c>
      <c r="FH212" s="569">
        <v>644.94000000000005</v>
      </c>
      <c r="FI212" s="564">
        <v>2382.12</v>
      </c>
      <c r="FJ212" s="564"/>
      <c r="FK212" s="631"/>
      <c r="FL212" s="569">
        <v>14628</v>
      </c>
      <c r="FM212" s="569">
        <v>644.94000000000005</v>
      </c>
      <c r="FN212" s="571"/>
      <c r="FO212" s="564"/>
      <c r="FP212" s="631"/>
      <c r="FQ212" s="569">
        <v>14628</v>
      </c>
      <c r="FR212" s="569">
        <v>644.94000000000005</v>
      </c>
      <c r="FS212" s="571"/>
      <c r="FT212" s="564"/>
      <c r="FU212" s="631"/>
      <c r="FV212" s="569">
        <v>14628</v>
      </c>
      <c r="FW212" s="569">
        <v>644.94000000000005</v>
      </c>
      <c r="FX212" s="571"/>
      <c r="FY212" s="564"/>
      <c r="FZ212" s="631"/>
      <c r="GA212" s="569">
        <v>14628</v>
      </c>
      <c r="GB212" s="569">
        <v>644.94000000000005</v>
      </c>
      <c r="GC212" s="571"/>
      <c r="GD212" s="564"/>
      <c r="GE212" s="631"/>
      <c r="GF212" s="569">
        <v>14628</v>
      </c>
      <c r="GG212" s="569">
        <v>644.94000000000005</v>
      </c>
      <c r="GH212" s="571"/>
      <c r="GI212" s="564"/>
      <c r="GJ212" s="637"/>
      <c r="GK212" s="569">
        <v>14628</v>
      </c>
      <c r="GL212" s="569">
        <v>962.27</v>
      </c>
      <c r="GM212" s="1560">
        <v>900.26</v>
      </c>
      <c r="GN212" s="564"/>
      <c r="GO212" s="631"/>
      <c r="GP212" s="569">
        <v>6660</v>
      </c>
      <c r="GQ212" s="569">
        <v>795.11</v>
      </c>
      <c r="GR212" s="571">
        <v>795.11</v>
      </c>
      <c r="GS212" s="564"/>
      <c r="GT212" s="631"/>
      <c r="GU212" s="569">
        <v>1</v>
      </c>
      <c r="GV212" s="569">
        <v>724.91</v>
      </c>
      <c r="GW212" s="571" t="s">
        <v>479</v>
      </c>
      <c r="GX212" s="564"/>
      <c r="GY212" s="631"/>
      <c r="GZ212" s="569">
        <v>1</v>
      </c>
      <c r="HA212" s="569">
        <v>392.02</v>
      </c>
      <c r="HB212" s="509">
        <v>1501.46</v>
      </c>
      <c r="HC212" s="564"/>
      <c r="HD212" s="631"/>
      <c r="HE212" s="569">
        <v>1</v>
      </c>
      <c r="HF212" s="569">
        <v>910.23</v>
      </c>
      <c r="HG212" s="569"/>
      <c r="HH212" s="564"/>
      <c r="HI212" s="631"/>
      <c r="HJ212" s="569">
        <v>14628</v>
      </c>
      <c r="HK212" s="569">
        <v>644.94000000000005</v>
      </c>
      <c r="HL212" s="571">
        <v>748.37</v>
      </c>
      <c r="HM212" s="564"/>
      <c r="HN212" s="631"/>
      <c r="HO212" s="569">
        <v>14628</v>
      </c>
      <c r="HP212" s="569">
        <v>644.94000000000005</v>
      </c>
      <c r="HQ212" s="571">
        <v>2382.12</v>
      </c>
      <c r="HR212" s="564"/>
      <c r="HS212" s="631"/>
      <c r="HT212" s="569">
        <v>14628</v>
      </c>
      <c r="HU212" s="569">
        <v>644.94000000000005</v>
      </c>
      <c r="HV212" s="571"/>
      <c r="HW212" s="564"/>
      <c r="HX212" s="631"/>
      <c r="HY212" s="569">
        <v>14628</v>
      </c>
      <c r="HZ212" s="569">
        <v>644.94000000000005</v>
      </c>
      <c r="IA212" s="571"/>
      <c r="IB212" s="564"/>
      <c r="IC212" s="631"/>
      <c r="ID212" s="569">
        <v>14628</v>
      </c>
      <c r="IE212" s="569">
        <v>644.94000000000005</v>
      </c>
      <c r="IF212" s="571"/>
      <c r="IG212" s="564"/>
      <c r="IH212" s="631"/>
      <c r="II212" s="569">
        <v>14628</v>
      </c>
      <c r="IJ212" s="569">
        <v>644.94000000000005</v>
      </c>
      <c r="IK212" s="571"/>
      <c r="IL212" s="564"/>
      <c r="IM212" s="631"/>
      <c r="IN212" s="569">
        <v>14628</v>
      </c>
      <c r="IO212" s="569">
        <v>644.94000000000005</v>
      </c>
      <c r="IP212" s="571"/>
      <c r="IQ212" s="564"/>
    </row>
    <row r="213" spans="1:251" s="577" customFormat="1" ht="15" customHeight="1">
      <c r="A213" s="684"/>
      <c r="B213" s="706"/>
      <c r="C213" s="772">
        <v>23243188</v>
      </c>
      <c r="D213" s="734" t="s">
        <v>38</v>
      </c>
      <c r="E213" s="735" t="s">
        <v>542</v>
      </c>
      <c r="F213" s="568"/>
      <c r="G213" s="103"/>
      <c r="H213" s="569"/>
      <c r="I213" s="569"/>
      <c r="J213" s="571"/>
      <c r="K213" s="86"/>
      <c r="L213" s="631"/>
      <c r="M213" s="679"/>
      <c r="N213" s="679"/>
      <c r="O213" s="564"/>
      <c r="P213" s="564"/>
      <c r="Q213" s="631"/>
      <c r="R213" s="679"/>
      <c r="S213" s="679"/>
      <c r="T213" s="564"/>
      <c r="U213" s="564"/>
      <c r="V213" s="631"/>
      <c r="W213" s="679"/>
      <c r="X213" s="679"/>
      <c r="Y213" s="564"/>
      <c r="Z213" s="564"/>
      <c r="AA213" s="631"/>
      <c r="AB213" s="679"/>
      <c r="AC213" s="679"/>
      <c r="AD213" s="564"/>
      <c r="AE213" s="564"/>
      <c r="AF213" s="631"/>
      <c r="AG213" s="679"/>
      <c r="AH213" s="679"/>
      <c r="AI213" s="564"/>
      <c r="AJ213" s="564"/>
      <c r="AK213" s="631"/>
      <c r="AL213" s="679"/>
      <c r="AM213" s="679"/>
      <c r="AN213" s="564"/>
      <c r="AO213" s="564"/>
      <c r="AP213" s="631"/>
      <c r="AQ213" s="679"/>
      <c r="AR213" s="679"/>
      <c r="AS213" s="564"/>
      <c r="AT213" s="564"/>
      <c r="AU213" s="631"/>
      <c r="AV213" s="679"/>
      <c r="AW213" s="679"/>
      <c r="AX213" s="564"/>
      <c r="AY213" s="564"/>
      <c r="AZ213" s="631"/>
      <c r="BA213" s="679"/>
      <c r="BB213" s="680"/>
      <c r="BC213" s="564"/>
      <c r="BD213" s="564"/>
      <c r="BE213" s="631"/>
      <c r="BF213" s="679"/>
      <c r="BG213" s="679"/>
      <c r="BH213" s="564"/>
      <c r="BI213" s="564"/>
      <c r="BJ213" s="631"/>
      <c r="BK213" s="679"/>
      <c r="BL213" s="679"/>
      <c r="BM213" s="564"/>
      <c r="BN213" s="564"/>
      <c r="BO213" s="631"/>
      <c r="BP213" s="569"/>
      <c r="BQ213" s="569"/>
      <c r="BR213" s="571"/>
      <c r="BS213" s="564"/>
      <c r="BT213" s="631"/>
      <c r="BU213" s="679"/>
      <c r="BV213" s="679"/>
      <c r="BW213" s="564"/>
      <c r="BX213" s="564"/>
      <c r="BY213" s="631"/>
      <c r="BZ213" s="679"/>
      <c r="CA213" s="679"/>
      <c r="CB213" s="564"/>
      <c r="CC213" s="564"/>
      <c r="CD213" s="631"/>
      <c r="CE213" s="679"/>
      <c r="CF213" s="679"/>
      <c r="CG213" s="564"/>
      <c r="CH213" s="564"/>
      <c r="CI213" s="631"/>
      <c r="CJ213" s="681"/>
      <c r="CK213" s="681"/>
      <c r="CL213" s="679"/>
      <c r="CM213" s="564"/>
      <c r="CN213" s="631"/>
      <c r="CO213" s="681"/>
      <c r="CP213" s="681"/>
      <c r="CQ213" s="679"/>
      <c r="CR213" s="564"/>
      <c r="CS213" s="631"/>
      <c r="CT213" s="569"/>
      <c r="CU213" s="569"/>
      <c r="CV213" s="564"/>
      <c r="CW213" s="564"/>
      <c r="CX213" s="631"/>
      <c r="CY213" s="679"/>
      <c r="CZ213" s="679">
        <v>291.85000000000002</v>
      </c>
      <c r="DA213" s="564"/>
      <c r="DB213" s="564"/>
      <c r="DC213" s="631"/>
      <c r="DD213" s="569"/>
      <c r="DE213" s="569"/>
      <c r="DF213" s="571"/>
      <c r="DG213" s="564"/>
      <c r="DH213" s="631"/>
      <c r="DI213" s="569"/>
      <c r="DJ213" s="569"/>
      <c r="DK213" s="571"/>
      <c r="DL213" s="564"/>
      <c r="DM213" s="631"/>
      <c r="DN213" s="679"/>
      <c r="DO213" s="679">
        <v>291.85000000000002</v>
      </c>
      <c r="DP213" s="564"/>
      <c r="DQ213" s="564"/>
      <c r="DR213" s="631"/>
      <c r="DS213" s="569"/>
      <c r="DT213" s="569"/>
      <c r="DU213" s="571"/>
      <c r="DV213" s="564"/>
      <c r="DW213" s="631"/>
      <c r="DX213" s="569"/>
      <c r="DY213" s="569"/>
      <c r="DZ213" s="571"/>
      <c r="EA213" s="564"/>
      <c r="EB213" s="631"/>
      <c r="EC213" s="569"/>
      <c r="ED213" s="569"/>
      <c r="EE213" s="38"/>
      <c r="EF213" s="564"/>
      <c r="EG213" s="631"/>
      <c r="EH213" s="569"/>
      <c r="EI213" s="569"/>
      <c r="EJ213" s="571"/>
      <c r="EK213" s="564"/>
      <c r="EL213" s="631"/>
      <c r="EM213" s="569"/>
      <c r="EN213" s="569"/>
      <c r="EO213" s="571"/>
      <c r="EP213" s="564"/>
      <c r="EQ213" s="631"/>
      <c r="ER213" s="569"/>
      <c r="ES213" s="569"/>
      <c r="ET213" s="569"/>
      <c r="EU213" s="564"/>
      <c r="EV213" s="631"/>
      <c r="EW213" s="569"/>
      <c r="EX213" s="569"/>
      <c r="EY213" s="569"/>
      <c r="EZ213" s="564"/>
      <c r="FA213" s="631"/>
      <c r="FB213" s="569"/>
      <c r="FC213" s="569"/>
      <c r="FD213" s="571"/>
      <c r="FE213" s="564"/>
      <c r="FF213" s="631"/>
      <c r="FG213" s="569"/>
      <c r="FH213" s="569">
        <v>291.85000000000002</v>
      </c>
      <c r="FI213" s="571"/>
      <c r="FJ213" s="564"/>
      <c r="FK213" s="631"/>
      <c r="FL213" s="569"/>
      <c r="FM213" s="569"/>
      <c r="FN213" s="571"/>
      <c r="FO213" s="564"/>
      <c r="FP213" s="631"/>
      <c r="FQ213" s="569"/>
      <c r="FR213" s="569"/>
      <c r="FS213" s="571"/>
      <c r="FT213" s="564"/>
      <c r="FU213" s="631"/>
      <c r="FV213" s="569"/>
      <c r="FW213" s="569">
        <v>291.85000000000002</v>
      </c>
      <c r="FX213" s="571"/>
      <c r="FY213" s="564"/>
      <c r="FZ213" s="631"/>
      <c r="GA213" s="569"/>
      <c r="GB213" s="569"/>
      <c r="GC213" s="571"/>
      <c r="GD213" s="564"/>
      <c r="GE213" s="631"/>
      <c r="GF213" s="569"/>
      <c r="GG213" s="569"/>
      <c r="GH213" s="571"/>
      <c r="GI213" s="564"/>
      <c r="GJ213" s="637"/>
      <c r="GK213" s="569"/>
      <c r="GL213" s="569"/>
      <c r="GM213" s="38"/>
      <c r="GN213" s="564"/>
      <c r="GO213" s="631"/>
      <c r="GP213" s="569"/>
      <c r="GQ213" s="569"/>
      <c r="GR213" s="571"/>
      <c r="GS213" s="564"/>
      <c r="GT213" s="631"/>
      <c r="GU213" s="569"/>
      <c r="GV213" s="569"/>
      <c r="GW213" s="571"/>
      <c r="GX213" s="564"/>
      <c r="GY213" s="631"/>
      <c r="GZ213" s="569"/>
      <c r="HA213" s="569"/>
      <c r="HB213" s="569"/>
      <c r="HC213" s="564"/>
      <c r="HD213" s="631"/>
      <c r="HE213" s="569"/>
      <c r="HF213" s="569"/>
      <c r="HG213" s="569"/>
      <c r="HH213" s="564"/>
      <c r="HI213" s="631"/>
      <c r="HJ213" s="569"/>
      <c r="HK213" s="569"/>
      <c r="HL213" s="571"/>
      <c r="HM213" s="564"/>
      <c r="HN213" s="631"/>
      <c r="HO213" s="569"/>
      <c r="HP213" s="569">
        <v>291.85000000000002</v>
      </c>
      <c r="HQ213" s="571"/>
      <c r="HR213" s="564"/>
      <c r="HS213" s="631"/>
      <c r="HT213" s="569"/>
      <c r="HU213" s="569"/>
      <c r="HV213" s="571"/>
      <c r="HW213" s="564"/>
      <c r="HX213" s="631"/>
      <c r="HY213" s="569"/>
      <c r="HZ213" s="569"/>
      <c r="IA213" s="571"/>
      <c r="IB213" s="564"/>
      <c r="IC213" s="631"/>
      <c r="ID213" s="569"/>
      <c r="IE213" s="569">
        <v>291.85000000000002</v>
      </c>
      <c r="IF213" s="571"/>
      <c r="IG213" s="564"/>
      <c r="IH213" s="631"/>
      <c r="II213" s="569"/>
      <c r="IJ213" s="569"/>
      <c r="IK213" s="571"/>
      <c r="IL213" s="564"/>
      <c r="IM213" s="631"/>
      <c r="IN213" s="569"/>
      <c r="IO213" s="569"/>
      <c r="IP213" s="571"/>
      <c r="IQ213" s="564"/>
    </row>
    <row r="214" spans="1:251" s="577" customFormat="1" ht="15" customHeight="1">
      <c r="A214" s="684"/>
      <c r="B214" s="520"/>
      <c r="C214" s="520">
        <v>43126453</v>
      </c>
      <c r="D214" s="613" t="s">
        <v>460</v>
      </c>
      <c r="E214" s="568" t="s">
        <v>461</v>
      </c>
      <c r="F214" s="568"/>
      <c r="G214" s="631"/>
      <c r="H214" s="679"/>
      <c r="I214" s="679"/>
      <c r="J214" s="564"/>
      <c r="K214" s="564"/>
      <c r="L214" s="631"/>
      <c r="M214" s="679"/>
      <c r="N214" s="679"/>
      <c r="O214" s="564"/>
      <c r="P214" s="564"/>
      <c r="Q214" s="631"/>
      <c r="R214" s="679"/>
      <c r="S214" s="679"/>
      <c r="T214" s="564"/>
      <c r="U214" s="564"/>
      <c r="V214" s="631"/>
      <c r="W214" s="679"/>
      <c r="X214" s="679"/>
      <c r="Y214" s="564"/>
      <c r="Z214" s="564"/>
      <c r="AA214" s="631"/>
      <c r="AB214" s="679"/>
      <c r="AC214" s="679"/>
      <c r="AD214" s="564"/>
      <c r="AE214" s="564"/>
      <c r="AF214" s="631"/>
      <c r="AG214" s="679"/>
      <c r="AH214" s="679"/>
      <c r="AI214" s="564"/>
      <c r="AJ214" s="564"/>
      <c r="AK214" s="631"/>
      <c r="AL214" s="679"/>
      <c r="AM214" s="679"/>
      <c r="AN214" s="564"/>
      <c r="AO214" s="564"/>
      <c r="AP214" s="631"/>
      <c r="AQ214" s="679"/>
      <c r="AR214" s="679"/>
      <c r="AS214" s="564"/>
      <c r="AT214" s="564"/>
      <c r="AU214" s="631"/>
      <c r="AV214" s="679"/>
      <c r="AW214" s="679"/>
      <c r="AX214" s="564"/>
      <c r="AY214" s="564"/>
      <c r="AZ214" s="631">
        <f>BB214/BA214</f>
        <v>1.7406122366778105</v>
      </c>
      <c r="BA214" s="679">
        <v>49654</v>
      </c>
      <c r="BB214" s="679">
        <v>86428.36</v>
      </c>
      <c r="BC214" s="564">
        <v>25209.29</v>
      </c>
      <c r="BD214" s="564"/>
      <c r="BE214" s="631">
        <f>BG214/BF214</f>
        <v>1.7406119008470871</v>
      </c>
      <c r="BF214" s="681">
        <v>48047</v>
      </c>
      <c r="BG214" s="682">
        <v>83631.179999999993</v>
      </c>
      <c r="BH214" s="564">
        <f>75767.1+28620.89+7864.08</f>
        <v>112252.07</v>
      </c>
      <c r="BI214" s="564"/>
      <c r="BJ214" s="631">
        <f>BL214/BK214</f>
        <v>1.7406121344492336</v>
      </c>
      <c r="BK214" s="681">
        <v>51737</v>
      </c>
      <c r="BL214" s="681">
        <v>90054.05</v>
      </c>
      <c r="BM214" s="571"/>
      <c r="BN214" s="564"/>
      <c r="BO214" s="631">
        <v>1.7406121344492336</v>
      </c>
      <c r="BP214" s="679">
        <v>61717</v>
      </c>
      <c r="BQ214" s="569"/>
      <c r="BR214" s="571"/>
      <c r="BS214" s="564"/>
      <c r="BT214" s="631">
        <v>1.9217641604010025</v>
      </c>
      <c r="BU214" s="679"/>
      <c r="BV214" s="680">
        <v>9903.34</v>
      </c>
      <c r="BW214" s="564"/>
      <c r="BX214" s="564"/>
      <c r="BY214" s="631"/>
      <c r="BZ214" s="679">
        <v>1</v>
      </c>
      <c r="CA214" s="679" t="s">
        <v>462</v>
      </c>
      <c r="CB214" s="564"/>
      <c r="CC214" s="564"/>
      <c r="CD214" s="631"/>
      <c r="CE214" s="679"/>
      <c r="CF214" s="680">
        <v>6872.88</v>
      </c>
      <c r="CG214" s="564"/>
      <c r="CH214" s="564"/>
      <c r="CI214" s="631"/>
      <c r="CJ214" s="679"/>
      <c r="CK214" s="680">
        <v>4827.38</v>
      </c>
      <c r="CL214" s="564"/>
      <c r="CM214" s="564"/>
      <c r="CN214" s="631"/>
      <c r="CO214" s="569"/>
      <c r="CP214" s="569"/>
      <c r="CQ214" s="571"/>
      <c r="CR214" s="564"/>
      <c r="CS214" s="631"/>
      <c r="CT214" s="679"/>
      <c r="CU214" s="372">
        <v>6129.86</v>
      </c>
      <c r="CV214" s="564"/>
      <c r="CW214" s="564"/>
      <c r="CX214" s="631"/>
      <c r="CY214" s="679"/>
      <c r="CZ214" s="679">
        <v>5831.33</v>
      </c>
      <c r="DA214" s="564"/>
      <c r="DB214" s="564"/>
      <c r="DC214" s="631"/>
      <c r="DD214" s="569"/>
      <c r="DE214" s="569"/>
      <c r="DF214" s="571"/>
      <c r="DG214" s="564"/>
      <c r="DH214" s="631"/>
      <c r="DI214" s="569"/>
      <c r="DJ214" s="569"/>
      <c r="DK214" s="571"/>
      <c r="DL214" s="564"/>
      <c r="DM214" s="631"/>
      <c r="DN214" s="679"/>
      <c r="DO214" s="679">
        <v>7289.16</v>
      </c>
      <c r="DP214" s="564"/>
      <c r="DQ214" s="564"/>
      <c r="DR214" s="631"/>
      <c r="DS214" s="679"/>
      <c r="DT214" s="679">
        <v>8056.44</v>
      </c>
      <c r="DU214" s="564"/>
      <c r="DV214" s="564"/>
      <c r="DW214" s="631"/>
      <c r="DX214" s="569"/>
      <c r="DY214" s="569"/>
      <c r="DZ214" s="571"/>
      <c r="EA214" s="564"/>
      <c r="EB214" s="631">
        <v>1.9217641604010025</v>
      </c>
      <c r="EC214" s="569"/>
      <c r="ED214" s="707">
        <v>9903.34</v>
      </c>
      <c r="EE214" s="571"/>
      <c r="EF214" s="564"/>
      <c r="EG214" s="631"/>
      <c r="EH214" s="569">
        <v>1</v>
      </c>
      <c r="EI214" s="569" t="s">
        <v>462</v>
      </c>
      <c r="EJ214" s="571"/>
      <c r="EK214" s="564"/>
      <c r="EL214" s="631"/>
      <c r="EM214" s="569"/>
      <c r="EN214" s="707">
        <v>6872.88</v>
      </c>
      <c r="EO214" s="571"/>
      <c r="EP214" s="564"/>
      <c r="EQ214" s="631"/>
      <c r="ER214" s="569"/>
      <c r="ES214" s="707">
        <v>4827.38</v>
      </c>
      <c r="ET214" s="571"/>
      <c r="EU214" s="564"/>
      <c r="EV214" s="631"/>
      <c r="EW214" s="569"/>
      <c r="EX214" s="569"/>
      <c r="EY214" s="571"/>
      <c r="EZ214" s="564"/>
      <c r="FA214" s="631"/>
      <c r="FB214" s="569"/>
      <c r="FC214" s="509">
        <v>6129.86</v>
      </c>
      <c r="FD214" s="571"/>
      <c r="FE214" s="564"/>
      <c r="FF214" s="631"/>
      <c r="FG214" s="679"/>
      <c r="FH214" s="679">
        <v>7381.6</v>
      </c>
      <c r="FI214" s="564"/>
      <c r="FJ214" s="564"/>
      <c r="FK214" s="631"/>
      <c r="FL214" s="679">
        <v>1</v>
      </c>
      <c r="FM214" s="679">
        <v>9596.08</v>
      </c>
      <c r="FN214" s="564"/>
      <c r="FO214" s="564"/>
      <c r="FP214" s="631"/>
      <c r="FQ214" s="679"/>
      <c r="FR214" s="679">
        <v>11164.43</v>
      </c>
      <c r="FS214" s="564"/>
      <c r="FT214" s="564"/>
      <c r="FU214" s="631"/>
      <c r="FV214" s="679">
        <v>1</v>
      </c>
      <c r="FW214" s="679">
        <v>6827.98</v>
      </c>
      <c r="FX214" s="564"/>
      <c r="FY214" s="564"/>
      <c r="FZ214" s="631"/>
      <c r="GA214" s="679">
        <v>1</v>
      </c>
      <c r="GB214" s="679">
        <v>6458.9</v>
      </c>
      <c r="GC214" s="564"/>
      <c r="GD214" s="564"/>
      <c r="GE214" s="631"/>
      <c r="GF214" s="569"/>
      <c r="GG214" s="569"/>
      <c r="GH214" s="571"/>
      <c r="GI214" s="564"/>
      <c r="GJ214" s="637">
        <v>1.9217641604010025</v>
      </c>
      <c r="GK214" s="569"/>
      <c r="GL214" s="707">
        <v>9903.34</v>
      </c>
      <c r="GM214" s="571"/>
      <c r="GN214" s="564"/>
      <c r="GO214" s="631"/>
      <c r="GP214" s="569">
        <v>1</v>
      </c>
      <c r="GQ214" s="569" t="s">
        <v>462</v>
      </c>
      <c r="GR214" s="571"/>
      <c r="GS214" s="564"/>
      <c r="GT214" s="631"/>
      <c r="GU214" s="569"/>
      <c r="GV214" s="707">
        <v>6872.88</v>
      </c>
      <c r="GW214" s="571"/>
      <c r="GX214" s="564"/>
      <c r="GY214" s="631"/>
      <c r="GZ214" s="569"/>
      <c r="HA214" s="707">
        <v>4827.38</v>
      </c>
      <c r="HB214" s="571"/>
      <c r="HC214" s="564"/>
      <c r="HD214" s="631"/>
      <c r="HE214" s="569"/>
      <c r="HF214" s="569"/>
      <c r="HG214" s="571"/>
      <c r="HH214" s="564"/>
      <c r="HI214" s="631"/>
      <c r="HJ214" s="569"/>
      <c r="HK214" s="509">
        <v>6129.86</v>
      </c>
      <c r="HL214" s="571"/>
      <c r="HM214" s="564"/>
      <c r="HN214" s="631"/>
      <c r="HO214" s="569"/>
      <c r="HP214" s="569">
        <v>5831.33</v>
      </c>
      <c r="HQ214" s="571"/>
      <c r="HR214" s="564"/>
      <c r="HS214" s="631"/>
      <c r="HT214" s="569"/>
      <c r="HU214" s="569"/>
      <c r="HV214" s="571"/>
      <c r="HW214" s="564"/>
      <c r="HX214" s="631"/>
      <c r="HY214" s="569"/>
      <c r="HZ214" s="569"/>
      <c r="IA214" s="571"/>
      <c r="IB214" s="564"/>
      <c r="IC214" s="631"/>
      <c r="ID214" s="569"/>
      <c r="IE214" s="569">
        <v>7289.16</v>
      </c>
      <c r="IF214" s="571"/>
      <c r="IG214" s="564"/>
      <c r="IH214" s="631"/>
      <c r="II214" s="569"/>
      <c r="IJ214" s="569"/>
      <c r="IK214" s="571"/>
      <c r="IL214" s="564"/>
      <c r="IM214" s="631"/>
      <c r="IN214" s="569"/>
      <c r="IO214" s="569"/>
      <c r="IP214" s="571"/>
      <c r="IQ214" s="564"/>
    </row>
    <row r="215" spans="1:251" s="264" customFormat="1" ht="15" customHeight="1" thickBot="1">
      <c r="A215" s="685"/>
      <c r="B215" s="258"/>
      <c r="C215" s="258">
        <v>43126453</v>
      </c>
      <c r="D215" s="20" t="s">
        <v>460</v>
      </c>
      <c r="E215" s="259" t="s">
        <v>17</v>
      </c>
      <c r="F215" s="259"/>
      <c r="G215" s="3">
        <f>I215/H215</f>
        <v>37.706235294117647</v>
      </c>
      <c r="H215" s="170">
        <v>85</v>
      </c>
      <c r="I215" s="170">
        <f>(1315.8+1889.23)</f>
        <v>3205.0299999999997</v>
      </c>
      <c r="J215" s="179"/>
      <c r="K215" s="179"/>
      <c r="L215" s="3">
        <f>N215/M215</f>
        <v>37.841323529411767</v>
      </c>
      <c r="M215" s="170">
        <v>68</v>
      </c>
      <c r="N215" s="170">
        <f>(1052.64+1520.57)</f>
        <v>2573.21</v>
      </c>
      <c r="O215" s="179"/>
      <c r="P215" s="179"/>
      <c r="Q215" s="3">
        <f>S215/R215</f>
        <v>30.232117647058825</v>
      </c>
      <c r="R215" s="170">
        <v>85</v>
      </c>
      <c r="S215" s="170">
        <f>(1052.64+1517.09)</f>
        <v>2569.73</v>
      </c>
      <c r="T215" s="179"/>
      <c r="U215" s="179"/>
      <c r="V215" s="3">
        <f>X215/W215</f>
        <v>31.078969072164949</v>
      </c>
      <c r="W215" s="170">
        <v>97</v>
      </c>
      <c r="X215" s="170">
        <v>3014.66</v>
      </c>
      <c r="Y215" s="179"/>
      <c r="Z215" s="179"/>
      <c r="AA215" s="3">
        <f>AC215/AB215</f>
        <v>37.777058823529416</v>
      </c>
      <c r="AB215" s="170">
        <v>85</v>
      </c>
      <c r="AC215" s="170">
        <f>(1315.8+1895.25)</f>
        <v>3211.05</v>
      </c>
      <c r="AD215" s="179"/>
      <c r="AE215" s="179"/>
      <c r="AF215" s="3">
        <f>AH215/AG215</f>
        <v>37.751176470588234</v>
      </c>
      <c r="AG215" s="170">
        <v>85</v>
      </c>
      <c r="AH215" s="170">
        <f>(1284.84+1924.01)</f>
        <v>3208.85</v>
      </c>
      <c r="AI215" s="179"/>
      <c r="AJ215" s="179"/>
      <c r="AK215" s="3">
        <f>AM215/AL215</f>
        <v>37.641313131313126</v>
      </c>
      <c r="AL215" s="170">
        <v>99</v>
      </c>
      <c r="AM215" s="170">
        <f>(1532.52+2193.97)</f>
        <v>3726.49</v>
      </c>
      <c r="AN215" s="179"/>
      <c r="AO215" s="179"/>
      <c r="AP215" s="3">
        <f>AR215/AQ215</f>
        <v>37.922666666666665</v>
      </c>
      <c r="AQ215" s="170">
        <v>90</v>
      </c>
      <c r="AR215" s="170">
        <f>(1393.2+2019.84)</f>
        <v>3413.04</v>
      </c>
      <c r="AS215" s="179">
        <v>46327.24</v>
      </c>
      <c r="AT215" s="179"/>
      <c r="AU215" s="3">
        <f>AW215/AV215</f>
        <v>38.081379310344829</v>
      </c>
      <c r="AV215" s="170">
        <v>116</v>
      </c>
      <c r="AW215" s="170">
        <f>(1795.68+2621.76)</f>
        <v>4417.4400000000005</v>
      </c>
      <c r="AX215" s="179"/>
      <c r="AY215" s="179"/>
      <c r="AZ215" s="3">
        <f>BB215/BA215</f>
        <v>37.649379844961246</v>
      </c>
      <c r="BA215" s="170">
        <v>129</v>
      </c>
      <c r="BB215" s="170">
        <f>1996.92+2859.85</f>
        <v>4856.7700000000004</v>
      </c>
      <c r="BC215" s="179"/>
      <c r="BD215" s="179"/>
      <c r="BE215" s="3">
        <f>BG215/BF215</f>
        <v>37.722844827586208</v>
      </c>
      <c r="BF215" s="170">
        <v>116</v>
      </c>
      <c r="BG215" s="170">
        <f>(1834.5+2541.35)</f>
        <v>4375.8500000000004</v>
      </c>
      <c r="BH215" s="179"/>
      <c r="BI215" s="179"/>
      <c r="BJ215" s="3">
        <f>BL215/BK215</f>
        <v>86.086134453781511</v>
      </c>
      <c r="BK215" s="170">
        <v>119</v>
      </c>
      <c r="BL215" s="170">
        <f>(1842.12+2658.37)+5743.76</f>
        <v>10244.25</v>
      </c>
      <c r="BM215" s="179"/>
      <c r="BN215" s="179"/>
      <c r="BO215" s="3">
        <f>BQ215/BP215</f>
        <v>37.706235294117647</v>
      </c>
      <c r="BP215" s="169">
        <v>85</v>
      </c>
      <c r="BQ215" s="169">
        <f>(1315.8+1889.23)</f>
        <v>3205.0299999999997</v>
      </c>
      <c r="BR215" s="48"/>
      <c r="BS215" s="179"/>
      <c r="BT215" s="3">
        <f>BV215/BU215</f>
        <v>45.409176470588235</v>
      </c>
      <c r="BU215" s="170">
        <v>85</v>
      </c>
      <c r="BV215" s="170">
        <f>(1563.48+2296.3)</f>
        <v>3859.78</v>
      </c>
      <c r="BW215" s="179"/>
      <c r="BX215" s="179"/>
      <c r="BY215" s="3">
        <f>CA215/BZ215</f>
        <v>34.933846153846154</v>
      </c>
      <c r="BZ215" s="170">
        <v>156</v>
      </c>
      <c r="CA215" s="369">
        <v>5449.68</v>
      </c>
      <c r="CB215" s="179"/>
      <c r="CC215" s="179"/>
      <c r="CD215" s="3">
        <f>CF215/CE215</f>
        <v>54.135135135135137</v>
      </c>
      <c r="CE215" s="170">
        <v>111</v>
      </c>
      <c r="CF215" s="369">
        <v>6009</v>
      </c>
      <c r="CG215" s="179"/>
      <c r="CH215" s="179"/>
      <c r="CI215" s="3">
        <f>CK215/CJ215</f>
        <v>52.475411764705882</v>
      </c>
      <c r="CJ215" s="170">
        <v>85</v>
      </c>
      <c r="CK215" s="369">
        <v>4460.41</v>
      </c>
      <c r="CL215" s="179"/>
      <c r="CM215" s="179"/>
      <c r="CN215" s="3">
        <f>CP215/CO215</f>
        <v>4958.3500000000004</v>
      </c>
      <c r="CO215" s="170">
        <v>1</v>
      </c>
      <c r="CP215" s="170">
        <v>4958.3500000000004</v>
      </c>
      <c r="CQ215" s="179"/>
      <c r="CR215" s="179"/>
      <c r="CS215" s="3">
        <f>CU215/CT215</f>
        <v>6129.86</v>
      </c>
      <c r="CT215" s="170">
        <v>1</v>
      </c>
      <c r="CU215" s="369">
        <v>6129.86</v>
      </c>
      <c r="CV215" s="179"/>
      <c r="CW215" s="179"/>
      <c r="CX215" s="3">
        <f>CZ215/CY215</f>
        <v>4672.74</v>
      </c>
      <c r="CY215" s="169">
        <v>1</v>
      </c>
      <c r="CZ215" s="170">
        <v>4672.74</v>
      </c>
      <c r="DA215" s="179"/>
      <c r="DB215" s="179"/>
      <c r="DC215" s="3">
        <f>DE215/DD215</f>
        <v>37.706235294117647</v>
      </c>
      <c r="DD215" s="169">
        <v>85</v>
      </c>
      <c r="DE215" s="550">
        <f>(1315.8+1889.23)</f>
        <v>3205.0299999999997</v>
      </c>
      <c r="DF215" s="48"/>
      <c r="DG215" s="179"/>
      <c r="DH215" s="3">
        <f>DJ215/DI215</f>
        <v>37.706235294117647</v>
      </c>
      <c r="DI215" s="169">
        <v>85</v>
      </c>
      <c r="DJ215" s="169">
        <f>(1315.8+1889.23)</f>
        <v>3205.0299999999997</v>
      </c>
      <c r="DK215" s="48"/>
      <c r="DL215" s="179"/>
      <c r="DM215" s="3">
        <f>DO215/DN215</f>
        <v>62.817472527472532</v>
      </c>
      <c r="DN215" s="170">
        <v>91</v>
      </c>
      <c r="DO215" s="170">
        <v>5716.39</v>
      </c>
      <c r="DP215" s="179"/>
      <c r="DQ215" s="179"/>
      <c r="DR215" s="3">
        <f>DT215/DS215</f>
        <v>74.801764705882348</v>
      </c>
      <c r="DS215" s="169">
        <v>85</v>
      </c>
      <c r="DT215" s="170">
        <v>6358.15</v>
      </c>
      <c r="DU215" s="179"/>
      <c r="DV215" s="179"/>
      <c r="DW215" s="3">
        <f>DY215/DX215</f>
        <v>37.706235294117647</v>
      </c>
      <c r="DX215" s="169">
        <v>85</v>
      </c>
      <c r="DY215" s="169">
        <f>(1315.8+1889.23)</f>
        <v>3205.0299999999997</v>
      </c>
      <c r="DZ215" s="48"/>
      <c r="EA215" s="179"/>
      <c r="EB215" s="3">
        <f>ED215/EC215</f>
        <v>45.409176470588235</v>
      </c>
      <c r="EC215" s="169">
        <v>85</v>
      </c>
      <c r="ED215" s="169">
        <f>(1563.48+2296.3)</f>
        <v>3859.78</v>
      </c>
      <c r="EE215" s="48"/>
      <c r="EF215" s="179"/>
      <c r="EG215" s="3">
        <f>EI215/EH215</f>
        <v>34.933846153846154</v>
      </c>
      <c r="EH215" s="169">
        <v>156</v>
      </c>
      <c r="EI215" s="775">
        <v>5449.68</v>
      </c>
      <c r="EJ215" s="48"/>
      <c r="EK215" s="179"/>
      <c r="EL215" s="3">
        <f>EN215/EM215</f>
        <v>54.135135135135137</v>
      </c>
      <c r="EM215" s="169">
        <v>111</v>
      </c>
      <c r="EN215" s="775">
        <v>6009</v>
      </c>
      <c r="EO215" s="48"/>
      <c r="EP215" s="179"/>
      <c r="EQ215" s="3">
        <f>ES215/ER215</f>
        <v>52.475411764705882</v>
      </c>
      <c r="ER215" s="169">
        <v>85</v>
      </c>
      <c r="ES215" s="775">
        <v>4460.41</v>
      </c>
      <c r="ET215" s="48"/>
      <c r="EU215" s="179"/>
      <c r="EV215" s="3">
        <f>EX215/EW215</f>
        <v>4958.3500000000004</v>
      </c>
      <c r="EW215" s="169">
        <v>1</v>
      </c>
      <c r="EX215" s="169">
        <v>4958.3500000000004</v>
      </c>
      <c r="EY215" s="48"/>
      <c r="EZ215" s="179"/>
      <c r="FA215" s="3">
        <f>FC215/FB215</f>
        <v>6129.86</v>
      </c>
      <c r="FB215" s="169">
        <v>1</v>
      </c>
      <c r="FC215" s="775">
        <v>6129.86</v>
      </c>
      <c r="FD215" s="48"/>
      <c r="FE215" s="179"/>
      <c r="FF215" s="3">
        <f>FH215/FG215</f>
        <v>6618.81</v>
      </c>
      <c r="FG215" s="169">
        <v>1</v>
      </c>
      <c r="FH215" s="170">
        <v>6618.81</v>
      </c>
      <c r="FI215" s="179"/>
      <c r="FJ215" s="179"/>
      <c r="FK215" s="3">
        <f>FM215/FL215</f>
        <v>70.062596153846158</v>
      </c>
      <c r="FL215" s="170">
        <v>104</v>
      </c>
      <c r="FM215" s="170">
        <v>7286.51</v>
      </c>
      <c r="FN215" s="179"/>
      <c r="FO215" s="179"/>
      <c r="FP215" s="3">
        <f>FR215/FQ215</f>
        <v>71.293218390804597</v>
      </c>
      <c r="FQ215" s="170">
        <v>87</v>
      </c>
      <c r="FR215" s="170">
        <v>6202.51</v>
      </c>
      <c r="FS215" s="179"/>
      <c r="FT215" s="179"/>
      <c r="FU215" s="3">
        <f>FW215/FV215</f>
        <v>69.712837837837839</v>
      </c>
      <c r="FV215" s="170">
        <v>74</v>
      </c>
      <c r="FW215" s="170">
        <v>5158.75</v>
      </c>
      <c r="FX215" s="179"/>
      <c r="FY215" s="179"/>
      <c r="FZ215" s="3">
        <f>GB215/GA215</f>
        <v>70.92614285714285</v>
      </c>
      <c r="GA215" s="170">
        <v>70</v>
      </c>
      <c r="GB215" s="369">
        <v>4964.83</v>
      </c>
      <c r="GC215" s="179"/>
      <c r="GD215" s="179"/>
      <c r="GE215" s="3">
        <f>GG215/GF215</f>
        <v>37.706235294117647</v>
      </c>
      <c r="GF215" s="169">
        <v>85</v>
      </c>
      <c r="GG215" s="169">
        <f>(1315.8+1889.23)</f>
        <v>3205.0299999999997</v>
      </c>
      <c r="GH215" s="48"/>
      <c r="GI215" s="179"/>
      <c r="GJ215" s="285">
        <f>GL215/GK215</f>
        <v>45.409176470588235</v>
      </c>
      <c r="GK215" s="169">
        <v>85</v>
      </c>
      <c r="GL215" s="169">
        <f>(1563.48+2296.3)</f>
        <v>3859.78</v>
      </c>
      <c r="GM215" s="48"/>
      <c r="GN215" s="179"/>
      <c r="GO215" s="3">
        <f>GQ215/GP215</f>
        <v>34.933846153846154</v>
      </c>
      <c r="GP215" s="169">
        <v>156</v>
      </c>
      <c r="GQ215" s="775">
        <v>5449.68</v>
      </c>
      <c r="GR215" s="48"/>
      <c r="GS215" s="179"/>
      <c r="GT215" s="3">
        <f>GV215/GU215</f>
        <v>54.135135135135137</v>
      </c>
      <c r="GU215" s="169">
        <v>111</v>
      </c>
      <c r="GV215" s="775">
        <v>6009</v>
      </c>
      <c r="GW215" s="48"/>
      <c r="GX215" s="179"/>
      <c r="GY215" s="3">
        <f>HA215/GZ215</f>
        <v>52.475411764705882</v>
      </c>
      <c r="GZ215" s="169">
        <v>85</v>
      </c>
      <c r="HA215" s="775">
        <v>4460.41</v>
      </c>
      <c r="HB215" s="48"/>
      <c r="HC215" s="179"/>
      <c r="HD215" s="3">
        <f>HF215/HE215</f>
        <v>4958.3500000000004</v>
      </c>
      <c r="HE215" s="169">
        <v>1</v>
      </c>
      <c r="HF215" s="169">
        <v>4958.3500000000004</v>
      </c>
      <c r="HG215" s="48"/>
      <c r="HH215" s="179"/>
      <c r="HI215" s="3">
        <f>HK215/HJ215</f>
        <v>6129.86</v>
      </c>
      <c r="HJ215" s="169">
        <v>1</v>
      </c>
      <c r="HK215" s="775">
        <v>6129.86</v>
      </c>
      <c r="HL215" s="48"/>
      <c r="HM215" s="179"/>
      <c r="HN215" s="3">
        <f>HP215/HO215</f>
        <v>4672.74</v>
      </c>
      <c r="HO215" s="169">
        <v>1</v>
      </c>
      <c r="HP215" s="169">
        <v>4672.74</v>
      </c>
      <c r="HQ215" s="48"/>
      <c r="HR215" s="179"/>
      <c r="HS215" s="3">
        <f>HU215/HT215</f>
        <v>37.706235294117647</v>
      </c>
      <c r="HT215" s="169">
        <v>85</v>
      </c>
      <c r="HU215" s="169">
        <f>(1315.8+1889.23)</f>
        <v>3205.0299999999997</v>
      </c>
      <c r="HV215" s="48"/>
      <c r="HW215" s="179"/>
      <c r="HX215" s="3">
        <f>HZ215/HY215</f>
        <v>37.706235294117647</v>
      </c>
      <c r="HY215" s="169">
        <v>85</v>
      </c>
      <c r="HZ215" s="169">
        <f>(1315.8+1889.23)</f>
        <v>3205.0299999999997</v>
      </c>
      <c r="IA215" s="48"/>
      <c r="IB215" s="179"/>
      <c r="IC215" s="3">
        <f>IE215/ID215</f>
        <v>62.817472527472532</v>
      </c>
      <c r="ID215" s="169">
        <v>91</v>
      </c>
      <c r="IE215" s="169">
        <v>5716.39</v>
      </c>
      <c r="IF215" s="48"/>
      <c r="IG215" s="179"/>
      <c r="IH215" s="3">
        <f>IJ215/II215</f>
        <v>37.706235294117647</v>
      </c>
      <c r="II215" s="169">
        <v>85</v>
      </c>
      <c r="IJ215" s="169">
        <f>(1315.8+1889.23)</f>
        <v>3205.0299999999997</v>
      </c>
      <c r="IK215" s="48"/>
      <c r="IL215" s="179"/>
      <c r="IM215" s="3">
        <f>IO215/IN215</f>
        <v>37.706235294117647</v>
      </c>
      <c r="IN215" s="169">
        <v>85</v>
      </c>
      <c r="IO215" s="169">
        <f>(1315.8+1889.23)</f>
        <v>3205.0299999999997</v>
      </c>
      <c r="IP215" s="48"/>
      <c r="IQ215" s="179"/>
    </row>
    <row r="216" spans="1:251" s="508" customFormat="1" ht="15" customHeight="1">
      <c r="A216" s="659"/>
      <c r="B216" s="265" t="s">
        <v>263</v>
      </c>
      <c r="C216" s="5" t="s">
        <v>454</v>
      </c>
      <c r="D216" s="6" t="s">
        <v>25</v>
      </c>
      <c r="E216" s="7" t="s">
        <v>10</v>
      </c>
      <c r="F216" s="4"/>
      <c r="G216" s="196"/>
      <c r="H216" s="197"/>
      <c r="I216" s="197"/>
      <c r="J216" s="38"/>
      <c r="K216" s="206"/>
      <c r="L216" s="205"/>
      <c r="M216" s="197"/>
      <c r="N216" s="197"/>
      <c r="O216" s="38"/>
      <c r="P216" s="206"/>
      <c r="Q216" s="205"/>
      <c r="R216" s="197"/>
      <c r="S216" s="197"/>
      <c r="T216" s="38"/>
      <c r="U216" s="206"/>
      <c r="V216" s="210"/>
      <c r="W216" s="197"/>
      <c r="X216" s="197">
        <v>2024</v>
      </c>
      <c r="Y216" s="38"/>
      <c r="Z216" s="38">
        <f>SUM(X216:X220)*1.1</f>
        <v>300629.27399999998</v>
      </c>
      <c r="AA216" s="280"/>
      <c r="AB216" s="197"/>
      <c r="AC216" s="197">
        <v>1518</v>
      </c>
      <c r="AD216" s="38"/>
      <c r="AE216" s="38">
        <f>SUM(AC216:AC220)*1.1</f>
        <v>256404.698</v>
      </c>
      <c r="AF216" s="280"/>
      <c r="AG216" s="197"/>
      <c r="AH216" s="197">
        <v>2530</v>
      </c>
      <c r="AI216" s="38"/>
      <c r="AJ216" s="38">
        <f>AJ217*1.1</f>
        <v>286229.174</v>
      </c>
      <c r="AK216" s="36"/>
      <c r="AL216" s="197"/>
      <c r="AM216" s="197"/>
      <c r="AN216" s="38"/>
      <c r="AO216" s="384">
        <f>AO217*1.2</f>
        <v>345335.47200000001</v>
      </c>
      <c r="AP216" s="36"/>
      <c r="AQ216" s="197"/>
      <c r="AR216" s="197"/>
      <c r="AS216" s="38"/>
      <c r="AT216" s="384">
        <f>SUM(AR216:AR220)*1.1</f>
        <v>22223.465000000004</v>
      </c>
      <c r="AU216" s="36"/>
      <c r="AV216" s="197"/>
      <c r="AW216" s="197"/>
      <c r="AX216" s="38"/>
      <c r="AY216" s="384">
        <f>SUM(AW216:AW220)*1.1</f>
        <v>206897.21800000002</v>
      </c>
      <c r="AZ216" s="36"/>
      <c r="BA216" s="197"/>
      <c r="BB216" s="197"/>
      <c r="BC216" s="38"/>
      <c r="BD216" s="384">
        <f>SUM(BB216:BB220)*1.1</f>
        <v>218591.56000000003</v>
      </c>
      <c r="BE216" s="36"/>
      <c r="BF216" s="197"/>
      <c r="BG216" s="197"/>
      <c r="BH216" s="38"/>
      <c r="BI216" s="384">
        <f>SUM(BG216:BG220)*1.1</f>
        <v>232498.68400000001</v>
      </c>
      <c r="BJ216" s="36"/>
      <c r="BK216" s="197"/>
      <c r="BL216" s="197"/>
      <c r="BM216" s="38"/>
      <c r="BN216" s="384">
        <f>SUM(BL216:BL220)*1.1</f>
        <v>239244.79700000005</v>
      </c>
      <c r="BO216" s="36"/>
      <c r="BP216" s="197"/>
      <c r="BQ216" s="197"/>
      <c r="BR216" s="38"/>
      <c r="BS216" s="384">
        <f>SUM(BQ216:BQ220)*1.1</f>
        <v>299828.52900000004</v>
      </c>
      <c r="BT216" s="36"/>
      <c r="BU216" s="197"/>
      <c r="BV216" s="197"/>
      <c r="BW216" s="38"/>
      <c r="BX216" s="384">
        <f>SUM(BV216:BV220)*1.1</f>
        <v>318961.962</v>
      </c>
      <c r="BY216" s="36"/>
      <c r="BZ216" s="197"/>
      <c r="CA216" s="200">
        <f>(1315.8+1889.23)</f>
        <v>3205.0299999999997</v>
      </c>
      <c r="CB216" s="38"/>
      <c r="CC216" s="384">
        <f>SUM(CA216:CA220)*1.1</f>
        <v>214398.78900000002</v>
      </c>
      <c r="CD216" s="36"/>
      <c r="CE216" s="197"/>
      <c r="CF216" s="197"/>
      <c r="CG216" s="38"/>
      <c r="CH216" s="384">
        <f>SUM(CF216:CF220)*1.1</f>
        <v>215964.73580000002</v>
      </c>
      <c r="CI216" s="36"/>
      <c r="CJ216" s="197"/>
      <c r="CK216" s="197"/>
      <c r="CL216" s="38"/>
      <c r="CM216" s="384">
        <f>SUM(CK216:CK220)*1.1</f>
        <v>213888.378</v>
      </c>
      <c r="CN216" s="36"/>
      <c r="CO216" s="197"/>
      <c r="CP216" s="197"/>
      <c r="CQ216" s="38"/>
      <c r="CR216" s="384">
        <f>SUM(CP216:CP220)*1.1</f>
        <v>263696.42420000001</v>
      </c>
      <c r="CS216" s="36"/>
      <c r="CT216" s="197"/>
      <c r="CU216" s="197"/>
      <c r="CV216" s="38"/>
      <c r="CW216" s="384">
        <f>SUM(CU216:CU220)*1.1</f>
        <v>273432.09740000003</v>
      </c>
      <c r="CX216" s="36"/>
      <c r="CY216" s="197"/>
      <c r="CZ216" s="197"/>
      <c r="DA216" s="38"/>
      <c r="DB216" s="384">
        <f>SUM(CZ216:CZ220)*1.1</f>
        <v>283134.08419999998</v>
      </c>
      <c r="DC216" s="36"/>
      <c r="DD216" s="197"/>
      <c r="DE216" s="197"/>
      <c r="DF216" s="38"/>
      <c r="DG216" s="384">
        <f>SUM(DE216:DE220)*1.1</f>
        <v>337307.91380000004</v>
      </c>
      <c r="DH216" s="36"/>
      <c r="DI216" s="197"/>
      <c r="DJ216" s="197"/>
      <c r="DK216" s="38"/>
      <c r="DL216" s="384">
        <f>SUM(DJ216:DJ220)*1.1</f>
        <v>288103.09220000001</v>
      </c>
      <c r="DM216" s="36"/>
      <c r="DN216" s="197"/>
      <c r="DO216" s="197"/>
      <c r="DP216" s="38"/>
      <c r="DQ216" s="384">
        <f>SUM(DO216:DO220)*1.1</f>
        <v>317960.6078</v>
      </c>
      <c r="DR216" s="36"/>
      <c r="DS216" s="197"/>
      <c r="DT216" s="197"/>
      <c r="DU216" s="38"/>
      <c r="DV216" s="384">
        <f>SUM(DT216:DT220)*1.1</f>
        <v>292212.63500000001</v>
      </c>
      <c r="DW216" s="36"/>
      <c r="DX216" s="197"/>
      <c r="DY216" s="197"/>
      <c r="DZ216" s="38"/>
      <c r="EA216" s="384">
        <f>SUM(DY216:DY220)*1.1</f>
        <v>318711.51620000007</v>
      </c>
      <c r="EB216" s="36"/>
      <c r="EC216" s="197"/>
      <c r="ED216" s="197"/>
      <c r="EE216" s="38"/>
      <c r="EF216" s="384">
        <f>SUM(ED216:ED220)*1.1</f>
        <v>234615.73300000001</v>
      </c>
      <c r="EG216" s="36"/>
      <c r="EH216" s="197"/>
      <c r="EI216" s="200">
        <f>(1315.8+1889.23)</f>
        <v>3205.0299999999997</v>
      </c>
      <c r="EJ216" s="38"/>
      <c r="EK216" s="384">
        <f>SUM(EI216:EI220)*1.1</f>
        <v>449064.4862000001</v>
      </c>
      <c r="EL216" s="36"/>
      <c r="EM216" s="197"/>
      <c r="EN216" s="197"/>
      <c r="EO216" s="38"/>
      <c r="EP216" s="384">
        <f>SUM(EN216:EN220)*1.1</f>
        <v>338535.59299999999</v>
      </c>
      <c r="EQ216" s="36"/>
      <c r="ER216" s="197"/>
      <c r="ES216" s="197"/>
      <c r="ET216" s="38"/>
      <c r="EU216" s="384">
        <f>SUM(ES216:ES220)*1.1</f>
        <v>213888.378</v>
      </c>
      <c r="EV216" s="36"/>
      <c r="EW216" s="197"/>
      <c r="EX216" s="197"/>
      <c r="EY216" s="38"/>
      <c r="EZ216" s="384">
        <f>SUM(EX216:EX220)*1.1</f>
        <v>321434.31980000006</v>
      </c>
      <c r="FA216" s="36"/>
      <c r="FB216" s="197"/>
      <c r="FC216" s="197"/>
      <c r="FD216" s="38"/>
      <c r="FE216" s="384">
        <f>SUM(FC216:FC220)*1.1</f>
        <v>273432.09740000003</v>
      </c>
      <c r="FF216" s="36"/>
      <c r="FG216" s="197"/>
      <c r="FH216" s="197"/>
      <c r="FI216" s="38"/>
      <c r="FJ216" s="384">
        <f>SUM(FH216:FH220)*1.1</f>
        <v>283134.08419999998</v>
      </c>
      <c r="FK216" s="36"/>
      <c r="FL216" s="197"/>
      <c r="FM216" s="197"/>
      <c r="FN216" s="38"/>
      <c r="FO216" s="384">
        <f>SUM(FM216:FM220)*1.1</f>
        <v>313848.46460000006</v>
      </c>
      <c r="FP216" s="36"/>
      <c r="FQ216" s="197"/>
      <c r="FR216" s="197"/>
      <c r="FS216" s="38"/>
      <c r="FT216" s="384">
        <f>SUM(FR216:FR220)*1.1</f>
        <v>252366.82680000004</v>
      </c>
      <c r="FU216" s="36"/>
      <c r="FV216" s="197"/>
      <c r="FW216" s="197"/>
      <c r="FX216" s="38"/>
      <c r="FY216" s="384">
        <f>SUM(FW216:FW220)*1.1</f>
        <v>313086.41540000006</v>
      </c>
      <c r="FZ216" s="36"/>
      <c r="GA216" s="197"/>
      <c r="GB216" s="197"/>
      <c r="GC216" s="38"/>
      <c r="GD216" s="384">
        <f>SUM(GB216:GB220)*1.1</f>
        <v>270780.38900000002</v>
      </c>
      <c r="GE216" s="36"/>
      <c r="GF216" s="197"/>
      <c r="GG216" s="197"/>
      <c r="GH216" s="38"/>
      <c r="GI216" s="384">
        <f>SUM(GG216:GG220)*1.1</f>
        <v>275415.19940000004</v>
      </c>
      <c r="GJ216" s="280"/>
      <c r="GK216" s="197"/>
      <c r="GL216" s="197"/>
      <c r="GM216" s="38"/>
      <c r="GN216" s="384">
        <f>SUM(GL216:GL220)*1.1</f>
        <v>234615.73300000001</v>
      </c>
      <c r="GO216" s="36"/>
      <c r="GP216" s="197"/>
      <c r="GQ216" s="200">
        <f>(1315.8+1889.23)</f>
        <v>3205.0299999999997</v>
      </c>
      <c r="GR216" s="38"/>
      <c r="GS216" s="384">
        <f>SUM(GQ216:GQ220)*1.1</f>
        <v>395872.8554</v>
      </c>
      <c r="GT216" s="36"/>
      <c r="GU216" s="197"/>
      <c r="GV216" s="197"/>
      <c r="GW216" s="38"/>
      <c r="GX216" s="384">
        <f>SUM(GV216:GV220)*1.1</f>
        <v>421962.95900000003</v>
      </c>
      <c r="GY216" s="36"/>
      <c r="GZ216" s="197"/>
      <c r="HA216" s="197"/>
      <c r="HB216" s="38"/>
      <c r="HC216" s="384">
        <f>SUM(HA216:HA220)*1.1</f>
        <v>213888.378</v>
      </c>
      <c r="HD216" s="36"/>
      <c r="HE216" s="197"/>
      <c r="HF216" s="197"/>
      <c r="HG216" s="38"/>
      <c r="HH216" s="384">
        <f>SUM(HF216:HF220)*1.1</f>
        <v>321434.31980000006</v>
      </c>
      <c r="HI216" s="36"/>
      <c r="HJ216" s="197"/>
      <c r="HK216" s="197"/>
      <c r="HL216" s="38"/>
      <c r="HM216" s="384">
        <f>SUM(HK216:HK220)*1.1</f>
        <v>273432.09740000003</v>
      </c>
      <c r="HN216" s="36"/>
      <c r="HO216" s="197"/>
      <c r="HP216" s="197"/>
      <c r="HQ216" s="38"/>
      <c r="HR216" s="384">
        <f>SUM(HP216:HP220)*1.1</f>
        <v>283134.08419999998</v>
      </c>
      <c r="HS216" s="36"/>
      <c r="HT216" s="197"/>
      <c r="HU216" s="197"/>
      <c r="HV216" s="38"/>
      <c r="HW216" s="384">
        <f>SUM(HU216:HU220)*1.1</f>
        <v>313848.46460000006</v>
      </c>
      <c r="HX216" s="36"/>
      <c r="HY216" s="197"/>
      <c r="HZ216" s="197"/>
      <c r="IA216" s="38"/>
      <c r="IB216" s="384">
        <f>SUM(HZ216:HZ220)*1.1</f>
        <v>255892.35980000003</v>
      </c>
      <c r="IC216" s="36"/>
      <c r="ID216" s="197"/>
      <c r="IE216" s="197"/>
      <c r="IF216" s="38"/>
      <c r="IG216" s="384">
        <f>SUM(IE216:IE220)*1.1</f>
        <v>313086.41540000006</v>
      </c>
      <c r="IH216" s="36"/>
      <c r="II216" s="197"/>
      <c r="IJ216" s="197"/>
      <c r="IK216" s="38"/>
      <c r="IL216" s="384">
        <f>SUM(IJ216:IJ220)*1.1</f>
        <v>246074.70800000001</v>
      </c>
      <c r="IM216" s="36"/>
      <c r="IN216" s="197"/>
      <c r="IO216" s="197"/>
      <c r="IP216" s="38"/>
      <c r="IQ216" s="384">
        <f>SUM(IO216:IO220)*1.1</f>
        <v>246074.70800000001</v>
      </c>
    </row>
    <row r="217" spans="1:251" s="508" customFormat="1" ht="15" customHeight="1">
      <c r="A217" s="659"/>
      <c r="B217" s="256"/>
      <c r="C217" s="215">
        <v>44878589</v>
      </c>
      <c r="D217" s="45" t="s">
        <v>436</v>
      </c>
      <c r="E217" s="216" t="s">
        <v>13</v>
      </c>
      <c r="F217" s="22"/>
      <c r="G217" s="104">
        <f>I217/H217</f>
        <v>5.7989162028855539</v>
      </c>
      <c r="H217" s="74">
        <v>37913</v>
      </c>
      <c r="I217" s="74">
        <v>219854.31</v>
      </c>
      <c r="J217" s="81"/>
      <c r="K217" s="86"/>
      <c r="L217" s="110">
        <f>N217/M217</f>
        <v>5.8685160187706389</v>
      </c>
      <c r="M217" s="57">
        <v>34522</v>
      </c>
      <c r="N217" s="57">
        <v>202592.91</v>
      </c>
      <c r="O217" s="44"/>
      <c r="P217" s="86"/>
      <c r="Q217" s="110">
        <f>S217/R217</f>
        <v>5.5922880880778836</v>
      </c>
      <c r="R217" s="57">
        <v>39238</v>
      </c>
      <c r="S217" s="57">
        <v>219430.2</v>
      </c>
      <c r="T217" s="44"/>
      <c r="U217" s="86"/>
      <c r="V217" s="121">
        <f>X217/W217</f>
        <v>5.7964559046587212</v>
      </c>
      <c r="W217" s="57">
        <v>46150</v>
      </c>
      <c r="X217" s="509">
        <v>267506.44</v>
      </c>
      <c r="Y217" s="44"/>
      <c r="Z217" s="52">
        <f>SUM(X216:X220)*1</f>
        <v>273299.33999999997</v>
      </c>
      <c r="AA217" s="98">
        <f>AC217/AB217</f>
        <v>5.3263801010857357</v>
      </c>
      <c r="AB217" s="57">
        <v>42736</v>
      </c>
      <c r="AC217" s="57">
        <v>227628.18</v>
      </c>
      <c r="AD217" s="44"/>
      <c r="AE217" s="52">
        <f>SUM(AC216:AC220)*1</f>
        <v>233095.18</v>
      </c>
      <c r="AF217" s="98">
        <f>AH217/AG217</f>
        <v>6.6892076596418111</v>
      </c>
      <c r="AG217" s="57">
        <v>37913</v>
      </c>
      <c r="AH217" s="57">
        <v>253607.93</v>
      </c>
      <c r="AI217" s="44"/>
      <c r="AJ217" s="52">
        <f>SUM(AH216:AH220)*1</f>
        <v>260208.34</v>
      </c>
      <c r="AK217" s="92">
        <f>AM217/AL217</f>
        <v>5.7003770161692282</v>
      </c>
      <c r="AL217" s="74">
        <v>50157</v>
      </c>
      <c r="AM217" s="74">
        <v>285913.81</v>
      </c>
      <c r="AN217" s="81"/>
      <c r="AO217" s="403">
        <f>SUM(AM216:AM220)*1</f>
        <v>287779.56</v>
      </c>
      <c r="AP217" s="92">
        <f>AR217/AQ217</f>
        <v>5.2236249125262422</v>
      </c>
      <c r="AQ217" s="74">
        <v>2858</v>
      </c>
      <c r="AR217" s="74">
        <v>14929.12</v>
      </c>
      <c r="AS217" s="44"/>
      <c r="AT217" s="403">
        <f>SUM(AR216:AR220)*1</f>
        <v>20203.150000000001</v>
      </c>
      <c r="AU217" s="92">
        <f>AW217/AV217</f>
        <v>5.8239357984559117</v>
      </c>
      <c r="AV217" s="74">
        <v>24610</v>
      </c>
      <c r="AW217" s="134">
        <v>143327.06</v>
      </c>
      <c r="AX217" s="44"/>
      <c r="AY217" s="403">
        <f>SUM(AW216:AW220)*1</f>
        <v>188088.38</v>
      </c>
      <c r="AZ217" s="92">
        <f>BB217/BA217</f>
        <v>5.6198276252385115</v>
      </c>
      <c r="BA217" s="74">
        <v>30921</v>
      </c>
      <c r="BB217" s="74">
        <v>173770.69</v>
      </c>
      <c r="BC217" s="44"/>
      <c r="BD217" s="403">
        <f>SUM(BB216:BB220)*1</f>
        <v>198719.6</v>
      </c>
      <c r="BE217" s="92">
        <f>BG217/BF217</f>
        <v>5.7303481422811053</v>
      </c>
      <c r="BF217" s="74">
        <v>27776</v>
      </c>
      <c r="BG217" s="74">
        <v>159166.15</v>
      </c>
      <c r="BH217" s="81"/>
      <c r="BI217" s="403">
        <f>SUM(BG216:BG220)*1</f>
        <v>211362.44</v>
      </c>
      <c r="BJ217" s="92">
        <f>BL217/BK217</f>
        <v>6.0066120517021666</v>
      </c>
      <c r="BK217" s="553">
        <v>27465</v>
      </c>
      <c r="BL217" s="524">
        <v>164971.6</v>
      </c>
      <c r="BM217" s="44"/>
      <c r="BN217" s="403">
        <f>SUM(BL216:BL220)*1</f>
        <v>217495.27000000002</v>
      </c>
      <c r="BO217" s="92">
        <f>BQ217/BP217</f>
        <v>5.7097639305972638</v>
      </c>
      <c r="BP217" s="74">
        <v>35964</v>
      </c>
      <c r="BQ217" s="74">
        <v>205345.95</v>
      </c>
      <c r="BR217" s="44"/>
      <c r="BS217" s="403">
        <f>SUM(BQ216:BQ220)*1</f>
        <v>272571.39</v>
      </c>
      <c r="BT217" s="92">
        <f>BV217/BU217</f>
        <v>5.2752598997493729</v>
      </c>
      <c r="BU217" s="610">
        <v>39900</v>
      </c>
      <c r="BV217" s="134">
        <v>210482.87</v>
      </c>
      <c r="BW217" s="44"/>
      <c r="BX217" s="403">
        <f>SUM(BV216:BV220)*1</f>
        <v>289965.42</v>
      </c>
      <c r="BY217" s="92">
        <f>CA217/BZ217</f>
        <v>4.8549842305211088</v>
      </c>
      <c r="BZ217" s="74">
        <v>27902</v>
      </c>
      <c r="CA217" s="380">
        <v>135463.76999999999</v>
      </c>
      <c r="CB217" s="81"/>
      <c r="CC217" s="403">
        <f>SUM(CA216:CA220)*1</f>
        <v>194907.99</v>
      </c>
      <c r="CD217" s="92">
        <f>CF217/CE217</f>
        <v>6.4699318349547132</v>
      </c>
      <c r="CE217" s="553">
        <v>29810</v>
      </c>
      <c r="CF217" s="524">
        <f>1.2*160723.89</f>
        <v>192868.66800000001</v>
      </c>
      <c r="CG217" s="81" t="s">
        <v>465</v>
      </c>
      <c r="CH217" s="403">
        <f>SUM(CF216:CF220)*1</f>
        <v>196331.57800000001</v>
      </c>
      <c r="CI217" s="92">
        <f>CK217/CJ217</f>
        <v>6.7228985912538883</v>
      </c>
      <c r="CJ217" s="522">
        <f>40+27150+1417</f>
        <v>28607</v>
      </c>
      <c r="CK217" s="522">
        <f>1.2*160268.3</f>
        <v>192321.96</v>
      </c>
      <c r="CL217" s="81">
        <v>186095</v>
      </c>
      <c r="CM217" s="403">
        <f>SUM(CK216:CK220)*1</f>
        <v>194443.97999999998</v>
      </c>
      <c r="CN217" s="92">
        <f>CP217/CO217</f>
        <v>7.6846319020408158</v>
      </c>
      <c r="CO217" s="522">
        <v>30625</v>
      </c>
      <c r="CP217" s="524">
        <f>1.2*196118.21</f>
        <v>235341.85199999998</v>
      </c>
      <c r="CQ217" s="81">
        <v>194213.88</v>
      </c>
      <c r="CR217" s="403">
        <f>SUM(CP216:CP220)*1</f>
        <v>239724.022</v>
      </c>
      <c r="CS217" s="92">
        <f>CU217/CT217</f>
        <v>8.6037359021234696</v>
      </c>
      <c r="CT217" s="524">
        <v>28444</v>
      </c>
      <c r="CU217" s="524">
        <f>1.2*203937.22</f>
        <v>244724.66399999999</v>
      </c>
      <c r="CV217" s="81">
        <v>259152.6</v>
      </c>
      <c r="CW217" s="403">
        <f>SUM(CU216:CU220)*1</f>
        <v>248574.63399999999</v>
      </c>
      <c r="CX217" s="92">
        <f>CZ217/CY217</f>
        <v>9.4514520241556692</v>
      </c>
      <c r="CY217" s="522">
        <v>26826</v>
      </c>
      <c r="CZ217" s="522">
        <f>1.2*211287.21</f>
        <v>253544.65199999997</v>
      </c>
      <c r="DA217" s="81">
        <v>291352.74</v>
      </c>
      <c r="DB217" s="403">
        <f>SUM(CZ216:CZ220)*1</f>
        <v>257394.62199999997</v>
      </c>
      <c r="DC217" s="92">
        <f>DE217/DD217</f>
        <v>9.3506759310728178</v>
      </c>
      <c r="DD217" s="553">
        <v>32382</v>
      </c>
      <c r="DE217" s="522">
        <f>1.2*252327.99</f>
        <v>302793.58799999999</v>
      </c>
      <c r="DF217" s="81">
        <v>339199.98</v>
      </c>
      <c r="DG217" s="403">
        <f>SUM(DE216:DE220)*1</f>
        <v>306643.55800000002</v>
      </c>
      <c r="DH217" s="92">
        <f>DJ217/DI217</f>
        <v>9.457668108187347</v>
      </c>
      <c r="DI217" s="522">
        <v>27286</v>
      </c>
      <c r="DJ217" s="522">
        <f>1.2*215051.61</f>
        <v>258061.93199999997</v>
      </c>
      <c r="DK217" s="44"/>
      <c r="DL217" s="403">
        <f>SUM(DJ216:DJ220)*1</f>
        <v>261911.90199999997</v>
      </c>
      <c r="DM217" s="92">
        <f>DO217/DN217</f>
        <v>9.5571720394075452</v>
      </c>
      <c r="DN217" s="553">
        <v>29842</v>
      </c>
      <c r="DO217" s="524">
        <f>1.2*237670.94</f>
        <v>285205.12799999997</v>
      </c>
      <c r="DP217" s="44"/>
      <c r="DQ217" s="403">
        <f>SUM(DO216:DO220)*1</f>
        <v>289055.098</v>
      </c>
      <c r="DR217" s="92">
        <f>DT217/DS217</f>
        <v>9.3549358584956224</v>
      </c>
      <c r="DS217" s="553">
        <v>27985</v>
      </c>
      <c r="DT217" s="522">
        <f>1.2*218164.9</f>
        <v>261797.87999999998</v>
      </c>
      <c r="DU217" s="81">
        <v>257814.1</v>
      </c>
      <c r="DV217" s="403">
        <f>SUM(DT216:DT220)*1</f>
        <v>265647.84999999998</v>
      </c>
      <c r="DW217" s="92">
        <f>DY217/DX217</f>
        <v>9.8748841836205994</v>
      </c>
      <c r="DX217" s="553">
        <v>28951</v>
      </c>
      <c r="DY217" s="524">
        <f>1.2*238239.81</f>
        <v>285887.772</v>
      </c>
      <c r="DZ217" s="81">
        <v>320038.74</v>
      </c>
      <c r="EA217" s="403">
        <f>SUM(DY216:DY220)*1</f>
        <v>289737.74200000003</v>
      </c>
      <c r="EB217" s="92">
        <f>ED217/EC217</f>
        <v>5.2752598997493729</v>
      </c>
      <c r="EC217" s="1420">
        <v>39900</v>
      </c>
      <c r="ED217" s="72">
        <v>210482.87</v>
      </c>
      <c r="EE217" s="81">
        <v>359026.5</v>
      </c>
      <c r="EF217" s="403">
        <f>SUM(ED216:ED220)*1</f>
        <v>213287.03</v>
      </c>
      <c r="EG217" s="92">
        <f>EI217/EH217</f>
        <v>10.204236070035856</v>
      </c>
      <c r="EH217" s="553">
        <v>38209</v>
      </c>
      <c r="EI217" s="1473">
        <f>1.2*324911.38</f>
        <v>389893.65600000002</v>
      </c>
      <c r="EJ217" s="81">
        <v>182386.8</v>
      </c>
      <c r="EK217" s="403">
        <f>SUM(EI216:EI220)*1</f>
        <v>408240.44200000004</v>
      </c>
      <c r="EL217" s="92">
        <f>EN217/EM217</f>
        <v>9.404399999999999</v>
      </c>
      <c r="EM217" s="553">
        <v>31200</v>
      </c>
      <c r="EN217" s="524">
        <f>1.2*244514.4</f>
        <v>293417.27999999997</v>
      </c>
      <c r="EO217" s="44" t="s">
        <v>465</v>
      </c>
      <c r="EP217" s="403">
        <f>SUM(EN216:EN220)*1</f>
        <v>307759.62999999995</v>
      </c>
      <c r="EQ217" s="92">
        <f>ES217/ER217</f>
        <v>6.7228985912538883</v>
      </c>
      <c r="ER217" s="57">
        <f>40+27150+1417</f>
        <v>28607</v>
      </c>
      <c r="ES217" s="57">
        <f>1.2*160268.3</f>
        <v>192321.96</v>
      </c>
      <c r="ET217" s="44">
        <v>186095</v>
      </c>
      <c r="EU217" s="403">
        <f>SUM(ES216:ES220)*1</f>
        <v>194443.97999999998</v>
      </c>
      <c r="EV217" s="92">
        <f>EX217/EW217</f>
        <v>8.5468078510556165</v>
      </c>
      <c r="EW217" s="522">
        <v>33677</v>
      </c>
      <c r="EX217" s="524">
        <f>1.2*239859.04</f>
        <v>287830.848</v>
      </c>
      <c r="EY217" s="44">
        <v>194213.88</v>
      </c>
      <c r="EZ217" s="403">
        <f>SUM(EX216:EX220)*1</f>
        <v>292213.01800000004</v>
      </c>
      <c r="FA217" s="92">
        <f>FC217/FB217</f>
        <v>8.6037359021234696</v>
      </c>
      <c r="FB217" s="72">
        <v>28444</v>
      </c>
      <c r="FC217" s="72">
        <f>1.2*203937.22</f>
        <v>244724.66399999999</v>
      </c>
      <c r="FD217" s="44">
        <v>259152.6</v>
      </c>
      <c r="FE217" s="403">
        <f>SUM(FC216:FC220)*1</f>
        <v>248574.63399999999</v>
      </c>
      <c r="FF217" s="92">
        <f>FH217/FG217</f>
        <v>9.4514520241556692</v>
      </c>
      <c r="FG217" s="57">
        <v>26826</v>
      </c>
      <c r="FH217" s="57">
        <f>1.2*211287.21</f>
        <v>253544.65199999997</v>
      </c>
      <c r="FI217" s="44">
        <v>291352.74</v>
      </c>
      <c r="FJ217" s="403">
        <f>SUM(FH216:FH220)*1</f>
        <v>257394.62199999997</v>
      </c>
      <c r="FK217" s="92">
        <f>FM217/FL217</f>
        <v>9.4060558748830374</v>
      </c>
      <c r="FL217" s="553">
        <v>29924</v>
      </c>
      <c r="FM217" s="522">
        <f>1.2*234555.68</f>
        <v>281466.81599999999</v>
      </c>
      <c r="FN217" s="81">
        <v>327363.53999999998</v>
      </c>
      <c r="FO217" s="403">
        <f>SUM(FM216:FM220)*1</f>
        <v>285316.78600000002</v>
      </c>
      <c r="FP217" s="92">
        <f>FR217/FQ217</f>
        <v>8.7320399999999996</v>
      </c>
      <c r="FQ217" s="553">
        <v>26200</v>
      </c>
      <c r="FR217" s="524">
        <f>1.2*190649.54</f>
        <v>228779.448</v>
      </c>
      <c r="FS217" s="81">
        <v>284636.79999999999</v>
      </c>
      <c r="FT217" s="403">
        <f>SUM(FR216:FR220)*1</f>
        <v>229424.38800000001</v>
      </c>
      <c r="FU217" s="92">
        <f>FW217/FV217</f>
        <v>11.02371590106007</v>
      </c>
      <c r="FV217" s="553">
        <v>25470</v>
      </c>
      <c r="FW217" s="524">
        <f>1.2*233978.37</f>
        <v>280774.04399999999</v>
      </c>
      <c r="FX217" s="81"/>
      <c r="FY217" s="403">
        <f>SUM(FW216:FW220)*1</f>
        <v>284624.01400000002</v>
      </c>
      <c r="FZ217" s="92">
        <f>GB217/GA217</f>
        <v>11.550863762036419</v>
      </c>
      <c r="GA217" s="553">
        <v>20978</v>
      </c>
      <c r="GB217" s="522">
        <f>1.2*201928.35</f>
        <v>242314.02</v>
      </c>
      <c r="GC217" s="44">
        <v>257814.1</v>
      </c>
      <c r="GD217" s="403">
        <f>SUM(GB216:GB220)*1</f>
        <v>246163.99</v>
      </c>
      <c r="GE217" s="92">
        <f>GG217/GF217</f>
        <v>11.661107989215269</v>
      </c>
      <c r="GF217" s="553">
        <v>21141</v>
      </c>
      <c r="GG217" s="524">
        <f>1.2*205439.57</f>
        <v>246527.484</v>
      </c>
      <c r="GH217" s="44"/>
      <c r="GI217" s="403">
        <f>SUM(GG216:GG220)*1</f>
        <v>250377.454</v>
      </c>
      <c r="GJ217" s="98">
        <f>GL217/GK217</f>
        <v>5.2752598997493729</v>
      </c>
      <c r="GK217" s="1420">
        <v>39900</v>
      </c>
      <c r="GL217" s="72">
        <v>210482.87</v>
      </c>
      <c r="GM217" s="44">
        <v>359026.5</v>
      </c>
      <c r="GN217" s="403">
        <f>SUM(GL216:GL220)*1</f>
        <v>213287.03</v>
      </c>
      <c r="GO217" s="92">
        <f>GQ217/GP217</f>
        <v>15.58749614348957</v>
      </c>
      <c r="GP217" s="553">
        <v>21911</v>
      </c>
      <c r="GQ217" s="1473">
        <f>1.2*284614.69</f>
        <v>341537.62799999997</v>
      </c>
      <c r="GR217" s="44">
        <v>182386.8</v>
      </c>
      <c r="GS217" s="403">
        <f>SUM(GQ216:GQ220)*1</f>
        <v>359884.41399999999</v>
      </c>
      <c r="GT217" s="92">
        <f>GV217/GU217</f>
        <v>12.413364036709584</v>
      </c>
      <c r="GU217" s="553">
        <v>29747</v>
      </c>
      <c r="GV217" s="524">
        <f>1.2*307716.95</f>
        <v>369260.34</v>
      </c>
      <c r="GW217" s="44" t="s">
        <v>465</v>
      </c>
      <c r="GX217" s="403">
        <f>SUM(GV216:GV220)*1</f>
        <v>383602.69</v>
      </c>
      <c r="GY217" s="92">
        <f>HA217/GZ217</f>
        <v>6.7228985912538883</v>
      </c>
      <c r="GZ217" s="57">
        <f>40+27150+1417</f>
        <v>28607</v>
      </c>
      <c r="HA217" s="57">
        <f>1.2*160268.3</f>
        <v>192321.96</v>
      </c>
      <c r="HB217" s="44">
        <v>186095</v>
      </c>
      <c r="HC217" s="403">
        <f>SUM(HA216:HA220)*1</f>
        <v>194443.97999999998</v>
      </c>
      <c r="HD217" s="92">
        <f>HF217/HE217</f>
        <v>8.5468078510556165</v>
      </c>
      <c r="HE217" s="57">
        <v>33677</v>
      </c>
      <c r="HF217" s="72">
        <f>1.2*239859.04</f>
        <v>287830.848</v>
      </c>
      <c r="HG217" s="44">
        <v>194213.88</v>
      </c>
      <c r="HH217" s="403">
        <f>SUM(HF216:HF220)*1</f>
        <v>292213.01800000004</v>
      </c>
      <c r="HI217" s="92">
        <f>HK217/HJ217</f>
        <v>8.6037359021234696</v>
      </c>
      <c r="HJ217" s="72">
        <v>28444</v>
      </c>
      <c r="HK217" s="72">
        <f>1.2*203937.22</f>
        <v>244724.66399999999</v>
      </c>
      <c r="HL217" s="44">
        <v>259152.6</v>
      </c>
      <c r="HM217" s="403">
        <f>SUM(HK216:HK220)*1</f>
        <v>248574.63399999999</v>
      </c>
      <c r="HN217" s="92">
        <f>HP217/HO217</f>
        <v>9.4514520241556692</v>
      </c>
      <c r="HO217" s="57">
        <v>26826</v>
      </c>
      <c r="HP217" s="57">
        <f>1.2*211287.21</f>
        <v>253544.65199999997</v>
      </c>
      <c r="HQ217" s="44">
        <v>291352.74</v>
      </c>
      <c r="HR217" s="403">
        <f>SUM(HP216:HP220)*1</f>
        <v>257394.62199999997</v>
      </c>
      <c r="HS217" s="92">
        <f>HU217/HT217</f>
        <v>9.4060558748830374</v>
      </c>
      <c r="HT217" s="1420">
        <v>29924</v>
      </c>
      <c r="HU217" s="57">
        <f>1.2*234555.68</f>
        <v>281466.81599999999</v>
      </c>
      <c r="HV217" s="44">
        <v>327363.53999999998</v>
      </c>
      <c r="HW217" s="403">
        <f>SUM(HU216:HU220)*1</f>
        <v>285316.78600000002</v>
      </c>
      <c r="HX217" s="92">
        <f>HZ217/HY217</f>
        <v>8.7320399999999996</v>
      </c>
      <c r="HY217" s="1420">
        <v>26200</v>
      </c>
      <c r="HZ217" s="72">
        <f>1.2*190649.54</f>
        <v>228779.448</v>
      </c>
      <c r="IA217" s="44">
        <v>284636.79999999999</v>
      </c>
      <c r="IB217" s="403">
        <f>SUM(HZ216:HZ220)*1</f>
        <v>232629.41800000001</v>
      </c>
      <c r="IC217" s="92">
        <f>IE217/ID217</f>
        <v>11.02371590106007</v>
      </c>
      <c r="ID217" s="1420">
        <v>25470</v>
      </c>
      <c r="IE217" s="72">
        <f>1.2*233978.37</f>
        <v>280774.04399999999</v>
      </c>
      <c r="IF217" s="44"/>
      <c r="IG217" s="403">
        <f>SUM(IE216:IE220)*1</f>
        <v>284624.01400000002</v>
      </c>
      <c r="IH217" s="92">
        <f>IJ217/II217</f>
        <v>5.7989162028855539</v>
      </c>
      <c r="II217" s="57">
        <v>37913</v>
      </c>
      <c r="IJ217" s="57">
        <v>219854.31</v>
      </c>
      <c r="IK217" s="44">
        <v>257814.1</v>
      </c>
      <c r="IL217" s="403">
        <f>SUM(IJ216:IJ220)*1</f>
        <v>223704.28</v>
      </c>
      <c r="IM217" s="92">
        <f>IO217/IN217</f>
        <v>5.7989162028855539</v>
      </c>
      <c r="IN217" s="57">
        <v>37913</v>
      </c>
      <c r="IO217" s="57">
        <v>219854.31</v>
      </c>
      <c r="IP217" s="44"/>
      <c r="IQ217" s="403">
        <f>SUM(IO216:IO220)*1</f>
        <v>223704.28</v>
      </c>
    </row>
    <row r="218" spans="1:251" s="508" customFormat="1" ht="15" customHeight="1">
      <c r="A218" s="659"/>
      <c r="B218" s="256"/>
      <c r="C218" s="215">
        <v>23243188</v>
      </c>
      <c r="D218" s="220" t="s">
        <v>38</v>
      </c>
      <c r="E218" s="216" t="s">
        <v>15</v>
      </c>
      <c r="F218" s="22"/>
      <c r="G218" s="103"/>
      <c r="H218" s="74">
        <v>1</v>
      </c>
      <c r="I218" s="74">
        <v>644.94000000000005</v>
      </c>
      <c r="J218" s="81"/>
      <c r="K218" s="86"/>
      <c r="L218" s="109"/>
      <c r="M218" s="57">
        <v>1</v>
      </c>
      <c r="N218" s="57">
        <v>538.21</v>
      </c>
      <c r="O218" s="44"/>
      <c r="P218" s="86"/>
      <c r="Q218" s="109"/>
      <c r="R218" s="57">
        <v>1</v>
      </c>
      <c r="S218" s="57">
        <v>604.04</v>
      </c>
      <c r="T218" s="44"/>
      <c r="U218" s="86"/>
      <c r="V218" s="120"/>
      <c r="W218" s="57">
        <v>1</v>
      </c>
      <c r="X218" s="57">
        <v>754.24</v>
      </c>
      <c r="Y218" s="44"/>
      <c r="Z218" s="44"/>
      <c r="AA218" s="97"/>
      <c r="AB218" s="57">
        <v>14628</v>
      </c>
      <c r="AC218" s="57">
        <v>737.95</v>
      </c>
      <c r="AD218" s="44"/>
      <c r="AE218" s="44"/>
      <c r="AF218" s="97"/>
      <c r="AG218" s="57">
        <v>1</v>
      </c>
      <c r="AH218" s="57">
        <v>861.56</v>
      </c>
      <c r="AI218" s="44"/>
      <c r="AJ218" s="44"/>
      <c r="AK218" s="46"/>
      <c r="AL218" s="74">
        <v>12006</v>
      </c>
      <c r="AM218" s="74">
        <v>1038.52</v>
      </c>
      <c r="AN218" s="81"/>
      <c r="AO218" s="81"/>
      <c r="AP218" s="46"/>
      <c r="AQ218" s="522">
        <v>0</v>
      </c>
      <c r="AR218" s="522">
        <v>0.14000000000000001</v>
      </c>
      <c r="AS218" s="44"/>
      <c r="AT218" s="81"/>
      <c r="AU218" s="46">
        <f>AW218/AV218</f>
        <v>1328.04</v>
      </c>
      <c r="AV218" s="74">
        <v>1</v>
      </c>
      <c r="AW218" s="134">
        <v>1328.04</v>
      </c>
      <c r="AX218" s="81">
        <v>1328.04</v>
      </c>
      <c r="AY218" s="81"/>
      <c r="AZ218" s="46"/>
      <c r="BA218" s="522">
        <v>1</v>
      </c>
      <c r="BB218" s="522">
        <v>1861.34</v>
      </c>
      <c r="BC218" s="81">
        <v>1861.34</v>
      </c>
      <c r="BD218" s="81"/>
      <c r="BE218" s="46"/>
      <c r="BF218" s="74">
        <v>6906</v>
      </c>
      <c r="BG218" s="74">
        <v>1560.24</v>
      </c>
      <c r="BH218" s="81">
        <v>1560.24</v>
      </c>
      <c r="BI218" s="81"/>
      <c r="BJ218" s="46"/>
      <c r="BK218" s="553">
        <v>6302</v>
      </c>
      <c r="BL218" s="524">
        <v>1512.73</v>
      </c>
      <c r="BM218" s="81">
        <v>1512.73</v>
      </c>
      <c r="BN218" s="81"/>
      <c r="BO218" s="46"/>
      <c r="BP218" s="522">
        <v>8709</v>
      </c>
      <c r="BQ218" s="522">
        <v>2280.85</v>
      </c>
      <c r="BR218" s="81">
        <f>372+2280.85</f>
        <v>2652.85</v>
      </c>
      <c r="BS218" s="81"/>
      <c r="BT218" s="46"/>
      <c r="BU218" s="57">
        <v>14628</v>
      </c>
      <c r="BV218" s="57">
        <v>644.94000000000005</v>
      </c>
      <c r="BW218" s="44"/>
      <c r="BX218" s="81"/>
      <c r="BY218" s="46"/>
      <c r="BZ218" s="57">
        <v>14628</v>
      </c>
      <c r="CA218" s="57">
        <v>644.94000000000005</v>
      </c>
      <c r="CB218" s="44"/>
      <c r="CC218" s="81"/>
      <c r="CD218" s="46"/>
      <c r="CE218" s="74">
        <v>1</v>
      </c>
      <c r="CF218" s="74">
        <v>1266.49</v>
      </c>
      <c r="CG218" s="81" t="s">
        <v>480</v>
      </c>
      <c r="CH218" s="81"/>
      <c r="CI218" s="46"/>
      <c r="CJ218" s="522">
        <v>0</v>
      </c>
      <c r="CK218" s="522" t="s">
        <v>528</v>
      </c>
      <c r="CL218" s="74">
        <v>1266.49</v>
      </c>
      <c r="CM218" s="81"/>
      <c r="CN218" s="46"/>
      <c r="CO218" s="522">
        <v>1</v>
      </c>
      <c r="CP218" s="522">
        <v>1177.1400000000001</v>
      </c>
      <c r="CQ218" s="74">
        <v>1266.49</v>
      </c>
      <c r="CR218" s="81"/>
      <c r="CS218" s="46"/>
      <c r="CT218" s="57">
        <v>14628</v>
      </c>
      <c r="CU218" s="57">
        <v>644.94000000000005</v>
      </c>
      <c r="CV218" s="81" t="s">
        <v>528</v>
      </c>
      <c r="CW218" s="81"/>
      <c r="CX218" s="46"/>
      <c r="CY218" s="57">
        <v>14628</v>
      </c>
      <c r="CZ218" s="57">
        <v>644.94000000000005</v>
      </c>
      <c r="DA218" s="81">
        <v>1177.1400000000001</v>
      </c>
      <c r="DB218" s="81"/>
      <c r="DC218" s="46"/>
      <c r="DD218" s="57">
        <v>14628</v>
      </c>
      <c r="DE218" s="57">
        <v>644.94000000000005</v>
      </c>
      <c r="DF218" s="44"/>
      <c r="DG218" s="81"/>
      <c r="DH218" s="46"/>
      <c r="DI218" s="57">
        <v>14628</v>
      </c>
      <c r="DJ218" s="57">
        <v>644.94000000000005</v>
      </c>
      <c r="DK218" s="44"/>
      <c r="DL218" s="81"/>
      <c r="DM218" s="46"/>
      <c r="DN218" s="57">
        <v>14628</v>
      </c>
      <c r="DO218" s="57">
        <v>644.94000000000005</v>
      </c>
      <c r="DP218" s="44"/>
      <c r="DQ218" s="81"/>
      <c r="DR218" s="46"/>
      <c r="DS218" s="57">
        <v>14628</v>
      </c>
      <c r="DT218" s="57">
        <v>644.94000000000005</v>
      </c>
      <c r="DU218" s="44"/>
      <c r="DV218" s="81"/>
      <c r="DW218" s="46"/>
      <c r="DX218" s="57">
        <v>14628</v>
      </c>
      <c r="DY218" s="57">
        <v>644.94000000000005</v>
      </c>
      <c r="DZ218" s="44"/>
      <c r="EA218" s="81"/>
      <c r="EB218" s="46"/>
      <c r="EC218" s="57">
        <v>14628</v>
      </c>
      <c r="ED218" s="57">
        <v>644.94000000000005</v>
      </c>
      <c r="EE218" s="44">
        <v>1628.78</v>
      </c>
      <c r="EF218" s="81"/>
      <c r="EG218" s="46"/>
      <c r="EH218" s="57">
        <v>14628</v>
      </c>
      <c r="EI218" s="57">
        <v>644.94000000000005</v>
      </c>
      <c r="EJ218" s="44"/>
      <c r="EK218" s="81"/>
      <c r="EL218" s="46"/>
      <c r="EM218" s="57">
        <v>1</v>
      </c>
      <c r="EN218" s="57">
        <v>1266.49</v>
      </c>
      <c r="EO218" s="44" t="s">
        <v>480</v>
      </c>
      <c r="EP218" s="81"/>
      <c r="EQ218" s="46"/>
      <c r="ER218" s="57">
        <v>0</v>
      </c>
      <c r="ES218" s="57">
        <v>0</v>
      </c>
      <c r="ET218" s="372">
        <v>2345.94</v>
      </c>
      <c r="EU218" s="81"/>
      <c r="EV218" s="46"/>
      <c r="EW218" s="57">
        <v>1</v>
      </c>
      <c r="EX218" s="57">
        <v>1177.1400000000001</v>
      </c>
      <c r="EY218" s="57"/>
      <c r="EZ218" s="81"/>
      <c r="FA218" s="46"/>
      <c r="FB218" s="57">
        <v>14628</v>
      </c>
      <c r="FC218" s="57">
        <v>644.94000000000005</v>
      </c>
      <c r="FD218" s="44" t="s">
        <v>528</v>
      </c>
      <c r="FE218" s="81"/>
      <c r="FF218" s="46"/>
      <c r="FG218" s="57">
        <v>14628</v>
      </c>
      <c r="FH218" s="57">
        <v>644.94000000000005</v>
      </c>
      <c r="FI218" s="81">
        <v>2272.2600000000002</v>
      </c>
      <c r="FJ218" s="81"/>
      <c r="FK218" s="46"/>
      <c r="FL218" s="57">
        <v>14628</v>
      </c>
      <c r="FM218" s="57">
        <v>644.94000000000005</v>
      </c>
      <c r="FN218" s="44"/>
      <c r="FO218" s="81"/>
      <c r="FP218" s="46"/>
      <c r="FQ218" s="57">
        <v>14628</v>
      </c>
      <c r="FR218" s="57">
        <v>644.94000000000005</v>
      </c>
      <c r="FS218" s="44"/>
      <c r="FT218" s="81"/>
      <c r="FU218" s="46"/>
      <c r="FV218" s="57">
        <v>14628</v>
      </c>
      <c r="FW218" s="57">
        <v>644.94000000000005</v>
      </c>
      <c r="FX218" s="44"/>
      <c r="FY218" s="81"/>
      <c r="FZ218" s="46"/>
      <c r="GA218" s="57">
        <v>14628</v>
      </c>
      <c r="GB218" s="57">
        <v>644.94000000000005</v>
      </c>
      <c r="GC218" s="44"/>
      <c r="GD218" s="81"/>
      <c r="GE218" s="46"/>
      <c r="GF218" s="57">
        <v>14628</v>
      </c>
      <c r="GG218" s="57">
        <v>644.94000000000005</v>
      </c>
      <c r="GH218" s="44"/>
      <c r="GI218" s="81"/>
      <c r="GJ218" s="97"/>
      <c r="GK218" s="57">
        <v>14628</v>
      </c>
      <c r="GL218" s="57">
        <v>644.94000000000005</v>
      </c>
      <c r="GM218" s="44">
        <v>1628.78</v>
      </c>
      <c r="GN218" s="81"/>
      <c r="GO218" s="46"/>
      <c r="GP218" s="57">
        <v>14628</v>
      </c>
      <c r="GQ218" s="57">
        <v>644.94000000000005</v>
      </c>
      <c r="GR218" s="44"/>
      <c r="GS218" s="81"/>
      <c r="GT218" s="46"/>
      <c r="GU218" s="57">
        <v>1</v>
      </c>
      <c r="GV218" s="57">
        <v>1266.49</v>
      </c>
      <c r="GW218" s="44" t="s">
        <v>480</v>
      </c>
      <c r="GX218" s="81"/>
      <c r="GY218" s="46"/>
      <c r="GZ218" s="57">
        <v>0</v>
      </c>
      <c r="HA218" s="57">
        <v>0</v>
      </c>
      <c r="HB218" s="509">
        <v>2345.94</v>
      </c>
      <c r="HC218" s="81"/>
      <c r="HD218" s="46"/>
      <c r="HE218" s="57">
        <v>1</v>
      </c>
      <c r="HF218" s="57">
        <v>1177.1400000000001</v>
      </c>
      <c r="HG218" s="57"/>
      <c r="HH218" s="81"/>
      <c r="HI218" s="46"/>
      <c r="HJ218" s="57">
        <v>14628</v>
      </c>
      <c r="HK218" s="57">
        <v>644.94000000000005</v>
      </c>
      <c r="HL218" s="44" t="s">
        <v>528</v>
      </c>
      <c r="HM218" s="81"/>
      <c r="HN218" s="46"/>
      <c r="HO218" s="57">
        <v>14628</v>
      </c>
      <c r="HP218" s="57">
        <v>644.94000000000005</v>
      </c>
      <c r="HQ218" s="44">
        <v>2272.2600000000002</v>
      </c>
      <c r="HR218" s="81"/>
      <c r="HS218" s="46"/>
      <c r="HT218" s="57">
        <v>14628</v>
      </c>
      <c r="HU218" s="57">
        <v>644.94000000000005</v>
      </c>
      <c r="HV218" s="44"/>
      <c r="HW218" s="81"/>
      <c r="HX218" s="46"/>
      <c r="HY218" s="57">
        <v>14628</v>
      </c>
      <c r="HZ218" s="57">
        <v>644.94000000000005</v>
      </c>
      <c r="IA218" s="44"/>
      <c r="IB218" s="81"/>
      <c r="IC218" s="46"/>
      <c r="ID218" s="57">
        <v>14628</v>
      </c>
      <c r="IE218" s="57">
        <v>644.94000000000005</v>
      </c>
      <c r="IF218" s="44"/>
      <c r="IG218" s="81"/>
      <c r="IH218" s="46"/>
      <c r="II218" s="57">
        <v>14628</v>
      </c>
      <c r="IJ218" s="57">
        <v>644.94000000000005</v>
      </c>
      <c r="IK218" s="44"/>
      <c r="IL218" s="81"/>
      <c r="IM218" s="46"/>
      <c r="IN218" s="57">
        <v>14628</v>
      </c>
      <c r="IO218" s="57">
        <v>644.94000000000005</v>
      </c>
      <c r="IP218" s="44"/>
      <c r="IQ218" s="81"/>
    </row>
    <row r="219" spans="1:251" s="508" customFormat="1" ht="15" customHeight="1">
      <c r="A219" s="659"/>
      <c r="B219" s="256"/>
      <c r="C219" s="215"/>
      <c r="D219" s="45"/>
      <c r="E219" s="216" t="s">
        <v>13</v>
      </c>
      <c r="F219" s="22"/>
      <c r="G219" s="103"/>
      <c r="H219" s="74"/>
      <c r="I219" s="74"/>
      <c r="J219" s="81"/>
      <c r="K219" s="86"/>
      <c r="L219" s="109"/>
      <c r="M219" s="57"/>
      <c r="N219" s="57"/>
      <c r="O219" s="44"/>
      <c r="P219" s="86"/>
      <c r="Q219" s="109"/>
      <c r="R219" s="57"/>
      <c r="S219" s="57"/>
      <c r="T219" s="44"/>
      <c r="U219" s="86"/>
      <c r="V219" s="120"/>
      <c r="W219" s="57"/>
      <c r="X219" s="57"/>
      <c r="Y219" s="44"/>
      <c r="Z219" s="44"/>
      <c r="AA219" s="97"/>
      <c r="AB219" s="57"/>
      <c r="AC219" s="57"/>
      <c r="AD219" s="44"/>
      <c r="AE219" s="44"/>
      <c r="AF219" s="97"/>
      <c r="AG219" s="57"/>
      <c r="AH219" s="57"/>
      <c r="AI219" s="44"/>
      <c r="AJ219" s="44"/>
      <c r="AK219" s="46">
        <f>AM219/AL219</f>
        <v>1.3926131687242798</v>
      </c>
      <c r="AL219" s="74">
        <v>486</v>
      </c>
      <c r="AM219" s="74">
        <v>676.81</v>
      </c>
      <c r="AN219" s="81"/>
      <c r="AO219" s="81"/>
      <c r="AP219" s="46">
        <f>AR219/AQ219</f>
        <v>1.7406123163051086</v>
      </c>
      <c r="AQ219" s="74">
        <v>2858</v>
      </c>
      <c r="AR219" s="74">
        <v>4974.67</v>
      </c>
      <c r="AS219" s="81">
        <v>5221.84</v>
      </c>
      <c r="AT219" s="81"/>
      <c r="AU219" s="46">
        <f>AW219/AV219</f>
        <v>1.740611946363267</v>
      </c>
      <c r="AV219" s="74">
        <v>24610</v>
      </c>
      <c r="AW219" s="74">
        <v>42836.46</v>
      </c>
      <c r="AX219" s="81">
        <v>48737.14</v>
      </c>
      <c r="AY219" s="81"/>
      <c r="AZ219" s="46">
        <f>BB219/BA219</f>
        <v>0.69487888490022953</v>
      </c>
      <c r="BA219" s="522">
        <v>30921</v>
      </c>
      <c r="BB219" s="524">
        <v>21486.35</v>
      </c>
      <c r="BC219" s="81">
        <v>48737.14</v>
      </c>
      <c r="BD219" s="81"/>
      <c r="BE219" s="46">
        <f>BG219/BF219</f>
        <v>1.7546525777649771</v>
      </c>
      <c r="BF219" s="522">
        <v>27776</v>
      </c>
      <c r="BG219" s="522">
        <v>48737.23</v>
      </c>
      <c r="BH219" s="74">
        <v>48737.14</v>
      </c>
      <c r="BI219" s="81"/>
      <c r="BJ219" s="46">
        <f>BL219/BK219</f>
        <v>1.7406120517021666</v>
      </c>
      <c r="BK219" s="553">
        <v>27465</v>
      </c>
      <c r="BL219" s="524">
        <v>47805.91</v>
      </c>
      <c r="BM219" s="81">
        <v>55674.86</v>
      </c>
      <c r="BN219" s="81"/>
      <c r="BO219" s="46">
        <f>BQ219/BP219</f>
        <v>1.7406120008897787</v>
      </c>
      <c r="BP219" s="522">
        <v>35964</v>
      </c>
      <c r="BQ219" s="522">
        <v>62599.37</v>
      </c>
      <c r="BR219" s="81">
        <f>53809.39+13862.23</f>
        <v>67671.62</v>
      </c>
      <c r="BS219" s="81"/>
      <c r="BT219" s="46">
        <f>BV219/BU219</f>
        <v>1.9217641604010025</v>
      </c>
      <c r="BU219" s="553">
        <v>39900</v>
      </c>
      <c r="BV219" s="524">
        <v>76678.39</v>
      </c>
      <c r="BW219" s="81">
        <v>19682.39</v>
      </c>
      <c r="BX219" s="81"/>
      <c r="BY219" s="46">
        <f>CA219/BZ219</f>
        <v>1.9217629560604974</v>
      </c>
      <c r="BZ219" s="74">
        <v>27902</v>
      </c>
      <c r="CA219" s="74">
        <v>53621.03</v>
      </c>
      <c r="CB219" s="81"/>
      <c r="CC219" s="81"/>
      <c r="CD219" s="46"/>
      <c r="CE219" s="57"/>
      <c r="CF219" s="57"/>
      <c r="CG219" s="44"/>
      <c r="CH219" s="81"/>
      <c r="CI219" s="46"/>
      <c r="CJ219" s="57"/>
      <c r="CK219" s="57"/>
      <c r="CL219" s="44"/>
      <c r="CM219" s="81"/>
      <c r="CN219" s="46"/>
      <c r="CO219" s="57"/>
      <c r="CP219" s="57"/>
      <c r="CQ219" s="44"/>
      <c r="CR219" s="81"/>
      <c r="CS219" s="46"/>
      <c r="CT219" s="57"/>
      <c r="CU219" s="57"/>
      <c r="CV219" s="44"/>
      <c r="CW219" s="81"/>
      <c r="CX219" s="46"/>
      <c r="CY219" s="57"/>
      <c r="CZ219" s="57"/>
      <c r="DA219" s="44"/>
      <c r="DB219" s="81"/>
      <c r="DC219" s="46"/>
      <c r="DD219" s="57"/>
      <c r="DE219" s="57"/>
      <c r="DF219" s="44"/>
      <c r="DG219" s="81"/>
      <c r="DH219" s="46"/>
      <c r="DI219" s="57"/>
      <c r="DJ219" s="57"/>
      <c r="DK219" s="44"/>
      <c r="DL219" s="81"/>
      <c r="DM219" s="46"/>
      <c r="DN219" s="57"/>
      <c r="DO219" s="57"/>
      <c r="DP219" s="44"/>
      <c r="DQ219" s="81"/>
      <c r="DR219" s="46"/>
      <c r="DS219" s="57"/>
      <c r="DT219" s="57"/>
      <c r="DU219" s="44"/>
      <c r="DV219" s="81"/>
      <c r="DW219" s="46"/>
      <c r="DX219" s="57"/>
      <c r="DY219" s="57"/>
      <c r="DZ219" s="44"/>
      <c r="EA219" s="81"/>
      <c r="EB219" s="46"/>
      <c r="EC219" s="1420"/>
      <c r="ED219" s="72"/>
      <c r="EE219" s="44"/>
      <c r="EF219" s="81"/>
      <c r="EG219" s="46">
        <f>EI219/EH219</f>
        <v>10.265242622950819</v>
      </c>
      <c r="EH219" s="553">
        <v>1220</v>
      </c>
      <c r="EI219" s="524">
        <f>1.2*10436.33</f>
        <v>12523.596</v>
      </c>
      <c r="EJ219" s="44"/>
      <c r="EK219" s="81"/>
      <c r="EL219" s="46">
        <f>EN219/EM219</f>
        <v>9.4934031413612576</v>
      </c>
      <c r="EM219" s="553">
        <v>1146</v>
      </c>
      <c r="EN219" s="524">
        <f>1.2*9066.2</f>
        <v>10879.44</v>
      </c>
      <c r="EO219" s="44"/>
      <c r="EP219" s="81"/>
      <c r="EQ219" s="46"/>
      <c r="ER219" s="57"/>
      <c r="ES219" s="57"/>
      <c r="ET219" s="44"/>
      <c r="EU219" s="81"/>
      <c r="EV219" s="46"/>
      <c r="EW219" s="57"/>
      <c r="EX219" s="57"/>
      <c r="EY219" s="44"/>
      <c r="EZ219" s="81"/>
      <c r="FA219" s="46"/>
      <c r="FB219" s="57"/>
      <c r="FC219" s="57"/>
      <c r="FD219" s="44"/>
      <c r="FE219" s="81"/>
      <c r="FF219" s="46"/>
      <c r="FG219" s="57"/>
      <c r="FH219" s="57"/>
      <c r="FI219" s="44"/>
      <c r="FJ219" s="81"/>
      <c r="FK219" s="46"/>
      <c r="FL219" s="57"/>
      <c r="FM219" s="57"/>
      <c r="FN219" s="44"/>
      <c r="FO219" s="81"/>
      <c r="FP219" s="46"/>
      <c r="FQ219" s="57"/>
      <c r="FR219" s="57"/>
      <c r="FS219" s="44"/>
      <c r="FT219" s="81"/>
      <c r="FU219" s="46"/>
      <c r="FV219" s="57"/>
      <c r="FW219" s="57"/>
      <c r="FX219" s="44"/>
      <c r="FY219" s="81"/>
      <c r="FZ219" s="46"/>
      <c r="GA219" s="57"/>
      <c r="GB219" s="57"/>
      <c r="GC219" s="44"/>
      <c r="GD219" s="81"/>
      <c r="GE219" s="46"/>
      <c r="GF219" s="57"/>
      <c r="GG219" s="57"/>
      <c r="GH219" s="44"/>
      <c r="GI219" s="81"/>
      <c r="GJ219" s="97"/>
      <c r="GK219" s="1420"/>
      <c r="GL219" s="72"/>
      <c r="GM219" s="44"/>
      <c r="GN219" s="81"/>
      <c r="GO219" s="46">
        <f>GQ219/GP219</f>
        <v>10.265242622950819</v>
      </c>
      <c r="GP219" s="1420">
        <v>1220</v>
      </c>
      <c r="GQ219" s="72">
        <f>1.2*10436.33</f>
        <v>12523.596</v>
      </c>
      <c r="GR219" s="44"/>
      <c r="GS219" s="81"/>
      <c r="GT219" s="46">
        <f>GV219/GU219</f>
        <v>9.4934031413612576</v>
      </c>
      <c r="GU219" s="1420">
        <v>1146</v>
      </c>
      <c r="GV219" s="72">
        <f>1.2*9066.2</f>
        <v>10879.44</v>
      </c>
      <c r="GW219" s="44"/>
      <c r="GX219" s="81"/>
      <c r="GY219" s="46"/>
      <c r="GZ219" s="57"/>
      <c r="HA219" s="57"/>
      <c r="HB219" s="44"/>
      <c r="HC219" s="81"/>
      <c r="HD219" s="46"/>
      <c r="HE219" s="57"/>
      <c r="HF219" s="57"/>
      <c r="HG219" s="44"/>
      <c r="HH219" s="81"/>
      <c r="HI219" s="46"/>
      <c r="HJ219" s="57"/>
      <c r="HK219" s="57"/>
      <c r="HL219" s="44"/>
      <c r="HM219" s="81"/>
      <c r="HN219" s="46"/>
      <c r="HO219" s="57"/>
      <c r="HP219" s="57"/>
      <c r="HQ219" s="44"/>
      <c r="HR219" s="81"/>
      <c r="HS219" s="46"/>
      <c r="HT219" s="57"/>
      <c r="HU219" s="57"/>
      <c r="HV219" s="44"/>
      <c r="HW219" s="81"/>
      <c r="HX219" s="46"/>
      <c r="HY219" s="57"/>
      <c r="HZ219" s="57"/>
      <c r="IA219" s="44"/>
      <c r="IB219" s="81"/>
      <c r="IC219" s="46"/>
      <c r="ID219" s="57"/>
      <c r="IE219" s="57"/>
      <c r="IF219" s="44"/>
      <c r="IG219" s="81"/>
      <c r="IH219" s="46"/>
      <c r="II219" s="57"/>
      <c r="IJ219" s="57"/>
      <c r="IK219" s="44"/>
      <c r="IL219" s="81"/>
      <c r="IM219" s="46"/>
      <c r="IN219" s="57"/>
      <c r="IO219" s="57"/>
      <c r="IP219" s="44"/>
      <c r="IQ219" s="81"/>
    </row>
    <row r="220" spans="1:251" s="508" customFormat="1" ht="15" customHeight="1" thickBot="1">
      <c r="A220" s="659"/>
      <c r="B220" s="257"/>
      <c r="C220" s="258"/>
      <c r="D220" s="20"/>
      <c r="E220" s="259" t="s">
        <v>17</v>
      </c>
      <c r="F220" s="23"/>
      <c r="G220" s="168">
        <f>I220/H220</f>
        <v>37.706235294117647</v>
      </c>
      <c r="H220" s="170">
        <v>85</v>
      </c>
      <c r="I220" s="170">
        <f>(1315.8+1889.23)</f>
        <v>3205.0299999999997</v>
      </c>
      <c r="J220" s="179"/>
      <c r="K220" s="49"/>
      <c r="L220" s="178">
        <f>N220/M220</f>
        <v>37.841323529411767</v>
      </c>
      <c r="M220" s="169">
        <v>68</v>
      </c>
      <c r="N220" s="169">
        <f>(1052.64+1520.57)</f>
        <v>2573.21</v>
      </c>
      <c r="O220" s="48"/>
      <c r="P220" s="49"/>
      <c r="Q220" s="178">
        <f>S220/R220</f>
        <v>30.232117647058825</v>
      </c>
      <c r="R220" s="169">
        <v>85</v>
      </c>
      <c r="S220" s="169">
        <f>(1052.64+1517.09)</f>
        <v>2569.73</v>
      </c>
      <c r="T220" s="48"/>
      <c r="U220" s="49"/>
      <c r="V220" s="318">
        <f>X220/W220</f>
        <v>31.078969072164949</v>
      </c>
      <c r="W220" s="169">
        <v>97</v>
      </c>
      <c r="X220" s="169">
        <v>3014.66</v>
      </c>
      <c r="Y220" s="48"/>
      <c r="Z220" s="48"/>
      <c r="AA220" s="285">
        <f>AC220/AB220</f>
        <v>37.777058823529416</v>
      </c>
      <c r="AB220" s="169">
        <v>85</v>
      </c>
      <c r="AC220" s="169">
        <f>(1315.8+1895.25)</f>
        <v>3211.05</v>
      </c>
      <c r="AD220" s="48"/>
      <c r="AE220" s="48"/>
      <c r="AF220" s="285">
        <f>AH220/AG220</f>
        <v>37.751176470588234</v>
      </c>
      <c r="AG220" s="169">
        <v>85</v>
      </c>
      <c r="AH220" s="169">
        <f>(1284.84+1924.01)</f>
        <v>3208.85</v>
      </c>
      <c r="AI220" s="48"/>
      <c r="AJ220" s="48"/>
      <c r="AK220" s="3">
        <f>AM220/AL220</f>
        <v>50.139999999999993</v>
      </c>
      <c r="AL220" s="170">
        <v>3</v>
      </c>
      <c r="AM220" s="170">
        <v>150.41999999999999</v>
      </c>
      <c r="AN220" s="179"/>
      <c r="AO220" s="179"/>
      <c r="AP220" s="3">
        <f>AR220/AQ220</f>
        <v>42.745714285714293</v>
      </c>
      <c r="AQ220" s="170">
        <v>7</v>
      </c>
      <c r="AR220" s="170">
        <v>299.22000000000003</v>
      </c>
      <c r="AS220" s="179"/>
      <c r="AT220" s="179"/>
      <c r="AU220" s="3">
        <f>AW220/AV220</f>
        <v>39.788000000000004</v>
      </c>
      <c r="AV220" s="170">
        <v>15</v>
      </c>
      <c r="AW220" s="170">
        <v>596.82000000000005</v>
      </c>
      <c r="AX220" s="179"/>
      <c r="AY220" s="179"/>
      <c r="AZ220" s="3">
        <f>BB220/BA220</f>
        <v>38.124285714285712</v>
      </c>
      <c r="BA220" s="170">
        <v>42</v>
      </c>
      <c r="BB220" s="170">
        <v>1601.22</v>
      </c>
      <c r="BC220" s="179"/>
      <c r="BD220" s="179"/>
      <c r="BE220" s="3">
        <f>BG220/BF220</f>
        <v>37.976399999999998</v>
      </c>
      <c r="BF220" s="170">
        <v>50</v>
      </c>
      <c r="BG220" s="170">
        <v>1898.82</v>
      </c>
      <c r="BH220" s="179"/>
      <c r="BI220" s="179"/>
      <c r="BJ220" s="3">
        <f>BL220/BK220</f>
        <v>37.706235294117647</v>
      </c>
      <c r="BK220" s="169">
        <v>85</v>
      </c>
      <c r="BL220" s="169">
        <f>(1315.8+1889.23)</f>
        <v>3205.0299999999997</v>
      </c>
      <c r="BM220" s="48"/>
      <c r="BN220" s="179"/>
      <c r="BO220" s="3">
        <f>BQ220/BP220</f>
        <v>37.826129032258059</v>
      </c>
      <c r="BP220" s="170">
        <v>62</v>
      </c>
      <c r="BQ220" s="170">
        <v>2345.2199999999998</v>
      </c>
      <c r="BR220" s="48"/>
      <c r="BS220" s="179"/>
      <c r="BT220" s="3">
        <f>BV220/BU220</f>
        <v>37.881052631578946</v>
      </c>
      <c r="BU220" s="170">
        <v>57</v>
      </c>
      <c r="BV220" s="170">
        <v>2159.2199999999998</v>
      </c>
      <c r="BW220" s="179"/>
      <c r="BX220" s="179"/>
      <c r="BY220" s="3">
        <f>CA220/BZ220</f>
        <v>37.946538461538459</v>
      </c>
      <c r="BZ220" s="170">
        <v>52</v>
      </c>
      <c r="CA220" s="170">
        <v>1973.22</v>
      </c>
      <c r="CB220" s="179"/>
      <c r="CC220" s="179"/>
      <c r="CD220" s="3">
        <f>CF220/CE220</f>
        <v>37.869310344827589</v>
      </c>
      <c r="CE220" s="170">
        <v>58</v>
      </c>
      <c r="CF220" s="170">
        <v>2196.42</v>
      </c>
      <c r="CG220" s="179"/>
      <c r="CH220" s="179"/>
      <c r="CI220" s="3">
        <f>CK220/CJ220</f>
        <v>37.893214285714286</v>
      </c>
      <c r="CJ220" s="170">
        <v>56</v>
      </c>
      <c r="CK220" s="170">
        <v>2122.02</v>
      </c>
      <c r="CL220" s="179"/>
      <c r="CM220" s="179"/>
      <c r="CN220" s="3">
        <f>CP220/CO220</f>
        <v>37.706235294117647</v>
      </c>
      <c r="CO220" s="169">
        <v>85</v>
      </c>
      <c r="CP220" s="169">
        <f>(1315.8+1889.23)</f>
        <v>3205.0299999999997</v>
      </c>
      <c r="CQ220" s="48"/>
      <c r="CR220" s="179"/>
      <c r="CS220" s="3">
        <f>CU220/CT220</f>
        <v>37.706235294117647</v>
      </c>
      <c r="CT220" s="169">
        <v>85</v>
      </c>
      <c r="CU220" s="169">
        <f>(1315.8+1889.23)</f>
        <v>3205.0299999999997</v>
      </c>
      <c r="CV220" s="48"/>
      <c r="CW220" s="179"/>
      <c r="CX220" s="3">
        <f>CZ220/CY220</f>
        <v>37.706235294117647</v>
      </c>
      <c r="CY220" s="169">
        <v>85</v>
      </c>
      <c r="CZ220" s="169">
        <f>(1315.8+1889.23)</f>
        <v>3205.0299999999997</v>
      </c>
      <c r="DA220" s="48"/>
      <c r="DB220" s="179"/>
      <c r="DC220" s="3">
        <f>DE220/DD220</f>
        <v>37.706235294117647</v>
      </c>
      <c r="DD220" s="169">
        <v>85</v>
      </c>
      <c r="DE220" s="169">
        <f>(1315.8+1889.23)</f>
        <v>3205.0299999999997</v>
      </c>
      <c r="DF220" s="48"/>
      <c r="DG220" s="179"/>
      <c r="DH220" s="3">
        <f>DJ220/DI220</f>
        <v>37.706235294117647</v>
      </c>
      <c r="DI220" s="169">
        <v>85</v>
      </c>
      <c r="DJ220" s="169">
        <f>(1315.8+1889.23)</f>
        <v>3205.0299999999997</v>
      </c>
      <c r="DK220" s="48"/>
      <c r="DL220" s="179"/>
      <c r="DM220" s="3">
        <f>DO220/DN220</f>
        <v>37.706235294117647</v>
      </c>
      <c r="DN220" s="169">
        <v>85</v>
      </c>
      <c r="DO220" s="169">
        <f>(1315.8+1889.23)</f>
        <v>3205.0299999999997</v>
      </c>
      <c r="DP220" s="48"/>
      <c r="DQ220" s="179"/>
      <c r="DR220" s="3">
        <f>DT220/DS220</f>
        <v>37.706235294117647</v>
      </c>
      <c r="DS220" s="169">
        <v>85</v>
      </c>
      <c r="DT220" s="169">
        <f>(1315.8+1889.23)</f>
        <v>3205.0299999999997</v>
      </c>
      <c r="DU220" s="48"/>
      <c r="DV220" s="179"/>
      <c r="DW220" s="3">
        <f>DY220/DX220</f>
        <v>37.706235294117647</v>
      </c>
      <c r="DX220" s="169">
        <v>85</v>
      </c>
      <c r="DY220" s="169">
        <f>(1315.8+1889.23)</f>
        <v>3205.0299999999997</v>
      </c>
      <c r="DZ220" s="48"/>
      <c r="EA220" s="179"/>
      <c r="EB220" s="3">
        <f>ED220/EC220</f>
        <v>37.881052631578946</v>
      </c>
      <c r="EC220" s="169">
        <v>57</v>
      </c>
      <c r="ED220" s="169">
        <v>2159.2199999999998</v>
      </c>
      <c r="EE220" s="48"/>
      <c r="EF220" s="179"/>
      <c r="EG220" s="3">
        <f>EI220/EH220</f>
        <v>37.946538461538459</v>
      </c>
      <c r="EH220" s="169">
        <v>52</v>
      </c>
      <c r="EI220" s="169">
        <v>1973.22</v>
      </c>
      <c r="EJ220" s="48"/>
      <c r="EK220" s="179"/>
      <c r="EL220" s="3">
        <f>EN220/EM220</f>
        <v>37.869310344827589</v>
      </c>
      <c r="EM220" s="169">
        <v>58</v>
      </c>
      <c r="EN220" s="169">
        <v>2196.42</v>
      </c>
      <c r="EO220" s="48"/>
      <c r="EP220" s="179"/>
      <c r="EQ220" s="3">
        <f>ES220/ER220</f>
        <v>37.893214285714286</v>
      </c>
      <c r="ER220" s="169">
        <v>56</v>
      </c>
      <c r="ES220" s="169">
        <v>2122.02</v>
      </c>
      <c r="ET220" s="48"/>
      <c r="EU220" s="179"/>
      <c r="EV220" s="3">
        <f>EX220/EW220</f>
        <v>37.706235294117647</v>
      </c>
      <c r="EW220" s="169">
        <v>85</v>
      </c>
      <c r="EX220" s="169">
        <f>(1315.8+1889.23)</f>
        <v>3205.0299999999997</v>
      </c>
      <c r="EY220" s="48"/>
      <c r="EZ220" s="179"/>
      <c r="FA220" s="3">
        <f>FC220/FB220</f>
        <v>37.706235294117647</v>
      </c>
      <c r="FB220" s="169">
        <v>85</v>
      </c>
      <c r="FC220" s="169">
        <f>(1315.8+1889.23)</f>
        <v>3205.0299999999997</v>
      </c>
      <c r="FD220" s="48"/>
      <c r="FE220" s="179"/>
      <c r="FF220" s="3">
        <f>FH220/FG220</f>
        <v>37.706235294117647</v>
      </c>
      <c r="FG220" s="169">
        <v>85</v>
      </c>
      <c r="FH220" s="169">
        <f>(1315.8+1889.23)</f>
        <v>3205.0299999999997</v>
      </c>
      <c r="FI220" s="48"/>
      <c r="FJ220" s="179"/>
      <c r="FK220" s="3">
        <f>FM220/FL220</f>
        <v>37.706235294117647</v>
      </c>
      <c r="FL220" s="169">
        <v>85</v>
      </c>
      <c r="FM220" s="169">
        <f>(1315.8+1889.23)</f>
        <v>3205.0299999999997</v>
      </c>
      <c r="FN220" s="48"/>
      <c r="FO220" s="179"/>
      <c r="FP220" s="3" t="e">
        <f>FR220/FQ220</f>
        <v>#VALUE!</v>
      </c>
      <c r="FQ220" s="169">
        <v>85</v>
      </c>
      <c r="FR220" s="169" t="s">
        <v>1229</v>
      </c>
      <c r="FS220" s="48"/>
      <c r="FT220" s="179"/>
      <c r="FU220" s="3">
        <f>FW220/FV220</f>
        <v>37.706235294117647</v>
      </c>
      <c r="FV220" s="169">
        <v>85</v>
      </c>
      <c r="FW220" s="169">
        <f>(1315.8+1889.23)</f>
        <v>3205.0299999999997</v>
      </c>
      <c r="FX220" s="48"/>
      <c r="FY220" s="179"/>
      <c r="FZ220" s="3">
        <f>GB220/GA220</f>
        <v>37.706235294117647</v>
      </c>
      <c r="GA220" s="169">
        <v>85</v>
      </c>
      <c r="GB220" s="169">
        <f>(1315.8+1889.23)</f>
        <v>3205.0299999999997</v>
      </c>
      <c r="GC220" s="48"/>
      <c r="GD220" s="179"/>
      <c r="GE220" s="3">
        <f>GG220/GF220</f>
        <v>37.706235294117647</v>
      </c>
      <c r="GF220" s="169">
        <v>85</v>
      </c>
      <c r="GG220" s="169">
        <f>(1315.8+1889.23)</f>
        <v>3205.0299999999997</v>
      </c>
      <c r="GH220" s="48"/>
      <c r="GI220" s="179"/>
      <c r="GJ220" s="285">
        <f>GL220/GK220</f>
        <v>37.881052631578946</v>
      </c>
      <c r="GK220" s="169">
        <v>57</v>
      </c>
      <c r="GL220" s="169">
        <v>2159.2199999999998</v>
      </c>
      <c r="GM220" s="48"/>
      <c r="GN220" s="179"/>
      <c r="GO220" s="3">
        <f>GQ220/GP220</f>
        <v>37.946538461538459</v>
      </c>
      <c r="GP220" s="169">
        <v>52</v>
      </c>
      <c r="GQ220" s="169">
        <v>1973.22</v>
      </c>
      <c r="GR220" s="48"/>
      <c r="GS220" s="179"/>
      <c r="GT220" s="3">
        <f>GV220/GU220</f>
        <v>37.869310344827589</v>
      </c>
      <c r="GU220" s="169">
        <v>58</v>
      </c>
      <c r="GV220" s="169">
        <v>2196.42</v>
      </c>
      <c r="GW220" s="48"/>
      <c r="GX220" s="179"/>
      <c r="GY220" s="3">
        <f>HA220/GZ220</f>
        <v>37.893214285714286</v>
      </c>
      <c r="GZ220" s="169">
        <v>56</v>
      </c>
      <c r="HA220" s="169">
        <v>2122.02</v>
      </c>
      <c r="HB220" s="48"/>
      <c r="HC220" s="179"/>
      <c r="HD220" s="3">
        <f>HF220/HE220</f>
        <v>37.706235294117647</v>
      </c>
      <c r="HE220" s="169">
        <v>85</v>
      </c>
      <c r="HF220" s="169">
        <f>(1315.8+1889.23)</f>
        <v>3205.0299999999997</v>
      </c>
      <c r="HG220" s="48"/>
      <c r="HH220" s="179"/>
      <c r="HI220" s="3">
        <f>HK220/HJ220</f>
        <v>37.706235294117647</v>
      </c>
      <c r="HJ220" s="169">
        <v>85</v>
      </c>
      <c r="HK220" s="169">
        <f>(1315.8+1889.23)</f>
        <v>3205.0299999999997</v>
      </c>
      <c r="HL220" s="48"/>
      <c r="HM220" s="179"/>
      <c r="HN220" s="3">
        <f>HP220/HO220</f>
        <v>37.706235294117647</v>
      </c>
      <c r="HO220" s="169">
        <v>85</v>
      </c>
      <c r="HP220" s="169">
        <f>(1315.8+1889.23)</f>
        <v>3205.0299999999997</v>
      </c>
      <c r="HQ220" s="48"/>
      <c r="HR220" s="179"/>
      <c r="HS220" s="3">
        <f>HU220/HT220</f>
        <v>37.706235294117647</v>
      </c>
      <c r="HT220" s="169">
        <v>85</v>
      </c>
      <c r="HU220" s="169">
        <f>(1315.8+1889.23)</f>
        <v>3205.0299999999997</v>
      </c>
      <c r="HV220" s="48"/>
      <c r="HW220" s="179"/>
      <c r="HX220" s="3">
        <f>HZ220/HY220</f>
        <v>37.706235294117647</v>
      </c>
      <c r="HY220" s="169">
        <v>85</v>
      </c>
      <c r="HZ220" s="169">
        <f>(1315.8+1889.23)</f>
        <v>3205.0299999999997</v>
      </c>
      <c r="IA220" s="48"/>
      <c r="IB220" s="179"/>
      <c r="IC220" s="3">
        <f>IE220/ID220</f>
        <v>37.706235294117647</v>
      </c>
      <c r="ID220" s="169">
        <v>85</v>
      </c>
      <c r="IE220" s="169">
        <f>(1315.8+1889.23)</f>
        <v>3205.0299999999997</v>
      </c>
      <c r="IF220" s="48"/>
      <c r="IG220" s="179"/>
      <c r="IH220" s="3">
        <f>IJ220/II220</f>
        <v>37.706235294117647</v>
      </c>
      <c r="II220" s="169">
        <v>85</v>
      </c>
      <c r="IJ220" s="169">
        <f>(1315.8+1889.23)</f>
        <v>3205.0299999999997</v>
      </c>
      <c r="IK220" s="48"/>
      <c r="IL220" s="179"/>
      <c r="IM220" s="3">
        <f>IO220/IN220</f>
        <v>37.706235294117647</v>
      </c>
      <c r="IN220" s="169">
        <v>85</v>
      </c>
      <c r="IO220" s="169">
        <f>(1315.8+1889.23)</f>
        <v>3205.0299999999997</v>
      </c>
      <c r="IP220" s="48"/>
      <c r="IQ220" s="179"/>
    </row>
    <row r="221" spans="1:251" s="249" customFormat="1" ht="15" customHeight="1">
      <c r="A221" s="649"/>
      <c r="B221" s="265" t="s">
        <v>324</v>
      </c>
      <c r="C221" s="5" t="s">
        <v>106</v>
      </c>
      <c r="D221" s="6"/>
      <c r="E221" s="7" t="s">
        <v>10</v>
      </c>
      <c r="F221" s="4"/>
      <c r="G221" s="196"/>
      <c r="H221" s="197"/>
      <c r="I221" s="197"/>
      <c r="J221" s="38"/>
      <c r="K221" s="206"/>
      <c r="L221" s="196"/>
      <c r="M221" s="197"/>
      <c r="N221" s="197"/>
      <c r="O221" s="38"/>
      <c r="P221" s="206"/>
      <c r="Q221" s="196"/>
      <c r="R221" s="197"/>
      <c r="S221" s="197"/>
      <c r="T221" s="38"/>
      <c r="U221" s="206"/>
      <c r="V221" s="207"/>
      <c r="W221" s="197"/>
      <c r="X221" s="204">
        <v>1518.44</v>
      </c>
      <c r="Y221" s="38"/>
      <c r="Z221" s="384">
        <f>SUM(X221:X226)*1.1</f>
        <v>175466.20300000004</v>
      </c>
      <c r="AA221" s="36"/>
      <c r="AB221" s="197"/>
      <c r="AC221" s="204">
        <v>1518</v>
      </c>
      <c r="AD221" s="38"/>
      <c r="AE221" s="384">
        <f>SUM(AC221:AC226)*1.1</f>
        <v>174044.58500000002</v>
      </c>
      <c r="AF221" s="36"/>
      <c r="AG221" s="204"/>
      <c r="AH221" s="204">
        <v>1771.38</v>
      </c>
      <c r="AI221" s="427"/>
      <c r="AJ221" s="384">
        <f>AJ222*1.1</f>
        <v>195580.18700000001</v>
      </c>
      <c r="AK221" s="36"/>
      <c r="AL221" s="204"/>
      <c r="AM221" s="204">
        <v>1012.38</v>
      </c>
      <c r="AN221" s="427"/>
      <c r="AO221" s="384">
        <f>AO222*1.2</f>
        <v>210779.25599999999</v>
      </c>
      <c r="AP221" s="36"/>
      <c r="AQ221" s="197"/>
      <c r="AR221" s="197"/>
      <c r="AS221" s="38"/>
      <c r="AT221" s="384">
        <f>SUM(AR221:AR226)*1.1</f>
        <v>256496.69100000005</v>
      </c>
      <c r="AU221" s="36"/>
      <c r="AV221" s="197"/>
      <c r="AW221" s="197"/>
      <c r="AX221" s="38"/>
      <c r="AY221" s="384">
        <f>SUM(AW221:AW226)*1.1</f>
        <v>293328.94800000009</v>
      </c>
      <c r="AZ221" s="36"/>
      <c r="BA221" s="197"/>
      <c r="BB221" s="197"/>
      <c r="BC221" s="38"/>
      <c r="BD221" s="384">
        <f>SUM(BB221:BB226)*1.1</f>
        <v>260615.003</v>
      </c>
      <c r="BE221" s="36"/>
      <c r="BF221" s="197"/>
      <c r="BG221" s="197"/>
      <c r="BH221" s="38"/>
      <c r="BI221" s="384">
        <f>SUM(BG221:BG226)*1.1</f>
        <v>287073.69900000002</v>
      </c>
      <c r="BJ221" s="36"/>
      <c r="BK221" s="197"/>
      <c r="BL221" s="197"/>
      <c r="BM221" s="38"/>
      <c r="BN221" s="384">
        <f>SUM(BL221:BL226)*1.1</f>
        <v>293704.07000000007</v>
      </c>
      <c r="BO221" s="36"/>
      <c r="BP221" s="197"/>
      <c r="BQ221" s="197"/>
      <c r="BR221" s="38"/>
      <c r="BS221" s="384">
        <f>SUM(BQ221:BQ226)*1.1</f>
        <v>293871.60000000003</v>
      </c>
      <c r="BT221" s="36"/>
      <c r="BU221" s="197"/>
      <c r="BV221" s="197"/>
      <c r="BW221" s="38"/>
      <c r="BX221" s="384">
        <f>SUM(BV221:BV226)*1.1</f>
        <v>250591.40700000001</v>
      </c>
      <c r="BY221" s="36"/>
      <c r="BZ221" s="197"/>
      <c r="CA221" s="197"/>
      <c r="CB221" s="38"/>
      <c r="CC221" s="384">
        <f>SUM(CA221:CA226)*1.1</f>
        <v>201104.255</v>
      </c>
      <c r="CD221" s="36"/>
      <c r="CE221" s="197"/>
      <c r="CF221" s="197"/>
      <c r="CG221" s="38"/>
      <c r="CH221" s="384">
        <f>SUM(CF221:CF226)*1.1</f>
        <v>237665.14200000005</v>
      </c>
      <c r="CI221" s="36"/>
      <c r="CJ221" s="197"/>
      <c r="CK221" s="197"/>
      <c r="CL221" s="38"/>
      <c r="CM221" s="384">
        <f>SUM(CK221:CK226)*1.1</f>
        <v>230354.45400000003</v>
      </c>
      <c r="CN221" s="36"/>
      <c r="CO221" s="197"/>
      <c r="CP221" s="197"/>
      <c r="CQ221" s="38"/>
      <c r="CR221" s="384">
        <f>SUM(CP221:CP226)*1.1</f>
        <v>282248.516</v>
      </c>
      <c r="CS221" s="36"/>
      <c r="CT221" s="197"/>
      <c r="CU221" s="197"/>
      <c r="CV221" s="38"/>
      <c r="CW221" s="384">
        <f>SUM(CU221:CU226)*1.1</f>
        <v>289001.41600000003</v>
      </c>
      <c r="CX221" s="36"/>
      <c r="CY221" s="197"/>
      <c r="CZ221" s="197"/>
      <c r="DA221" s="38"/>
      <c r="DB221" s="384">
        <f>SUM(CZ221:CZ226)*1.1</f>
        <v>282434.174</v>
      </c>
      <c r="DC221" s="36"/>
      <c r="DD221" s="197"/>
      <c r="DE221" s="197"/>
      <c r="DF221" s="38"/>
      <c r="DG221" s="384">
        <f>SUM(DE221:DE226)*1.1</f>
        <v>340690.54800000001</v>
      </c>
      <c r="DH221" s="36"/>
      <c r="DI221" s="197"/>
      <c r="DJ221" s="197"/>
      <c r="DK221" s="38"/>
      <c r="DL221" s="384">
        <f>SUM(DJ221:DJ226)*1.1</f>
        <v>334270.37599999999</v>
      </c>
      <c r="DM221" s="36"/>
      <c r="DN221" s="197"/>
      <c r="DO221" s="197"/>
      <c r="DP221" s="38"/>
      <c r="DQ221" s="384">
        <f>SUM(DO221:DO226)*1.1</f>
        <v>356112.603</v>
      </c>
      <c r="DR221" s="36"/>
      <c r="DS221" s="197"/>
      <c r="DT221" s="197"/>
      <c r="DU221" s="38"/>
      <c r="DV221" s="384">
        <f>SUM(DT221:DT226)*1.1</f>
        <v>315472.77299999993</v>
      </c>
      <c r="DW221" s="36"/>
      <c r="DX221" s="197"/>
      <c r="DY221" s="197"/>
      <c r="DZ221" s="38"/>
      <c r="EA221" s="384">
        <f>SUM(DY221:DY226)*1.1</f>
        <v>319982.685</v>
      </c>
      <c r="EB221" s="36"/>
      <c r="EC221" s="197"/>
      <c r="ED221" s="197"/>
      <c r="EE221" s="38"/>
      <c r="EF221" s="384">
        <f>SUM(ED221:ED226)*1.1</f>
        <v>345749.42600000004</v>
      </c>
      <c r="EG221" s="36"/>
      <c r="EH221" s="197"/>
      <c r="EI221" s="197"/>
      <c r="EJ221" s="38"/>
      <c r="EK221" s="384">
        <f>SUM(EI221:EI226)*1.1</f>
        <v>409178.10560000001</v>
      </c>
      <c r="EL221" s="36"/>
      <c r="EM221" s="197"/>
      <c r="EN221" s="197"/>
      <c r="EO221" s="38"/>
      <c r="EP221" s="384">
        <f>SUM(EN221:EN226)*1.1</f>
        <v>335231.69899999996</v>
      </c>
      <c r="EQ221" s="36"/>
      <c r="ER221" s="197"/>
      <c r="ES221" s="197"/>
      <c r="ET221" s="38"/>
      <c r="EU221" s="384">
        <f>SUM(ES221:ES226)*1.1</f>
        <v>230354.45400000003</v>
      </c>
      <c r="EV221" s="36"/>
      <c r="EW221" s="197"/>
      <c r="EX221" s="197"/>
      <c r="EY221" s="38"/>
      <c r="EZ221" s="384">
        <f>SUM(EX221:EX226)*1.1</f>
        <v>309109.13</v>
      </c>
      <c r="FA221" s="36"/>
      <c r="FB221" s="197"/>
      <c r="FC221" s="197"/>
      <c r="FD221" s="38"/>
      <c r="FE221" s="384">
        <f>SUM(FC221:FC226)*1.1</f>
        <v>289001.41600000003</v>
      </c>
      <c r="FF221" s="36"/>
      <c r="FG221" s="197"/>
      <c r="FH221" s="197"/>
      <c r="FI221" s="38"/>
      <c r="FJ221" s="384">
        <f>SUM(FH221:FH226)*1.1</f>
        <v>282434.174</v>
      </c>
      <c r="FK221" s="36"/>
      <c r="FL221" s="197"/>
      <c r="FM221" s="197"/>
      <c r="FN221" s="38"/>
      <c r="FO221" s="384">
        <f>SUM(FM221:FM226)*1.1</f>
        <v>416098.93600000005</v>
      </c>
      <c r="FP221" s="36"/>
      <c r="FQ221" s="197"/>
      <c r="FR221" s="197"/>
      <c r="FS221" s="38"/>
      <c r="FT221" s="384">
        <f>SUM(FR221:FR226)*1.1</f>
        <v>336034.08299999998</v>
      </c>
      <c r="FU221" s="36"/>
      <c r="FV221" s="197"/>
      <c r="FW221" s="197"/>
      <c r="FX221" s="38"/>
      <c r="FY221" s="384">
        <f>SUM(FW221:FW226)*1.1</f>
        <v>379429.56699999998</v>
      </c>
      <c r="FZ221" s="36"/>
      <c r="GA221" s="197"/>
      <c r="GB221" s="197"/>
      <c r="GC221" s="38"/>
      <c r="GD221" s="384">
        <f>SUM(GB221:GB226)*1.1</f>
        <v>355351.25692000013</v>
      </c>
      <c r="GE221" s="36"/>
      <c r="GF221" s="197"/>
      <c r="GG221" s="197"/>
      <c r="GH221" s="38"/>
      <c r="GI221" s="384">
        <f>SUM(GG221:GG226)*1.1</f>
        <v>248309.864</v>
      </c>
      <c r="GJ221" s="280"/>
      <c r="GK221" s="197"/>
      <c r="GL221" s="197"/>
      <c r="GM221" s="38"/>
      <c r="GN221" s="384">
        <f>SUM(GL221:GL226)*1.1</f>
        <v>345749.42600000004</v>
      </c>
      <c r="GO221" s="36"/>
      <c r="GP221" s="197"/>
      <c r="GQ221" s="197"/>
      <c r="GR221" s="38"/>
      <c r="GS221" s="384">
        <f>SUM(GQ221:GQ226)*1.1</f>
        <v>345241.78039999999</v>
      </c>
      <c r="GT221" s="36"/>
      <c r="GU221" s="197"/>
      <c r="GV221" s="197"/>
      <c r="GW221" s="38"/>
      <c r="GX221" s="384">
        <f>SUM(GV221:GV226)*1.1</f>
        <v>370038.76800000004</v>
      </c>
      <c r="GY221" s="36"/>
      <c r="GZ221" s="197"/>
      <c r="HA221" s="197"/>
      <c r="HB221" s="38"/>
      <c r="HC221" s="384">
        <f>SUM(HA221:HA226)*1.1</f>
        <v>230354.45400000003</v>
      </c>
      <c r="HD221" s="36"/>
      <c r="HE221" s="197"/>
      <c r="HF221" s="197"/>
      <c r="HG221" s="38"/>
      <c r="HH221" s="384">
        <f>SUM(HF221:HF226)*1.1</f>
        <v>309109.13</v>
      </c>
      <c r="HI221" s="36"/>
      <c r="HJ221" s="197"/>
      <c r="HK221" s="197"/>
      <c r="HL221" s="38"/>
      <c r="HM221" s="384">
        <f>SUM(HK221:HK226)*1.1</f>
        <v>289001.41600000003</v>
      </c>
      <c r="HN221" s="36"/>
      <c r="HO221" s="197"/>
      <c r="HP221" s="197"/>
      <c r="HQ221" s="38"/>
      <c r="HR221" s="384">
        <f>SUM(HP221:HP226)*1.1</f>
        <v>282434.174</v>
      </c>
      <c r="HS221" s="36"/>
      <c r="HT221" s="197"/>
      <c r="HU221" s="197"/>
      <c r="HV221" s="38"/>
      <c r="HW221" s="384">
        <f>SUM(HU221:HU226)*1.1</f>
        <v>416098.93600000005</v>
      </c>
      <c r="HX221" s="36"/>
      <c r="HY221" s="197"/>
      <c r="HZ221" s="197"/>
      <c r="IA221" s="38"/>
      <c r="IB221" s="384">
        <f>SUM(HZ221:HZ226)*1.1</f>
        <v>336034.08299999998</v>
      </c>
      <c r="IC221" s="36"/>
      <c r="ID221" s="197"/>
      <c r="IE221" s="197"/>
      <c r="IF221" s="38"/>
      <c r="IG221" s="384">
        <f>SUM(IE221:IE226)*1.1</f>
        <v>379429.56699999998</v>
      </c>
      <c r="IH221" s="36"/>
      <c r="II221" s="197"/>
      <c r="IJ221" s="197"/>
      <c r="IK221" s="38"/>
      <c r="IL221" s="384">
        <f>SUM(IJ221:IJ226)*1.1</f>
        <v>90963.895000000004</v>
      </c>
      <c r="IM221" s="36"/>
      <c r="IN221" s="197"/>
      <c r="IO221" s="197"/>
      <c r="IP221" s="38"/>
      <c r="IQ221" s="384">
        <f>SUM(IO221:IO226)*1.1</f>
        <v>90963.895000000004</v>
      </c>
    </row>
    <row r="222" spans="1:251" ht="15" customHeight="1">
      <c r="A222" s="647"/>
      <c r="B222" s="256"/>
      <c r="C222" s="215">
        <v>43766942</v>
      </c>
      <c r="D222" s="45" t="s">
        <v>107</v>
      </c>
      <c r="E222" s="216" t="s">
        <v>13</v>
      </c>
      <c r="F222" s="22"/>
      <c r="G222" s="104">
        <f>I222/H222</f>
        <v>5.5700001347127923</v>
      </c>
      <c r="H222" s="134">
        <v>14846.4</v>
      </c>
      <c r="I222" s="134">
        <v>82694.45</v>
      </c>
      <c r="J222" s="81"/>
      <c r="K222" s="88"/>
      <c r="L222" s="104">
        <f>N222/M222</f>
        <v>5.8700001155641841</v>
      </c>
      <c r="M222" s="134">
        <v>17306.400000000001</v>
      </c>
      <c r="N222" s="134">
        <v>101588.57</v>
      </c>
      <c r="O222" s="81"/>
      <c r="P222" s="88"/>
      <c r="Q222" s="104">
        <f>S222/R222</f>
        <v>5.8699998992219937</v>
      </c>
      <c r="R222" s="134">
        <v>19845.599999999999</v>
      </c>
      <c r="S222" s="134">
        <v>116493.67</v>
      </c>
      <c r="T222" s="81"/>
      <c r="U222" s="88"/>
      <c r="V222" s="115">
        <f>X222/W222</f>
        <v>5.5600001508318382</v>
      </c>
      <c r="W222" s="134">
        <v>26519.599999999999</v>
      </c>
      <c r="X222" s="134">
        <v>147448.98000000001</v>
      </c>
      <c r="Y222" s="81"/>
      <c r="Z222" s="403">
        <f>SUM(X221:X226)*1</f>
        <v>159514.73000000001</v>
      </c>
      <c r="AA222" s="92">
        <f>AC222/AB222</f>
        <v>5.6000000000000005</v>
      </c>
      <c r="AB222" s="134">
        <v>26074.799999999999</v>
      </c>
      <c r="AC222" s="134">
        <v>146018.88</v>
      </c>
      <c r="AD222" s="81"/>
      <c r="AE222" s="403">
        <f>SUM(AC221:AC226)*1</f>
        <v>158222.35</v>
      </c>
      <c r="AF222" s="92">
        <f>AH222/AG222</f>
        <v>5.1999999999999993</v>
      </c>
      <c r="AG222" s="134">
        <v>32318.400000000001</v>
      </c>
      <c r="AH222" s="134">
        <v>168055.67999999999</v>
      </c>
      <c r="AI222" s="81"/>
      <c r="AJ222" s="403">
        <f>SUM(AH221:AH226)*1</f>
        <v>177800.16999999998</v>
      </c>
      <c r="AK222" s="92">
        <f>AM222/AL222</f>
        <v>5.5460036584436372</v>
      </c>
      <c r="AL222" s="134">
        <v>31488.799999999999</v>
      </c>
      <c r="AM222" s="134">
        <v>174637</v>
      </c>
      <c r="AN222" s="81"/>
      <c r="AO222" s="403">
        <f>SUM(AM221:AM226)*1</f>
        <v>175649.38</v>
      </c>
      <c r="AP222" s="92">
        <f>AR222/AQ222</f>
        <v>6.814655957178231</v>
      </c>
      <c r="AQ222" s="134">
        <v>32955.199999999997</v>
      </c>
      <c r="AR222" s="134">
        <v>224578.35</v>
      </c>
      <c r="AS222" s="81"/>
      <c r="AT222" s="403">
        <f>SUM(AR221:AR226)*1</f>
        <v>233178.81000000003</v>
      </c>
      <c r="AU222" s="92">
        <f>AW222/AV222</f>
        <v>7.4172960254665403</v>
      </c>
      <c r="AV222" s="134">
        <v>34680.800000000003</v>
      </c>
      <c r="AW222" s="134">
        <v>257237.76000000001</v>
      </c>
      <c r="AX222" s="81"/>
      <c r="AY222" s="403">
        <f>SUM(AW221:AW226)*1</f>
        <v>266662.68000000005</v>
      </c>
      <c r="AZ222" s="92">
        <f>BB222/BA222</f>
        <v>7.1048160580718891</v>
      </c>
      <c r="BA222" s="134">
        <v>30803.200000000001</v>
      </c>
      <c r="BB222" s="134">
        <v>218851.07</v>
      </c>
      <c r="BC222" s="81"/>
      <c r="BD222" s="403">
        <f>SUM(BB221:BB226)*1</f>
        <v>236922.72999999998</v>
      </c>
      <c r="BE222" s="92">
        <f>BG222/BF222</f>
        <v>7.2989999274433455</v>
      </c>
      <c r="BF222" s="134">
        <v>33077.599999999999</v>
      </c>
      <c r="BG222" s="134">
        <v>241433.4</v>
      </c>
      <c r="BH222" s="81"/>
      <c r="BI222" s="403">
        <f>SUM(BG221:BG226)*1</f>
        <v>260976.09</v>
      </c>
      <c r="BJ222" s="92">
        <f>BL222/BK222</f>
        <v>7.6566841050059526</v>
      </c>
      <c r="BK222" s="134">
        <v>31922</v>
      </c>
      <c r="BL222" s="134">
        <v>244416.67</v>
      </c>
      <c r="BM222" s="81"/>
      <c r="BN222" s="403">
        <f>SUM(BL221:BL226)*1</f>
        <v>267003.7</v>
      </c>
      <c r="BO222" s="92">
        <f>BQ222/BP222</f>
        <v>7.6566841050059526</v>
      </c>
      <c r="BP222" s="134">
        <v>31922</v>
      </c>
      <c r="BQ222" s="134">
        <v>244416.67</v>
      </c>
      <c r="BR222" s="81"/>
      <c r="BS222" s="403">
        <f>SUM(BQ221:BQ226)*1</f>
        <v>267156</v>
      </c>
      <c r="BT222" s="92">
        <f>BV222/BU222</f>
        <v>7.2789358629552599</v>
      </c>
      <c r="BU222" s="134">
        <v>30191.599999999999</v>
      </c>
      <c r="BV222" s="134">
        <v>219762.72</v>
      </c>
      <c r="BW222" s="81"/>
      <c r="BX222" s="403">
        <f>SUM(BV221:BV226)*1</f>
        <v>227810.37</v>
      </c>
      <c r="BY222" s="92">
        <f>CA222/BZ222</f>
        <v>6.5567878403866562</v>
      </c>
      <c r="BZ222" s="134">
        <v>27145.599999999999</v>
      </c>
      <c r="CA222" s="134">
        <v>177987.94</v>
      </c>
      <c r="CB222" s="81"/>
      <c r="CC222" s="403">
        <f>SUM(CA221:CA226)*1</f>
        <v>182822.05</v>
      </c>
      <c r="CD222" s="92">
        <f>CF222/CE222</f>
        <v>6.4337541294506302</v>
      </c>
      <c r="CE222" s="134">
        <v>32692</v>
      </c>
      <c r="CF222" s="134">
        <v>210332.29</v>
      </c>
      <c r="CG222" s="81"/>
      <c r="CH222" s="403">
        <f>SUM(CF221:CF226)*1</f>
        <v>216059.22000000003</v>
      </c>
      <c r="CI222" s="92">
        <f>CK222/CJ222</f>
        <v>6.6400000658345188</v>
      </c>
      <c r="CJ222" s="134">
        <v>30379.200000000001</v>
      </c>
      <c r="CK222" s="134">
        <v>201717.89</v>
      </c>
      <c r="CL222" s="81"/>
      <c r="CM222" s="403">
        <f>SUM(CK221:CK226)*1</f>
        <v>209413.14</v>
      </c>
      <c r="CN222" s="92">
        <f>CP222/CO222</f>
        <v>7.7299998749953129</v>
      </c>
      <c r="CO222" s="134">
        <v>31998.799999999999</v>
      </c>
      <c r="CP222" s="134">
        <v>247350.72</v>
      </c>
      <c r="CQ222" s="81"/>
      <c r="CR222" s="403">
        <f>SUM(CP221:CP226)*1</f>
        <v>256589.56</v>
      </c>
      <c r="CS222" s="92">
        <f>CU222/CT222</f>
        <v>9.4201641248659609</v>
      </c>
      <c r="CT222" s="72">
        <v>26857.599999999999</v>
      </c>
      <c r="CU222" s="72">
        <v>253003</v>
      </c>
      <c r="CV222" s="44"/>
      <c r="CW222" s="403">
        <f>SUM(CU221:CU226)*1</f>
        <v>262728.56</v>
      </c>
      <c r="CX222" s="92">
        <f>CZ222/CY222</f>
        <v>9.8599998463925278</v>
      </c>
      <c r="CY222" s="134">
        <v>26040.400000000001</v>
      </c>
      <c r="CZ222" s="134">
        <v>256758.34</v>
      </c>
      <c r="DA222" s="44"/>
      <c r="DB222" s="403">
        <f>SUM(CZ221:CZ226)*1</f>
        <v>256758.34</v>
      </c>
      <c r="DC222" s="92">
        <f>DE222/DD222</f>
        <v>9.58</v>
      </c>
      <c r="DD222" s="134">
        <v>31022</v>
      </c>
      <c r="DE222" s="134">
        <v>297190.76</v>
      </c>
      <c r="DF222" s="81"/>
      <c r="DG222" s="403">
        <f>SUM(DE221:DE226)*1</f>
        <v>309718.68</v>
      </c>
      <c r="DH222" s="92">
        <f>DJ222/DI222</f>
        <v>9.488975875516628</v>
      </c>
      <c r="DI222" s="134">
        <v>30873.200000000001</v>
      </c>
      <c r="DJ222" s="134">
        <v>292955.05</v>
      </c>
      <c r="DK222" s="81"/>
      <c r="DL222" s="403">
        <f>SUM(DJ221:DJ226)*1</f>
        <v>303882.15999999997</v>
      </c>
      <c r="DM222" s="92">
        <f>DO222/DN222</f>
        <v>9.4838519286499441</v>
      </c>
      <c r="DN222" s="134">
        <v>32022.400000000001</v>
      </c>
      <c r="DO222" s="134">
        <v>303695.7</v>
      </c>
      <c r="DP222" s="81"/>
      <c r="DQ222" s="403">
        <f>SUM(DO221:DO226)*1</f>
        <v>323738.73</v>
      </c>
      <c r="DR222" s="92">
        <f>DT222/DS222</f>
        <v>9.3705911984404917</v>
      </c>
      <c r="DS222" s="134">
        <f>28552+431.5</f>
        <v>28983.5</v>
      </c>
      <c r="DT222" s="134">
        <f>267549.37+4043.16</f>
        <v>271592.52999999997</v>
      </c>
      <c r="DU222" s="81"/>
      <c r="DV222" s="403">
        <f>SUM(DT221:DT226)*1</f>
        <v>286793.42999999993</v>
      </c>
      <c r="DW222" s="92">
        <f>DY222/DX222</f>
        <v>9.857673051483923</v>
      </c>
      <c r="DX222" s="134">
        <f>27534+418.823</f>
        <v>27952.823</v>
      </c>
      <c r="DY222" s="134">
        <f>271421.23+4128.56</f>
        <v>275549.78999999998</v>
      </c>
      <c r="DZ222" s="81"/>
      <c r="EA222" s="403">
        <f>SUM(DY221:DY226)*1</f>
        <v>290893.34999999998</v>
      </c>
      <c r="EB222" s="92">
        <f>ED222/EC222</f>
        <v>9.992724060829131</v>
      </c>
      <c r="EC222" s="134">
        <f>30260+450.812</f>
        <v>30710.812000000002</v>
      </c>
      <c r="ED222" s="134">
        <f>302379.83+4504.84</f>
        <v>306884.67000000004</v>
      </c>
      <c r="EE222" s="81"/>
      <c r="EF222" s="403">
        <f>SUM(ED221:ED226)*1</f>
        <v>314317.66000000003</v>
      </c>
      <c r="EG222" s="92">
        <f>EI222/EH222</f>
        <v>12.321086888945954</v>
      </c>
      <c r="EH222" s="72">
        <f>29159.6+436.8</f>
        <v>29596.399999999998</v>
      </c>
      <c r="EI222" s="134">
        <f>1.2*(299397.24+4485.94)</f>
        <v>364659.81599999999</v>
      </c>
      <c r="EJ222" s="44"/>
      <c r="EK222" s="403">
        <f>SUM(EI221:EI226)*1</f>
        <v>371980.09599999996</v>
      </c>
      <c r="EL222" s="92">
        <f>EN222/EM222</f>
        <v>9.5626552267669762</v>
      </c>
      <c r="EM222" s="134">
        <f>30326.4+487.39</f>
        <v>30813.79</v>
      </c>
      <c r="EN222" s="134">
        <f>290284.43+4377.22</f>
        <v>294661.64999999997</v>
      </c>
      <c r="EO222" s="44"/>
      <c r="EP222" s="403">
        <f>SUM(EN221:EN226)*1</f>
        <v>304756.08999999997</v>
      </c>
      <c r="EQ222" s="92">
        <f>ES222/ER222</f>
        <v>6.6400000658345188</v>
      </c>
      <c r="ER222" s="72">
        <v>30379.200000000001</v>
      </c>
      <c r="ES222" s="72">
        <v>201717.89</v>
      </c>
      <c r="ET222" s="44"/>
      <c r="EU222" s="403">
        <f>SUM(ES221:ES226)*1</f>
        <v>209413.14</v>
      </c>
      <c r="EV222" s="92">
        <f>EX222/EW222</f>
        <v>8.549328056775428</v>
      </c>
      <c r="EW222" s="134">
        <v>31788.400000000001</v>
      </c>
      <c r="EX222" s="134">
        <v>271769.46000000002</v>
      </c>
      <c r="EY222" s="44"/>
      <c r="EZ222" s="403">
        <f>SUM(EX221:EX226)*1</f>
        <v>281008.3</v>
      </c>
      <c r="FA222" s="92">
        <f>FC222/FB222</f>
        <v>9.4201641248659609</v>
      </c>
      <c r="FB222" s="72">
        <v>26857.599999999999</v>
      </c>
      <c r="FC222" s="72">
        <v>253003</v>
      </c>
      <c r="FD222" s="44"/>
      <c r="FE222" s="403">
        <f>SUM(FC221:FC226)*1</f>
        <v>262728.56</v>
      </c>
      <c r="FF222" s="92">
        <f>FH222/FG222</f>
        <v>9.8599998463925278</v>
      </c>
      <c r="FG222" s="72">
        <v>26040.400000000001</v>
      </c>
      <c r="FH222" s="72">
        <v>256758.34</v>
      </c>
      <c r="FI222" s="44"/>
      <c r="FJ222" s="403">
        <f>SUM(FH221:FH226)*1</f>
        <v>256758.34</v>
      </c>
      <c r="FK222" s="92">
        <f>FM222/FL222</f>
        <v>9.5989664118193456</v>
      </c>
      <c r="FL222" s="134">
        <v>36387.800000000003</v>
      </c>
      <c r="FM222" s="134">
        <f>210692.89+3374.69+135217.69</f>
        <v>349285.27</v>
      </c>
      <c r="FN222" s="44"/>
      <c r="FO222" s="403">
        <f>SUM(FM221:FM226)*1</f>
        <v>378271.76</v>
      </c>
      <c r="FP222" s="92">
        <f>FR222/FQ222</f>
        <v>8.8018795532101812</v>
      </c>
      <c r="FQ222" s="134">
        <v>33465.4</v>
      </c>
      <c r="FR222" s="134">
        <f>164383.9+130174.52</f>
        <v>294558.42</v>
      </c>
      <c r="FS222" s="44"/>
      <c r="FT222" s="403">
        <f>SUM(FR221:FR226)*1</f>
        <v>305485.52999999997</v>
      </c>
      <c r="FU222" s="92">
        <f>FW222/FV222</f>
        <v>11.095464045680565</v>
      </c>
      <c r="FV222" s="134">
        <f>28845.6+436</f>
        <v>29281.599999999999</v>
      </c>
      <c r="FW222" s="134">
        <f>277071.49+47821.45</f>
        <v>324892.94</v>
      </c>
      <c r="FX222" s="81"/>
      <c r="FY222" s="403">
        <f>SUM(FW221:FW226)*1</f>
        <v>344935.97</v>
      </c>
      <c r="FZ222" s="92">
        <f>GB222/GA222</f>
        <v>11.629937933438992</v>
      </c>
      <c r="GA222" s="134">
        <f>24531.4+545+679.82</f>
        <v>25756.22</v>
      </c>
      <c r="GB222" s="134">
        <f>291638.53+7904.71</f>
        <v>299543.24000000005</v>
      </c>
      <c r="GC222" s="81"/>
      <c r="GD222" s="403">
        <f>SUM(GB221:GB226)*1</f>
        <v>323046.59720000008</v>
      </c>
      <c r="GE222" s="92">
        <f>GG222/GF222</f>
        <v>11.690000103572205</v>
      </c>
      <c r="GF222" s="134">
        <f>18591.2+719</f>
        <v>19310.2</v>
      </c>
      <c r="GG222" s="134">
        <v>225736.24</v>
      </c>
      <c r="GH222" s="81"/>
      <c r="GI222" s="403">
        <f>SUM(GG221:GG226)*1</f>
        <v>225736.24</v>
      </c>
      <c r="GJ222" s="98">
        <f>GL222/GK222</f>
        <v>9.992724060829131</v>
      </c>
      <c r="GK222" s="72">
        <f>30260+450.812</f>
        <v>30710.812000000002</v>
      </c>
      <c r="GL222" s="72">
        <f>302379.83+4504.84</f>
        <v>306884.67000000004</v>
      </c>
      <c r="GM222" s="44"/>
      <c r="GN222" s="403">
        <f>SUM(GL221:GL226)*1</f>
        <v>314317.66000000003</v>
      </c>
      <c r="GO222" s="92">
        <f>GQ222/GP222</f>
        <v>18.696000439136853</v>
      </c>
      <c r="GP222" s="134">
        <f>10507.2+3502.4+635+1751.2</f>
        <v>16395.8</v>
      </c>
      <c r="GQ222" s="134">
        <f>1.2*(255446.57)</f>
        <v>306535.88400000002</v>
      </c>
      <c r="GR222" s="81"/>
      <c r="GS222" s="403">
        <f>SUM(GQ221:GQ226)*1</f>
        <v>313856.16399999999</v>
      </c>
      <c r="GT222" s="92">
        <f>GV222/GU222</f>
        <v>12.146893892015843</v>
      </c>
      <c r="GU222" s="134">
        <f>13147.2+10180+1768+1768</f>
        <v>26863.200000000001</v>
      </c>
      <c r="GV222" s="1615">
        <f>168633.55+157670.89</f>
        <v>326304.44</v>
      </c>
      <c r="GW222" s="81"/>
      <c r="GX222" s="403">
        <f>SUM(GV221:GV226)*1</f>
        <v>336398.88</v>
      </c>
      <c r="GY222" s="92">
        <f>HA222/GZ222</f>
        <v>6.6400000658345188</v>
      </c>
      <c r="GZ222" s="72">
        <v>30379.200000000001</v>
      </c>
      <c r="HA222" s="72">
        <v>201717.89</v>
      </c>
      <c r="HB222" s="44"/>
      <c r="HC222" s="403">
        <f>SUM(HA221:HA226)*1</f>
        <v>209413.14</v>
      </c>
      <c r="HD222" s="92">
        <f>HF222/HE222</f>
        <v>8.549328056775428</v>
      </c>
      <c r="HE222" s="72">
        <v>31788.400000000001</v>
      </c>
      <c r="HF222" s="72">
        <v>271769.46000000002</v>
      </c>
      <c r="HG222" s="44"/>
      <c r="HH222" s="403">
        <f>SUM(HF221:HF226)*1</f>
        <v>281008.3</v>
      </c>
      <c r="HI222" s="92">
        <f>HK222/HJ222</f>
        <v>9.4201641248659609</v>
      </c>
      <c r="HJ222" s="72">
        <v>26857.599999999999</v>
      </c>
      <c r="HK222" s="72">
        <v>253003</v>
      </c>
      <c r="HL222" s="44"/>
      <c r="HM222" s="403">
        <f>SUM(HK221:HK226)*1</f>
        <v>262728.56</v>
      </c>
      <c r="HN222" s="92">
        <f>HP222/HO222</f>
        <v>9.8599998463925278</v>
      </c>
      <c r="HO222" s="72">
        <v>26040.400000000001</v>
      </c>
      <c r="HP222" s="72">
        <v>256758.34</v>
      </c>
      <c r="HQ222" s="44"/>
      <c r="HR222" s="403">
        <f>SUM(HP221:HP226)*1</f>
        <v>256758.34</v>
      </c>
      <c r="HS222" s="92">
        <f>HU222/HT222</f>
        <v>9.5989664118193456</v>
      </c>
      <c r="HT222" s="72">
        <v>36387.800000000003</v>
      </c>
      <c r="HU222" s="72">
        <f>210692.89+3374.69+135217.69</f>
        <v>349285.27</v>
      </c>
      <c r="HV222" s="44"/>
      <c r="HW222" s="403">
        <f>SUM(HU221:HU226)*1</f>
        <v>378271.76</v>
      </c>
      <c r="HX222" s="92">
        <f>HZ222/HY222</f>
        <v>8.8018795532101812</v>
      </c>
      <c r="HY222" s="72">
        <v>33465.4</v>
      </c>
      <c r="HZ222" s="72">
        <f>164383.9+130174.52</f>
        <v>294558.42</v>
      </c>
      <c r="IA222" s="44"/>
      <c r="IB222" s="403">
        <f>SUM(HZ221:HZ226)*1</f>
        <v>305485.52999999997</v>
      </c>
      <c r="IC222" s="92">
        <f>IE222/ID222</f>
        <v>11.095464045680565</v>
      </c>
      <c r="ID222" s="72">
        <f>28845.6+436</f>
        <v>29281.599999999999</v>
      </c>
      <c r="IE222" s="72">
        <f>277071.49+47821.45</f>
        <v>324892.94</v>
      </c>
      <c r="IF222" s="44"/>
      <c r="IG222" s="403">
        <f>SUM(IE221:IE226)*1</f>
        <v>344935.97</v>
      </c>
      <c r="IH222" s="92">
        <f>IJ222/II222</f>
        <v>5.5700001347127923</v>
      </c>
      <c r="II222" s="72">
        <v>14846.4</v>
      </c>
      <c r="IJ222" s="72">
        <v>82694.45</v>
      </c>
      <c r="IK222" s="44"/>
      <c r="IL222" s="403">
        <f>SUM(IJ221:IJ226)*1</f>
        <v>82694.45</v>
      </c>
      <c r="IM222" s="92">
        <f>IO222/IN222</f>
        <v>5.5700001347127923</v>
      </c>
      <c r="IN222" s="72">
        <v>14846.4</v>
      </c>
      <c r="IO222" s="72">
        <v>82694.45</v>
      </c>
      <c r="IP222" s="44"/>
      <c r="IQ222" s="403">
        <f>SUM(IO221:IO226)*1</f>
        <v>82694.45</v>
      </c>
    </row>
    <row r="223" spans="1:251" ht="15" customHeight="1">
      <c r="A223" s="647"/>
      <c r="B223" s="256"/>
      <c r="C223" s="215"/>
      <c r="D223" s="220"/>
      <c r="E223" s="216" t="s">
        <v>15</v>
      </c>
      <c r="F223" s="22"/>
      <c r="G223" s="103"/>
      <c r="H223" s="57">
        <v>0</v>
      </c>
      <c r="I223" s="57"/>
      <c r="J223" s="44"/>
      <c r="K223" s="86"/>
      <c r="L223" s="103"/>
      <c r="M223" s="57">
        <v>0</v>
      </c>
      <c r="N223" s="57"/>
      <c r="O223" s="44"/>
      <c r="P223" s="86"/>
      <c r="Q223" s="103"/>
      <c r="R223" s="57">
        <v>0</v>
      </c>
      <c r="S223" s="57"/>
      <c r="T223" s="44"/>
      <c r="U223" s="86"/>
      <c r="V223" s="47"/>
      <c r="W223" s="57">
        <v>0</v>
      </c>
      <c r="X223" s="57"/>
      <c r="Y223" s="44"/>
      <c r="Z223" s="44"/>
      <c r="AA223" s="46"/>
      <c r="AB223" s="57">
        <v>0</v>
      </c>
      <c r="AC223" s="57"/>
      <c r="AD223" s="44"/>
      <c r="AE223" s="44"/>
      <c r="AF223" s="46"/>
      <c r="AG223" s="57">
        <v>0</v>
      </c>
      <c r="AH223" s="57"/>
      <c r="AI223" s="44"/>
      <c r="AJ223" s="44"/>
      <c r="AK223" s="46"/>
      <c r="AL223" s="57">
        <v>0</v>
      </c>
      <c r="AM223" s="57"/>
      <c r="AN223" s="44"/>
      <c r="AO223" s="44"/>
      <c r="AP223" s="46"/>
      <c r="AQ223" s="134"/>
      <c r="AR223" s="74">
        <f>3055.51+3191.78</f>
        <v>6247.2900000000009</v>
      </c>
      <c r="AS223" s="81"/>
      <c r="AT223" s="81"/>
      <c r="AU223" s="406"/>
      <c r="AV223" s="134"/>
      <c r="AW223" s="134">
        <f>3130.64+3732.26</f>
        <v>6862.9</v>
      </c>
      <c r="AX223" s="81"/>
      <c r="AY223" s="81"/>
      <c r="AZ223" s="46"/>
      <c r="BA223" s="74"/>
      <c r="BB223" s="74">
        <f>3029.47+3147.43</f>
        <v>6176.9</v>
      </c>
      <c r="BC223" s="81"/>
      <c r="BD223" s="44"/>
      <c r="BE223" s="46"/>
      <c r="BF223" s="74"/>
      <c r="BG223" s="134">
        <f>1.2*2968+3465.75</f>
        <v>7027.35</v>
      </c>
      <c r="BH223" s="81"/>
      <c r="BI223" s="44"/>
      <c r="BJ223" s="46"/>
      <c r="BK223" s="74"/>
      <c r="BL223" s="74">
        <f>2817.49+3598.64</f>
        <v>6416.1299999999992</v>
      </c>
      <c r="BM223" s="81"/>
      <c r="BN223" s="44"/>
      <c r="BO223" s="46"/>
      <c r="BP223" s="74">
        <v>7788</v>
      </c>
      <c r="BQ223" s="134">
        <f>2699.52+3348.3</f>
        <v>6047.82</v>
      </c>
      <c r="BR223" s="81"/>
      <c r="BS223" s="44"/>
      <c r="BT223" s="46"/>
      <c r="BU223" s="74">
        <v>1</v>
      </c>
      <c r="BV223" s="134">
        <f>2450.26+3312.4</f>
        <v>5762.66</v>
      </c>
      <c r="BW223" s="81"/>
      <c r="BX223" s="44"/>
      <c r="BY223" s="46"/>
      <c r="BZ223" s="74">
        <v>1</v>
      </c>
      <c r="CA223" s="134">
        <f>2172.05+2662.06</f>
        <v>4834.1100000000006</v>
      </c>
      <c r="CB223" s="81"/>
      <c r="CC223" s="44"/>
      <c r="CD223" s="46"/>
      <c r="CE223" s="74"/>
      <c r="CF223" s="134">
        <v>2589.64</v>
      </c>
      <c r="CG223" s="81"/>
      <c r="CH223" s="44"/>
      <c r="CI223" s="46"/>
      <c r="CJ223" s="74">
        <v>7788</v>
      </c>
      <c r="CK223" s="134">
        <f>2153.12+2992.58</f>
        <v>5145.7</v>
      </c>
      <c r="CL223" s="81"/>
      <c r="CM223" s="44"/>
      <c r="CN223" s="46"/>
      <c r="CO223" s="134">
        <v>5761.2</v>
      </c>
      <c r="CP223" s="134">
        <f>2419.7+3632.71</f>
        <v>6052.41</v>
      </c>
      <c r="CQ223" s="81"/>
      <c r="CR223" s="44"/>
      <c r="CS223" s="46"/>
      <c r="CT223" s="57">
        <v>7788</v>
      </c>
      <c r="CU223" s="57">
        <f>2904.46+3814.35</f>
        <v>6718.8099999999995</v>
      </c>
      <c r="CV223" s="44"/>
      <c r="CW223" s="44"/>
      <c r="CX223" s="46"/>
      <c r="CY223" s="57">
        <v>7788</v>
      </c>
      <c r="CZ223" s="57"/>
      <c r="DA223" s="44"/>
      <c r="DB223" s="44"/>
      <c r="DC223" s="46"/>
      <c r="DD223" s="57">
        <v>7788</v>
      </c>
      <c r="DE223" s="57"/>
      <c r="DF223" s="44"/>
      <c r="DG223" s="44"/>
      <c r="DH223" s="46"/>
      <c r="DI223" s="74"/>
      <c r="DJ223" s="134">
        <f>3786.88+4350</f>
        <v>8136.88</v>
      </c>
      <c r="DK223" s="81"/>
      <c r="DL223" s="44"/>
      <c r="DM223" s="46"/>
      <c r="DN223" s="74"/>
      <c r="DO223" s="134">
        <f>5202.41+4447.02</f>
        <v>9649.43</v>
      </c>
      <c r="DP223" s="81"/>
      <c r="DQ223" s="44"/>
      <c r="DR223" s="46"/>
      <c r="DS223" s="74">
        <v>1</v>
      </c>
      <c r="DT223" s="134">
        <v>3040.5</v>
      </c>
      <c r="DU223" s="81"/>
      <c r="DV223" s="44"/>
      <c r="DW223" s="46"/>
      <c r="DX223" s="74"/>
      <c r="DY223" s="134">
        <v>2758.7</v>
      </c>
      <c r="DZ223" s="81"/>
      <c r="EA223" s="44"/>
      <c r="EB223" s="46"/>
      <c r="EC223" s="57">
        <v>1</v>
      </c>
      <c r="ED223" s="134">
        <v>4762.24</v>
      </c>
      <c r="EE223" s="44"/>
      <c r="EF223" s="44"/>
      <c r="EG223" s="46"/>
      <c r="EH223" s="57">
        <v>1</v>
      </c>
      <c r="EI223" s="72">
        <f>2172.05+2662.06</f>
        <v>4834.1100000000006</v>
      </c>
      <c r="EJ223" s="44"/>
      <c r="EK223" s="44"/>
      <c r="EL223" s="46"/>
      <c r="EM223" s="74"/>
      <c r="EN223" s="134">
        <v>5124.8100000000004</v>
      </c>
      <c r="EO223" s="44"/>
      <c r="EP223" s="44"/>
      <c r="EQ223" s="46"/>
      <c r="ER223" s="57">
        <v>7788</v>
      </c>
      <c r="ES223" s="72">
        <f>2153.12+2992.58</f>
        <v>5145.7</v>
      </c>
      <c r="ET223" s="44"/>
      <c r="EU223" s="44"/>
      <c r="EV223" s="46"/>
      <c r="EW223" s="72">
        <v>5761.2</v>
      </c>
      <c r="EX223" s="72">
        <f>2419.7+3632.71</f>
        <v>6052.41</v>
      </c>
      <c r="EY223" s="44"/>
      <c r="EZ223" s="44"/>
      <c r="FA223" s="46"/>
      <c r="FB223" s="57">
        <v>7788</v>
      </c>
      <c r="FC223" s="57">
        <f>2904.46+3814.35</f>
        <v>6718.8099999999995</v>
      </c>
      <c r="FD223" s="44"/>
      <c r="FE223" s="44"/>
      <c r="FF223" s="46"/>
      <c r="FG223" s="57">
        <v>7788</v>
      </c>
      <c r="FH223" s="57"/>
      <c r="FI223" s="44"/>
      <c r="FJ223" s="44"/>
      <c r="FK223" s="46"/>
      <c r="FL223" s="57">
        <v>1</v>
      </c>
      <c r="FM223" s="72">
        <v>4248.05</v>
      </c>
      <c r="FN223" s="44"/>
      <c r="FO223" s="44"/>
      <c r="FP223" s="46"/>
      <c r="FQ223" s="57"/>
      <c r="FR223" s="72">
        <f>3786.88+4350</f>
        <v>8136.88</v>
      </c>
      <c r="FS223" s="44"/>
      <c r="FT223" s="44"/>
      <c r="FU223" s="46"/>
      <c r="FV223" s="57"/>
      <c r="FW223" s="72">
        <f>5202.41+4447.02</f>
        <v>9649.43</v>
      </c>
      <c r="FX223" s="44"/>
      <c r="FY223" s="44"/>
      <c r="FZ223" s="46"/>
      <c r="GA223" s="57"/>
      <c r="GB223" s="57"/>
      <c r="GC223" s="44"/>
      <c r="GD223" s="44"/>
      <c r="GE223" s="46"/>
      <c r="GF223" s="57">
        <v>7788</v>
      </c>
      <c r="GG223" s="57"/>
      <c r="GH223" s="44"/>
      <c r="GI223" s="44"/>
      <c r="GJ223" s="97"/>
      <c r="GK223" s="57">
        <v>1</v>
      </c>
      <c r="GL223" s="72">
        <v>4762.24</v>
      </c>
      <c r="GM223" s="44"/>
      <c r="GN223" s="44"/>
      <c r="GO223" s="46"/>
      <c r="GP223" s="57">
        <v>1</v>
      </c>
      <c r="GQ223" s="72">
        <f>2172.05+2662.06</f>
        <v>4834.1100000000006</v>
      </c>
      <c r="GR223" s="44"/>
      <c r="GS223" s="44"/>
      <c r="GT223" s="46"/>
      <c r="GU223" s="57"/>
      <c r="GV223" s="72">
        <v>5124.8100000000004</v>
      </c>
      <c r="GW223" s="44"/>
      <c r="GX223" s="44"/>
      <c r="GY223" s="46"/>
      <c r="GZ223" s="57">
        <v>7788</v>
      </c>
      <c r="HA223" s="72">
        <f>2153.12+2992.58</f>
        <v>5145.7</v>
      </c>
      <c r="HB223" s="44"/>
      <c r="HC223" s="44"/>
      <c r="HD223" s="46"/>
      <c r="HE223" s="72">
        <v>5761.2</v>
      </c>
      <c r="HF223" s="72">
        <f>2419.7+3632.71</f>
        <v>6052.41</v>
      </c>
      <c r="HG223" s="44"/>
      <c r="HH223" s="44"/>
      <c r="HI223" s="46"/>
      <c r="HJ223" s="57">
        <v>7788</v>
      </c>
      <c r="HK223" s="57">
        <f>2904.46+3814.35</f>
        <v>6718.8099999999995</v>
      </c>
      <c r="HL223" s="44"/>
      <c r="HM223" s="44"/>
      <c r="HN223" s="46"/>
      <c r="HO223" s="57">
        <v>7788</v>
      </c>
      <c r="HP223" s="57"/>
      <c r="HQ223" s="44"/>
      <c r="HR223" s="44"/>
      <c r="HS223" s="46"/>
      <c r="HT223" s="57">
        <v>1</v>
      </c>
      <c r="HU223" s="72">
        <v>4248.05</v>
      </c>
      <c r="HV223" s="44"/>
      <c r="HW223" s="44"/>
      <c r="HX223" s="46"/>
      <c r="HY223" s="57"/>
      <c r="HZ223" s="72">
        <f>3786.88+4350</f>
        <v>8136.88</v>
      </c>
      <c r="IA223" s="44"/>
      <c r="IB223" s="44"/>
      <c r="IC223" s="46"/>
      <c r="ID223" s="57"/>
      <c r="IE223" s="72">
        <f>5202.41+4447.02</f>
        <v>9649.43</v>
      </c>
      <c r="IF223" s="44"/>
      <c r="IG223" s="44"/>
      <c r="IH223" s="46"/>
      <c r="II223" s="57">
        <v>7788</v>
      </c>
      <c r="IJ223" s="57"/>
      <c r="IK223" s="44"/>
      <c r="IL223" s="44"/>
      <c r="IM223" s="46"/>
      <c r="IN223" s="57">
        <v>7788</v>
      </c>
      <c r="IO223" s="57"/>
      <c r="IP223" s="44"/>
      <c r="IQ223" s="44"/>
    </row>
    <row r="224" spans="1:251" ht="15" customHeight="1">
      <c r="A224" s="647"/>
      <c r="B224" s="256"/>
      <c r="C224" s="215"/>
      <c r="D224" s="45"/>
      <c r="E224" s="216" t="s">
        <v>192</v>
      </c>
      <c r="F224" s="22"/>
      <c r="G224" s="103"/>
      <c r="H224" s="74">
        <v>1</v>
      </c>
      <c r="I224" s="134">
        <v>9993.6</v>
      </c>
      <c r="J224" s="81"/>
      <c r="K224" s="88"/>
      <c r="L224" s="103"/>
      <c r="M224" s="74">
        <v>1</v>
      </c>
      <c r="N224" s="134">
        <v>10809.7</v>
      </c>
      <c r="O224" s="81"/>
      <c r="P224" s="88"/>
      <c r="Q224" s="103"/>
      <c r="R224" s="74">
        <v>1</v>
      </c>
      <c r="S224" s="134">
        <v>7791.6</v>
      </c>
      <c r="T224" s="81"/>
      <c r="U224" s="88"/>
      <c r="V224" s="47"/>
      <c r="W224" s="74"/>
      <c r="X224" s="74">
        <v>7209.7</v>
      </c>
      <c r="Y224" s="81"/>
      <c r="Z224" s="81"/>
      <c r="AA224" s="97"/>
      <c r="AB224" s="74"/>
      <c r="AC224" s="74">
        <v>7222.4</v>
      </c>
      <c r="AD224" s="81"/>
      <c r="AE224" s="81"/>
      <c r="AF224" s="46"/>
      <c r="AG224" s="423"/>
      <c r="AH224" s="424">
        <v>7222.4</v>
      </c>
      <c r="AI224" s="425"/>
      <c r="AJ224" s="425"/>
      <c r="AK224" s="46"/>
      <c r="AL224" s="74"/>
      <c r="AM224" s="74" t="s">
        <v>341</v>
      </c>
      <c r="AN224" s="81"/>
      <c r="AO224" s="425"/>
      <c r="AP224" s="46"/>
      <c r="AQ224" s="74">
        <v>8406.2999999999993</v>
      </c>
      <c r="AR224" s="74"/>
      <c r="AS224" s="81"/>
      <c r="AT224" s="81"/>
      <c r="AU224" s="46"/>
      <c r="AV224" s="134">
        <v>7122.7</v>
      </c>
      <c r="AW224" s="74"/>
      <c r="AX224" s="81"/>
      <c r="AY224" s="81"/>
      <c r="AZ224" s="46"/>
      <c r="BA224" s="74"/>
      <c r="BB224" s="134">
        <v>9209.74</v>
      </c>
      <c r="BC224" s="81"/>
      <c r="BD224" s="371"/>
      <c r="BE224" s="46"/>
      <c r="BF224" s="74"/>
      <c r="BG224" s="134">
        <v>9209.74</v>
      </c>
      <c r="BH224" s="81"/>
      <c r="BI224" s="371"/>
      <c r="BJ224" s="46"/>
      <c r="BK224" s="74"/>
      <c r="BL224" s="134">
        <v>13909.74</v>
      </c>
      <c r="BM224" s="81"/>
      <c r="BN224" s="371"/>
      <c r="BO224" s="46"/>
      <c r="BP224" s="74"/>
      <c r="BQ224" s="134">
        <v>9209.74</v>
      </c>
      <c r="BR224" s="81"/>
      <c r="BS224" s="371"/>
      <c r="BT224" s="46"/>
      <c r="BU224" s="74"/>
      <c r="BV224" s="74"/>
      <c r="BW224" s="81"/>
      <c r="BX224" s="371"/>
      <c r="BY224" s="46"/>
      <c r="BZ224" s="74"/>
      <c r="CA224" s="74" t="s">
        <v>463</v>
      </c>
      <c r="CB224" s="81"/>
      <c r="CC224" s="371"/>
      <c r="CD224" s="46"/>
      <c r="CE224" s="74"/>
      <c r="CF224" s="74" t="s">
        <v>463</v>
      </c>
      <c r="CG224" s="81"/>
      <c r="CH224" s="371"/>
      <c r="CI224" s="46"/>
      <c r="CJ224" s="74"/>
      <c r="CK224" s="74" t="s">
        <v>463</v>
      </c>
      <c r="CL224" s="81"/>
      <c r="CM224" s="371"/>
      <c r="CN224" s="46"/>
      <c r="CO224" s="74"/>
      <c r="CP224" s="74"/>
      <c r="CQ224" s="81"/>
      <c r="CR224" s="371"/>
      <c r="CS224" s="46"/>
      <c r="CT224" s="74"/>
      <c r="CU224" s="74" t="s">
        <v>463</v>
      </c>
      <c r="CV224" s="81"/>
      <c r="CW224" s="371"/>
      <c r="CX224" s="46"/>
      <c r="CY224" s="57"/>
      <c r="CZ224" s="57"/>
      <c r="DA224" s="44"/>
      <c r="DB224" s="371"/>
      <c r="DC224" s="46"/>
      <c r="DD224" s="74">
        <v>1</v>
      </c>
      <c r="DE224" s="134">
        <v>9209.74</v>
      </c>
      <c r="DF224" s="81"/>
      <c r="DG224" s="371"/>
      <c r="DH224" s="46"/>
      <c r="DI224" s="74">
        <v>1</v>
      </c>
      <c r="DJ224" s="74" t="s">
        <v>463</v>
      </c>
      <c r="DK224" s="81"/>
      <c r="DL224" s="371"/>
      <c r="DM224" s="46"/>
      <c r="DN224" s="74"/>
      <c r="DO224" s="74">
        <v>10393.6</v>
      </c>
      <c r="DP224" s="81"/>
      <c r="DQ224" s="371"/>
      <c r="DR224" s="46"/>
      <c r="DS224" s="74"/>
      <c r="DT224" s="134">
        <v>9209.74</v>
      </c>
      <c r="DU224" s="81"/>
      <c r="DV224" s="371"/>
      <c r="DW224" s="46"/>
      <c r="DX224" s="74"/>
      <c r="DY224" s="134">
        <v>9209.74</v>
      </c>
      <c r="DZ224" s="81"/>
      <c r="EA224" s="371"/>
      <c r="EB224" s="46"/>
      <c r="EC224" s="57"/>
      <c r="ED224" s="57"/>
      <c r="EE224" s="44"/>
      <c r="EF224" s="371"/>
      <c r="EG224" s="46"/>
      <c r="EH224" s="57"/>
      <c r="EI224" s="57" t="s">
        <v>463</v>
      </c>
      <c r="EJ224" s="44"/>
      <c r="EK224" s="371"/>
      <c r="EL224" s="46"/>
      <c r="EM224" s="57"/>
      <c r="EN224" s="57" t="s">
        <v>463</v>
      </c>
      <c r="EO224" s="44"/>
      <c r="EP224" s="371"/>
      <c r="EQ224" s="46"/>
      <c r="ER224" s="57"/>
      <c r="ES224" s="57" t="s">
        <v>463</v>
      </c>
      <c r="ET224" s="44"/>
      <c r="EU224" s="371"/>
      <c r="EV224" s="46"/>
      <c r="EW224" s="57"/>
      <c r="EX224" s="57"/>
      <c r="EY224" s="44"/>
      <c r="EZ224" s="371"/>
      <c r="FA224" s="46"/>
      <c r="FB224" s="57"/>
      <c r="FC224" s="57" t="s">
        <v>463</v>
      </c>
      <c r="FD224" s="44"/>
      <c r="FE224" s="371"/>
      <c r="FF224" s="46"/>
      <c r="FG224" s="57"/>
      <c r="FH224" s="57"/>
      <c r="FI224" s="44"/>
      <c r="FJ224" s="371"/>
      <c r="FK224" s="46"/>
      <c r="FL224" s="57">
        <v>1</v>
      </c>
      <c r="FM224" s="72">
        <v>21421.26</v>
      </c>
      <c r="FN224" s="44"/>
      <c r="FO224" s="371"/>
      <c r="FP224" s="46"/>
      <c r="FQ224" s="57">
        <v>1</v>
      </c>
      <c r="FR224" s="57" t="s">
        <v>463</v>
      </c>
      <c r="FS224" s="44"/>
      <c r="FT224" s="371"/>
      <c r="FU224" s="46"/>
      <c r="FV224" s="57"/>
      <c r="FW224" s="57">
        <v>10393.6</v>
      </c>
      <c r="FX224" s="44"/>
      <c r="FY224" s="371"/>
      <c r="FZ224" s="46"/>
      <c r="GA224" s="74">
        <v>1</v>
      </c>
      <c r="GB224" s="74">
        <v>23503.357199999999</v>
      </c>
      <c r="GC224" s="81"/>
      <c r="GD224" s="371"/>
      <c r="GE224" s="46"/>
      <c r="GF224" s="57"/>
      <c r="GG224" s="57"/>
      <c r="GH224" s="44"/>
      <c r="GI224" s="371"/>
      <c r="GJ224" s="97"/>
      <c r="GK224" s="57"/>
      <c r="GL224" s="57"/>
      <c r="GM224" s="44"/>
      <c r="GN224" s="371"/>
      <c r="GO224" s="46"/>
      <c r="GP224" s="57"/>
      <c r="GQ224" s="57" t="s">
        <v>463</v>
      </c>
      <c r="GR224" s="44"/>
      <c r="GS224" s="371"/>
      <c r="GT224" s="46"/>
      <c r="GU224" s="57"/>
      <c r="GV224" s="57" t="s">
        <v>463</v>
      </c>
      <c r="GW224" s="44"/>
      <c r="GX224" s="371"/>
      <c r="GY224" s="46"/>
      <c r="GZ224" s="57"/>
      <c r="HA224" s="57" t="s">
        <v>463</v>
      </c>
      <c r="HB224" s="44"/>
      <c r="HC224" s="371"/>
      <c r="HD224" s="46"/>
      <c r="HE224" s="57"/>
      <c r="HF224" s="57"/>
      <c r="HG224" s="44"/>
      <c r="HH224" s="371"/>
      <c r="HI224" s="46"/>
      <c r="HJ224" s="57"/>
      <c r="HK224" s="57" t="s">
        <v>463</v>
      </c>
      <c r="HL224" s="44"/>
      <c r="HM224" s="371"/>
      <c r="HN224" s="46"/>
      <c r="HO224" s="57"/>
      <c r="HP224" s="57"/>
      <c r="HQ224" s="44"/>
      <c r="HR224" s="371"/>
      <c r="HS224" s="46"/>
      <c r="HT224" s="57">
        <v>1</v>
      </c>
      <c r="HU224" s="72">
        <v>21421.26</v>
      </c>
      <c r="HV224" s="44"/>
      <c r="HW224" s="371"/>
      <c r="HX224" s="46"/>
      <c r="HY224" s="57">
        <v>1</v>
      </c>
      <c r="HZ224" s="57" t="s">
        <v>463</v>
      </c>
      <c r="IA224" s="44"/>
      <c r="IB224" s="371"/>
      <c r="IC224" s="46"/>
      <c r="ID224" s="57"/>
      <c r="IE224" s="57">
        <v>10393.6</v>
      </c>
      <c r="IF224" s="44"/>
      <c r="IG224" s="371"/>
      <c r="IH224" s="46"/>
      <c r="II224" s="57"/>
      <c r="IJ224" s="57"/>
      <c r="IK224" s="44"/>
      <c r="IL224" s="371"/>
      <c r="IM224" s="46"/>
      <c r="IN224" s="57"/>
      <c r="IO224" s="57"/>
      <c r="IP224" s="44"/>
      <c r="IQ224" s="371"/>
    </row>
    <row r="225" spans="1:251" s="705" customFormat="1" ht="21.95" customHeight="1">
      <c r="A225" s="654"/>
      <c r="B225" s="706"/>
      <c r="C225" s="520"/>
      <c r="D225" s="613"/>
      <c r="E225" s="770" t="s">
        <v>551</v>
      </c>
      <c r="F225" s="568"/>
      <c r="G225" s="103"/>
      <c r="H225" s="569"/>
      <c r="I225" s="707"/>
      <c r="J225" s="571"/>
      <c r="K225" s="86"/>
      <c r="L225" s="717"/>
      <c r="M225" s="763"/>
      <c r="N225" s="696"/>
      <c r="O225" s="697"/>
      <c r="P225" s="698"/>
      <c r="Q225" s="717"/>
      <c r="R225" s="763"/>
      <c r="S225" s="696"/>
      <c r="T225" s="697"/>
      <c r="U225" s="698"/>
      <c r="V225" s="719"/>
      <c r="W225" s="763"/>
      <c r="X225" s="763"/>
      <c r="Y225" s="697"/>
      <c r="Z225" s="697"/>
      <c r="AA225" s="764"/>
      <c r="AB225" s="763"/>
      <c r="AC225" s="763"/>
      <c r="AD225" s="697"/>
      <c r="AE225" s="697"/>
      <c r="AF225" s="720"/>
      <c r="AG225" s="765"/>
      <c r="AH225" s="766"/>
      <c r="AI225" s="767"/>
      <c r="AJ225" s="767"/>
      <c r="AK225" s="720"/>
      <c r="AL225" s="763"/>
      <c r="AM225" s="763"/>
      <c r="AN225" s="697"/>
      <c r="AO225" s="767"/>
      <c r="AP225" s="720"/>
      <c r="AQ225" s="763"/>
      <c r="AR225" s="763"/>
      <c r="AS225" s="697"/>
      <c r="AT225" s="697"/>
      <c r="AU225" s="720"/>
      <c r="AV225" s="696"/>
      <c r="AW225" s="763"/>
      <c r="AX225" s="697"/>
      <c r="AY225" s="697"/>
      <c r="AZ225" s="720"/>
      <c r="BA225" s="763"/>
      <c r="BB225" s="696"/>
      <c r="BC225" s="697"/>
      <c r="BD225" s="768"/>
      <c r="BE225" s="720"/>
      <c r="BF225" s="763"/>
      <c r="BG225" s="696"/>
      <c r="BH225" s="697"/>
      <c r="BI225" s="768"/>
      <c r="BJ225" s="720"/>
      <c r="BK225" s="763"/>
      <c r="BL225" s="696"/>
      <c r="BM225" s="697"/>
      <c r="BN225" s="768"/>
      <c r="BO225" s="720"/>
      <c r="BP225" s="763"/>
      <c r="BQ225" s="696"/>
      <c r="BR225" s="697"/>
      <c r="BS225" s="768"/>
      <c r="BT225" s="720"/>
      <c r="BU225" s="763"/>
      <c r="BV225" s="763"/>
      <c r="BW225" s="697"/>
      <c r="BX225" s="768"/>
      <c r="BY225" s="720"/>
      <c r="BZ225" s="763"/>
      <c r="CA225" s="763"/>
      <c r="CB225" s="697"/>
      <c r="CC225" s="768"/>
      <c r="CD225" s="720"/>
      <c r="CE225" s="763"/>
      <c r="CF225" s="763"/>
      <c r="CG225" s="697"/>
      <c r="CH225" s="768"/>
      <c r="CI225" s="720"/>
      <c r="CJ225" s="763"/>
      <c r="CK225" s="763"/>
      <c r="CL225" s="697"/>
      <c r="CM225" s="768"/>
      <c r="CN225" s="720"/>
      <c r="CO225" s="763"/>
      <c r="CP225" s="763"/>
      <c r="CQ225" s="697"/>
      <c r="CR225" s="768"/>
      <c r="CS225" s="720"/>
      <c r="CT225" s="763"/>
      <c r="CU225" s="763"/>
      <c r="CV225" s="697"/>
      <c r="CW225" s="768"/>
      <c r="CX225" s="720"/>
      <c r="CY225" s="769"/>
      <c r="CZ225" s="769"/>
      <c r="DA225" s="704"/>
      <c r="DB225" s="768"/>
      <c r="DC225" s="720"/>
      <c r="DD225" s="763"/>
      <c r="DE225" s="696">
        <v>580</v>
      </c>
      <c r="DF225" s="697"/>
      <c r="DG225" s="768"/>
      <c r="DH225" s="720"/>
      <c r="DI225" s="769"/>
      <c r="DJ225" s="769"/>
      <c r="DK225" s="704"/>
      <c r="DL225" s="768"/>
      <c r="DM225" s="720"/>
      <c r="DN225" s="769"/>
      <c r="DO225" s="769"/>
      <c r="DP225" s="704"/>
      <c r="DQ225" s="768"/>
      <c r="DR225" s="720"/>
      <c r="DS225" s="769"/>
      <c r="DT225" s="769"/>
      <c r="DU225" s="704"/>
      <c r="DV225" s="768"/>
      <c r="DW225" s="720"/>
      <c r="DX225" s="769"/>
      <c r="DY225" s="769"/>
      <c r="DZ225" s="704"/>
      <c r="EA225" s="768"/>
      <c r="EB225" s="720"/>
      <c r="EC225" s="769"/>
      <c r="ED225" s="769"/>
      <c r="EE225" s="704"/>
      <c r="EF225" s="768"/>
      <c r="EG225" s="720"/>
      <c r="EH225" s="769"/>
      <c r="EI225" s="769"/>
      <c r="EJ225" s="704"/>
      <c r="EK225" s="768"/>
      <c r="EL225" s="720"/>
      <c r="EM225" s="769"/>
      <c r="EN225" s="769"/>
      <c r="EO225" s="704"/>
      <c r="EP225" s="768"/>
      <c r="EQ225" s="720"/>
      <c r="ER225" s="769"/>
      <c r="ES225" s="769"/>
      <c r="ET225" s="704"/>
      <c r="EU225" s="768"/>
      <c r="EV225" s="720"/>
      <c r="EW225" s="769"/>
      <c r="EX225" s="769"/>
      <c r="EY225" s="704"/>
      <c r="EZ225" s="768"/>
      <c r="FA225" s="720"/>
      <c r="FB225" s="769"/>
      <c r="FC225" s="769"/>
      <c r="FD225" s="704"/>
      <c r="FE225" s="768"/>
      <c r="FF225" s="720"/>
      <c r="FG225" s="769"/>
      <c r="FH225" s="769"/>
      <c r="FI225" s="704"/>
      <c r="FJ225" s="768"/>
      <c r="FK225" s="720"/>
      <c r="FL225" s="769"/>
      <c r="FM225" s="703">
        <v>579</v>
      </c>
      <c r="FN225" s="704"/>
      <c r="FO225" s="768"/>
      <c r="FP225" s="720"/>
      <c r="FQ225" s="769"/>
      <c r="FR225" s="769"/>
      <c r="FS225" s="704"/>
      <c r="FT225" s="768"/>
      <c r="FU225" s="720"/>
      <c r="FV225" s="769"/>
      <c r="FW225" s="769"/>
      <c r="FX225" s="704"/>
      <c r="FY225" s="768"/>
      <c r="FZ225" s="720"/>
      <c r="GA225" s="769"/>
      <c r="GB225" s="769"/>
      <c r="GC225" s="704"/>
      <c r="GD225" s="768"/>
      <c r="GE225" s="720"/>
      <c r="GF225" s="769"/>
      <c r="GG225" s="769"/>
      <c r="GH225" s="704"/>
      <c r="GI225" s="768"/>
      <c r="GJ225" s="764"/>
      <c r="GK225" s="769"/>
      <c r="GL225" s="769"/>
      <c r="GM225" s="704"/>
      <c r="GN225" s="768"/>
      <c r="GO225" s="720"/>
      <c r="GP225" s="769"/>
      <c r="GQ225" s="769"/>
      <c r="GR225" s="704"/>
      <c r="GS225" s="768"/>
      <c r="GT225" s="720"/>
      <c r="GU225" s="769"/>
      <c r="GV225" s="769"/>
      <c r="GW225" s="704"/>
      <c r="GX225" s="768"/>
      <c r="GY225" s="720"/>
      <c r="GZ225" s="769"/>
      <c r="HA225" s="769"/>
      <c r="HB225" s="704"/>
      <c r="HC225" s="768"/>
      <c r="HD225" s="720"/>
      <c r="HE225" s="769"/>
      <c r="HF225" s="769"/>
      <c r="HG225" s="704"/>
      <c r="HH225" s="768"/>
      <c r="HI225" s="720"/>
      <c r="HJ225" s="769"/>
      <c r="HK225" s="769"/>
      <c r="HL225" s="704"/>
      <c r="HM225" s="768"/>
      <c r="HN225" s="720"/>
      <c r="HO225" s="769"/>
      <c r="HP225" s="769"/>
      <c r="HQ225" s="704"/>
      <c r="HR225" s="768"/>
      <c r="HS225" s="720"/>
      <c r="HT225" s="769"/>
      <c r="HU225" s="703">
        <v>579</v>
      </c>
      <c r="HV225" s="704"/>
      <c r="HW225" s="768"/>
      <c r="HX225" s="720"/>
      <c r="HY225" s="769"/>
      <c r="HZ225" s="769"/>
      <c r="IA225" s="704"/>
      <c r="IB225" s="768"/>
      <c r="IC225" s="720"/>
      <c r="ID225" s="769"/>
      <c r="IE225" s="769"/>
      <c r="IF225" s="704"/>
      <c r="IG225" s="768"/>
      <c r="IH225" s="720"/>
      <c r="II225" s="769"/>
      <c r="IJ225" s="769"/>
      <c r="IK225" s="704"/>
      <c r="IL225" s="768"/>
      <c r="IM225" s="720"/>
      <c r="IN225" s="769"/>
      <c r="IO225" s="769"/>
      <c r="IP225" s="704"/>
      <c r="IQ225" s="768"/>
    </row>
    <row r="226" spans="1:251" s="264" customFormat="1" ht="15" customHeight="1" thickBot="1">
      <c r="A226" s="648"/>
      <c r="B226" s="257"/>
      <c r="C226" s="258"/>
      <c r="D226" s="20"/>
      <c r="E226" s="259" t="s">
        <v>17</v>
      </c>
      <c r="F226" s="23"/>
      <c r="G226" s="168">
        <f>I226/H226</f>
        <v>0</v>
      </c>
      <c r="H226" s="169">
        <v>145</v>
      </c>
      <c r="I226" s="169"/>
      <c r="J226" s="48"/>
      <c r="K226" s="49"/>
      <c r="L226" s="168">
        <f>N226/M226</f>
        <v>20.500166833500167</v>
      </c>
      <c r="M226" s="170">
        <v>29.97</v>
      </c>
      <c r="N226" s="170">
        <v>614.39</v>
      </c>
      <c r="O226" s="179"/>
      <c r="P226" s="182"/>
      <c r="Q226" s="168">
        <f>S226/R226</f>
        <v>20.5</v>
      </c>
      <c r="R226" s="170">
        <v>29</v>
      </c>
      <c r="S226" s="170">
        <v>594.5</v>
      </c>
      <c r="T226" s="179"/>
      <c r="U226" s="182"/>
      <c r="V226" s="209">
        <f>X226/W226</f>
        <v>20.50003071064431</v>
      </c>
      <c r="W226" s="170">
        <v>162.81</v>
      </c>
      <c r="X226" s="369">
        <v>3337.61</v>
      </c>
      <c r="Y226" s="179"/>
      <c r="Z226" s="179"/>
      <c r="AA226" s="3">
        <f>AC226/AB226</f>
        <v>20.500029598058369</v>
      </c>
      <c r="AB226" s="170">
        <v>168.93</v>
      </c>
      <c r="AC226" s="369">
        <v>3463.07</v>
      </c>
      <c r="AD226" s="179"/>
      <c r="AE226" s="179"/>
      <c r="AF226" s="3">
        <f>AH226/AG226</f>
        <v>20.500000000000004</v>
      </c>
      <c r="AG226" s="422">
        <v>36.619999999999997</v>
      </c>
      <c r="AH226" s="369">
        <v>750.71</v>
      </c>
      <c r="AI226" s="179"/>
      <c r="AJ226" s="179"/>
      <c r="AK226" s="3">
        <f>AM226/AL226</f>
        <v>0</v>
      </c>
      <c r="AL226" s="169">
        <v>145</v>
      </c>
      <c r="AM226" s="169"/>
      <c r="AN226" s="48"/>
      <c r="AO226" s="179"/>
      <c r="AP226" s="3">
        <f>AR226/AQ226</f>
        <v>26.402733209164552</v>
      </c>
      <c r="AQ226" s="170">
        <v>89.126000000000005</v>
      </c>
      <c r="AR226" s="369">
        <v>2353.17</v>
      </c>
      <c r="AS226" s="179"/>
      <c r="AT226" s="179"/>
      <c r="AU226" s="3">
        <f>AW226/AV226</f>
        <v>26.250204918032789</v>
      </c>
      <c r="AV226" s="170">
        <v>97.6</v>
      </c>
      <c r="AW226" s="369">
        <v>2562.02</v>
      </c>
      <c r="AX226" s="179"/>
      <c r="AY226" s="179"/>
      <c r="AZ226" s="3">
        <f>BB226/BA226</f>
        <v>26.323725490196079</v>
      </c>
      <c r="BA226" s="170">
        <v>102</v>
      </c>
      <c r="BB226" s="369">
        <v>2685.02</v>
      </c>
      <c r="BC226" s="179"/>
      <c r="BD226" s="179"/>
      <c r="BE226" s="3">
        <f>BG226/BF226</f>
        <v>50.855384615384615</v>
      </c>
      <c r="BF226" s="170">
        <v>65</v>
      </c>
      <c r="BG226" s="369">
        <v>3305.6</v>
      </c>
      <c r="BH226" s="179"/>
      <c r="BI226" s="179"/>
      <c r="BJ226" s="3">
        <f>BL226/BK226</f>
        <v>51.980689655172412</v>
      </c>
      <c r="BK226" s="170">
        <v>43.5</v>
      </c>
      <c r="BL226" s="170">
        <v>2261.16</v>
      </c>
      <c r="BM226" s="179"/>
      <c r="BN226" s="179"/>
      <c r="BO226" s="3">
        <f>BQ226/BP226</f>
        <v>51.598413793103454</v>
      </c>
      <c r="BP226" s="170">
        <v>145</v>
      </c>
      <c r="BQ226" s="369">
        <v>7481.77</v>
      </c>
      <c r="BR226" s="179"/>
      <c r="BS226" s="179"/>
      <c r="BT226" s="3">
        <f>BV226/BU226</f>
        <v>52.324021067094108</v>
      </c>
      <c r="BU226" s="170">
        <v>43.67</v>
      </c>
      <c r="BV226" s="369">
        <v>2284.9899999999998</v>
      </c>
      <c r="BW226" s="179"/>
      <c r="BX226" s="179"/>
      <c r="BY226" s="3" t="e">
        <f>CA226/BZ226</f>
        <v>#VALUE!</v>
      </c>
      <c r="BZ226" s="170">
        <v>43.74</v>
      </c>
      <c r="CA226" s="170" t="s">
        <v>485</v>
      </c>
      <c r="CB226" s="179"/>
      <c r="CC226" s="179"/>
      <c r="CD226" s="3">
        <f>CF226/CE226</f>
        <v>50.212708066581307</v>
      </c>
      <c r="CE226" s="170">
        <v>62.48</v>
      </c>
      <c r="CF226" s="170">
        <v>3137.29</v>
      </c>
      <c r="CG226" s="179"/>
      <c r="CH226" s="179"/>
      <c r="CI226" s="3">
        <f>CK226/CJ226</f>
        <v>17.583103448275864</v>
      </c>
      <c r="CJ226" s="170">
        <v>145</v>
      </c>
      <c r="CK226" s="369">
        <v>2549.5500000000002</v>
      </c>
      <c r="CL226" s="179"/>
      <c r="CM226" s="179"/>
      <c r="CN226" s="715">
        <f>CP226/CO226</f>
        <v>51.394032258064513</v>
      </c>
      <c r="CO226" s="170">
        <v>62</v>
      </c>
      <c r="CP226" s="369">
        <v>3186.43</v>
      </c>
      <c r="CQ226" s="179"/>
      <c r="CR226" s="179"/>
      <c r="CS226" s="3">
        <f>CU226/CT226</f>
        <v>49.904564315352694</v>
      </c>
      <c r="CT226" s="170">
        <v>60.25</v>
      </c>
      <c r="CU226" s="369">
        <v>3006.75</v>
      </c>
      <c r="CV226" s="179"/>
      <c r="CW226" s="179"/>
      <c r="CX226" s="3">
        <f>CZ226/CY226</f>
        <v>0</v>
      </c>
      <c r="CY226" s="169">
        <v>145</v>
      </c>
      <c r="CZ226" s="169"/>
      <c r="DA226" s="48"/>
      <c r="DB226" s="179"/>
      <c r="DC226" s="3">
        <f>DE226/DD226</f>
        <v>109.52719999999999</v>
      </c>
      <c r="DD226" s="170">
        <v>25</v>
      </c>
      <c r="DE226" s="170">
        <v>2738.18</v>
      </c>
      <c r="DF226" s="179"/>
      <c r="DG226" s="179"/>
      <c r="DH226" s="3">
        <f>DJ226/DI226</f>
        <v>52.645849056603772</v>
      </c>
      <c r="DI226" s="169">
        <v>53</v>
      </c>
      <c r="DJ226" s="775">
        <v>2790.23</v>
      </c>
      <c r="DK226" s="48"/>
      <c r="DL226" s="179"/>
      <c r="DM226" s="3">
        <f>DO226/DN226</f>
        <v>0</v>
      </c>
      <c r="DN226" s="169">
        <v>145</v>
      </c>
      <c r="DO226" s="169"/>
      <c r="DP226" s="48"/>
      <c r="DQ226" s="179"/>
      <c r="DR226" s="3">
        <f>DT226/DS226</f>
        <v>52.690357142857138</v>
      </c>
      <c r="DS226" s="170">
        <v>56</v>
      </c>
      <c r="DT226" s="369">
        <v>2950.66</v>
      </c>
      <c r="DU226" s="179"/>
      <c r="DV226" s="179"/>
      <c r="DW226" s="3">
        <f>DY226/DX226</f>
        <v>52.736249999999998</v>
      </c>
      <c r="DX226" s="170">
        <v>64</v>
      </c>
      <c r="DY226" s="369">
        <v>3375.12</v>
      </c>
      <c r="DZ226" s="179"/>
      <c r="EA226" s="179"/>
      <c r="EB226" s="3">
        <f>ED226/EC226</f>
        <v>52.367647058823529</v>
      </c>
      <c r="EC226" s="169">
        <v>51</v>
      </c>
      <c r="ED226" s="775">
        <v>2670.75</v>
      </c>
      <c r="EE226" s="48"/>
      <c r="EF226" s="179"/>
      <c r="EG226" s="3">
        <f>EI226/EH226</f>
        <v>56.839734796524922</v>
      </c>
      <c r="EH226" s="169">
        <v>43.74</v>
      </c>
      <c r="EI226" s="775">
        <v>2486.17</v>
      </c>
      <c r="EJ226" s="48"/>
      <c r="EK226" s="179"/>
      <c r="EL226" s="3">
        <f>EN226/EM226</f>
        <v>53.57514014661492</v>
      </c>
      <c r="EM226" s="170">
        <v>92.76</v>
      </c>
      <c r="EN226" s="170">
        <v>4969.63</v>
      </c>
      <c r="EO226" s="48"/>
      <c r="EP226" s="179"/>
      <c r="EQ226" s="3">
        <f>ES226/ER226</f>
        <v>17.583103448275864</v>
      </c>
      <c r="ER226" s="169">
        <v>145</v>
      </c>
      <c r="ES226" s="775">
        <v>2549.5500000000002</v>
      </c>
      <c r="ET226" s="48"/>
      <c r="EU226" s="179"/>
      <c r="EV226" s="715">
        <f>EX226/EW226</f>
        <v>51.394032258064513</v>
      </c>
      <c r="EW226" s="169">
        <v>62</v>
      </c>
      <c r="EX226" s="775">
        <v>3186.43</v>
      </c>
      <c r="EY226" s="48"/>
      <c r="EZ226" s="179"/>
      <c r="FA226" s="3">
        <f>FC226/FB226</f>
        <v>49.904564315352694</v>
      </c>
      <c r="FB226" s="169">
        <v>60.25</v>
      </c>
      <c r="FC226" s="775">
        <v>3006.75</v>
      </c>
      <c r="FD226" s="48"/>
      <c r="FE226" s="179"/>
      <c r="FF226" s="3">
        <f>FH226/FG226</f>
        <v>0</v>
      </c>
      <c r="FG226" s="169">
        <v>145</v>
      </c>
      <c r="FH226" s="169"/>
      <c r="FI226" s="48"/>
      <c r="FJ226" s="179"/>
      <c r="FK226" s="3">
        <f>FM226/FL226</f>
        <v>109.52719999999999</v>
      </c>
      <c r="FL226" s="169">
        <v>25</v>
      </c>
      <c r="FM226" s="169">
        <v>2738.18</v>
      </c>
      <c r="FN226" s="48"/>
      <c r="FO226" s="179"/>
      <c r="FP226" s="3">
        <f>FR226/FQ226</f>
        <v>52.645849056603772</v>
      </c>
      <c r="FQ226" s="169">
        <v>53</v>
      </c>
      <c r="FR226" s="775">
        <v>2790.23</v>
      </c>
      <c r="FS226" s="48"/>
      <c r="FT226" s="179"/>
      <c r="FU226" s="3">
        <f>FW226/FV226</f>
        <v>0</v>
      </c>
      <c r="FV226" s="169">
        <v>145</v>
      </c>
      <c r="FW226" s="169"/>
      <c r="FX226" s="48"/>
      <c r="FY226" s="179"/>
      <c r="FZ226" s="3"/>
      <c r="GA226" s="169"/>
      <c r="GB226" s="169"/>
      <c r="GC226" s="48"/>
      <c r="GD226" s="179"/>
      <c r="GE226" s="3">
        <f>GG226/GF226</f>
        <v>0</v>
      </c>
      <c r="GF226" s="169">
        <v>145</v>
      </c>
      <c r="GG226" s="169"/>
      <c r="GH226" s="48"/>
      <c r="GI226" s="179"/>
      <c r="GJ226" s="285">
        <f>GL226/GK226</f>
        <v>52.367647058823529</v>
      </c>
      <c r="GK226" s="169">
        <v>51</v>
      </c>
      <c r="GL226" s="775">
        <v>2670.75</v>
      </c>
      <c r="GM226" s="48"/>
      <c r="GN226" s="179"/>
      <c r="GO226" s="3">
        <f>GQ226/GP226</f>
        <v>56.839734796524922</v>
      </c>
      <c r="GP226" s="169">
        <v>43.74</v>
      </c>
      <c r="GQ226" s="775">
        <v>2486.17</v>
      </c>
      <c r="GR226" s="48"/>
      <c r="GS226" s="179"/>
      <c r="GT226" s="3">
        <f>GV226/GU226</f>
        <v>53.57514014661492</v>
      </c>
      <c r="GU226" s="169">
        <v>92.76</v>
      </c>
      <c r="GV226" s="169">
        <v>4969.63</v>
      </c>
      <c r="GW226" s="48"/>
      <c r="GX226" s="179"/>
      <c r="GY226" s="3">
        <f>HA226/GZ226</f>
        <v>17.583103448275864</v>
      </c>
      <c r="GZ226" s="169">
        <v>145</v>
      </c>
      <c r="HA226" s="775">
        <v>2549.5500000000002</v>
      </c>
      <c r="HB226" s="48"/>
      <c r="HC226" s="179"/>
      <c r="HD226" s="715">
        <f>HF226/HE226</f>
        <v>51.394032258064513</v>
      </c>
      <c r="HE226" s="169">
        <v>62</v>
      </c>
      <c r="HF226" s="775">
        <v>3186.43</v>
      </c>
      <c r="HG226" s="48"/>
      <c r="HH226" s="179"/>
      <c r="HI226" s="3">
        <f>HK226/HJ226</f>
        <v>49.904564315352694</v>
      </c>
      <c r="HJ226" s="169">
        <v>60.25</v>
      </c>
      <c r="HK226" s="775">
        <v>3006.75</v>
      </c>
      <c r="HL226" s="48"/>
      <c r="HM226" s="179"/>
      <c r="HN226" s="3">
        <f>HP226/HO226</f>
        <v>0</v>
      </c>
      <c r="HO226" s="169">
        <v>145</v>
      </c>
      <c r="HP226" s="169"/>
      <c r="HQ226" s="48"/>
      <c r="HR226" s="179"/>
      <c r="HS226" s="3">
        <f>HU226/HT226</f>
        <v>109.52719999999999</v>
      </c>
      <c r="HT226" s="169">
        <v>25</v>
      </c>
      <c r="HU226" s="169">
        <v>2738.18</v>
      </c>
      <c r="HV226" s="48"/>
      <c r="HW226" s="179"/>
      <c r="HX226" s="3">
        <f>HZ226/HY226</f>
        <v>52.645849056603772</v>
      </c>
      <c r="HY226" s="169">
        <v>53</v>
      </c>
      <c r="HZ226" s="775">
        <v>2790.23</v>
      </c>
      <c r="IA226" s="48"/>
      <c r="IB226" s="179"/>
      <c r="IC226" s="3">
        <f>IE226/ID226</f>
        <v>0</v>
      </c>
      <c r="ID226" s="169">
        <v>145</v>
      </c>
      <c r="IE226" s="169"/>
      <c r="IF226" s="48"/>
      <c r="IG226" s="179"/>
      <c r="IH226" s="3">
        <f>IJ226/II226</f>
        <v>0</v>
      </c>
      <c r="II226" s="169">
        <v>145</v>
      </c>
      <c r="IJ226" s="169"/>
      <c r="IK226" s="48"/>
      <c r="IL226" s="179"/>
      <c r="IM226" s="3">
        <f>IO226/IN226</f>
        <v>0</v>
      </c>
      <c r="IN226" s="169">
        <v>145</v>
      </c>
      <c r="IO226" s="169"/>
      <c r="IP226" s="48"/>
      <c r="IQ226" s="179"/>
    </row>
    <row r="227" spans="1:251" s="249" customFormat="1" ht="15" customHeight="1">
      <c r="A227" s="649"/>
      <c r="B227" s="265" t="s">
        <v>325</v>
      </c>
      <c r="C227" s="306" t="s">
        <v>173</v>
      </c>
      <c r="D227" s="6"/>
      <c r="E227" s="7" t="s">
        <v>10</v>
      </c>
      <c r="F227" s="4"/>
      <c r="G227" s="196"/>
      <c r="H227" s="197"/>
      <c r="I227" s="197"/>
      <c r="J227" s="38"/>
      <c r="K227" s="206"/>
      <c r="L227" s="196"/>
      <c r="M227" s="197"/>
      <c r="N227" s="197"/>
      <c r="O227" s="38"/>
      <c r="P227" s="206"/>
      <c r="Q227" s="196"/>
      <c r="R227" s="197"/>
      <c r="S227" s="197"/>
      <c r="T227" s="38"/>
      <c r="U227" s="206"/>
      <c r="V227" s="207"/>
      <c r="W227" s="197"/>
      <c r="X227" s="204">
        <v>1518</v>
      </c>
      <c r="Y227" s="38"/>
      <c r="Z227" s="384">
        <f>SUM(X227:X232)*1.1</f>
        <v>35542.892000000007</v>
      </c>
      <c r="AA227" s="36"/>
      <c r="AB227" s="197"/>
      <c r="AC227" s="204">
        <v>1012</v>
      </c>
      <c r="AD227" s="38"/>
      <c r="AE227" s="384">
        <f>SUM(AC227:AC232)*1.1</f>
        <v>33449.471000000005</v>
      </c>
      <c r="AF227" s="36"/>
      <c r="AG227" s="204"/>
      <c r="AH227" s="204">
        <v>1771</v>
      </c>
      <c r="AI227" s="427"/>
      <c r="AJ227" s="384">
        <f>AJ228*1.1</f>
        <v>32740.807000000001</v>
      </c>
      <c r="AK227" s="36"/>
      <c r="AL227" s="204"/>
      <c r="AM227" s="204">
        <v>1518</v>
      </c>
      <c r="AN227" s="427"/>
      <c r="AO227" s="384">
        <f>AO228*1.2</f>
        <v>54675.012000000002</v>
      </c>
      <c r="AP227" s="36"/>
      <c r="AQ227" s="197"/>
      <c r="AR227" s="197"/>
      <c r="AS227" s="38"/>
      <c r="AT227" s="384">
        <f>SUM(AR227:AR232)*1.1</f>
        <v>60242.38</v>
      </c>
      <c r="AU227" s="36"/>
      <c r="AV227" s="197"/>
      <c r="AW227" s="197"/>
      <c r="AX227" s="38"/>
      <c r="AY227" s="384">
        <f>SUM(AW227:AW232)*1.1</f>
        <v>58372.611000000004</v>
      </c>
      <c r="AZ227" s="36"/>
      <c r="BA227" s="197"/>
      <c r="BB227" s="197"/>
      <c r="BC227" s="38"/>
      <c r="BD227" s="384">
        <f>SUM(BB227:BB232)*1.1</f>
        <v>130982.34600000001</v>
      </c>
      <c r="BE227" s="36"/>
      <c r="BF227" s="197"/>
      <c r="BG227" s="197"/>
      <c r="BH227" s="38"/>
      <c r="BI227" s="384">
        <f>SUM(BG227:BG232)*1.1</f>
        <v>118556.262</v>
      </c>
      <c r="BJ227" s="36"/>
      <c r="BK227" s="197"/>
      <c r="BL227" s="197"/>
      <c r="BM227" s="38"/>
      <c r="BN227" s="384">
        <f>SUM(BL227:BL232)*1.1</f>
        <v>151528.58599999998</v>
      </c>
      <c r="BO227" s="36"/>
      <c r="BP227" s="197"/>
      <c r="BQ227" s="197"/>
      <c r="BR227" s="38"/>
      <c r="BS227" s="384">
        <f>SUM(BQ227:BQ232)*1.1</f>
        <v>139382.73800000001</v>
      </c>
      <c r="BT227" s="36"/>
      <c r="BU227" s="197"/>
      <c r="BV227" s="197"/>
      <c r="BW227" s="38"/>
      <c r="BX227" s="384">
        <f>SUM(BV227:BV232)*1.1</f>
        <v>151572.916</v>
      </c>
      <c r="BY227" s="36"/>
      <c r="BZ227" s="197"/>
      <c r="CA227" s="197"/>
      <c r="CB227" s="38"/>
      <c r="CC227" s="384">
        <f>SUM(CA227:CA232)*1.1</f>
        <v>134260.071</v>
      </c>
      <c r="CD227" s="36"/>
      <c r="CE227" s="197"/>
      <c r="CF227" s="197"/>
      <c r="CG227" s="38"/>
      <c r="CH227" s="384">
        <f>SUM(CF227:CF232)*1.1</f>
        <v>141114.45699999999</v>
      </c>
      <c r="CI227" s="36"/>
      <c r="CJ227" s="197"/>
      <c r="CK227" s="197"/>
      <c r="CL227" s="38"/>
      <c r="CM227" s="384">
        <f>SUM(CK227:CK232)*1.1</f>
        <v>105393.36500000001</v>
      </c>
      <c r="CN227" s="36"/>
      <c r="CO227" s="197"/>
      <c r="CP227" s="197"/>
      <c r="CQ227" s="38"/>
      <c r="CR227" s="384">
        <f>SUM(CP227:CP232)*1.1</f>
        <v>135301.63019999999</v>
      </c>
      <c r="CS227" s="36"/>
      <c r="CT227" s="197"/>
      <c r="CU227" s="197"/>
      <c r="CV227" s="38"/>
      <c r="CW227" s="384">
        <f>SUM(CU227:CU232)*1.1</f>
        <v>216059.58879999997</v>
      </c>
      <c r="CX227" s="36"/>
      <c r="CY227" s="197"/>
      <c r="CZ227" s="197"/>
      <c r="DA227" s="38"/>
      <c r="DB227" s="384">
        <f>SUM(CZ227:CZ232)*1.1</f>
        <v>112778.072</v>
      </c>
      <c r="DC227" s="36"/>
      <c r="DD227" s="197"/>
      <c r="DE227" s="197"/>
      <c r="DF227" s="38"/>
      <c r="DG227" s="384">
        <f>SUM(DE227:DE232)*1.1</f>
        <v>177549.20920000001</v>
      </c>
      <c r="DH227" s="36"/>
      <c r="DI227" s="197"/>
      <c r="DJ227" s="197"/>
      <c r="DK227" s="38"/>
      <c r="DL227" s="384">
        <f>SUM(DJ227:DJ232)*1.1</f>
        <v>149134.28200000001</v>
      </c>
      <c r="DM227" s="36"/>
      <c r="DN227" s="197"/>
      <c r="DO227" s="197"/>
      <c r="DP227" s="38"/>
      <c r="DQ227" s="384">
        <f>SUM(DO227:DO232)*1.1</f>
        <v>153279.55059999999</v>
      </c>
      <c r="DR227" s="36"/>
      <c r="DS227" s="197"/>
      <c r="DT227" s="197"/>
      <c r="DU227" s="38"/>
      <c r="DV227" s="384">
        <f>SUM(DT227:DT232)*1.1</f>
        <v>206040.36419999998</v>
      </c>
      <c r="DW227" s="36"/>
      <c r="DX227" s="197"/>
      <c r="DY227" s="197"/>
      <c r="DZ227" s="38"/>
      <c r="EA227" s="384">
        <f>SUM(DY227:DY232)*1.1</f>
        <v>212624.07539999997</v>
      </c>
      <c r="EB227" s="36"/>
      <c r="EC227" s="197"/>
      <c r="ED227" s="197"/>
      <c r="EE227" s="38"/>
      <c r="EF227" s="384">
        <f>SUM(ED227:ED232)*1.1</f>
        <v>202487.44779999999</v>
      </c>
      <c r="EG227" s="36"/>
      <c r="EH227" s="197"/>
      <c r="EI227" s="197"/>
      <c r="EJ227" s="38"/>
      <c r="EK227" s="384">
        <f>SUM(EI227:EI232)*1.1</f>
        <v>140812.21</v>
      </c>
      <c r="EL227" s="36"/>
      <c r="EM227" s="197"/>
      <c r="EN227" s="197"/>
      <c r="EO227" s="38"/>
      <c r="EP227" s="384">
        <f>SUM(EN227:EN232)*1.1</f>
        <v>144333.772</v>
      </c>
      <c r="EQ227" s="36"/>
      <c r="ER227" s="197"/>
      <c r="ES227" s="197"/>
      <c r="ET227" s="38"/>
      <c r="EU227" s="384">
        <f>SUM(ES227:ES232)*1.1</f>
        <v>105393.36500000001</v>
      </c>
      <c r="EV227" s="36"/>
      <c r="EW227" s="197"/>
      <c r="EX227" s="197"/>
      <c r="EY227" s="38"/>
      <c r="EZ227" s="384">
        <f>SUM(EX227:EX232)*1.1</f>
        <v>137275.7562</v>
      </c>
      <c r="FA227" s="36"/>
      <c r="FB227" s="197"/>
      <c r="FC227" s="197"/>
      <c r="FD227" s="38"/>
      <c r="FE227" s="384">
        <f>SUM(FC227:FC232)*1.1</f>
        <v>230496.67079999996</v>
      </c>
      <c r="FF227" s="36"/>
      <c r="FG227" s="197"/>
      <c r="FH227" s="197"/>
      <c r="FI227" s="38"/>
      <c r="FJ227" s="384">
        <f>SUM(FH227:FH232)*1.1</f>
        <v>112778.072</v>
      </c>
      <c r="FK227" s="36"/>
      <c r="FL227" s="197"/>
      <c r="FM227" s="197"/>
      <c r="FN227" s="38"/>
      <c r="FO227" s="384">
        <f>SUM(FM227:FM232)*1.1</f>
        <v>184585.91052</v>
      </c>
      <c r="FP227" s="36"/>
      <c r="FQ227" s="197"/>
      <c r="FR227" s="197"/>
      <c r="FS227" s="38"/>
      <c r="FT227" s="384">
        <f>SUM(FR227:FR232)*1.1</f>
        <v>145608.81279999999</v>
      </c>
      <c r="FU227" s="36"/>
      <c r="FV227" s="197"/>
      <c r="FW227" s="197"/>
      <c r="FX227" s="38"/>
      <c r="FY227" s="384">
        <f>SUM(FW227:FW232)*1.1</f>
        <v>158955.62099999998</v>
      </c>
      <c r="FZ227" s="36"/>
      <c r="GA227" s="197"/>
      <c r="GB227" s="197"/>
      <c r="GC227" s="38"/>
      <c r="GD227" s="384">
        <f>SUM(GB227:GB232)*1.1</f>
        <v>30500.118000000002</v>
      </c>
      <c r="GE227" s="36"/>
      <c r="GF227" s="197"/>
      <c r="GG227" s="197"/>
      <c r="GH227" s="38"/>
      <c r="GI227" s="384">
        <f>SUM(GG227:GG232)*1.1</f>
        <v>412134.39520000003</v>
      </c>
      <c r="GJ227" s="280"/>
      <c r="GK227" s="197"/>
      <c r="GL227" s="197"/>
      <c r="GM227" s="38"/>
      <c r="GN227" s="384">
        <f>SUM(GL227:GL232)*1.1</f>
        <v>202487.44779999999</v>
      </c>
      <c r="GO227" s="36"/>
      <c r="GP227" s="197"/>
      <c r="GQ227" s="197"/>
      <c r="GR227" s="38"/>
      <c r="GS227" s="384">
        <f>SUM(GQ227:GQ232)*1.1</f>
        <v>275030.85060000001</v>
      </c>
      <c r="GT227" s="36"/>
      <c r="GU227" s="197"/>
      <c r="GV227" s="197"/>
      <c r="GW227" s="38"/>
      <c r="GX227" s="384">
        <f>SUM(GV227:GV232)*1.1</f>
        <v>249157.8387980001</v>
      </c>
      <c r="GY227" s="36"/>
      <c r="GZ227" s="197"/>
      <c r="HA227" s="197"/>
      <c r="HB227" s="38"/>
      <c r="HC227" s="384">
        <f>SUM(HA227:HA232)*1.1</f>
        <v>105393.36500000001</v>
      </c>
      <c r="HD227" s="36"/>
      <c r="HE227" s="197"/>
      <c r="HF227" s="197"/>
      <c r="HG227" s="38"/>
      <c r="HH227" s="384">
        <f>SUM(HF227:HF232)*1.1</f>
        <v>137275.7562</v>
      </c>
      <c r="HI227" s="36"/>
      <c r="HJ227" s="197"/>
      <c r="HK227" s="197"/>
      <c r="HL227" s="38"/>
      <c r="HM227" s="384">
        <f>SUM(HK227:HK232)*1.1</f>
        <v>230496.67079999996</v>
      </c>
      <c r="HN227" s="36"/>
      <c r="HO227" s="197"/>
      <c r="HP227" s="197"/>
      <c r="HQ227" s="38"/>
      <c r="HR227" s="384">
        <f>SUM(HP227:HP232)*1.1</f>
        <v>112778.072</v>
      </c>
      <c r="HS227" s="36"/>
      <c r="HT227" s="197"/>
      <c r="HU227" s="197"/>
      <c r="HV227" s="38"/>
      <c r="HW227" s="384">
        <f>SUM(HU227:HU232)*1.1</f>
        <v>184585.91052</v>
      </c>
      <c r="HX227" s="36"/>
      <c r="HY227" s="197"/>
      <c r="HZ227" s="197"/>
      <c r="IA227" s="38"/>
      <c r="IB227" s="384">
        <f>SUM(HZ227:HZ232)*1.1</f>
        <v>145608.81279999999</v>
      </c>
      <c r="IC227" s="36"/>
      <c r="ID227" s="197"/>
      <c r="IE227" s="197"/>
      <c r="IF227" s="38"/>
      <c r="IG227" s="384">
        <f>SUM(IE227:IE232)*1.1</f>
        <v>158955.62099999998</v>
      </c>
      <c r="IH227" s="36"/>
      <c r="II227" s="197"/>
      <c r="IJ227" s="197"/>
      <c r="IK227" s="38"/>
      <c r="IL227" s="384">
        <f>SUM(IJ227:IJ232)*1.1</f>
        <v>30500.118000000002</v>
      </c>
      <c r="IM227" s="36"/>
      <c r="IN227" s="197"/>
      <c r="IO227" s="197"/>
      <c r="IP227" s="38"/>
      <c r="IQ227" s="384">
        <f>SUM(IO227:IO232)*1.1</f>
        <v>25374.250000000004</v>
      </c>
    </row>
    <row r="228" spans="1:251" ht="15" customHeight="1">
      <c r="A228" s="647"/>
      <c r="B228" s="256"/>
      <c r="C228" s="215">
        <v>44878589</v>
      </c>
      <c r="D228" s="222" t="s">
        <v>378</v>
      </c>
      <c r="E228" s="347" t="s">
        <v>13</v>
      </c>
      <c r="F228" s="22"/>
      <c r="G228" s="104">
        <f>I228/H228</f>
        <v>1.5956695701437575</v>
      </c>
      <c r="H228" s="134">
        <v>14121</v>
      </c>
      <c r="I228" s="134">
        <v>22532.45</v>
      </c>
      <c r="J228" s="81"/>
      <c r="K228" s="88"/>
      <c r="L228" s="104">
        <f>N228/M228</f>
        <v>1.640234268430105</v>
      </c>
      <c r="M228" s="134">
        <v>16861</v>
      </c>
      <c r="N228" s="134">
        <v>27655.99</v>
      </c>
      <c r="O228" s="81"/>
      <c r="P228" s="88"/>
      <c r="Q228" s="104">
        <f>S228/R228</f>
        <v>1.636399779127554</v>
      </c>
      <c r="R228" s="134">
        <v>16299</v>
      </c>
      <c r="S228" s="134">
        <v>26671.68</v>
      </c>
      <c r="T228" s="81"/>
      <c r="U228" s="88"/>
      <c r="V228" s="115">
        <f>X228/W228</f>
        <v>1.6243128516517187</v>
      </c>
      <c r="W228" s="134">
        <v>17951</v>
      </c>
      <c r="X228" s="134">
        <v>29158.04</v>
      </c>
      <c r="Y228" s="81"/>
      <c r="Z228" s="403">
        <f>SUM(X227:X232)*1</f>
        <v>32311.72</v>
      </c>
      <c r="AA228" s="92">
        <f>AC228/AB228</f>
        <v>1.6005861732084363</v>
      </c>
      <c r="AB228" s="134">
        <v>17401</v>
      </c>
      <c r="AC228" s="134">
        <v>27851.8</v>
      </c>
      <c r="AD228" s="81"/>
      <c r="AE228" s="403">
        <f>SUM(AC227:AC232)*1</f>
        <v>30408.61</v>
      </c>
      <c r="AF228" s="92">
        <f>AH228/AG228</f>
        <v>1.6786199210291681</v>
      </c>
      <c r="AG228" s="134">
        <v>15702</v>
      </c>
      <c r="AH228" s="134">
        <v>26357.69</v>
      </c>
      <c r="AI228" s="81"/>
      <c r="AJ228" s="403">
        <f>SUM(AH227:AH232)*1</f>
        <v>29764.37</v>
      </c>
      <c r="AK228" s="92">
        <f>AM228/AL228</f>
        <v>2.5604558352955382</v>
      </c>
      <c r="AL228" s="134">
        <v>16563</v>
      </c>
      <c r="AM228" s="134">
        <v>42408.83</v>
      </c>
      <c r="AN228" s="81"/>
      <c r="AO228" s="403">
        <f>SUM(AM227:AM232)*1</f>
        <v>45562.51</v>
      </c>
      <c r="AP228" s="92">
        <f>AR228/AQ228</f>
        <v>2.8658117495019115</v>
      </c>
      <c r="AQ228" s="134">
        <f>16634+1937</f>
        <v>18571</v>
      </c>
      <c r="AR228" s="134">
        <v>53220.99</v>
      </c>
      <c r="AS228" s="81"/>
      <c r="AT228" s="403">
        <f>SUM(AR227:AR232)*1</f>
        <v>54765.799999999996</v>
      </c>
      <c r="AU228" s="92">
        <f>AW228/AV228</f>
        <v>2.8020995359257479</v>
      </c>
      <c r="AV228" s="134">
        <v>18747</v>
      </c>
      <c r="AW228" s="134">
        <v>52530.96</v>
      </c>
      <c r="AX228" s="81"/>
      <c r="AY228" s="403">
        <f>SUM(AW227:AW232)*1</f>
        <v>53066.01</v>
      </c>
      <c r="AZ228" s="92">
        <f>BB228/BA228</f>
        <v>5.3073595862444432</v>
      </c>
      <c r="BA228" s="134">
        <v>22042</v>
      </c>
      <c r="BB228" s="134">
        <v>116984.82</v>
      </c>
      <c r="BC228" s="81"/>
      <c r="BD228" s="403">
        <f>SUM(BB227:BB232)*1</f>
        <v>119074.86</v>
      </c>
      <c r="BE228" s="92">
        <f>BG228/BF228</f>
        <v>7.7622589751013313</v>
      </c>
      <c r="BF228" s="134">
        <v>13816</v>
      </c>
      <c r="BG228" s="563">
        <v>107243.37</v>
      </c>
      <c r="BH228" s="564"/>
      <c r="BI228" s="403">
        <f>SUM(BG227:BG232)*1</f>
        <v>107778.42</v>
      </c>
      <c r="BJ228" s="92">
        <f>BL228/BK228</f>
        <v>6.440657592114527</v>
      </c>
      <c r="BK228" s="134">
        <v>21305</v>
      </c>
      <c r="BL228" s="372">
        <v>137218.21</v>
      </c>
      <c r="BM228" s="81"/>
      <c r="BN228" s="403">
        <f>SUM(BL227:BL232)*1</f>
        <v>137753.25999999998</v>
      </c>
      <c r="BO228" s="92">
        <f>BQ228/BP228</f>
        <v>6.3702998939768767</v>
      </c>
      <c r="BP228" s="134">
        <v>19807</v>
      </c>
      <c r="BQ228" s="134">
        <v>126176.53</v>
      </c>
      <c r="BR228" s="81"/>
      <c r="BS228" s="403">
        <f>SUM(BQ227:BQ232)*1</f>
        <v>126711.58</v>
      </c>
      <c r="BT228" s="92">
        <f>BV228/BU228</f>
        <v>6.1993012600229092</v>
      </c>
      <c r="BU228" s="134">
        <v>20952</v>
      </c>
      <c r="BV228" s="134">
        <v>129887.76</v>
      </c>
      <c r="BW228" s="81"/>
      <c r="BX228" s="403">
        <f>SUM(BV227:BV232)*1</f>
        <v>137793.56</v>
      </c>
      <c r="BY228" s="92">
        <f>CA228/BZ228</f>
        <v>6.6142442052070738</v>
      </c>
      <c r="BZ228" s="134">
        <f>12947+5259</f>
        <v>18206</v>
      </c>
      <c r="CA228" s="134">
        <v>120418.93</v>
      </c>
      <c r="CB228" s="81"/>
      <c r="CC228" s="403">
        <f>SUM(CA227:CA232)*1</f>
        <v>122054.60999999999</v>
      </c>
      <c r="CD228" s="92">
        <f>CF228/CE228</f>
        <v>6.4449090353157006</v>
      </c>
      <c r="CE228" s="134">
        <f>14364+5259</f>
        <v>19623</v>
      </c>
      <c r="CF228" s="134">
        <v>126468.45</v>
      </c>
      <c r="CG228" s="81"/>
      <c r="CH228" s="403">
        <f>SUM(CF227:CF232)*1</f>
        <v>128285.87</v>
      </c>
      <c r="CI228" s="92">
        <f>CK228/CJ228</f>
        <v>6.732311676779636</v>
      </c>
      <c r="CJ228" s="524">
        <v>13514</v>
      </c>
      <c r="CK228" s="524">
        <f>1.2*75817.05</f>
        <v>90980.46</v>
      </c>
      <c r="CL228" s="81">
        <v>106336.32000000001</v>
      </c>
      <c r="CM228" s="403">
        <f>SUM(CK227:CK232)*1</f>
        <v>95812.15</v>
      </c>
      <c r="CN228" s="92">
        <f>CP228/CO228</f>
        <v>7.6846323745538516</v>
      </c>
      <c r="CO228" s="524">
        <v>14289</v>
      </c>
      <c r="CP228" s="524">
        <f>91504.76*1.2</f>
        <v>109805.71199999998</v>
      </c>
      <c r="CQ228" s="372">
        <v>110979.36</v>
      </c>
      <c r="CR228" s="403">
        <f>SUM(CP227:CP232)*1</f>
        <v>123001.48199999999</v>
      </c>
      <c r="CS228" s="92">
        <f>CU228/CT228</f>
        <v>8.6037361310721465</v>
      </c>
      <c r="CT228" s="524">
        <v>20874</v>
      </c>
      <c r="CU228" s="524">
        <f>1.2*149661.99</f>
        <v>179594.38799999998</v>
      </c>
      <c r="CV228" s="372">
        <v>123406</v>
      </c>
      <c r="CW228" s="403">
        <f>SUM(CU227:CU232)*1</f>
        <v>196417.80799999996</v>
      </c>
      <c r="CX228" s="92">
        <f>CZ228/CY228</f>
        <v>9.4514515572922644</v>
      </c>
      <c r="CY228" s="524">
        <v>8701</v>
      </c>
      <c r="CZ228" s="524">
        <f>1.2*68530.9</f>
        <v>82237.079999999987</v>
      </c>
      <c r="DA228" s="81">
        <v>208109.1</v>
      </c>
      <c r="DB228" s="403">
        <f>SUM(CZ227:CZ232)*1</f>
        <v>102525.51999999999</v>
      </c>
      <c r="DC228" s="92">
        <f>DE228/DD228</f>
        <v>9.3506762144377777</v>
      </c>
      <c r="DD228" s="524">
        <v>15501</v>
      </c>
      <c r="DE228" s="524">
        <f>1.2*120787.36</f>
        <v>144944.83199999999</v>
      </c>
      <c r="DF228" s="81">
        <v>193828.56</v>
      </c>
      <c r="DG228" s="403">
        <f>SUM(DE227:DE232)*1</f>
        <v>161408.372</v>
      </c>
      <c r="DH228" s="92">
        <f>DJ228/DI228</f>
        <v>9.4576676737160117</v>
      </c>
      <c r="DI228" s="524">
        <v>13240</v>
      </c>
      <c r="DJ228" s="524">
        <f>104349.6*1.2</f>
        <v>125219.52</v>
      </c>
      <c r="DK228" s="81">
        <v>134538.17000000001</v>
      </c>
      <c r="DL228" s="403">
        <f>SUM(DJ227:DJ232)*1</f>
        <v>135576.62</v>
      </c>
      <c r="DM228" s="92">
        <f>DO228/DN228</f>
        <v>9.5571720157007611</v>
      </c>
      <c r="DN228" s="524">
        <v>12993</v>
      </c>
      <c r="DO228" s="524">
        <f>1.2*103480.28</f>
        <v>124176.336</v>
      </c>
      <c r="DP228" s="81">
        <v>166100.76</v>
      </c>
      <c r="DQ228" s="403">
        <f>SUM(DO227:DO232)*1</f>
        <v>139345.04599999997</v>
      </c>
      <c r="DR228" s="92">
        <f>DT228/DS228</f>
        <v>9.354935602171043</v>
      </c>
      <c r="DS228" s="410">
        <v>13634</v>
      </c>
      <c r="DT228" s="414">
        <f>1.2*106287.66</f>
        <v>127545.192</v>
      </c>
      <c r="DU228" s="81">
        <v>107657.9</v>
      </c>
      <c r="DV228" s="403">
        <f>SUM(DT227:DT232)*1</f>
        <v>187309.42199999996</v>
      </c>
      <c r="DW228" s="92">
        <f>DY228/DX228</f>
        <v>9.8748837410071939</v>
      </c>
      <c r="DX228" s="524">
        <v>13900</v>
      </c>
      <c r="DY228" s="524">
        <f>1.2*114384.07</f>
        <v>137260.88399999999</v>
      </c>
      <c r="DZ228" s="81">
        <v>106679.57999999999</v>
      </c>
      <c r="EA228" s="403">
        <f>SUM(DY227:DY232)*1</f>
        <v>193294.61399999997</v>
      </c>
      <c r="EB228" s="92">
        <f>ED228/EC228</f>
        <v>6.1993012600229092</v>
      </c>
      <c r="EC228" s="72">
        <v>20952</v>
      </c>
      <c r="ED228" s="72">
        <v>129887.76</v>
      </c>
      <c r="EE228" s="81">
        <v>205158</v>
      </c>
      <c r="EF228" s="403">
        <f>SUM(ED227:ED232)*1</f>
        <v>184079.49799999999</v>
      </c>
      <c r="EG228" s="92">
        <f>EI228/EH228</f>
        <v>10.265244090650638</v>
      </c>
      <c r="EH228" s="524">
        <v>12311</v>
      </c>
      <c r="EI228" s="524">
        <f>1.2*105312.85</f>
        <v>126375.42</v>
      </c>
      <c r="EJ228" s="44"/>
      <c r="EK228" s="403">
        <f>SUM(EI227:EI232)*1</f>
        <v>128011.09999999999</v>
      </c>
      <c r="EL228" s="92">
        <f>EN228/EM228</f>
        <v>9.4934042553191489</v>
      </c>
      <c r="EM228" s="524">
        <v>13630</v>
      </c>
      <c r="EN228" s="524">
        <f>1.2*107829.25</f>
        <v>129395.09999999999</v>
      </c>
      <c r="EO228" s="44"/>
      <c r="EP228" s="403">
        <f>SUM(EN227:EN232)*1</f>
        <v>131212.51999999999</v>
      </c>
      <c r="EQ228" s="92">
        <f>ES228/ER228</f>
        <v>6.732311676779636</v>
      </c>
      <c r="ER228" s="72">
        <v>13514</v>
      </c>
      <c r="ES228" s="72">
        <f>1.2*75817.05</f>
        <v>90980.46</v>
      </c>
      <c r="ET228" s="44">
        <v>106336.32000000001</v>
      </c>
      <c r="EU228" s="403">
        <f>SUM(ES227:ES232)*1</f>
        <v>95812.15</v>
      </c>
      <c r="EV228" s="92">
        <f>EX228/EW228</f>
        <v>8.7058563070442307</v>
      </c>
      <c r="EW228" s="524">
        <v>12819</v>
      </c>
      <c r="EX228" s="524">
        <f>93000.31*1.2</f>
        <v>111600.37199999999</v>
      </c>
      <c r="EY228" s="509">
        <v>110979.36</v>
      </c>
      <c r="EZ228" s="403">
        <f>SUM(EX227:EX232)*1</f>
        <v>124796.14199999999</v>
      </c>
      <c r="FA228" s="92">
        <f>FC228/FB228</f>
        <v>8.6037361310721465</v>
      </c>
      <c r="FB228" s="72">
        <v>20874</v>
      </c>
      <c r="FC228" s="72">
        <f>1.2*149661.99</f>
        <v>179594.38799999998</v>
      </c>
      <c r="FD228" s="509">
        <v>123406</v>
      </c>
      <c r="FE228" s="403">
        <f>SUM(FC227:FC232)*1</f>
        <v>209542.42799999996</v>
      </c>
      <c r="FF228" s="92">
        <f>FH228/FG228</f>
        <v>9.4514515572922644</v>
      </c>
      <c r="FG228" s="72">
        <v>8701</v>
      </c>
      <c r="FH228" s="72">
        <f>1.2*68530.9</f>
        <v>82237.079999999987</v>
      </c>
      <c r="FI228" s="44">
        <v>208109.1</v>
      </c>
      <c r="FJ228" s="403">
        <f>SUM(FH227:FH232)*1</f>
        <v>102525.51999999999</v>
      </c>
      <c r="FK228" s="92">
        <f>FM228/FL228</f>
        <v>9.4873797356828202</v>
      </c>
      <c r="FL228" s="524">
        <v>14755</v>
      </c>
      <c r="FM228" s="524">
        <f>1.2*116655.24</f>
        <v>139986.288</v>
      </c>
      <c r="FN228" s="81">
        <v>182328.95999999999</v>
      </c>
      <c r="FO228" s="403">
        <f>SUM(FM227:FM232)*1</f>
        <v>167805.3732</v>
      </c>
      <c r="FP228" s="92">
        <f>FR228/FQ228</f>
        <v>8.9276760079022441</v>
      </c>
      <c r="FQ228" s="524">
        <v>13667</v>
      </c>
      <c r="FR228" s="524">
        <f>1.2*101678.79</f>
        <v>122014.54799999998</v>
      </c>
      <c r="FS228" s="81">
        <v>223643.19999999998</v>
      </c>
      <c r="FT228" s="403">
        <f>SUM(FR227:FR232)*1</f>
        <v>132371.64799999999</v>
      </c>
      <c r="FU228" s="92">
        <f>FW228/FV228</f>
        <v>11.073768171679101</v>
      </c>
      <c r="FV228" s="524">
        <v>13001</v>
      </c>
      <c r="FW228" s="524">
        <f>1.2*119975.05</f>
        <v>143970.06</v>
      </c>
      <c r="FX228" s="44">
        <v>166100.76</v>
      </c>
      <c r="FY228" s="403">
        <f>SUM(FW227:FW232)*1</f>
        <v>144505.10999999999</v>
      </c>
      <c r="FZ228" s="92">
        <f>GB228/GA228</f>
        <v>1.5956695701437575</v>
      </c>
      <c r="GA228" s="72">
        <v>14121</v>
      </c>
      <c r="GB228" s="72">
        <v>22532.45</v>
      </c>
      <c r="GC228" s="44">
        <v>107657.9</v>
      </c>
      <c r="GD228" s="403">
        <f>SUM(GB227:GB232)*1</f>
        <v>27727.38</v>
      </c>
      <c r="GE228" s="92">
        <f>GG228/GF228</f>
        <v>11.723556041287189</v>
      </c>
      <c r="GF228" s="524">
        <v>24705</v>
      </c>
      <c r="GG228" s="524">
        <f>1.2*241358.71</f>
        <v>289630.45199999999</v>
      </c>
      <c r="GH228" s="81"/>
      <c r="GI228" s="403">
        <f>SUM(GG227:GG232)*1</f>
        <v>374667.63199999998</v>
      </c>
      <c r="GJ228" s="98">
        <f>GL228/GK228</f>
        <v>6.1993012600229092</v>
      </c>
      <c r="GK228" s="72">
        <v>20952</v>
      </c>
      <c r="GL228" s="72">
        <v>129887.76</v>
      </c>
      <c r="GM228" s="44">
        <v>205158</v>
      </c>
      <c r="GN228" s="403">
        <f>SUM(GL227:GL232)*1</f>
        <v>184079.49799999999</v>
      </c>
      <c r="GO228" s="92">
        <f>GQ228/GP228</f>
        <v>15.532104447974582</v>
      </c>
      <c r="GP228" s="524">
        <v>10072</v>
      </c>
      <c r="GQ228" s="524">
        <f>1.2*130366.13</f>
        <v>156439.356</v>
      </c>
      <c r="GR228" s="44"/>
      <c r="GS228" s="403">
        <f>SUM(GQ227:GQ232)*1</f>
        <v>250028.046</v>
      </c>
      <c r="GT228" s="92">
        <f>GV228/GU228</f>
        <v>12.436415714938327</v>
      </c>
      <c r="GU228" s="524">
        <v>13134</v>
      </c>
      <c r="GV228" s="524">
        <f>1.2*136116.57</f>
        <v>163339.88399999999</v>
      </c>
      <c r="GW228" s="44"/>
      <c r="GX228" s="403">
        <f>SUM(GV227:GV232)*1</f>
        <v>226507.12618000008</v>
      </c>
      <c r="GY228" s="92">
        <f>HA228/GZ228</f>
        <v>6.732311676779636</v>
      </c>
      <c r="GZ228" s="72">
        <v>13514</v>
      </c>
      <c r="HA228" s="72">
        <f>1.2*75817.05</f>
        <v>90980.46</v>
      </c>
      <c r="HB228" s="44">
        <v>106336.32000000001</v>
      </c>
      <c r="HC228" s="403">
        <f>SUM(HA227:HA232)*1</f>
        <v>95812.15</v>
      </c>
      <c r="HD228" s="92">
        <f>HF228/HE228</f>
        <v>8.7058563070442307</v>
      </c>
      <c r="HE228" s="72">
        <v>12819</v>
      </c>
      <c r="HF228" s="72">
        <f>93000.31*1.2</f>
        <v>111600.37199999999</v>
      </c>
      <c r="HG228" s="509">
        <v>110979.36</v>
      </c>
      <c r="HH228" s="403">
        <f>SUM(HF227:HF232)*1</f>
        <v>124796.14199999999</v>
      </c>
      <c r="HI228" s="92">
        <f>HK228/HJ228</f>
        <v>8.6037361310721465</v>
      </c>
      <c r="HJ228" s="72">
        <v>20874</v>
      </c>
      <c r="HK228" s="72">
        <f>1.2*149661.99</f>
        <v>179594.38799999998</v>
      </c>
      <c r="HL228" s="509">
        <v>123406</v>
      </c>
      <c r="HM228" s="403">
        <f>SUM(HK227:HK232)*1</f>
        <v>209542.42799999996</v>
      </c>
      <c r="HN228" s="92">
        <f>HP228/HO228</f>
        <v>9.4514515572922644</v>
      </c>
      <c r="HO228" s="72">
        <v>8701</v>
      </c>
      <c r="HP228" s="72">
        <f>1.2*68530.9</f>
        <v>82237.079999999987</v>
      </c>
      <c r="HQ228" s="44">
        <v>208109.1</v>
      </c>
      <c r="HR228" s="403">
        <f>SUM(HP227:HP232)*1</f>
        <v>102525.51999999999</v>
      </c>
      <c r="HS228" s="92">
        <f>HU228/HT228</f>
        <v>9.4873797356828202</v>
      </c>
      <c r="HT228" s="72">
        <v>14755</v>
      </c>
      <c r="HU228" s="72">
        <f>1.2*116655.24</f>
        <v>139986.288</v>
      </c>
      <c r="HV228" s="44">
        <v>182328.95999999999</v>
      </c>
      <c r="HW228" s="403">
        <f>SUM(HU227:HU232)*1</f>
        <v>167805.3732</v>
      </c>
      <c r="HX228" s="92">
        <f>HZ228/HY228</f>
        <v>8.9276760079022441</v>
      </c>
      <c r="HY228" s="72">
        <v>13667</v>
      </c>
      <c r="HZ228" s="72">
        <f>1.2*101678.79</f>
        <v>122014.54799999998</v>
      </c>
      <c r="IA228" s="44">
        <v>223643.19999999998</v>
      </c>
      <c r="IB228" s="403">
        <f>SUM(HZ227:HZ232)*1</f>
        <v>132371.64799999999</v>
      </c>
      <c r="IC228" s="92">
        <f>IE228/ID228</f>
        <v>11.073768171679101</v>
      </c>
      <c r="ID228" s="72">
        <v>13001</v>
      </c>
      <c r="IE228" s="72">
        <f>1.2*119975.05</f>
        <v>143970.06</v>
      </c>
      <c r="IF228" s="44">
        <v>166100.76</v>
      </c>
      <c r="IG228" s="403">
        <f>SUM(IE227:IE232)*1</f>
        <v>144505.10999999999</v>
      </c>
      <c r="IH228" s="92">
        <f>IJ228/II228</f>
        <v>1.5956695701437575</v>
      </c>
      <c r="II228" s="72">
        <v>14121</v>
      </c>
      <c r="IJ228" s="72">
        <v>22532.45</v>
      </c>
      <c r="IK228" s="44">
        <v>107657.9</v>
      </c>
      <c r="IL228" s="403">
        <f>SUM(IJ227:IJ232)*1</f>
        <v>27727.38</v>
      </c>
      <c r="IM228" s="92">
        <f>IO228/IN228</f>
        <v>1.5956695701437575</v>
      </c>
      <c r="IN228" s="72">
        <v>14121</v>
      </c>
      <c r="IO228" s="72">
        <v>22532.45</v>
      </c>
      <c r="IP228" s="44"/>
      <c r="IQ228" s="403">
        <f>SUM(IO227:IO232)*1</f>
        <v>23067.5</v>
      </c>
    </row>
    <row r="229" spans="1:251" s="705" customFormat="1" ht="15" customHeight="1">
      <c r="A229" s="654"/>
      <c r="B229" s="706"/>
      <c r="C229" s="215">
        <v>23243188</v>
      </c>
      <c r="D229" s="613"/>
      <c r="E229" s="568" t="s">
        <v>15</v>
      </c>
      <c r="F229" s="568"/>
      <c r="G229" s="104"/>
      <c r="H229" s="707"/>
      <c r="I229" s="707"/>
      <c r="J229" s="571"/>
      <c r="K229" s="86"/>
      <c r="L229" s="695"/>
      <c r="M229" s="696"/>
      <c r="N229" s="696"/>
      <c r="O229" s="697"/>
      <c r="P229" s="698"/>
      <c r="Q229" s="695"/>
      <c r="R229" s="696"/>
      <c r="S229" s="696"/>
      <c r="T229" s="697"/>
      <c r="U229" s="698"/>
      <c r="V229" s="699"/>
      <c r="W229" s="696"/>
      <c r="X229" s="696"/>
      <c r="Y229" s="697"/>
      <c r="Z229" s="700"/>
      <c r="AA229" s="701"/>
      <c r="AB229" s="696"/>
      <c r="AC229" s="696"/>
      <c r="AD229" s="697"/>
      <c r="AE229" s="700"/>
      <c r="AF229" s="701"/>
      <c r="AG229" s="696"/>
      <c r="AH229" s="696"/>
      <c r="AI229" s="697"/>
      <c r="AJ229" s="700"/>
      <c r="AK229" s="701"/>
      <c r="AL229" s="696"/>
      <c r="AM229" s="696"/>
      <c r="AN229" s="697"/>
      <c r="AO229" s="700"/>
      <c r="AP229" s="701"/>
      <c r="AQ229" s="696"/>
      <c r="AR229" s="696"/>
      <c r="AS229" s="697"/>
      <c r="AT229" s="700"/>
      <c r="AU229" s="701"/>
      <c r="AV229" s="696"/>
      <c r="AW229" s="696"/>
      <c r="AX229" s="697"/>
      <c r="AY229" s="700"/>
      <c r="AZ229" s="701"/>
      <c r="BA229" s="696"/>
      <c r="BB229" s="696"/>
      <c r="BC229" s="697"/>
      <c r="BD229" s="700"/>
      <c r="BE229" s="701"/>
      <c r="BF229" s="696"/>
      <c r="BG229" s="702"/>
      <c r="BH229" s="697"/>
      <c r="BI229" s="700"/>
      <c r="BJ229" s="701"/>
      <c r="BK229" s="696"/>
      <c r="BL229" s="372"/>
      <c r="BM229" s="697"/>
      <c r="BN229" s="700"/>
      <c r="BO229" s="701"/>
      <c r="BP229" s="696"/>
      <c r="BQ229" s="696"/>
      <c r="BR229" s="697"/>
      <c r="BS229" s="700"/>
      <c r="BT229" s="701"/>
      <c r="BU229" s="696"/>
      <c r="BV229" s="696"/>
      <c r="BW229" s="697"/>
      <c r="BX229" s="700"/>
      <c r="BY229" s="701"/>
      <c r="BZ229" s="696"/>
      <c r="CA229" s="696"/>
      <c r="CB229" s="697"/>
      <c r="CC229" s="700"/>
      <c r="CD229" s="701"/>
      <c r="CE229" s="696"/>
      <c r="CF229" s="696"/>
      <c r="CG229" s="697"/>
      <c r="CH229" s="700"/>
      <c r="CI229" s="701"/>
      <c r="CJ229" s="703"/>
      <c r="CK229" s="696">
        <v>3196.01</v>
      </c>
      <c r="CL229" s="697"/>
      <c r="CM229" s="700"/>
      <c r="CN229" s="701"/>
      <c r="CO229" s="703"/>
      <c r="CP229" s="703"/>
      <c r="CQ229" s="704"/>
      <c r="CR229" s="700"/>
      <c r="CS229" s="701"/>
      <c r="CT229" s="703"/>
      <c r="CU229" s="703"/>
      <c r="CV229" s="704"/>
      <c r="CW229" s="700"/>
      <c r="CX229" s="701"/>
      <c r="CY229" s="703"/>
      <c r="CZ229" s="703"/>
      <c r="DA229" s="704"/>
      <c r="DB229" s="700"/>
      <c r="DC229" s="701"/>
      <c r="DD229" s="703"/>
      <c r="DE229" s="703"/>
      <c r="DF229" s="704"/>
      <c r="DG229" s="700"/>
      <c r="DH229" s="701"/>
      <c r="DI229" s="703"/>
      <c r="DJ229" s="703"/>
      <c r="DK229" s="704"/>
      <c r="DL229" s="700"/>
      <c r="DM229" s="701"/>
      <c r="DN229" s="703"/>
      <c r="DO229" s="703"/>
      <c r="DP229" s="704"/>
      <c r="DQ229" s="700"/>
      <c r="DR229" s="701"/>
      <c r="DS229" s="696">
        <v>1</v>
      </c>
      <c r="DT229" s="696">
        <v>4659.88</v>
      </c>
      <c r="DU229" s="697"/>
      <c r="DV229" s="700"/>
      <c r="DW229" s="701"/>
      <c r="DX229" s="703"/>
      <c r="DY229" s="703"/>
      <c r="DZ229" s="704"/>
      <c r="EA229" s="700"/>
      <c r="EB229" s="701"/>
      <c r="EC229" s="703"/>
      <c r="ED229" s="703"/>
      <c r="EE229" s="704"/>
      <c r="EF229" s="700"/>
      <c r="EG229" s="701"/>
      <c r="EH229" s="703"/>
      <c r="EI229" s="703"/>
      <c r="EJ229" s="704"/>
      <c r="EK229" s="700"/>
      <c r="EL229" s="701"/>
      <c r="EM229" s="703"/>
      <c r="EN229" s="703"/>
      <c r="EO229" s="704"/>
      <c r="EP229" s="700"/>
      <c r="EQ229" s="701"/>
      <c r="ER229" s="703"/>
      <c r="ES229" s="703">
        <v>3196.01</v>
      </c>
      <c r="ET229" s="704"/>
      <c r="EU229" s="700"/>
      <c r="EV229" s="701"/>
      <c r="EW229" s="696"/>
      <c r="EX229" s="696" t="s">
        <v>1194</v>
      </c>
      <c r="EY229" s="697"/>
      <c r="EZ229" s="700"/>
      <c r="FA229" s="701"/>
      <c r="FB229" s="703"/>
      <c r="FC229" s="703"/>
      <c r="FD229" s="704"/>
      <c r="FE229" s="700"/>
      <c r="FF229" s="701"/>
      <c r="FG229" s="703"/>
      <c r="FH229" s="703"/>
      <c r="FI229" s="704"/>
      <c r="FJ229" s="700"/>
      <c r="FK229" s="701"/>
      <c r="FL229" s="703"/>
      <c r="FM229" s="703"/>
      <c r="FN229" s="704"/>
      <c r="FO229" s="700"/>
      <c r="FP229" s="701"/>
      <c r="FQ229" s="703"/>
      <c r="FR229" s="696" t="s">
        <v>1213</v>
      </c>
      <c r="FS229" s="697">
        <v>3370</v>
      </c>
      <c r="FT229" s="700"/>
      <c r="FU229" s="701"/>
      <c r="FV229" s="703"/>
      <c r="FW229" s="703"/>
      <c r="FX229" s="704"/>
      <c r="FY229" s="700"/>
      <c r="FZ229" s="701"/>
      <c r="GA229" s="703">
        <v>1</v>
      </c>
      <c r="GB229" s="703">
        <v>4659.88</v>
      </c>
      <c r="GC229" s="704"/>
      <c r="GD229" s="700"/>
      <c r="GE229" s="701"/>
      <c r="GF229" s="703"/>
      <c r="GG229" s="1461"/>
      <c r="GH229" s="704"/>
      <c r="GI229" s="700"/>
      <c r="GJ229" s="1446"/>
      <c r="GK229" s="703"/>
      <c r="GL229" s="703"/>
      <c r="GM229" s="704"/>
      <c r="GN229" s="700"/>
      <c r="GO229" s="701"/>
      <c r="GP229" s="703"/>
      <c r="GQ229" s="703"/>
      <c r="GR229" s="704"/>
      <c r="GS229" s="700"/>
      <c r="GT229" s="701"/>
      <c r="GU229" s="703"/>
      <c r="GV229" s="703"/>
      <c r="GW229" s="704"/>
      <c r="GX229" s="700"/>
      <c r="GY229" s="701"/>
      <c r="GZ229" s="703"/>
      <c r="HA229" s="703">
        <v>3196.01</v>
      </c>
      <c r="HB229" s="704"/>
      <c r="HC229" s="700"/>
      <c r="HD229" s="701"/>
      <c r="HE229" s="703"/>
      <c r="HF229" s="703" t="s">
        <v>1194</v>
      </c>
      <c r="HG229" s="704"/>
      <c r="HH229" s="700"/>
      <c r="HI229" s="701"/>
      <c r="HJ229" s="703"/>
      <c r="HK229" s="703"/>
      <c r="HL229" s="704"/>
      <c r="HM229" s="700"/>
      <c r="HN229" s="701"/>
      <c r="HO229" s="703"/>
      <c r="HP229" s="703"/>
      <c r="HQ229" s="704"/>
      <c r="HR229" s="700"/>
      <c r="HS229" s="701"/>
      <c r="HT229" s="703"/>
      <c r="HU229" s="703"/>
      <c r="HV229" s="704"/>
      <c r="HW229" s="700"/>
      <c r="HX229" s="701"/>
      <c r="HY229" s="703"/>
      <c r="HZ229" s="703" t="s">
        <v>1213</v>
      </c>
      <c r="IA229" s="704">
        <v>3370</v>
      </c>
      <c r="IB229" s="700"/>
      <c r="IC229" s="701"/>
      <c r="ID229" s="703"/>
      <c r="IE229" s="703"/>
      <c r="IF229" s="704"/>
      <c r="IG229" s="700"/>
      <c r="IH229" s="701"/>
      <c r="II229" s="703">
        <v>1</v>
      </c>
      <c r="IJ229" s="703">
        <v>4659.88</v>
      </c>
      <c r="IK229" s="704"/>
      <c r="IL229" s="700"/>
      <c r="IM229" s="701"/>
      <c r="IN229" s="703"/>
      <c r="IO229" s="703"/>
      <c r="IP229" s="704"/>
      <c r="IQ229" s="700"/>
    </row>
    <row r="230" spans="1:251" s="705" customFormat="1" ht="15" customHeight="1">
      <c r="A230" s="654"/>
      <c r="B230" s="706"/>
      <c r="C230" s="520"/>
      <c r="D230" s="45" t="s">
        <v>174</v>
      </c>
      <c r="E230" s="231" t="s">
        <v>13</v>
      </c>
      <c r="F230" s="568"/>
      <c r="G230" s="104"/>
      <c r="H230" s="707"/>
      <c r="I230" s="707"/>
      <c r="J230" s="571"/>
      <c r="K230" s="86"/>
      <c r="L230" s="695"/>
      <c r="M230" s="696"/>
      <c r="N230" s="696"/>
      <c r="O230" s="697"/>
      <c r="P230" s="698"/>
      <c r="Q230" s="695"/>
      <c r="R230" s="696"/>
      <c r="S230" s="696"/>
      <c r="T230" s="697"/>
      <c r="U230" s="698"/>
      <c r="V230" s="699"/>
      <c r="W230" s="696"/>
      <c r="X230" s="696"/>
      <c r="Y230" s="697"/>
      <c r="Z230" s="700"/>
      <c r="AA230" s="701"/>
      <c r="AB230" s="696"/>
      <c r="AC230" s="696"/>
      <c r="AD230" s="697"/>
      <c r="AE230" s="700"/>
      <c r="AF230" s="701"/>
      <c r="AG230" s="696"/>
      <c r="AH230" s="696"/>
      <c r="AI230" s="697"/>
      <c r="AJ230" s="700"/>
      <c r="AK230" s="701"/>
      <c r="AL230" s="696"/>
      <c r="AM230" s="696"/>
      <c r="AN230" s="697"/>
      <c r="AO230" s="700"/>
      <c r="AP230" s="701"/>
      <c r="AQ230" s="696"/>
      <c r="AR230" s="696"/>
      <c r="AS230" s="697"/>
      <c r="AT230" s="700"/>
      <c r="AU230" s="701"/>
      <c r="AV230" s="696"/>
      <c r="AW230" s="696"/>
      <c r="AX230" s="697"/>
      <c r="AY230" s="700"/>
      <c r="AZ230" s="701"/>
      <c r="BA230" s="696"/>
      <c r="BB230" s="696"/>
      <c r="BC230" s="697"/>
      <c r="BD230" s="700"/>
      <c r="BE230" s="701"/>
      <c r="BF230" s="696"/>
      <c r="BG230" s="702"/>
      <c r="BH230" s="697"/>
      <c r="BI230" s="700"/>
      <c r="BJ230" s="701"/>
      <c r="BK230" s="696"/>
      <c r="BL230" s="372"/>
      <c r="BM230" s="697"/>
      <c r="BN230" s="700"/>
      <c r="BO230" s="701"/>
      <c r="BP230" s="696"/>
      <c r="BQ230" s="696"/>
      <c r="BR230" s="697"/>
      <c r="BS230" s="700"/>
      <c r="BT230" s="701"/>
      <c r="BU230" s="696"/>
      <c r="BV230" s="696"/>
      <c r="BW230" s="697"/>
      <c r="BX230" s="700"/>
      <c r="BY230" s="701"/>
      <c r="BZ230" s="696"/>
      <c r="CA230" s="696"/>
      <c r="CB230" s="697"/>
      <c r="CC230" s="700"/>
      <c r="CD230" s="701"/>
      <c r="CE230" s="696"/>
      <c r="CF230" s="696"/>
      <c r="CG230" s="697"/>
      <c r="CH230" s="700"/>
      <c r="CI230" s="701"/>
      <c r="CJ230" s="703"/>
      <c r="CK230" s="696"/>
      <c r="CL230" s="697"/>
      <c r="CM230" s="700"/>
      <c r="CN230" s="701">
        <f>CP230/CO230</f>
        <v>6.6833760932944601</v>
      </c>
      <c r="CO230" s="696">
        <v>1715</v>
      </c>
      <c r="CP230" s="696">
        <v>11461.99</v>
      </c>
      <c r="CQ230" s="704"/>
      <c r="CR230" s="700"/>
      <c r="CS230" s="701"/>
      <c r="CT230" s="696"/>
      <c r="CU230" s="696">
        <v>14852.11</v>
      </c>
      <c r="CV230" s="697"/>
      <c r="CW230" s="700"/>
      <c r="CX230" s="701"/>
      <c r="CY230" s="696"/>
      <c r="CZ230" s="696">
        <v>19753.39</v>
      </c>
      <c r="DA230" s="697"/>
      <c r="DB230" s="700"/>
      <c r="DC230" s="701"/>
      <c r="DD230" s="696">
        <v>1477</v>
      </c>
      <c r="DE230" s="696">
        <v>14379.53</v>
      </c>
      <c r="DF230" s="697"/>
      <c r="DG230" s="700"/>
      <c r="DH230" s="701">
        <f>DJ230/DI230</f>
        <v>10.57218204488778</v>
      </c>
      <c r="DI230" s="696">
        <v>802</v>
      </c>
      <c r="DJ230" s="696">
        <v>8478.89</v>
      </c>
      <c r="DK230" s="697"/>
      <c r="DL230" s="700"/>
      <c r="DM230" s="701">
        <f>DO230/DN230</f>
        <v>10.276446629213483</v>
      </c>
      <c r="DN230" s="696">
        <v>1424</v>
      </c>
      <c r="DO230" s="696">
        <v>14633.66</v>
      </c>
      <c r="DP230" s="697"/>
      <c r="DQ230" s="700"/>
      <c r="DR230" s="701">
        <f>DT230/DS230</f>
        <v>10.572184320766009</v>
      </c>
      <c r="DS230" s="696">
        <v>5013</v>
      </c>
      <c r="DT230" s="696">
        <v>52998.36</v>
      </c>
      <c r="DU230" s="697"/>
      <c r="DV230" s="700"/>
      <c r="DW230" s="1446"/>
      <c r="DX230" s="696">
        <v>5249.5</v>
      </c>
      <c r="DY230" s="696">
        <v>55498.68</v>
      </c>
      <c r="DZ230" s="697"/>
      <c r="EA230" s="700"/>
      <c r="EB230" s="701">
        <f>ED230/EC230</f>
        <v>11.231764759165742</v>
      </c>
      <c r="EC230" s="696">
        <v>4415.8999999999996</v>
      </c>
      <c r="ED230" s="696">
        <v>49598.35</v>
      </c>
      <c r="EE230" s="697"/>
      <c r="EF230" s="700"/>
      <c r="EG230" s="701"/>
      <c r="EH230" s="703"/>
      <c r="EI230" s="703"/>
      <c r="EJ230" s="704"/>
      <c r="EK230" s="700"/>
      <c r="EL230" s="701" t="s">
        <v>1189</v>
      </c>
      <c r="EM230" s="703"/>
      <c r="EN230" s="703"/>
      <c r="EO230" s="704"/>
      <c r="EP230" s="700"/>
      <c r="EQ230" s="701"/>
      <c r="ER230" s="703"/>
      <c r="ES230" s="703"/>
      <c r="ET230" s="704"/>
      <c r="EU230" s="700"/>
      <c r="EV230" s="701">
        <f>EX230/EW230</f>
        <v>6.6833760932944601</v>
      </c>
      <c r="EW230" s="703">
        <v>1715</v>
      </c>
      <c r="EX230" s="703">
        <v>11461.99</v>
      </c>
      <c r="EY230" s="704"/>
      <c r="EZ230" s="700"/>
      <c r="FA230" s="701">
        <f>FC230/FB230</f>
        <v>11.891574060911466</v>
      </c>
      <c r="FB230" s="696">
        <v>2040.01</v>
      </c>
      <c r="FC230" s="696">
        <v>24258.93</v>
      </c>
      <c r="FD230" s="697"/>
      <c r="FE230" s="700"/>
      <c r="FF230" s="701"/>
      <c r="FG230" s="703"/>
      <c r="FH230" s="703">
        <v>19753.39</v>
      </c>
      <c r="FI230" s="704"/>
      <c r="FJ230" s="700"/>
      <c r="FK230" s="701">
        <f>FM230/FL230</f>
        <v>11.850796833773018</v>
      </c>
      <c r="FL230" s="696">
        <v>2008.7000000000116</v>
      </c>
      <c r="FM230" s="696">
        <f>22457.26*1.06</f>
        <v>23804.695599999999</v>
      </c>
      <c r="FN230" s="697"/>
      <c r="FO230" s="700"/>
      <c r="FP230" s="701">
        <f>FR230/FQ230</f>
        <v>10.57218204488778</v>
      </c>
      <c r="FQ230" s="703">
        <v>802</v>
      </c>
      <c r="FR230" s="703">
        <v>8478.89</v>
      </c>
      <c r="FS230" s="704"/>
      <c r="FT230" s="700"/>
      <c r="FU230" s="701"/>
      <c r="FV230" s="703"/>
      <c r="FW230" s="703"/>
      <c r="FX230" s="704"/>
      <c r="FY230" s="700"/>
      <c r="FZ230" s="701"/>
      <c r="GA230" s="703"/>
      <c r="GB230" s="703"/>
      <c r="GC230" s="704"/>
      <c r="GD230" s="700"/>
      <c r="GE230" s="701">
        <f>GG230/GF230</f>
        <v>13.996975600873999</v>
      </c>
      <c r="GF230" s="703">
        <v>5492</v>
      </c>
      <c r="GG230" s="789">
        <v>76871.39</v>
      </c>
      <c r="GH230" s="704"/>
      <c r="GI230" s="700"/>
      <c r="GJ230" s="1446">
        <f>GL230/GK230</f>
        <v>11.231764759165742</v>
      </c>
      <c r="GK230" s="703">
        <v>4415.8999999999996</v>
      </c>
      <c r="GL230" s="703">
        <v>49598.35</v>
      </c>
      <c r="GM230" s="704"/>
      <c r="GN230" s="700"/>
      <c r="GO230" s="701">
        <f>GQ230/GP230</f>
        <v>17.780943951667243</v>
      </c>
      <c r="GP230" s="696">
        <v>5197.2999999999902</v>
      </c>
      <c r="GQ230" s="696">
        <v>92412.9</v>
      </c>
      <c r="GR230" s="697"/>
      <c r="GS230" s="700"/>
      <c r="GT230" s="701">
        <f>GV230/GU230</f>
        <v>19.078644833954531</v>
      </c>
      <c r="GU230" s="1614">
        <v>2978.1000000000058</v>
      </c>
      <c r="GV230" s="773">
        <v>56818.112180000098</v>
      </c>
      <c r="GW230" s="697"/>
      <c r="GX230" s="700"/>
      <c r="GY230" s="701"/>
      <c r="GZ230" s="703"/>
      <c r="HA230" s="703"/>
      <c r="HB230" s="704"/>
      <c r="HC230" s="700"/>
      <c r="HD230" s="701">
        <f>HF230/HE230</f>
        <v>6.6833760932944601</v>
      </c>
      <c r="HE230" s="703">
        <v>1715</v>
      </c>
      <c r="HF230" s="703">
        <v>11461.99</v>
      </c>
      <c r="HG230" s="704"/>
      <c r="HH230" s="700"/>
      <c r="HI230" s="701">
        <f>HK230/HJ230</f>
        <v>11.891574060911466</v>
      </c>
      <c r="HJ230" s="703">
        <v>2040.01</v>
      </c>
      <c r="HK230" s="703">
        <v>24258.93</v>
      </c>
      <c r="HL230" s="704"/>
      <c r="HM230" s="700"/>
      <c r="HN230" s="701"/>
      <c r="HO230" s="703"/>
      <c r="HP230" s="703">
        <v>19753.39</v>
      </c>
      <c r="HQ230" s="704"/>
      <c r="HR230" s="700"/>
      <c r="HS230" s="701">
        <f>HU230/HT230</f>
        <v>11.850796833773018</v>
      </c>
      <c r="HT230" s="703">
        <v>2008.7000000000116</v>
      </c>
      <c r="HU230" s="703">
        <f>22457.26*1.06</f>
        <v>23804.695599999999</v>
      </c>
      <c r="HV230" s="704"/>
      <c r="HW230" s="700"/>
      <c r="HX230" s="701">
        <f>HZ230/HY230</f>
        <v>10.57218204488778</v>
      </c>
      <c r="HY230" s="703">
        <v>802</v>
      </c>
      <c r="HZ230" s="703">
        <v>8478.89</v>
      </c>
      <c r="IA230" s="704"/>
      <c r="IB230" s="700"/>
      <c r="IC230" s="701"/>
      <c r="ID230" s="703"/>
      <c r="IE230" s="703"/>
      <c r="IF230" s="704"/>
      <c r="IG230" s="700"/>
      <c r="IH230" s="701"/>
      <c r="II230" s="703"/>
      <c r="IJ230" s="703"/>
      <c r="IK230" s="704"/>
      <c r="IL230" s="700"/>
      <c r="IM230" s="701"/>
      <c r="IN230" s="703"/>
      <c r="IO230" s="703"/>
      <c r="IP230" s="704"/>
      <c r="IQ230" s="700"/>
    </row>
    <row r="231" spans="1:251" s="705" customFormat="1" ht="15" customHeight="1">
      <c r="A231" s="654"/>
      <c r="B231" s="706"/>
      <c r="C231" s="781"/>
      <c r="D231" s="45" t="s">
        <v>174</v>
      </c>
      <c r="E231" s="568" t="s">
        <v>15</v>
      </c>
      <c r="F231" s="785"/>
      <c r="G231" s="1416"/>
      <c r="H231" s="1461"/>
      <c r="I231" s="1461"/>
      <c r="J231" s="784"/>
      <c r="K231" s="1418"/>
      <c r="L231" s="695"/>
      <c r="M231" s="696"/>
      <c r="N231" s="696"/>
      <c r="O231" s="697"/>
      <c r="P231" s="698"/>
      <c r="Q231" s="695"/>
      <c r="R231" s="696"/>
      <c r="S231" s="696"/>
      <c r="T231" s="697"/>
      <c r="U231" s="698"/>
      <c r="V231" s="699"/>
      <c r="W231" s="696"/>
      <c r="X231" s="696"/>
      <c r="Y231" s="697"/>
      <c r="Z231" s="700"/>
      <c r="AA231" s="701"/>
      <c r="AB231" s="696"/>
      <c r="AC231" s="696"/>
      <c r="AD231" s="697"/>
      <c r="AE231" s="700"/>
      <c r="AF231" s="701"/>
      <c r="AG231" s="696"/>
      <c r="AH231" s="696"/>
      <c r="AI231" s="697"/>
      <c r="AJ231" s="700"/>
      <c r="AK231" s="701"/>
      <c r="AL231" s="696"/>
      <c r="AM231" s="696"/>
      <c r="AN231" s="697"/>
      <c r="AO231" s="700"/>
      <c r="AP231" s="701"/>
      <c r="AQ231" s="696"/>
      <c r="AR231" s="696"/>
      <c r="AS231" s="697"/>
      <c r="AT231" s="700"/>
      <c r="AU231" s="701"/>
      <c r="AV231" s="696"/>
      <c r="AW231" s="696"/>
      <c r="AX231" s="697"/>
      <c r="AY231" s="700"/>
      <c r="AZ231" s="701"/>
      <c r="BA231" s="696"/>
      <c r="BB231" s="696"/>
      <c r="BC231" s="697"/>
      <c r="BD231" s="700"/>
      <c r="BE231" s="701"/>
      <c r="BF231" s="696"/>
      <c r="BG231" s="702"/>
      <c r="BH231" s="697"/>
      <c r="BI231" s="700"/>
      <c r="BJ231" s="701"/>
      <c r="BK231" s="696"/>
      <c r="BL231" s="372"/>
      <c r="BM231" s="697"/>
      <c r="BN231" s="700"/>
      <c r="BO231" s="701"/>
      <c r="BP231" s="696"/>
      <c r="BQ231" s="696"/>
      <c r="BR231" s="697"/>
      <c r="BS231" s="700"/>
      <c r="BT231" s="701"/>
      <c r="BU231" s="696"/>
      <c r="BV231" s="696"/>
      <c r="BW231" s="697"/>
      <c r="BX231" s="700"/>
      <c r="BY231" s="701"/>
      <c r="BZ231" s="696"/>
      <c r="CA231" s="696"/>
      <c r="CB231" s="697"/>
      <c r="CC231" s="700"/>
      <c r="CD231" s="701"/>
      <c r="CE231" s="696"/>
      <c r="CF231" s="696"/>
      <c r="CG231" s="697"/>
      <c r="CH231" s="700"/>
      <c r="CI231" s="701"/>
      <c r="CJ231" s="703"/>
      <c r="CK231" s="696"/>
      <c r="CL231" s="697"/>
      <c r="CM231" s="700"/>
      <c r="CN231" s="701"/>
      <c r="CO231" s="696"/>
      <c r="CP231" s="696"/>
      <c r="CQ231" s="704"/>
      <c r="CR231" s="700"/>
      <c r="CS231" s="701"/>
      <c r="CT231" s="696"/>
      <c r="CU231" s="696"/>
      <c r="CV231" s="697"/>
      <c r="CW231" s="700"/>
      <c r="CX231" s="701"/>
      <c r="CY231" s="696"/>
      <c r="CZ231" s="696"/>
      <c r="DA231" s="697"/>
      <c r="DB231" s="700"/>
      <c r="DC231" s="701"/>
      <c r="DD231" s="696"/>
      <c r="DE231" s="696"/>
      <c r="DF231" s="697"/>
      <c r="DG231" s="700"/>
      <c r="DH231" s="701"/>
      <c r="DI231" s="696"/>
      <c r="DJ231" s="696"/>
      <c r="DK231" s="697"/>
      <c r="DL231" s="700"/>
      <c r="DM231" s="701"/>
      <c r="DN231" s="696"/>
      <c r="DO231" s="696"/>
      <c r="DP231" s="697"/>
      <c r="DQ231" s="700"/>
      <c r="DR231" s="701"/>
      <c r="DS231" s="696"/>
      <c r="DT231" s="696"/>
      <c r="DU231" s="697"/>
      <c r="DV231" s="700"/>
      <c r="DW231" s="1446"/>
      <c r="DX231" s="696"/>
      <c r="DY231" s="696"/>
      <c r="DZ231" s="697"/>
      <c r="EA231" s="700"/>
      <c r="EB231" s="701"/>
      <c r="EC231" s="696">
        <v>1</v>
      </c>
      <c r="ED231" s="696">
        <v>2942.9380000000001</v>
      </c>
      <c r="EE231" s="697"/>
      <c r="EF231" s="700"/>
      <c r="EG231" s="701"/>
      <c r="EH231" s="703"/>
      <c r="EI231" s="703"/>
      <c r="EJ231" s="704"/>
      <c r="EK231" s="700"/>
      <c r="EL231" s="701"/>
      <c r="EM231" s="703"/>
      <c r="EN231" s="703"/>
      <c r="EO231" s="704"/>
      <c r="EP231" s="700"/>
      <c r="EQ231" s="701"/>
      <c r="ER231" s="703"/>
      <c r="ES231" s="703"/>
      <c r="ET231" s="704"/>
      <c r="EU231" s="700"/>
      <c r="EV231" s="701"/>
      <c r="EW231" s="703"/>
      <c r="EX231" s="703"/>
      <c r="EY231" s="704"/>
      <c r="EZ231" s="700"/>
      <c r="FA231" s="701"/>
      <c r="FB231" s="696"/>
      <c r="FC231" s="696">
        <v>3924.78</v>
      </c>
      <c r="FD231" s="697"/>
      <c r="FE231" s="700"/>
      <c r="FF231" s="701"/>
      <c r="FG231" s="703"/>
      <c r="FH231" s="703"/>
      <c r="FI231" s="704"/>
      <c r="FJ231" s="700"/>
      <c r="FK231" s="701"/>
      <c r="FL231" s="703"/>
      <c r="FM231" s="703"/>
      <c r="FN231" s="704"/>
      <c r="FO231" s="700"/>
      <c r="FP231" s="701"/>
      <c r="FQ231" s="703"/>
      <c r="FR231" s="703"/>
      <c r="FS231" s="704"/>
      <c r="FT231" s="700"/>
      <c r="FU231" s="701"/>
      <c r="FV231" s="703"/>
      <c r="FW231" s="703"/>
      <c r="FX231" s="704"/>
      <c r="FY231" s="700"/>
      <c r="FZ231" s="701"/>
      <c r="GA231" s="703"/>
      <c r="GB231" s="703"/>
      <c r="GC231" s="704"/>
      <c r="GD231" s="700"/>
      <c r="GE231" s="701"/>
      <c r="GF231" s="703"/>
      <c r="GG231" s="789">
        <v>8165.79</v>
      </c>
      <c r="GH231" s="704"/>
      <c r="GI231" s="700"/>
      <c r="GJ231" s="1446"/>
      <c r="GK231" s="703">
        <v>1</v>
      </c>
      <c r="GL231" s="703">
        <v>2942.9380000000001</v>
      </c>
      <c r="GM231" s="704"/>
      <c r="GN231" s="700"/>
      <c r="GO231" s="701"/>
      <c r="GP231" s="703"/>
      <c r="GQ231" s="703"/>
      <c r="GR231" s="704"/>
      <c r="GS231" s="700"/>
      <c r="GT231" s="701"/>
      <c r="GU231" s="696"/>
      <c r="GV231" s="696">
        <v>4844.16</v>
      </c>
      <c r="GW231" s="697"/>
      <c r="GX231" s="700"/>
      <c r="GY231" s="701"/>
      <c r="GZ231" s="703"/>
      <c r="HA231" s="703"/>
      <c r="HB231" s="704"/>
      <c r="HC231" s="700"/>
      <c r="HD231" s="701"/>
      <c r="HE231" s="703"/>
      <c r="HF231" s="703"/>
      <c r="HG231" s="704"/>
      <c r="HH231" s="700"/>
      <c r="HI231" s="701"/>
      <c r="HJ231" s="703"/>
      <c r="HK231" s="703">
        <v>3924.78</v>
      </c>
      <c r="HL231" s="704"/>
      <c r="HM231" s="700"/>
      <c r="HN231" s="701"/>
      <c r="HO231" s="703"/>
      <c r="HP231" s="703"/>
      <c r="HQ231" s="704"/>
      <c r="HR231" s="700"/>
      <c r="HS231" s="701"/>
      <c r="HT231" s="703"/>
      <c r="HU231" s="703"/>
      <c r="HV231" s="704"/>
      <c r="HW231" s="700"/>
      <c r="HX231" s="701"/>
      <c r="HY231" s="703"/>
      <c r="HZ231" s="703"/>
      <c r="IA231" s="704"/>
      <c r="IB231" s="700"/>
      <c r="IC231" s="701"/>
      <c r="ID231" s="703"/>
      <c r="IE231" s="703"/>
      <c r="IF231" s="704"/>
      <c r="IG231" s="700"/>
      <c r="IH231" s="701"/>
      <c r="II231" s="703"/>
      <c r="IJ231" s="703"/>
      <c r="IK231" s="704"/>
      <c r="IL231" s="700"/>
      <c r="IM231" s="701"/>
      <c r="IN231" s="703"/>
      <c r="IO231" s="703"/>
      <c r="IP231" s="704"/>
      <c r="IQ231" s="700"/>
    </row>
    <row r="232" spans="1:251" s="264" customFormat="1" ht="15" customHeight="1" thickBot="1">
      <c r="A232" s="648"/>
      <c r="B232" s="257"/>
      <c r="C232" s="215">
        <v>3133308437</v>
      </c>
      <c r="D232" s="45" t="s">
        <v>174</v>
      </c>
      <c r="E232" s="259" t="s">
        <v>17</v>
      </c>
      <c r="F232" s="23"/>
      <c r="G232" s="168">
        <f>I232/H232</f>
        <v>65.507333333333335</v>
      </c>
      <c r="H232" s="170">
        <v>15</v>
      </c>
      <c r="I232" s="170">
        <v>982.61</v>
      </c>
      <c r="J232" s="179"/>
      <c r="K232" s="182"/>
      <c r="L232" s="168">
        <f>N232/M232</f>
        <v>65.507333333333335</v>
      </c>
      <c r="M232" s="170">
        <v>15</v>
      </c>
      <c r="N232" s="170">
        <v>982.61</v>
      </c>
      <c r="O232" s="179"/>
      <c r="P232" s="182"/>
      <c r="Q232" s="168">
        <f>S232/R232</f>
        <v>65.507142857142853</v>
      </c>
      <c r="R232" s="170">
        <v>14</v>
      </c>
      <c r="S232" s="170">
        <v>917.1</v>
      </c>
      <c r="T232" s="179"/>
      <c r="U232" s="182"/>
      <c r="V232" s="209">
        <f>X232/W232</f>
        <v>90.871111111111119</v>
      </c>
      <c r="W232" s="170">
        <v>18</v>
      </c>
      <c r="X232" s="170">
        <v>1635.68</v>
      </c>
      <c r="Y232" s="179"/>
      <c r="Z232" s="179"/>
      <c r="AA232" s="3">
        <f>AC232/AB232</f>
        <v>90.871176470588239</v>
      </c>
      <c r="AB232" s="170">
        <v>17</v>
      </c>
      <c r="AC232" s="170">
        <v>1544.81</v>
      </c>
      <c r="AD232" s="179"/>
      <c r="AE232" s="179"/>
      <c r="AF232" s="3">
        <f>AH232/AG232</f>
        <v>90.871111111111119</v>
      </c>
      <c r="AG232" s="170">
        <v>18</v>
      </c>
      <c r="AH232" s="426">
        <v>1635.68</v>
      </c>
      <c r="AI232" s="179"/>
      <c r="AJ232" s="48"/>
      <c r="AK232" s="3">
        <f>AM232/AL232</f>
        <v>90.871111111111119</v>
      </c>
      <c r="AL232" s="170">
        <v>18</v>
      </c>
      <c r="AM232" s="426">
        <v>1635.68</v>
      </c>
      <c r="AN232" s="179"/>
      <c r="AO232" s="48"/>
      <c r="AP232" s="3">
        <f>AR232/AQ232</f>
        <v>90.871176470588239</v>
      </c>
      <c r="AQ232" s="170">
        <v>17</v>
      </c>
      <c r="AR232" s="426">
        <v>1544.81</v>
      </c>
      <c r="AS232" s="179"/>
      <c r="AT232" s="179"/>
      <c r="AU232" s="3">
        <f>AW232/AV232</f>
        <v>26.752499999999998</v>
      </c>
      <c r="AV232" s="170">
        <v>20</v>
      </c>
      <c r="AW232" s="170">
        <v>535.04999999999995</v>
      </c>
      <c r="AX232" s="179"/>
      <c r="AY232" s="179"/>
      <c r="AZ232" s="3">
        <f>BB232/BA232</f>
        <v>90.871304347826083</v>
      </c>
      <c r="BA232" s="170">
        <v>23</v>
      </c>
      <c r="BB232" s="170">
        <v>2090.04</v>
      </c>
      <c r="BC232" s="48"/>
      <c r="BD232" s="179"/>
      <c r="BE232" s="3">
        <f>BG232/BF232</f>
        <v>20.499999999999996</v>
      </c>
      <c r="BF232" s="169">
        <v>26.1</v>
      </c>
      <c r="BG232" s="562">
        <v>535.04999999999995</v>
      </c>
      <c r="BH232" s="48"/>
      <c r="BI232" s="179"/>
      <c r="BJ232" s="3">
        <f>BL232/BK232</f>
        <v>20.499999999999996</v>
      </c>
      <c r="BK232" s="169">
        <v>26.1</v>
      </c>
      <c r="BL232" s="169">
        <v>535.04999999999995</v>
      </c>
      <c r="BM232" s="48"/>
      <c r="BN232" s="179"/>
      <c r="BO232" s="3">
        <f>BQ232/BP232</f>
        <v>20.499999999999996</v>
      </c>
      <c r="BP232" s="169">
        <v>26.1</v>
      </c>
      <c r="BQ232" s="169">
        <v>535.04999999999995</v>
      </c>
      <c r="BR232" s="48"/>
      <c r="BS232" s="179"/>
      <c r="BT232" s="3">
        <f>BV232/BU232</f>
        <v>302.90421455938696</v>
      </c>
      <c r="BU232" s="170">
        <v>26.1</v>
      </c>
      <c r="BV232" s="426">
        <v>7905.8</v>
      </c>
      <c r="BW232" s="179"/>
      <c r="BX232" s="179"/>
      <c r="BY232" s="3">
        <f>CA232/BZ232</f>
        <v>90.871111111111119</v>
      </c>
      <c r="BZ232" s="170">
        <v>18</v>
      </c>
      <c r="CA232" s="170">
        <v>1635.68</v>
      </c>
      <c r="CB232" s="179"/>
      <c r="CC232" s="179"/>
      <c r="CD232" s="3">
        <f>CF232/CE232</f>
        <v>90.871000000000009</v>
      </c>
      <c r="CE232" s="170">
        <v>20</v>
      </c>
      <c r="CF232" s="170">
        <v>1817.42</v>
      </c>
      <c r="CG232" s="179"/>
      <c r="CH232" s="179"/>
      <c r="CI232" s="3">
        <f>CK232/CJ232</f>
        <v>90.871111111111119</v>
      </c>
      <c r="CJ232" s="170">
        <v>18</v>
      </c>
      <c r="CK232" s="170">
        <v>1635.68</v>
      </c>
      <c r="CL232" s="179"/>
      <c r="CM232" s="179"/>
      <c r="CN232" s="3">
        <f>CP232/CO232</f>
        <v>91.251578947368415</v>
      </c>
      <c r="CO232" s="169">
        <v>19</v>
      </c>
      <c r="CP232" s="169">
        <v>1733.78</v>
      </c>
      <c r="CQ232" s="48"/>
      <c r="CR232" s="179"/>
      <c r="CS232" s="3">
        <f>CU232/CT232</f>
        <v>115.95941176470588</v>
      </c>
      <c r="CT232" s="170">
        <v>17</v>
      </c>
      <c r="CU232" s="369">
        <v>1971.31</v>
      </c>
      <c r="CV232" s="179"/>
      <c r="CW232" s="179"/>
      <c r="CX232" s="3">
        <f>CZ232/CY232</f>
        <v>20.499999999999996</v>
      </c>
      <c r="CY232" s="169">
        <v>26.1</v>
      </c>
      <c r="CZ232" s="169">
        <v>535.04999999999995</v>
      </c>
      <c r="DA232" s="48"/>
      <c r="DB232" s="179"/>
      <c r="DC232" s="3">
        <f>DE232/DD232</f>
        <v>122.58882352941178</v>
      </c>
      <c r="DD232" s="169">
        <v>17</v>
      </c>
      <c r="DE232" s="169">
        <v>2084.0100000000002</v>
      </c>
      <c r="DF232" s="48"/>
      <c r="DG232" s="179"/>
      <c r="DH232" s="3">
        <f>DJ232/DI232</f>
        <v>117.388125</v>
      </c>
      <c r="DI232" s="170">
        <v>16</v>
      </c>
      <c r="DJ232" s="170">
        <v>1878.21</v>
      </c>
      <c r="DK232" s="179"/>
      <c r="DL232" s="179"/>
      <c r="DM232" s="3">
        <f>DO232/DN232</f>
        <v>20.499999999999996</v>
      </c>
      <c r="DN232" s="169">
        <v>26.1</v>
      </c>
      <c r="DO232" s="169">
        <v>535.04999999999995</v>
      </c>
      <c r="DP232" s="48"/>
      <c r="DQ232" s="179"/>
      <c r="DR232" s="3">
        <f>DT232/DS232</f>
        <v>116.99944444444444</v>
      </c>
      <c r="DS232" s="170">
        <v>18</v>
      </c>
      <c r="DT232" s="170">
        <v>2105.9899999999998</v>
      </c>
      <c r="DU232" s="179"/>
      <c r="DV232" s="179"/>
      <c r="DW232" s="3">
        <f>DY232/DX232</f>
        <v>20.499999999999996</v>
      </c>
      <c r="DX232" s="169">
        <v>26.1</v>
      </c>
      <c r="DY232" s="169">
        <v>535.04999999999995</v>
      </c>
      <c r="DZ232" s="48"/>
      <c r="EA232" s="179"/>
      <c r="EB232" s="3">
        <f>ED232/EC232</f>
        <v>117.88928571428572</v>
      </c>
      <c r="EC232" s="170">
        <v>14</v>
      </c>
      <c r="ED232" s="426">
        <v>1650.45</v>
      </c>
      <c r="EE232" s="179"/>
      <c r="EF232" s="179"/>
      <c r="EG232" s="3">
        <f>EI232/EH232</f>
        <v>90.871111111111119</v>
      </c>
      <c r="EH232" s="169">
        <v>18</v>
      </c>
      <c r="EI232" s="169">
        <v>1635.68</v>
      </c>
      <c r="EJ232" s="48"/>
      <c r="EK232" s="179"/>
      <c r="EL232" s="3">
        <f>EN232/EM232</f>
        <v>90.871000000000009</v>
      </c>
      <c r="EM232" s="169">
        <v>20</v>
      </c>
      <c r="EN232" s="169">
        <v>1817.42</v>
      </c>
      <c r="EO232" s="48"/>
      <c r="EP232" s="179"/>
      <c r="EQ232" s="3">
        <f>ES232/ER232</f>
        <v>90.871111111111119</v>
      </c>
      <c r="ER232" s="169">
        <v>18</v>
      </c>
      <c r="ES232" s="169">
        <v>1635.68</v>
      </c>
      <c r="ET232" s="48"/>
      <c r="EU232" s="179"/>
      <c r="EV232" s="3">
        <f>EX232/EW232</f>
        <v>91.251578947368415</v>
      </c>
      <c r="EW232" s="169">
        <v>19</v>
      </c>
      <c r="EX232" s="169">
        <v>1733.78</v>
      </c>
      <c r="EY232" s="48"/>
      <c r="EZ232" s="179"/>
      <c r="FA232" s="3">
        <f>FC232/FB232</f>
        <v>117.622</v>
      </c>
      <c r="FB232" s="170">
        <v>15</v>
      </c>
      <c r="FC232" s="369">
        <v>1764.33</v>
      </c>
      <c r="FD232" s="179"/>
      <c r="FE232" s="179"/>
      <c r="FF232" s="3">
        <f>FH232/FG232</f>
        <v>20.499999999999996</v>
      </c>
      <c r="FG232" s="169">
        <v>26.1</v>
      </c>
      <c r="FH232" s="169">
        <v>535.04999999999995</v>
      </c>
      <c r="FI232" s="48"/>
      <c r="FJ232" s="179"/>
      <c r="FK232" s="3">
        <f>FM232/FL232</f>
        <v>236.14056470588235</v>
      </c>
      <c r="FL232" s="170">
        <v>17</v>
      </c>
      <c r="FM232" s="170">
        <f>3787.16*1.06</f>
        <v>4014.3896</v>
      </c>
      <c r="FN232" s="179"/>
      <c r="FO232" s="179"/>
      <c r="FP232" s="3">
        <f>FR232/FQ232</f>
        <v>117.388125</v>
      </c>
      <c r="FQ232" s="169">
        <v>16</v>
      </c>
      <c r="FR232" s="169">
        <v>1878.21</v>
      </c>
      <c r="FS232" s="48"/>
      <c r="FT232" s="179"/>
      <c r="FU232" s="3">
        <f>FW232/FV232</f>
        <v>20.499999999999996</v>
      </c>
      <c r="FV232" s="169">
        <v>26.1</v>
      </c>
      <c r="FW232" s="169">
        <v>535.04999999999995</v>
      </c>
      <c r="FX232" s="48"/>
      <c r="FY232" s="179"/>
      <c r="FZ232" s="3">
        <f>GB232/GA232</f>
        <v>20.499999999999996</v>
      </c>
      <c r="GA232" s="169">
        <v>26.1</v>
      </c>
      <c r="GB232" s="169">
        <v>535.04999999999995</v>
      </c>
      <c r="GC232" s="48"/>
      <c r="GD232" s="179"/>
      <c r="GE232" s="3">
        <f>GG232/GF232</f>
        <v>0</v>
      </c>
      <c r="GF232" s="169">
        <v>26.1</v>
      </c>
      <c r="GG232" s="1610"/>
      <c r="GH232" s="48"/>
      <c r="GI232" s="179"/>
      <c r="GJ232" s="285">
        <f>GL232/GK232</f>
        <v>117.88928571428572</v>
      </c>
      <c r="GK232" s="169">
        <v>14</v>
      </c>
      <c r="GL232" s="1561">
        <v>1650.45</v>
      </c>
      <c r="GM232" s="48"/>
      <c r="GN232" s="179"/>
      <c r="GO232" s="3">
        <f>GQ232/GP232</f>
        <v>130.64333333333332</v>
      </c>
      <c r="GP232" s="170">
        <v>9</v>
      </c>
      <c r="GQ232" s="170">
        <v>1175.79</v>
      </c>
      <c r="GR232" s="179"/>
      <c r="GS232" s="179"/>
      <c r="GT232" s="3">
        <f>GV232/GU232</f>
        <v>136.81545454545454</v>
      </c>
      <c r="GU232" s="170">
        <v>11</v>
      </c>
      <c r="GV232" s="170">
        <v>1504.97</v>
      </c>
      <c r="GW232" s="179"/>
      <c r="GX232" s="179"/>
      <c r="GY232" s="3">
        <f>HA232/GZ232</f>
        <v>90.871111111111119</v>
      </c>
      <c r="GZ232" s="169">
        <v>18</v>
      </c>
      <c r="HA232" s="169">
        <v>1635.68</v>
      </c>
      <c r="HB232" s="48"/>
      <c r="HC232" s="179"/>
      <c r="HD232" s="3">
        <f>HF232/HE232</f>
        <v>91.251578947368415</v>
      </c>
      <c r="HE232" s="169">
        <v>19</v>
      </c>
      <c r="HF232" s="169">
        <v>1733.78</v>
      </c>
      <c r="HG232" s="48"/>
      <c r="HH232" s="179"/>
      <c r="HI232" s="3">
        <f>HK232/HJ232</f>
        <v>117.622</v>
      </c>
      <c r="HJ232" s="169">
        <v>15</v>
      </c>
      <c r="HK232" s="775">
        <v>1764.33</v>
      </c>
      <c r="HL232" s="48"/>
      <c r="HM232" s="179"/>
      <c r="HN232" s="3">
        <f>HP232/HO232</f>
        <v>20.499999999999996</v>
      </c>
      <c r="HO232" s="169">
        <v>26.1</v>
      </c>
      <c r="HP232" s="169">
        <v>535.04999999999995</v>
      </c>
      <c r="HQ232" s="48"/>
      <c r="HR232" s="179"/>
      <c r="HS232" s="3">
        <f>HU232/HT232</f>
        <v>236.14056470588235</v>
      </c>
      <c r="HT232" s="169">
        <v>17</v>
      </c>
      <c r="HU232" s="169">
        <f>3787.16*1.06</f>
        <v>4014.3896</v>
      </c>
      <c r="HV232" s="48"/>
      <c r="HW232" s="179"/>
      <c r="HX232" s="3">
        <f>HZ232/HY232</f>
        <v>117.388125</v>
      </c>
      <c r="HY232" s="169">
        <v>16</v>
      </c>
      <c r="HZ232" s="169">
        <v>1878.21</v>
      </c>
      <c r="IA232" s="48"/>
      <c r="IB232" s="179"/>
      <c r="IC232" s="3">
        <f>IE232/ID232</f>
        <v>20.499999999999996</v>
      </c>
      <c r="ID232" s="169">
        <v>26.1</v>
      </c>
      <c r="IE232" s="169">
        <v>535.04999999999995</v>
      </c>
      <c r="IF232" s="48"/>
      <c r="IG232" s="179"/>
      <c r="IH232" s="3">
        <f>IJ232/II232</f>
        <v>20.499999999999996</v>
      </c>
      <c r="II232" s="169">
        <v>26.1</v>
      </c>
      <c r="IJ232" s="169">
        <v>535.04999999999995</v>
      </c>
      <c r="IK232" s="48"/>
      <c r="IL232" s="179"/>
      <c r="IM232" s="3">
        <f>IO232/IN232</f>
        <v>20.499999999999996</v>
      </c>
      <c r="IN232" s="169">
        <v>26.1</v>
      </c>
      <c r="IO232" s="169">
        <v>535.04999999999995</v>
      </c>
      <c r="IP232" s="48"/>
      <c r="IQ232" s="179"/>
    </row>
    <row r="233" spans="1:251" s="249" customFormat="1" ht="15" customHeight="1">
      <c r="B233" s="5"/>
      <c r="C233" s="5"/>
      <c r="D233" s="6"/>
      <c r="E233" s="7"/>
      <c r="F233" s="4"/>
      <c r="G233" s="196"/>
      <c r="H233" s="37"/>
      <c r="I233" s="37"/>
      <c r="J233" s="38"/>
      <c r="K233" s="206"/>
      <c r="L233" s="196"/>
      <c r="M233" s="37"/>
      <c r="N233" s="37"/>
      <c r="O233" s="38"/>
      <c r="P233" s="206"/>
      <c r="Q233" s="196"/>
      <c r="R233" s="37"/>
      <c r="S233" s="37"/>
      <c r="T233" s="38"/>
      <c r="U233" s="206"/>
      <c r="V233" s="207"/>
      <c r="W233" s="37"/>
      <c r="X233" s="37"/>
      <c r="Y233" s="384" t="s">
        <v>229</v>
      </c>
      <c r="Z233" s="384">
        <f>Z227+Z221+Z210+Z205+Z199+Z195+Z190+Z185+Z180+Z175+Z170+Z161+Z157+Z152+Z148+Z143+Z136+Z136+Z132+Z128+Z124+Z119+Z115+Z110+Z105+Z96+Z91+Z85+Z80+Z77+Z70+Z65+Z60+Z51+Z44+Z36+Z30+Z26+Z22+Z18+Z13+Z8</f>
        <v>5785395.3888400011</v>
      </c>
      <c r="AA233" s="36"/>
      <c r="AB233" s="37"/>
      <c r="AC233" s="37"/>
      <c r="AD233" s="384" t="s">
        <v>229</v>
      </c>
      <c r="AE233" s="384">
        <f>AE227+AE221+AE210+AE205+AE199+AE195+AE190+AE185+AE180+AE175+AE170+AE161+AE157+AE152+AE148+AE143+AE136+AE136+AE132+AE128+AE124+AE119+AE115+AE110+AE105+AE96+AE91+AE85+AE80+AE77+AE70+AE65+AE60+AE51+AE44+AE36+AE30+AE26+AE22+AE18+AE13+AE8</f>
        <v>5839468.0778000001</v>
      </c>
      <c r="AF233" s="36"/>
      <c r="AG233" s="37"/>
      <c r="AH233" s="37"/>
      <c r="AI233" s="384" t="s">
        <v>229</v>
      </c>
      <c r="AJ233" s="384">
        <f>AJ227+AJ221+AJ210+AJ205+AJ199+AJ195+AJ190+AJ185+AJ180+AJ175+AJ170+AJ161+AJ157+AJ152+AJ148+AJ143+AJ136+AJ136+AJ132+AJ128+AJ124+AJ119+AJ115+AJ110+AJ105+AJ96+AJ91+AJ85+AJ80+AJ77+AJ70+AJ65+AJ60+AJ51+AJ44+AJ36+AJ30+AJ26+AJ22+AJ18+AJ13+AJ8</f>
        <v>6428227.9534000009</v>
      </c>
      <c r="AK233" s="36"/>
      <c r="AL233" s="37"/>
      <c r="AM233" s="37"/>
      <c r="AN233" s="384" t="s">
        <v>229</v>
      </c>
      <c r="AO233" s="384">
        <f>AO227+AO221+AO210+AO205+AO199+AO195+AO190+AO185+AO180+AO175+AO170+AO161+AO157+AO152+AO148+AO143+AO136+AO136+AO132+AO128+AO124+AO119+AO115+AO110+AO105+AO96+AO91+AO85+AO80+AO77+AO70+AO65+AO60+AO51+AO44+AO36+AO30+AO26+AO22+AO18+AO13+AO8</f>
        <v>7828112.6761999996</v>
      </c>
      <c r="AP233" s="36"/>
      <c r="AQ233" s="37"/>
      <c r="AR233" s="37"/>
      <c r="AS233" s="384" t="s">
        <v>229</v>
      </c>
      <c r="AT233" s="384">
        <f>AT227+AT221+AT210+AT205+AT199+AT195+AT190+AT185+AT180+AT175+AT170+AT161+AT157+AT152+AT148+AT143+AT136+AT136+AT132+AT128+AT124+AT119+AT115+AT110+AT105+AT96+AT91+AT85+AT80+AT77+AT70+AT65+AT60+AT51+AT44+AT36+AT30+AT26+AT22+AT18+AT13+AT8</f>
        <v>7505867.4041999988</v>
      </c>
      <c r="AU233" s="36"/>
      <c r="AV233" s="37"/>
      <c r="AW233" s="37"/>
      <c r="AX233" s="384" t="s">
        <v>229</v>
      </c>
      <c r="AY233" s="384">
        <f>AY227+AY221+AY210+AY205+AY199+AY195+AY190+AY185+AY180+AY175+AY170+AY161+AY157+AY152+AY148+AY143+AY136+AY136+AY132+AY128+AY124+AY119+AY115+AY110+AY105+AY96+AY91+AY85+AY80+AY77+AY70+AY65+AY60+AY51+AY44+AY36+AY30+AY26+AY22+AY18+AY13+AY8</f>
        <v>8272765.6466999995</v>
      </c>
      <c r="AZ233" s="36"/>
      <c r="BA233" s="37"/>
      <c r="BB233" s="37"/>
      <c r="BC233" s="384" t="s">
        <v>229</v>
      </c>
      <c r="BD233" s="384">
        <f>BD227+BD221+BD210+BD205+BD199+BD195+BD190+BD185+BD180+BD175+BD170+BD161+BD157+BD152+BD148+BD143+BD136+BD136+BD132+BD128+BD124+BD119+BD115+BD110+BD105+BD96+BD91+BD85+BD80+BD77+BD70+BD65+BD60+BD51+BD44+BD36+BD30+BD26+BD22+BD18+BD13+BD8</f>
        <v>7620170.815940001</v>
      </c>
      <c r="BE233" s="36"/>
      <c r="BF233" s="37"/>
      <c r="BG233" s="37"/>
      <c r="BH233" s="384" t="s">
        <v>229</v>
      </c>
      <c r="BI233" s="384">
        <f>BI227+BI221+BI210+BI205+BI199+BI195+BI190+BI185+BI180+BI175+BI170+BI161+BI157+BI152+BI148+BI143+BI136+BI136+BI132+BI128+BI124+BI119+BI115+BI110+BI105+BI96+BI91+BI85+BI80+BI77+BI70+BI65+BI60+BI51+BI44+BI36+BI30+BI26+BI22+BI18+BI13+BI8</f>
        <v>6873040.4951999979</v>
      </c>
      <c r="BJ233" s="36"/>
      <c r="BK233" s="37"/>
      <c r="BL233" s="37"/>
      <c r="BM233" s="384" t="s">
        <v>229</v>
      </c>
      <c r="BN233" s="384">
        <f>BN227+BN221+BN210+BN205+BN199+BN195+BN190+BN185+BN180+BN175+BN170+BN161+BN157+BN152+BN148+BN143+BN136+BN136+BN132+BN128+BN124+BN119+BN115+BN110+BN105+BN96+BN91+BN85+BN80+BN77+BN70+BN65+BN60+BN51+BN44+BN36+BN30+BN26+BN22+BN18+BN13+BN8</f>
        <v>7726228.3714000015</v>
      </c>
      <c r="BO233" s="36"/>
      <c r="BP233" s="37"/>
      <c r="BQ233" s="37"/>
      <c r="BR233" s="384" t="s">
        <v>229</v>
      </c>
      <c r="BS233" s="384">
        <f>BS227+BS221+BS210+BS205+BS199+BS195+BS190+BS185+BS180+BS175+BS170+BS161+BS157+BS152+BS148+BS143+BS136+BS136+BS132+BS128+BS124+BS119+BS115+BS110+BS105+BS96+BS91+BS85+BS80+BS77+BS70+BS65+BS60+BS51+BS44+BS36+BS30+BS26+BS22+BS18+BS13+BS8</f>
        <v>8091324.6273999996</v>
      </c>
      <c r="BT233" s="36"/>
      <c r="BU233" s="37"/>
      <c r="BV233" s="37"/>
      <c r="BW233" s="384" t="s">
        <v>229</v>
      </c>
      <c r="BX233" s="384">
        <f>BX227+BX221+BX210+BX205+BX199+BX195+BX190+BX185+BX180+BX175+BX170+BX161+BX157+BX152+BX148+BX143+BX136+BX136+BX132+BX128+BX124+BX119+BX115+BX110+BX105+BX96+BX91+BX85+BX80+BX77+BX70+BX65+BX60+BX51+BX44+BX36+BX30+BX26+BX22+BX18+BX13+BX8</f>
        <v>7747392.3783999998</v>
      </c>
      <c r="BY233" s="36"/>
      <c r="BZ233" s="37"/>
      <c r="CA233" s="37"/>
      <c r="CB233" s="384" t="s">
        <v>229</v>
      </c>
      <c r="CC233" s="384">
        <f>CC227+CC221+CC210+CC205+CC199+CC195+CC190+CC185+CC180+CC175+CC170+CC161+CC157+CC152+CC148+CC143+CC136+CC136+CC132+CC128+CC124+CC119+CC115+CC110+CC105+CC96+CC91+CC85+CC80+CC77+CC70+CC65+CC60+CC51+CC44+CC36+CC30+CC26+CC22+CC18+CC13+CC8</f>
        <v>6710024.3147999998</v>
      </c>
      <c r="CD233" s="36"/>
      <c r="CE233" s="37"/>
      <c r="CF233" s="37"/>
      <c r="CG233" s="384" t="s">
        <v>229</v>
      </c>
      <c r="CH233" s="384">
        <f>CH227+CH221+CH210+CH205+CH199+CH195+CH190+CH185+CH180+CH175+CH170+CH161+CH157+CH152+CH148+CH143+CH136+CH136+CH132+CH128+CH124+CH119+CH115+CH110+CH105+CH96+CH91+CH85+CH80+CH77+CH70+CH65+CH60+CH51+CH44+CH36+CH30+CH26+CH22+CH18+CH13+CH8</f>
        <v>6377048.2270000018</v>
      </c>
      <c r="CI233" s="36"/>
      <c r="CJ233" s="37"/>
      <c r="CK233" s="37"/>
      <c r="CL233" s="384" t="s">
        <v>229</v>
      </c>
      <c r="CM233" s="384">
        <f>CM227+CM221+CM210+CM205+CM199+CM195+CM190+CM185+CM180+CM175+CM170+CM161+CM157+CM152+CM148+CM143+CM136+CM136+CM132+CM128+CM124+CM119+CM115+CM110+CM105+CM96+CM91+CM85+CM80+CM77+CM70+CM65+CM60+CM51+CM44+CM36+CM30+CM26+CM22+CM18+CM13+CM8</f>
        <v>6104713.4745999994</v>
      </c>
      <c r="CN233" s="36"/>
      <c r="CO233" s="37"/>
      <c r="CP233" s="37"/>
      <c r="CQ233" s="384" t="s">
        <v>229</v>
      </c>
      <c r="CR233" s="384" t="e">
        <f>CR227+CR221+CR210+CR205+CR199+CR195+CR190+CR185+CR180+CR175+CR170+CR161+CR157+CR152+CR148+CR143+CR136+CR136+CR132+CR128+CR124+CR119+CR115+CR110+CR105+CR96+CR91+CR85+CR80+CR77+CR70+CR65+CR60+CR51+CR44+CR36+CR30+CR26+CR22+CR18+CR13+CR8</f>
        <v>#VALUE!</v>
      </c>
      <c r="CS233" s="36"/>
      <c r="CT233" s="37"/>
      <c r="CU233" s="384" t="s">
        <v>229</v>
      </c>
      <c r="CV233" s="724">
        <f>SUM(CV8:CV230)</f>
        <v>6442177.0899999989</v>
      </c>
      <c r="CW233" s="384">
        <f>CW227+CW221+CW210+CW205+CW199+CW195+CW190+CW185+CW180+CW175+CW170+CW161+CW157+CW152+CW148+CW143+CW136+CW136+CW132+CW128+CW124+CW119+CW115+CW110+CW105+CW96+CW91+CW85+CW80+CW77+CW70+CW65+CW60+CW51+CW44+CW36+CW30+CW26+CW22+CW18+CW13+CW8</f>
        <v>8262275.4030000009</v>
      </c>
      <c r="CX233" s="36"/>
      <c r="CY233" s="37"/>
      <c r="CZ233" s="384" t="s">
        <v>229</v>
      </c>
      <c r="DA233" s="724">
        <f>SUM(DA8:DA232)</f>
        <v>7713251.8379999995</v>
      </c>
      <c r="DB233" s="384">
        <f>DB227+DB221+DB210+DB205+DB199+DB195+DB190+DB185+DB180+DB175+DB170+DB161+DB157+DB152+DB148+DB143+DB136+DB136+DB132+DB128+DB124+DB119+DB115+DB110+DB105+DB96+DB91+DB85+DB80+DB77+DB70+DB65+DB60+DB51+DB44+DB36+DB30+DB26+DB22+DB18+DB13+DB8</f>
        <v>8635047.5404000003</v>
      </c>
      <c r="DC233" s="36"/>
      <c r="DD233" s="37"/>
      <c r="DE233" s="37"/>
      <c r="DF233" s="384" t="s">
        <v>229</v>
      </c>
      <c r="DG233" s="384">
        <f>DG227+DG221+DG210+DG205+DG199+DG195+DG190+DG185+DG180+DG175+DG170+DG161+DG157+DG152+DG148+DG143+DG136+DG136+DG132+DG128+DG124+DG119+DG115+DG110+DG105+DG96+DG91+DG85+DG80+DG77+DG70+DG65+DG60+DG51+DG44+DG36+DG30+DG26+DG22+DG18+DG13+DG8</f>
        <v>8158693.6698000003</v>
      </c>
      <c r="DH233" s="36"/>
      <c r="DI233" s="37"/>
      <c r="DJ233" s="37"/>
      <c r="DK233" s="384" t="s">
        <v>229</v>
      </c>
      <c r="DL233" s="384">
        <f>DL227+DL221+DL210+DL205+DL199+DL195+DL190+DL185+DL180+DL175+DL170+DL161+DL157+DL152+DL148+DL143+DL136+DL136+DL132+DL128+DL124+DL119+DL115+DL110+DL105+DL96+DL91+DL85+DL80+DL77+DL70+DL65+DL60+DL51+DL44+DL36+DL30+DL26+DL22+DL18+DL13+DL8</f>
        <v>8654406.9748200029</v>
      </c>
      <c r="DM233" s="36"/>
      <c r="DN233" s="37"/>
      <c r="DO233" s="37"/>
      <c r="DP233" s="384" t="s">
        <v>229</v>
      </c>
      <c r="DQ233" s="384">
        <f>DQ227+DQ221+DQ210+DQ205+DQ199+DQ195+DQ190+DQ185+DQ180+DQ175+DQ170+DQ161+DQ157+DQ152+DQ148+DQ143+DQ136+DQ136+DQ132+DQ128+DQ124+DQ119+DQ115+DQ110+DQ105+DQ96+DQ91+DQ85+DQ80+DQ77+DQ70+DQ65+DQ60+DQ51+DQ44+DQ36+DQ30+DQ26+DQ22+DQ18+DQ13+DQ8</f>
        <v>9289819.623399999</v>
      </c>
      <c r="DR233" s="36"/>
      <c r="DS233" s="37"/>
      <c r="DT233" s="37"/>
      <c r="DU233" s="384" t="s">
        <v>229</v>
      </c>
      <c r="DV233" s="384">
        <f>DV227+DV221+DV210+DV205+DV199+DV195+DV190+DV185+DV180+DV175+DV170+DV161+DV157+DV152+DV148+DV143+DV136+DV136+DV132+DV128+DV124+DV119+DV115+DV110+DV105+DV96+DV91+DV85+DV80+DV77+DV70+DV65+DV60+DV51+DV44+DV36+DV30+DV26+DV22+DV18+DV13+DV8</f>
        <v>9136373.5878000017</v>
      </c>
      <c r="DW233" s="36"/>
      <c r="DX233" s="37"/>
      <c r="DY233" s="384" t="s">
        <v>229</v>
      </c>
      <c r="EA233" s="384">
        <f>EA227+EA221+EA210+EA205+EA199+EA195+EA190+EA185+EA180+EA175+EA170+EA161+EA157+EA152+EA148+EA143+EA136+EA136+EA132+EA128+EA124+EA119+EA115+EA110+EA105+EA96+EA91+EA85+EA80+EA77+EA70+EA65+EA60+EA51+EA44+EA36+EA30+EA26+EA22+EA18+EA13+EA8</f>
        <v>9329258.0164000019</v>
      </c>
      <c r="EB233" s="36"/>
      <c r="EC233" s="37"/>
      <c r="ED233" s="37"/>
      <c r="EE233" s="38" t="s">
        <v>229</v>
      </c>
      <c r="EF233" s="384">
        <f>EF227+EF221+EF210+EF205+EF199+EF195+EF190+EF185+EF180+EF175+EF170+EF161+EF157+EF152+EF148+EF143+EF136+EF136+EF132+EF128+EF124+EF119+EF115+EF110+EF105+EF96+EF91+EF85+EF80+EF77+EF70+EF65+EF60+EF51+EF44+EF36+EF30+EF26+EF22+EF18+EF13+EF8</f>
        <v>9859103.9520000033</v>
      </c>
      <c r="EG233" s="36"/>
      <c r="EH233" s="37"/>
      <c r="EI233" s="37"/>
      <c r="EJ233" s="38" t="s">
        <v>229</v>
      </c>
      <c r="EK233" s="384">
        <f>EK227+EK221+EK210+EK205+EK199+EK195+EK190+EK185+EK180+EK175+EK170+EK161+EK157+EK152+EK148+EK143+EK136+EK136+EK132+EK128+EK124+EK119+EK115+EK110+EK105+EK96+EK91+EK85+EK80+EK77+EK70+EK65+EK60+EK51+EK44+EK36+EK30+EK26+EK22+EK18+EK13+EK8</f>
        <v>10047884.705800002</v>
      </c>
      <c r="EL233" s="36"/>
      <c r="EM233" s="37"/>
      <c r="EN233" s="37"/>
      <c r="EO233" s="38" t="s">
        <v>229</v>
      </c>
      <c r="EP233" s="384">
        <f>EP227+EP221+EP210+EP205+EP199+EP195+EP190+EP185+EP180+EP175+EP170+EP161+EP157+EP152+EP148+EP143+EP136+EP136+EP132+EP128+EP124+EP119+EP115+EP110+EP105+EP96+EP91+EP85+EP80+EP77+EP70+EP65+EP60+EP51+EP44+EP36+EP30+EP26+EP22+EP18+EP13+EP8</f>
        <v>9158391.878891997</v>
      </c>
      <c r="EQ233" s="36"/>
      <c r="ER233" s="37"/>
      <c r="ES233" s="37"/>
      <c r="ET233" s="38" t="s">
        <v>229</v>
      </c>
      <c r="EU233" s="384">
        <f>EU227+EU221+EU210+EU205+EU199+EU195+EU190+EU185+EU180+EU175+EU170+EU161+EU157+EU152+EU148+EU143+EU136+EU136+EU132+EU128+EU124+EU119+EU115+EU110+EU105+EU96+EU91+EU85+EU80+EU77+EU70+EU65+EU60+EU51+EU44+EU36+EU30+EU26+EU22+EU18+EU13+EU8</f>
        <v>7176737.0454000002</v>
      </c>
      <c r="EV233" s="36"/>
      <c r="EW233" s="37"/>
      <c r="EX233" s="37"/>
      <c r="EY233" s="38" t="s">
        <v>229</v>
      </c>
      <c r="EZ233" s="384">
        <f>EZ227+EZ221+EZ210+EZ205+EZ199+EZ195+EZ190+EZ185+EZ180+EZ175+EZ170+EZ161+EZ157+EZ152+EZ148+EZ143+EZ136+EZ136+EZ132+EZ128+EZ124+EZ119+EZ115+EZ110+EZ105+EZ96+EZ91+EZ85+EZ80+EZ77+EZ70+EZ65+EZ60+EZ51+EZ44+EZ36+EZ30+EZ26+EZ22+EZ18+EZ13+EZ8</f>
        <v>8339439.8119999999</v>
      </c>
      <c r="FA233" s="36"/>
      <c r="FB233" s="37"/>
      <c r="FC233" s="38" t="s">
        <v>229</v>
      </c>
      <c r="FD233" s="1456">
        <f>SUM(FD8:FD230)</f>
        <v>5218023.0299999993</v>
      </c>
      <c r="FE233" s="384">
        <f>FE227+FE221+FE210+FE205+FE199+FE195+FE190+FE185+FE180+FE175+FE170+FE161+FE157+FE152+FE148+FE143+FE136+FE136+FE132+FE128+FE124+FE119+FE115+FE110+FE105+FE96+FE91+FE85+FE80+FE77+FE70+FE65+FE60+FE51+FE44+FE36+FE30+FE26+FE22+FE18+FE13+FE8</f>
        <v>8193672.0866880016</v>
      </c>
      <c r="FF233" s="36"/>
      <c r="FG233" s="37"/>
      <c r="FH233" s="38" t="s">
        <v>229</v>
      </c>
      <c r="FI233" s="1456">
        <f>SUM(FI8:FI232)</f>
        <v>5017833.6220000004</v>
      </c>
      <c r="FJ233" s="384">
        <f>FJ227+FJ221+FJ210+FJ205+FJ199+FJ195+FJ190+FJ185+FJ180+FJ175+FJ170+FJ161+FJ157+FJ152+FJ148+FJ143+FJ136+FJ136+FJ132+FJ128+FJ124+FJ119+FJ115+FJ110+FJ105+FJ96+FJ91+FJ85+FJ80+FJ77+FJ70+FJ65+FJ60+FJ51+FJ44+FJ36+FJ30+FJ26+FJ22+FJ18+FJ13+FJ8</f>
        <v>9403886.0373679977</v>
      </c>
      <c r="FK233" s="36"/>
      <c r="FL233" s="37"/>
      <c r="FN233" s="38" t="s">
        <v>229</v>
      </c>
      <c r="FO233" s="384">
        <f>FO227+FO221+FO210+FO205+FO199+FO195+FO190+FO185+FO180+FO175+FO170+FO161+FO157+FO152+FO148+FO143+FO136+FO136+FO132+FO128+FO124+FO119+FO115+FO110+FO105+FO96+FO91+FO85+FO80+FO77+FO70+FO65+FO60+FO51+FO44+FO36+FO30+FO26+FO22+FO18+FO13+FO8</f>
        <v>9892856.3740000017</v>
      </c>
      <c r="FP233" s="36"/>
      <c r="FQ233" s="37"/>
      <c r="FR233" s="37"/>
      <c r="FS233" s="38" t="s">
        <v>229</v>
      </c>
      <c r="FT233" s="384">
        <f>FT227+FT221+FT210+FT205+FT199+FT195+FT190+FT185+FT180+FT175+FT170+FT161+FT157+FT152+FT148+FT143+FT136+FT136+FT132+FT128+FT124+FT119+FT115+FT110+FT105+FT96+FT91+FT85+FT80+FT77+FT70+FT65+FT60+FT51+FT44+FT36+FT30+FT26+FT22+FT18+FT13+FT8</f>
        <v>8533123.1478240006</v>
      </c>
      <c r="FU233" s="36"/>
      <c r="FV233" s="37"/>
      <c r="FW233" s="37"/>
      <c r="FX233" s="38" t="s">
        <v>229</v>
      </c>
      <c r="FY233" s="384">
        <f>FY227+FY221+FY210+FY205+FY199+FY195+FY190+FY185+FY180+FY175+FY170+FY161+FY157+FY152+FY148+FY143+FY136+FY136+FY132+FY128+FY124+FY119+FY115+FY110+FY105+FY96+FY91+FY85+FY80+FY77+FY70+FY65+FY60+FY51+FY44+FY36+FY30+FY26+FY22+FY18+FY13+FY8</f>
        <v>9431905.1012000013</v>
      </c>
      <c r="FZ233" s="36"/>
      <c r="GA233" s="37"/>
      <c r="GB233" s="37"/>
      <c r="GC233" s="38" t="s">
        <v>229</v>
      </c>
      <c r="GD233" s="384">
        <f>GD227+GD221+GD210+GD205+GD199+GD195+GD190+GD185+GD180+GD175+GD170+GD161+GD157+GD152+GD148+GD143+GD136+GD136+GD132+GD128+GD124+GD119+GD115+GD110+GD105+GD96+GD91+GD85+GD80+GD77+GD70+GD65+GD60+GD51+GD44+GD36+GD30+GD26+GD22+GD18+GD13+GD8</f>
        <v>8219218.6331200004</v>
      </c>
      <c r="GE233" s="36"/>
      <c r="GF233" s="37"/>
      <c r="GG233" s="37"/>
      <c r="GH233" s="38" t="s">
        <v>229</v>
      </c>
      <c r="GI233" s="384">
        <f>GI227+GI221+GI210+GI205+GI199+GI195+GI190+GI185+GI180+GI175+GI170+GI161+GI157+GI152+GI148+GI143+GI136+GI136+GI132+GI128+GI124+GI119+GI115+GI110+GI105+GI96+GI91+GI85+GI80+GI77+GI70+GI65+GI60+GI51+GI44+GI36+GI30+GI26+GI22+GI18+GI13+GI8</f>
        <v>7562256.1205200013</v>
      </c>
      <c r="GJ233" s="280"/>
      <c r="GK233" s="37"/>
      <c r="GL233" s="37"/>
      <c r="GM233" s="38" t="s">
        <v>229</v>
      </c>
      <c r="GN233" s="384">
        <f>GN227+GN221+GN210+GN205+GN199+GN195+GN190+GN185+GN180+GN175+GN170+GN161+GN157+GN152+GN148+GN143+GN136+GN136+GN132+GN128+GN124+GN119+GN115+GN110+GN105+GN96+GN91+GN85+GN80+GN77+GN70+GN65+GN60+GN51+GN44+GN36+GN30+GN26+GN22+GN18+GN13+GN8</f>
        <v>9614494.7190352008</v>
      </c>
      <c r="GO233" s="36"/>
      <c r="GP233" s="37"/>
      <c r="GQ233" s="37"/>
      <c r="GR233" s="38" t="s">
        <v>229</v>
      </c>
      <c r="GS233" s="384">
        <f>GS227+GS221+GS210+GS205+GS199+GS195+GS190+GS185+GS180+GS175+GS170+GS161+GS157+GS152+GS148+GS143+GS136+GS136+GS132+GS128+GS124+GS119+GS115+GS110+GS105+GS96+GS91+GS85+GS80+GS77+GS70+GS65+GS60+GS51+GS44+GS36+GS30+GS26+GS22+GS18+GS13+GS8</f>
        <v>10076069.282400003</v>
      </c>
      <c r="GT233" s="36"/>
      <c r="GU233" s="37"/>
      <c r="GV233" s="37"/>
      <c r="GW233" s="38" t="s">
        <v>229</v>
      </c>
      <c r="GX233" s="384">
        <f>GX227+GX221+GX210+GX205+GX199+GX195+GX190+GX185+GX180+GX175+GX170+GX161+GX157+GX152+GX148+GX143+GX136+GX136+GX132+GX128+GX124+GX119+GX115+GX110+GX105+GX96+GX91+GX85+GX80+GX77+GX70+GX65+GX60+GX51+GX44+GX36+GX30+GX26+GX22+GX18+GX13+GX8</f>
        <v>11154938.543998001</v>
      </c>
      <c r="GY233" s="36"/>
      <c r="GZ233" s="37"/>
      <c r="HA233" s="37"/>
      <c r="HB233" s="38" t="s">
        <v>229</v>
      </c>
      <c r="HC233" s="384">
        <f>HC227+HC221+HC210+HC205+HC199+HC195+HC190+HC185+HC180+HC175+HC170+HC161+HC157+HC152+HC148+HC143+HC136+HC136+HC132+HC128+HC124+HC119+HC115+HC110+HC105+HC96+HC91+HC85+HC80+HC77+HC70+HC65+HC60+HC51+HC44+HC36+HC30+HC26+HC22+HC18+HC13+HC8</f>
        <v>7176737.0454000002</v>
      </c>
      <c r="HD233" s="36"/>
      <c r="HE233" s="37"/>
      <c r="HF233" s="37"/>
      <c r="HG233" s="38" t="s">
        <v>229</v>
      </c>
      <c r="HH233" s="384">
        <f>HH227+HH221+HH210+HH205+HH199+HH195+HH190+HH185+HH180+HH175+HH170+HH161+HH157+HH152+HH148+HH143+HH136+HH136+HH132+HH128+HH124+HH119+HH115+HH110+HH105+HH96+HH91+HH85+HH80+HH77+HH70+HH65+HH60+HH51+HH44+HH36+HH30+HH26+HH22+HH18+HH13+HH8</f>
        <v>8339439.8119999999</v>
      </c>
      <c r="HI233" s="36"/>
      <c r="HJ233" s="37"/>
      <c r="HK233" s="38" t="s">
        <v>229</v>
      </c>
      <c r="HL233" s="1456">
        <f>SUM(HL8:HL230)</f>
        <v>5218023.0299999993</v>
      </c>
      <c r="HM233" s="384">
        <f>HM227+HM221+HM210+HM205+HM199+HM195+HM190+HM185+HM180+HM175+HM170+HM161+HM157+HM152+HM148+HM143+HM136+HM136+HM132+HM128+HM124+HM119+HM115+HM110+HM105+HM96+HM91+HM85+HM80+HM77+HM70+HM65+HM60+HM51+HM44+HM36+HM30+HM26+HM22+HM18+HM13+HM8</f>
        <v>8175571.7582880007</v>
      </c>
      <c r="HN233" s="36"/>
      <c r="HO233" s="37"/>
      <c r="HP233" s="38" t="s">
        <v>229</v>
      </c>
      <c r="HQ233" s="1456">
        <f>SUM(HQ8:HQ232)</f>
        <v>5017833.6220000004</v>
      </c>
      <c r="HR233" s="384">
        <f>HR227+HR221+HR210+HR205+HR199+HR195+HR190+HR185+HR180+HR175+HR170+HR161+HR157+HR152+HR148+HR143+HR136+HR136+HR132+HR128+HR124+HR119+HR115+HR110+HR105+HR96+HR91+HR85+HR80+HR77+HR70+HR65+HR60+HR51+HR44+HR36+HR30+HR26+HR22+HR18+HR13+HR8</f>
        <v>9126806.6633679979</v>
      </c>
      <c r="HS233" s="36"/>
      <c r="HT233" s="37"/>
      <c r="HU233" s="390"/>
      <c r="HV233" s="38" t="s">
        <v>229</v>
      </c>
      <c r="HW233" s="384">
        <f>HW227+HW221+HW210+HW205+HW199+HW195+HW190+HW185+HW180+HW175+HW170+HW161+HW157+HW152+HW148+HW143+HW136+HW136+HW132+HW128+HW124+HW119+HW115+HW110+HW105+HW96+HW91+HW85+HW80+HW77+HW70+HW65+HW60+HW51+HW44+HW36+HW30+HW26+HW22+HW18+HW13+HW8</f>
        <v>9878428.4220000021</v>
      </c>
      <c r="HX233" s="36"/>
      <c r="HY233" s="37"/>
      <c r="HZ233" s="37"/>
      <c r="IA233" s="38" t="s">
        <v>229</v>
      </c>
      <c r="IB233" s="384">
        <f>IB227+IB221+IB210+IB205+IB199+IB195+IB190+IB185+IB180+IB175+IB170+IB161+IB157+IB152+IB148+IB143+IB136+IB136+IB132+IB128+IB124+IB119+IB115+IB110+IB105+IB96+IB91+IB85+IB80+IB77+IB70+IB65+IB60+IB51+IB44+IB36+IB30+IB26+IB22+IB18+IB13+IB8</f>
        <v>8516484.7678239997</v>
      </c>
      <c r="IC233" s="36"/>
      <c r="ID233" s="37"/>
      <c r="IE233" s="37"/>
      <c r="IF233" s="38" t="s">
        <v>229</v>
      </c>
      <c r="IG233" s="384">
        <f>IG227+IG221+IG210+IG205+IG199+IG195+IG190+IG185+IG180+IG175+IG170+IG161+IG157+IG152+IG148+IG143+IG136+IG136+IG132+IG128+IG124+IG119+IG115+IG110+IG105+IG96+IG91+IG85+IG80+IG77+IG70+IG65+IG60+IG51+IG44+IG36+IG30+IG26+IG22+IG18+IG13+IG8</f>
        <v>9201158.8118000012</v>
      </c>
      <c r="IH233" s="36"/>
      <c r="II233" s="37"/>
      <c r="IJ233" s="37"/>
      <c r="IK233" s="38" t="s">
        <v>229</v>
      </c>
      <c r="IL233" s="384">
        <f>IL227+IL221+IL210+IL205+IL199+IL195+IL190+IL185+IL180+IL175+IL170+IL161+IL157+IL152+IL148+IL143+IL136+IL136+IL132+IL128+IL124+IL119+IL115+IL110+IL105+IL96+IL91+IL85+IL80+IL77+IL70+IL65+IL60+IL51+IL44+IL36+IL30+IL26+IL22+IL18+IL13+IL8</f>
        <v>4397508.4334000004</v>
      </c>
      <c r="IM233" s="36"/>
      <c r="IN233" s="37"/>
      <c r="IO233" s="37"/>
      <c r="IP233" s="38" t="s">
        <v>229</v>
      </c>
      <c r="IQ233" s="384">
        <f>IQ227+IQ221+IQ210+IQ205+IQ199+IQ195+IQ190+IQ185+IQ180+IQ175+IQ170+IQ161+IQ157+IQ152+IQ148+IQ143+IQ136+IQ136+IQ132+IQ128+IQ124+IQ119+IQ115+IQ110+IQ105+IQ96+IQ91+IQ85+IQ80+IQ77+IQ70+IQ65+IQ60+IQ51+IQ44+IQ36+IQ30+IQ26+IQ22+IQ18+IQ13+IQ8</f>
        <v>4065652.0664000004</v>
      </c>
    </row>
    <row r="234" spans="1:251" ht="15" customHeight="1" thickBot="1">
      <c r="B234" s="215"/>
      <c r="C234" s="215"/>
      <c r="D234" s="45"/>
      <c r="E234" s="216"/>
      <c r="F234" s="22"/>
      <c r="G234" s="103"/>
      <c r="H234" s="57"/>
      <c r="I234" s="57"/>
      <c r="J234" s="56"/>
      <c r="K234" s="9"/>
      <c r="L234" s="103"/>
      <c r="M234" s="57"/>
      <c r="N234" s="57"/>
      <c r="O234" s="56"/>
      <c r="P234" s="9"/>
      <c r="Q234" s="103"/>
      <c r="R234" s="57"/>
      <c r="S234" s="57"/>
      <c r="T234" s="56"/>
      <c r="U234" s="9"/>
      <c r="V234" s="47"/>
      <c r="W234" s="57"/>
      <c r="X234" s="57"/>
      <c r="Y234" s="404" t="s">
        <v>230</v>
      </c>
      <c r="Z234" s="407">
        <f>Z228+Z222+Z211+Z206+Z200+Z196+Z191+Z186+Z181+Z176+Z171+Z162+Z158+Z153+Z149+Z144+Z139+Z139+Z133+Z129+Z125+Z120+Z116+Z111+Z106+Z97+Z92+Z86+Z81+Z78+Z71+Z66+Z61+Z52+Z45+Z37+Z31+Z27+Z23+Z19+Z14+Z9</f>
        <v>5283260.6024000011</v>
      </c>
      <c r="AA234" s="46"/>
      <c r="AB234" s="57"/>
      <c r="AC234" s="57"/>
      <c r="AD234" s="404" t="s">
        <v>230</v>
      </c>
      <c r="AE234" s="407">
        <f>AE228+AE222+AE211+AE206+AE200+AE196+AE191+AE186+AE181+AE176+AE171+AE162+AE158+AE153+AE149+AE144+AE139+AE139+AE133+AE129+AE125+AE120+AE116+AE111+AE106+AE97+AE92+AE86+AE81+AE78+AE71+AE66+AE61+AE52+AE45+AE37+AE31+AE27+AE23+AE19+AE14+AE9</f>
        <v>4511208.0759999994</v>
      </c>
      <c r="AF234" s="46"/>
      <c r="AG234" s="57"/>
      <c r="AH234" s="57"/>
      <c r="AI234" s="429" t="s">
        <v>230</v>
      </c>
      <c r="AJ234" s="430">
        <f>AJ228+AJ222+AJ211+AJ206+AJ200+AJ196+AJ191+AJ186+AJ181+AJ176+AJ171+AJ162+AJ158+AJ153+AJ149+AJ144+AJ139+AJ139+AJ133+AJ129+AJ125+AJ120+AJ116+AJ111+AJ106+AJ97+AJ92+AJ86+AJ81+AJ78+AJ71+AJ66+AJ61+AJ52+AJ45+AJ37+AJ31+AJ27+AJ23+AJ19+AJ14+AJ9</f>
        <v>5843843.5940000005</v>
      </c>
      <c r="AK234" s="46"/>
      <c r="AL234" s="57"/>
      <c r="AM234" s="57"/>
      <c r="AN234" s="404" t="s">
        <v>230</v>
      </c>
      <c r="AO234" s="430">
        <f>AO228+AO222+AO211+AO206+AO200+AO196+AO191+AO186+AO181+AO176+AO171+AO162+AO158+AO153+AO149+AO144+AO139+AO139+AO133+AO129+AO125+AO120+AO116+AO111+AO106+AO97+AO92+AO86+AO81+AO78+AO71+AO66+AO61+AO52+AO45+AO37+AO31+AO27+AO23+AO19+AO14+AO9</f>
        <v>6554071.7680000002</v>
      </c>
      <c r="AP234" s="46"/>
      <c r="AQ234" s="57"/>
      <c r="AR234" s="57"/>
      <c r="AS234" s="404" t="s">
        <v>230</v>
      </c>
      <c r="AT234" s="407">
        <f>AT228+AT222+AT211+AT206+AT200+AT196+AT191+AT186+AT181+AT176+AT171+AT162+AT158+AT153+AT149+AT144+AT139+AT139+AT133+AT129+AT125+AT120+AT116+AT111+AT106+AT97+AT92+AT86+AT81+AT78+AT71+AT66+AT61+AT52+AT45+AT37+AT31+AT27+AT23+AT19+AT14+AT9</f>
        <v>6642059.6760000009</v>
      </c>
      <c r="AU234" s="46"/>
      <c r="AV234" s="57"/>
      <c r="AW234" s="57"/>
      <c r="AX234" s="404" t="s">
        <v>230</v>
      </c>
      <c r="AY234" s="407">
        <f>AY228+AY222+AY211+AY206+AY200+AY196+AY191+AY186+AY181+AY176+AY171+AY162+AY158+AY153+AY149+AY144+AY139+AY139+AY133+AY129+AY125+AY120+AY116+AY111+AY106+AY97+AY92+AY86+AY81+AY78+AY71+AY66+AY61+AY52+AY45+AY37+AY31+AY27+AY23+AY19+AY14+AY9</f>
        <v>7660140.3959999988</v>
      </c>
      <c r="AZ234" s="46"/>
      <c r="BA234" s="57"/>
      <c r="BB234" s="57"/>
      <c r="BC234" s="404" t="s">
        <v>230</v>
      </c>
      <c r="BD234" s="407">
        <f>BD228+BD222+BD211+BD206+BD200+BD196+BD191+BD186+BD181+BD176+BD171+BD162+BD158+BD153+BD149+BD144+BD139+BD139+BD133+BD129+BD125+BD120+BD116+BD111+BD106+BD97+BD92+BD86+BD81+BD78+BD71+BD66+BD61+BD52+BD45+BD37+BD31+BD27+BD23+BD19+BD14+BD9</f>
        <v>7027560.1520000016</v>
      </c>
      <c r="BE234" s="46"/>
      <c r="BF234" s="57"/>
      <c r="BG234" s="57"/>
      <c r="BH234" s="404" t="s">
        <v>230</v>
      </c>
      <c r="BI234" s="407">
        <f>BI228+BI222+BI211+BI206+BI200+BI196+BI191+BI186+BI181+BI176+BI171+BI162+BI158+BI153+BI149+BI144+BI139+BI139+BI133+BI129+BI125+BI120+BI116+BI111+BI106+BI97+BI92+BI86+BI81+BI78+BI71+BI66+BI61+BI52+BI45+BI37+BI31+BI27+BI23+BI19+BI14+BI9</f>
        <v>6341201.2940000016</v>
      </c>
      <c r="BJ234" s="46"/>
      <c r="BK234" s="57"/>
      <c r="BL234" s="57"/>
      <c r="BM234" s="404" t="s">
        <v>230</v>
      </c>
      <c r="BN234" s="407">
        <f>BN228+BN222+BN211+BN206+BN200+BN196+BN191+BN186+BN181+BN176+BN171+BN162+BN158+BN153+BN149+BN144+BN139+BN139+BN133+BN129+BN125+BN120+BN116+BN111+BN106+BN97+BN92+BN86+BN81+BN78+BN71+BN66+BN61+BN52+BN45+BN37+BN31+BN27+BN23+BN19+BN14+BN9</f>
        <v>7130956.9579999987</v>
      </c>
      <c r="BO234" s="46"/>
      <c r="BP234" s="57"/>
      <c r="BQ234" s="57"/>
      <c r="BR234" s="404" t="s">
        <v>230</v>
      </c>
      <c r="BS234" s="407">
        <f>BS228+BS222+BS211+BS206+BS200+BS196+BS191+BS186+BS181+BS176+BS171+BS162+BS158+BS153+BS149+BS144+BS139+BS139+BS133+BS129+BS125+BS120+BS116+BS111+BS106+BS97+BS92+BS86+BS81+BS78+BS71+BS66+BS61+BS52+BS45+BS37+BS31+BS27+BS23+BS19+BS14+BS9</f>
        <v>7512822.1180000007</v>
      </c>
      <c r="BT234" s="46"/>
      <c r="BU234" s="57"/>
      <c r="BV234" s="57"/>
      <c r="BW234" s="404" t="s">
        <v>230</v>
      </c>
      <c r="BX234" s="407">
        <f>BX228+BX222+BX211+BX206+BX200+BX196+BX191+BX186+BX181+BX176+BX171+BX162+BX158+BX153+BX149+BX144+BX139+BX139+BX133+BX129+BX125+BX120+BX116+BX111+BX106+BX97+BX92+BX86+BX81+BX78+BX71+BX66+BX61+BX52+BX45+BX37+BX31+BX27+BX23+BX19+BX14+BX9</f>
        <v>7242874.5379999997</v>
      </c>
      <c r="BY234" s="46"/>
      <c r="BZ234" s="57"/>
      <c r="CA234" s="57"/>
      <c r="CB234" s="404" t="s">
        <v>230</v>
      </c>
      <c r="CC234" s="407">
        <f>CC228+CC222+CC211+CC206+CC200+CC196+CC191+CC186+CC181+CC176+CC171+CC162+CC158+CC153+CC149+CC144+CC139+CC139+CC133+CC129+CC125+CC120+CC116+CC111+CC106+CC97+CC92+CC86+CC81+CC78+CC71+CC66+CC61+CC52+CC45+CC37+CC31+CC27+CC23+CC19+CC14+CC9</f>
        <v>6206582.5839999998</v>
      </c>
      <c r="CD234" s="46"/>
      <c r="CE234" s="57"/>
      <c r="CF234" s="57"/>
      <c r="CG234" s="404" t="s">
        <v>230</v>
      </c>
      <c r="CH234" s="407">
        <f>CH228+CH222+CH211+CH206+CH200+CH196+CH191+CH186+CH181+CH176+CH171+CH162+CH158+CH153+CH149+CH144+CH139+CH139+CH133+CH129+CH125+CH120+CH116+CH111+CH106+CH97+CH92+CH86+CH81+CH78+CH71+CH66+CH61+CH52+CH45+CH37+CH31+CH27+CH23+CH19+CH14+CH9</f>
        <v>5900867.9519999996</v>
      </c>
      <c r="CI234" s="46"/>
      <c r="CJ234" s="57"/>
      <c r="CK234" s="57"/>
      <c r="CL234" s="404" t="s">
        <v>230</v>
      </c>
      <c r="CM234" s="407">
        <f>CM228+CM222+CM211+CM206+CM200+CM196+CM191+CM186+CM181+CM176+CM171+CM162+CM158+CM153+CM149+CM144+CM139+CM139+CM133+CM129+CM125+CM120+CM116+CM111+CM106+CM97+CM92+CM86+CM81+CM78+CM71+CM66+CM61+CM52+CM45+CM37+CM31+CM27+CM23+CM19+CM14+CM9</f>
        <v>5633168.4640000006</v>
      </c>
      <c r="CN234" s="46"/>
      <c r="CO234" s="57"/>
      <c r="CP234" s="57"/>
      <c r="CQ234" s="404" t="s">
        <v>230</v>
      </c>
      <c r="CR234" s="407">
        <f>CR228+CR222+CR211+CR206+CR200+CR196+CR191+CR186+CR181+CR176+CR171+CR162+CR158+CR153+CR149+CR144+CR139+CR139+CR133+CR129+CR125+CR120+CR116+CR111+CR106+CR97+CR92+CR86+CR81+CR78+CR71+CR66+CR61+CR52+CR45+CR37+CR31+CR27+CR23+CR19+CR14+CR9</f>
        <v>6683181.358</v>
      </c>
      <c r="CS234" s="46"/>
      <c r="CT234" s="57"/>
      <c r="CU234" s="404" t="s">
        <v>230</v>
      </c>
      <c r="CW234" s="407">
        <f>CW228+CW222+CW211+CW206+CW200+CW196+CW191+CW186+CW181+CW176+CW171+CW162+CW158+CW153+CW149+CW144+CW139+CW139+CW133+CW129+CW125+CW120+CW116+CW111+CW106+CW97+CW92+CW86+CW81+CW78+CW71+CW66+CW61+CW52+CW45+CW37+CW31+CW27+CW23+CW19+CW14+CW9</f>
        <v>7632620.1759999972</v>
      </c>
      <c r="CX234" s="46"/>
      <c r="CY234" s="57"/>
      <c r="CZ234" s="404" t="s">
        <v>230</v>
      </c>
      <c r="DB234" s="407">
        <f>DB228+DB222+DB211+DB206+DB200+DB196+DB191+DB186+DB181+DB176+DB171+DB162+DB158+DB153+DB149+DB144+DB139+DB139+DB133+DB129+DB125+DB120+DB116+DB111+DB106+DB97+DB92+DB86+DB81+DB78+DB71+DB66+DB61+DB52+DB45+DB37+DB31+DB27+DB23+DB19+DB14+DB9</f>
        <v>7984486.608</v>
      </c>
      <c r="DC234" s="46"/>
      <c r="DD234" s="57"/>
      <c r="DE234" s="57"/>
      <c r="DF234" s="404" t="s">
        <v>230</v>
      </c>
      <c r="DG234" s="407">
        <f>DG228+DG222+DG211+DG206+DG200+DG196+DG191+DG186+DG181+DG176+DG171+DG162+DG158+DG153+DG149+DG144+DG139+DG139+DG133+DG129+DG125+DG120+DG116+DG111+DG106+DG97+DG92+DG86+DG81+DG78+DG71+DG66+DG61+DG52+DG45+DG37+DG31+DG27+DG23+DG19+DG14+DG9</f>
        <v>7568051.7319999998</v>
      </c>
      <c r="DH234" s="46"/>
      <c r="DI234" s="57"/>
      <c r="DJ234" s="57"/>
      <c r="DK234" s="404" t="s">
        <v>230</v>
      </c>
      <c r="DL234" s="407">
        <f>DL228+DL222+DL211+DL206+DL200+DL196+DL191+DL186+DL181+DL176+DL171+DL162+DL158+DL153+DL149+DL144+DL139+DL139+DL133+DL129+DL125+DL120+DL116+DL111+DL106+DL97+DL92+DL86+DL81+DL78+DL71+DL66+DL61+DL52+DL45+DL37+DL31+DL27+DL23+DL19+DL14+DL9</f>
        <v>7991395.1881999988</v>
      </c>
      <c r="DM234" s="46"/>
      <c r="DN234" s="57"/>
      <c r="DO234" s="57"/>
      <c r="DP234" s="404" t="s">
        <v>230</v>
      </c>
      <c r="DQ234" s="407">
        <f>DQ228+DQ222+DQ211+DQ206+DQ200+DQ196+DQ191+DQ186+DQ181+DQ176+DQ171+DQ162+DQ158+DQ153+DQ149+DQ144+DQ139+DQ139+DQ133+DQ129+DQ125+DQ120+DQ116+DQ111+DQ106+DQ97+DQ92+DQ86+DQ81+DQ78+DQ71+DQ66+DQ61+DQ52+DQ45+DQ37+DQ31+DQ27+DQ23+DQ19+DQ14+DQ9</f>
        <v>8576680.3880000021</v>
      </c>
      <c r="DR234" s="46"/>
      <c r="DS234" s="57"/>
      <c r="DT234" s="57"/>
      <c r="DU234" s="404" t="s">
        <v>230</v>
      </c>
      <c r="DV234" s="407">
        <f>DV228+DV222+DV211+DV206+DV200+DV196+DV191+DV186+DV181+DV176+DV171+DV162+DV158+DV153+DV149+DV144+DV139+DV139+DV133+DV129+DV125+DV120+DV116+DV111+DV106+DV97+DV92+DV86+DV81+DV78+DV71+DV66+DV61+DV52+DV45+DV37+DV31+DV27+DV23+DV19+DV14+DV9</f>
        <v>8437239.1820000038</v>
      </c>
      <c r="DW234" s="46"/>
      <c r="DX234" s="57"/>
      <c r="DY234" s="404" t="s">
        <v>230</v>
      </c>
      <c r="DZ234" s="407">
        <f>SUM(DZ8:DZ233)</f>
        <v>4850417.3570000008</v>
      </c>
      <c r="EA234" s="407">
        <f>EA228+EA222+EA211+EA206+EA200+EA196+EA191+EA186+EA181+EA176+EA171+EA162+EA158+EA153+EA149+EA144+EA139+EA139+EA133+EA129+EA125+EA120+EA116+EA111+EA106+EA97+EA92+EA86+EA81+EA78+EA71+EA66+EA61+EA52+EA45+EA37+EA31+EA27+EA23+EA19+EA14+EA9</f>
        <v>8609547.3960000016</v>
      </c>
      <c r="EB234" s="46"/>
      <c r="EC234" s="57"/>
      <c r="ED234" s="57"/>
      <c r="EE234" s="56" t="s">
        <v>230</v>
      </c>
      <c r="EF234" s="407">
        <f>EF228+EF222+EF211+EF206+EF200+EF196+EF191+EF186+EF181+EF176+EF171+EF162+EF158+EF153+EF149+EF144+EF139+EF139+EF133+EF129+EF125+EF120+EF116+EF111+EF106+EF97+EF92+EF86+EF81+EF78+EF71+EF66+EF61+EF52+EF45+EF37+EF31+EF27+EF23+EF19+EF14+EF9</f>
        <v>9210241.2519999985</v>
      </c>
      <c r="EG234" s="46"/>
      <c r="EH234" s="57"/>
      <c r="EI234" s="57"/>
      <c r="EJ234" s="56" t="s">
        <v>230</v>
      </c>
      <c r="EK234" s="407">
        <f>EK228+EK222+EK211+EK206+EK200+EK196+EK191+EK186+EK181+EK176+EK171+EK162+EK158+EK153+EK149+EK144+EK139+EK139+EK133+EK129+EK125+EK120+EK116+EK111+EK106+EK97+EK92+EK86+EK81+EK78+EK71+EK66+EK61+EK52+EK45+EK37+EK31+EK27+EK23+EK19+EK14+EK9</f>
        <v>9234801.2479999997</v>
      </c>
      <c r="EL234" s="46"/>
      <c r="EM234" s="57"/>
      <c r="EN234" s="57"/>
      <c r="EO234" s="56" t="s">
        <v>230</v>
      </c>
      <c r="EP234" s="407">
        <f>EP228+EP222+EP211+EP206+EP200+EP196+EP191+EP186+EP181+EP176+EP171+EP162+EP158+EP153+EP149+EP144+EP139+EP139+EP133+EP129+EP125+EP120+EP116+EP111+EP106+EP97+EP92+EP86+EP81+EP78+EP71+EP66+EP61+EP52+EP45+EP37+EP31+EP27+EP23+EP19+EP14+EP9</f>
        <v>8425504.6257199999</v>
      </c>
      <c r="EQ234" s="46"/>
      <c r="ER234" s="57"/>
      <c r="ES234" s="57"/>
      <c r="ET234" s="56" t="s">
        <v>230</v>
      </c>
      <c r="EU234" s="407">
        <f>EU228+EU222+EU211+EU206+EU200+EU196+EU191+EU186+EU181+EU176+EU171+EU162+EU158+EU153+EU149+EU144+EU139+EU139+EU133+EU129+EU125+EU120+EU116+EU111+EU106+EU97+EU92+EU86+EU81+EU78+EU71+EU66+EU61+EU52+EU45+EU37+EU31+EU27+EU23+EU19+EU14+EU9</f>
        <v>6636080.1519999988</v>
      </c>
      <c r="EV234" s="46"/>
      <c r="EW234" s="57"/>
      <c r="EX234" s="57"/>
      <c r="EY234" s="56" t="s">
        <v>230</v>
      </c>
      <c r="EZ234" s="407">
        <f>EZ228+EZ222+EZ211+EZ206+EZ200+EZ196+EZ191+EZ186+EZ181+EZ176+EZ171+EZ162+EZ158+EZ153+EZ149+EZ144+EZ139+EZ139+EZ133+EZ129+EZ125+EZ120+EZ116+EZ111+EZ106+EZ97+EZ92+EZ86+EZ81+EZ78+EZ71+EZ66+EZ61+EZ52+EZ45+EZ37+EZ31+EZ27+EZ23+EZ19+EZ14+EZ9</f>
        <v>7697568.9379999982</v>
      </c>
      <c r="FA234" s="46"/>
      <c r="FB234" s="57"/>
      <c r="FC234" s="56" t="s">
        <v>230</v>
      </c>
      <c r="FE234" s="407">
        <f>FE228+FE222+FE211+FE206+FE200+FE196+FE191+FE186+FE181+FE176+FE171+FE162+FE158+FE153+FE149+FE144+FE139+FE139+FE133+FE129+FE125+FE120+FE116+FE111+FE106+FE97+FE92+FE86+FE81+FE78+FE71+FE66+FE61+FE52+FE45+FE37+FE31+FE27+FE23+FE19+FE14+FE9</f>
        <v>7574437.5340800006</v>
      </c>
      <c r="FF234" s="46"/>
      <c r="FG234" s="57"/>
      <c r="FH234" s="56" t="s">
        <v>230</v>
      </c>
      <c r="FJ234" s="407">
        <f>FJ228+FJ222+FJ211+FJ206+FJ200+FJ196+FJ191+FJ186+FJ181+FJ176+FJ171+FJ162+FJ158+FJ153+FJ149+FJ144+FJ139+FJ139+FJ133+FJ129+FJ125+FJ120+FJ116+FJ111+FJ106+FJ97+FJ92+FJ86+FJ81+FJ78+FJ71+FJ66+FJ61+FJ52+FJ45+FJ37+FJ31+FJ27+FJ23+FJ19+FJ14+FJ9</f>
        <v>8703227.6668800004</v>
      </c>
      <c r="FK234" s="46"/>
      <c r="FL234" s="57"/>
      <c r="FM234" s="57"/>
      <c r="FN234" s="56" t="s">
        <v>230</v>
      </c>
      <c r="FO234" s="407">
        <f>FO56+FO228+FO217+FO222+FO211+FO206+FO200+FO196+FO191+FO186+FO181+FO176+FO171+FO162+FO158+FO153+FO149+FO144+FO139+FO139+FO133+FO129+FO125+FO120+FO116+FO111+FO106+FO97+FO92+FO86+FO81+FO78+FO71+FO66+FO61+FO52+FO45+FO37+FO31+FO27+FO23+FO19+FO14+FO9</f>
        <v>9671501.4439999983</v>
      </c>
      <c r="FP234" s="46"/>
      <c r="FQ234" s="57"/>
      <c r="FR234" s="57"/>
      <c r="FS234" s="56" t="s">
        <v>230</v>
      </c>
      <c r="FT234" s="407">
        <f>FT228+FT222+FT211+FT206+FT200+FT196+FT191+FT186+FT181+FT176+FT171+FT162+FT158+FT153+FT149+FT144+FT139+FT139+FT133+FT129+FT125+FT120+FT116+FT111+FT106+FT97+FT92+FT86+FT81+FT78+FT71+FT66+FT61+FT52+FT45+FT37+FT31+FT27+FT23+FT19+FT14+FT9</f>
        <v>7896730.0478400001</v>
      </c>
      <c r="FU234" s="46"/>
      <c r="FV234" s="57"/>
      <c r="FW234" s="57"/>
      <c r="FX234" s="56" t="s">
        <v>230</v>
      </c>
      <c r="FY234" s="407">
        <f>FY228+FY222+FY211+FY206+FY200+FY196+FY191+FY186+FY181+FY176+FY171+FY162+FY158+FY153+FY149+FY144+FY139+FY139+FY133+FY129+FY125+FY120+FY116+FY111+FY106+FY97+FY92+FY86+FY81+FY78+FY71+FY66+FY61+FY52+FY45+FY37+FY31+FY27+FY23+FY19+FY14+FY9</f>
        <v>8724004.1459999997</v>
      </c>
      <c r="FZ234" s="46"/>
      <c r="GA234" s="57"/>
      <c r="GB234" s="57"/>
      <c r="GC234" s="56" t="s">
        <v>230</v>
      </c>
      <c r="GD234" s="407">
        <f>GD228+GD222+GD211+GD206+GD200+GD196+GD191+GD186+GD181+GD176+GD171+GD162+GD158+GD153+GD149+GD144+GD139+GD139+GD133+GD129+GD125+GD120+GD116+GD111+GD106+GD97+GD92+GD86+GD81+GD78+GD71+GD66+GD61+GD52+GD45+GD37+GD31+GD27+GD23+GD19+GD14+GD9</f>
        <v>7602004.6232000012</v>
      </c>
      <c r="GE234" s="46"/>
      <c r="GF234" s="57"/>
      <c r="GG234" s="57"/>
      <c r="GH234" s="56" t="s">
        <v>230</v>
      </c>
      <c r="GI234" s="407">
        <f>GI228+GI222+GI211+GI206+GI200+GI196+GI191+GI186+GI181+GI176+GI171+GI162+GI158+GI153+GI149+GI144+GI139+GI139+GI133+GI129+GI125+GI120+GI116+GI111+GI106+GI97+GI92+GI86+GI81+GI78+GI71+GI66+GI61+GI52+GI45+GI37+GI31+GI27+GI23+GI19+GI14+GI9</f>
        <v>6863615.333200003</v>
      </c>
      <c r="GJ234" s="97"/>
      <c r="GK234" s="57"/>
      <c r="GL234" s="57"/>
      <c r="GM234" s="56" t="s">
        <v>230</v>
      </c>
      <c r="GN234" s="407">
        <f>GN228+GN222+GN211+GN206+GN200+GN196+GN191+GN186+GN181+GN176+GN171+GN162+GN158+GN153+GN149+GN144+GN139+GN139+GN133+GN129+GN125+GN120+GN116+GN111+GN106+GN97+GN92+GN86+GN81+GN78+GN71+GN66+GN61+GN52+GN45+GN37+GN31+GN27+GN23+GN19+GN14+GN9</f>
        <v>8992428.0520320013</v>
      </c>
      <c r="GO234" s="46"/>
      <c r="GP234" s="57"/>
      <c r="GQ234" s="57"/>
      <c r="GR234" s="56" t="s">
        <v>230</v>
      </c>
      <c r="GS234" s="407">
        <f>GS228+GS222+GS211+GS206+GS200+GS196+GS191+GS186+GS181+GS176+GS171+GS162+GS158+GS153+GS149+GS144+GS139+GS139+GS133+GS129+GS125+GS120+GS116+GS111+GS106+GS97+GS92+GS86+GS81+GS78+GS71+GS66+GS61+GS52+GS45+GS37+GS31+GS27+GS23+GS19+GS14+GS9</f>
        <v>9356659.2400000002</v>
      </c>
      <c r="GT234" s="46"/>
      <c r="GU234" s="57"/>
      <c r="GV234" s="57"/>
      <c r="GW234" s="56" t="s">
        <v>230</v>
      </c>
      <c r="GX234" s="407">
        <f>GX228+GX222+GX211+GX206+GX200+GX196+GX191+GX186+GX181+GX176+GX171+GX162+GX158+GX153+GX149+GX144+GX139+GX139+GX133+GX129+GX125+GX120+GX116+GX111+GX106+GX97+GX92+GX86+GX81+GX78+GX71+GX66+GX61+GX52+GX45+GX37+GX31+GX27+GX23+GX19+GX14+GX9</f>
        <v>10326351.278180001</v>
      </c>
      <c r="GY234" s="46"/>
      <c r="GZ234" s="57"/>
      <c r="HA234" s="57"/>
      <c r="HB234" s="56" t="s">
        <v>230</v>
      </c>
      <c r="HC234" s="407">
        <f>HC228+HC222+HC211+HC206+HC200+HC196+HC191+HC186+HC181+HC176+HC171+HC162+HC158+HC153+HC149+HC144+HC139+HC139+HC133+HC129+HC125+HC120+HC116+HC111+HC106+HC97+HC92+HC86+HC81+HC78+HC71+HC66+HC61+HC52+HC45+HC37+HC31+HC27+HC23+HC19+HC14+HC9</f>
        <v>6636080.1519999988</v>
      </c>
      <c r="HD234" s="46"/>
      <c r="HE234" s="57"/>
      <c r="HF234" s="57"/>
      <c r="HG234" s="56" t="s">
        <v>230</v>
      </c>
      <c r="HH234" s="407">
        <f>HH228+HH222+HH211+HH206+HH200+HH196+HH191+HH186+HH181+HH176+HH171+HH162+HH158+HH153+HH149+HH144+HH139+HH139+HH133+HH129+HH125+HH120+HH116+HH111+HH106+HH97+HH92+HH86+HH81+HH78+HH71+HH66+HH61+HH52+HH45+HH37+HH31+HH27+HH23+HH19+HH14+HH9</f>
        <v>7697568.9379999982</v>
      </c>
      <c r="HI234" s="46"/>
      <c r="HJ234" s="57"/>
      <c r="HK234" s="56" t="s">
        <v>230</v>
      </c>
      <c r="HM234" s="407">
        <f>HM228+HM222+HM211+HM206+HM200+HM196+HM191+HM186+HM181+HM176+HM171+HM162+HM158+HM153+HM149+HM144+HM139+HM139+HM133+HM129+HM125+HM120+HM116+HM111+HM106+HM97+HM92+HM86+HM81+HM78+HM71+HM66+HM61+HM52+HM45+HM37+HM31+HM27+HM23+HM19+HM14+HM9</f>
        <v>7557982.6900800001</v>
      </c>
      <c r="HN234" s="46"/>
      <c r="HO234" s="57"/>
      <c r="HP234" s="56" t="s">
        <v>230</v>
      </c>
      <c r="HR234" s="407">
        <f>HR228+HR222+HR211+HR206+HR200+HR196+HR191+HR186+HR181+HR176+HR171+HR162+HR158+HR153+HR149+HR144+HR139+HR139+HR133+HR129+HR125+HR120+HR116+HR111+HR106+HR97+HR92+HR86+HR81+HR78+HR71+HR66+HR61+HR52+HR45+HR37+HR31+HR27+HR23+HR19+HR14+HR9</f>
        <v>8451337.3268800024</v>
      </c>
      <c r="HS234" s="46"/>
      <c r="HT234" s="57"/>
      <c r="HU234" s="57"/>
      <c r="HV234" s="56" t="s">
        <v>230</v>
      </c>
      <c r="HW234" s="407">
        <f>HW56+HW228+HW217+HW222+HW211+HW206+HW200+HW196+HW191+HW186+HW181+HW176+HW171+HW162+HW158+HW153+HW149+HW144+HW139+HW139+HW133+HW129+HW125+HW120+HW116+HW111+HW106+HW97+HW92+HW86+HW81+HW78+HW71+HW66+HW61+HW52+HW45+HW37+HW31+HW27+HW23+HW19+HW14+HW9</f>
        <v>9658385.123999998</v>
      </c>
      <c r="HX234" s="46"/>
      <c r="HY234" s="57"/>
      <c r="HZ234" s="57"/>
      <c r="IA234" s="56" t="s">
        <v>230</v>
      </c>
      <c r="IB234" s="407">
        <f>IB228+IB222+IB211+IB206+IB200+IB196+IB191+IB186+IB181+IB176+IB171+IB162+IB158+IB153+IB149+IB144+IB139+IB139+IB133+IB129+IB125+IB120+IB116+IB111+IB106+IB97+IB92+IB86+IB81+IB78+IB71+IB66+IB61+IB52+IB45+IB37+IB31+IB27+IB23+IB19+IB14+IB9</f>
        <v>7881604.2478400003</v>
      </c>
      <c r="IC234" s="46"/>
      <c r="ID234" s="57"/>
      <c r="IE234" s="57"/>
      <c r="IF234" s="56" t="s">
        <v>230</v>
      </c>
      <c r="IG234" s="407">
        <f>IG228+IG222+IG211+IG206+IG200+IG196+IG191+IG186+IG181+IG176+IG171+IG162+IG158+IG153+IG149+IG144+IG139+IG139+IG133+IG129+IG125+IG120+IG116+IG111+IG106+IG97+IG92+IG86+IG81+IG78+IG71+IG66+IG61+IG52+IG45+IG37+IG31+IG27+IG23+IG19+IG14+IG9</f>
        <v>8514234.7920000013</v>
      </c>
      <c r="IH234" s="46"/>
      <c r="II234" s="57"/>
      <c r="IJ234" s="57"/>
      <c r="IK234" s="56" t="s">
        <v>230</v>
      </c>
      <c r="IL234" s="407">
        <f>IL228+IL222+IL211+IL206+IL200+IL196+IL191+IL186+IL181+IL176+IL171+IL162+IL158+IL153+IL149+IL144+IL139+IL139+IL133+IL129+IL125+IL120+IL116+IL111+IL106+IL97+IL92+IL86+IL81+IL78+IL71+IL66+IL61+IL52+IL45+IL37+IL31+IL27+IL23+IL19+IL14+IL9</f>
        <v>3976519.1140000005</v>
      </c>
      <c r="IM234" s="46"/>
      <c r="IN234" s="57"/>
      <c r="IO234" s="57"/>
      <c r="IP234" s="56" t="s">
        <v>230</v>
      </c>
      <c r="IQ234" s="407">
        <f>IQ228+IQ222+IQ211+IQ206+IQ200+IQ196+IQ191+IQ186+IQ181+IQ176+IQ171+IQ162+IQ158+IQ153+IQ149+IQ144+IQ139+IQ139+IQ133+IQ129+IQ125+IQ120+IQ116+IQ111+IQ106+IQ97+IQ92+IQ86+IQ81+IQ78+IQ71+IQ66+IQ61+IQ52+IQ45+IQ37+IQ31+IQ27+IQ23+IQ19+IQ14+IQ9</f>
        <v>3693105.1859999988</v>
      </c>
    </row>
    <row r="235" spans="1:251" ht="15" customHeight="1" thickBot="1">
      <c r="B235" s="215"/>
      <c r="C235" s="215"/>
      <c r="D235" s="45"/>
      <c r="E235" s="216"/>
      <c r="F235" s="22"/>
      <c r="G235" s="103"/>
      <c r="H235" s="57"/>
      <c r="I235" s="57"/>
      <c r="J235" s="56"/>
      <c r="K235" s="9"/>
      <c r="L235" s="103"/>
      <c r="M235" s="57"/>
      <c r="N235" s="57"/>
      <c r="O235" s="56"/>
      <c r="P235" s="9"/>
      <c r="Q235" s="103"/>
      <c r="R235" s="57"/>
      <c r="S235" s="57"/>
      <c r="T235" s="56"/>
      <c r="U235" s="9"/>
      <c r="V235" s="47"/>
      <c r="W235" s="57"/>
      <c r="X235" s="57"/>
      <c r="Y235" s="56"/>
      <c r="Z235" s="56"/>
      <c r="AA235" s="46"/>
      <c r="AB235" s="57"/>
      <c r="AC235" s="57"/>
      <c r="AD235" s="56"/>
      <c r="AE235" s="56"/>
      <c r="AF235" s="46"/>
      <c r="AG235" s="57"/>
      <c r="AH235" s="428"/>
      <c r="AI235" s="432" t="s">
        <v>239</v>
      </c>
      <c r="AJ235" s="433">
        <v>6168000</v>
      </c>
      <c r="AK235" s="47"/>
      <c r="AL235" s="57"/>
      <c r="AM235" s="57"/>
      <c r="AN235" s="56"/>
      <c r="AO235" s="433">
        <v>6168000</v>
      </c>
      <c r="AP235" s="46"/>
      <c r="AQ235" s="57"/>
      <c r="AR235" s="57"/>
      <c r="AS235" s="56"/>
      <c r="AU235" s="46"/>
      <c r="AV235" s="57"/>
      <c r="AW235" s="57"/>
      <c r="AX235" s="56"/>
      <c r="AZ235" s="46"/>
      <c r="BA235" s="57"/>
      <c r="BB235" s="57"/>
      <c r="BC235" s="56"/>
      <c r="BE235" s="46"/>
      <c r="BF235" s="57"/>
      <c r="BG235" s="57"/>
      <c r="BH235" s="56"/>
      <c r="BJ235" s="46"/>
      <c r="BK235" s="57"/>
      <c r="BL235" s="57"/>
      <c r="BM235" s="56"/>
      <c r="BO235" s="46"/>
      <c r="BP235" s="57"/>
      <c r="BQ235" s="57"/>
      <c r="BR235" s="56"/>
      <c r="BT235" s="46"/>
      <c r="BU235" s="57"/>
      <c r="BV235" s="57"/>
      <c r="BW235" s="56"/>
      <c r="BY235" s="46"/>
      <c r="BZ235" s="57"/>
      <c r="CA235" s="57"/>
      <c r="CB235" s="56"/>
      <c r="CD235" s="46"/>
      <c r="CE235" s="57"/>
      <c r="CF235" s="57"/>
      <c r="CG235" s="56"/>
      <c r="CI235" s="46"/>
      <c r="CJ235" s="57"/>
      <c r="CK235" s="57"/>
      <c r="CL235" s="56"/>
      <c r="CN235" s="46"/>
      <c r="CO235" s="57"/>
      <c r="CP235" s="57"/>
      <c r="CQ235" s="56"/>
      <c r="CS235" s="46"/>
      <c r="CT235" s="57"/>
      <c r="CU235" s="57"/>
      <c r="CV235" s="56"/>
      <c r="CX235" s="46"/>
      <c r="CY235" s="57"/>
      <c r="CZ235" s="57"/>
      <c r="DA235" s="56"/>
      <c r="DC235" s="46"/>
      <c r="DD235" s="57"/>
      <c r="DE235" s="57"/>
      <c r="DF235" s="56"/>
      <c r="DH235" s="46"/>
      <c r="DI235" s="57"/>
      <c r="DJ235" s="57"/>
      <c r="DK235" s="56"/>
      <c r="DM235" s="46"/>
      <c r="DN235" s="57"/>
      <c r="DO235" s="57"/>
      <c r="DP235" s="56"/>
      <c r="DR235" s="46"/>
      <c r="DS235" s="57"/>
      <c r="DT235" s="57"/>
      <c r="DU235" s="56"/>
      <c r="DW235" s="46"/>
      <c r="DX235" s="57"/>
      <c r="DY235" s="57"/>
      <c r="DZ235" s="56"/>
      <c r="EB235" s="46"/>
      <c r="EC235" s="57"/>
      <c r="ED235" s="57"/>
      <c r="EE235" s="56"/>
      <c r="EG235" s="46"/>
      <c r="EH235" s="57"/>
      <c r="EI235" s="57"/>
      <c r="EJ235" s="56"/>
      <c r="EL235" s="46"/>
      <c r="EM235" s="57"/>
      <c r="EN235" s="57"/>
      <c r="EO235" s="56"/>
      <c r="EQ235" s="46"/>
      <c r="ER235" s="57"/>
      <c r="ES235" s="57"/>
      <c r="ET235" s="56"/>
      <c r="EV235" s="46"/>
      <c r="EW235" s="57"/>
      <c r="EX235" s="57"/>
      <c r="EY235" s="56"/>
      <c r="FA235" s="46"/>
      <c r="FB235" s="57"/>
      <c r="FC235" s="57"/>
      <c r="FD235" s="56"/>
      <c r="FF235" s="46"/>
      <c r="FG235" s="57"/>
      <c r="FH235" s="57"/>
      <c r="FI235" s="56"/>
      <c r="FK235" s="46"/>
      <c r="FL235" s="57"/>
      <c r="FM235" s="57"/>
      <c r="FN235" s="56">
        <f>SUM(FN3:FN232)</f>
        <v>6811061.3640000001</v>
      </c>
      <c r="FP235" s="46"/>
      <c r="FQ235" s="57"/>
      <c r="FR235" s="57"/>
      <c r="FS235" s="56">
        <f>SUM(FS3:FS232)</f>
        <v>7039092.5719999997</v>
      </c>
      <c r="FU235" s="46"/>
      <c r="FV235" s="57"/>
      <c r="FW235" s="57"/>
      <c r="FX235" s="56"/>
      <c r="FZ235" s="46"/>
      <c r="GA235" s="57"/>
      <c r="GB235" s="57"/>
      <c r="GC235" s="56"/>
      <c r="GE235" s="46"/>
      <c r="GF235" s="57"/>
      <c r="GG235" s="57"/>
      <c r="GH235" s="56"/>
      <c r="GJ235" s="97"/>
      <c r="GK235" s="57"/>
      <c r="GL235" s="57"/>
      <c r="GM235" s="56"/>
      <c r="GO235" s="46"/>
      <c r="GP235" s="57"/>
      <c r="GQ235" s="57"/>
      <c r="GR235" s="56"/>
      <c r="GT235" s="46"/>
      <c r="GU235" s="57"/>
      <c r="GV235" s="57"/>
      <c r="GW235" s="56"/>
      <c r="GY235" s="46"/>
      <c r="GZ235" s="57"/>
      <c r="HA235" s="57"/>
      <c r="HB235" s="56"/>
      <c r="HD235" s="46"/>
      <c r="HE235" s="57"/>
      <c r="HF235" s="57"/>
      <c r="HG235" s="56"/>
      <c r="HI235" s="46"/>
      <c r="HJ235" s="57"/>
      <c r="HK235" s="57"/>
      <c r="HL235" s="56"/>
      <c r="HN235" s="46"/>
      <c r="HO235" s="57"/>
      <c r="HP235" s="57"/>
      <c r="HQ235" s="56"/>
      <c r="HS235" s="46"/>
      <c r="HT235" s="57"/>
      <c r="HU235" s="57"/>
      <c r="HV235" s="56">
        <f>SUM(HV3:HV232)</f>
        <v>6811061.3640000001</v>
      </c>
      <c r="HX235" s="46"/>
      <c r="HY235" s="57"/>
      <c r="HZ235" s="57"/>
      <c r="IA235" s="56">
        <f>SUM(IA3:IA232)</f>
        <v>7039092.5719999997</v>
      </c>
      <c r="IC235" s="46"/>
      <c r="ID235" s="57"/>
      <c r="IE235" s="57"/>
      <c r="IF235" s="56"/>
      <c r="IH235" s="46"/>
      <c r="II235" s="57"/>
      <c r="IJ235" s="57"/>
      <c r="IK235" s="56"/>
      <c r="IM235" s="46"/>
      <c r="IN235" s="57"/>
      <c r="IO235" s="57"/>
      <c r="IP235" s="56"/>
    </row>
    <row r="236" spans="1:251" ht="15" customHeight="1">
      <c r="D236" s="154"/>
      <c r="E236" s="154"/>
      <c r="F236" s="154"/>
      <c r="G236" s="154"/>
      <c r="H236" s="154"/>
      <c r="I236" s="154"/>
      <c r="J236" s="154"/>
      <c r="K236" s="329"/>
      <c r="L236" s="334"/>
      <c r="M236" s="235"/>
      <c r="N236" s="235"/>
      <c r="O236" s="235"/>
      <c r="P236" s="335"/>
      <c r="Q236" s="334"/>
      <c r="R236" s="235"/>
      <c r="S236" s="235"/>
      <c r="T236" s="235"/>
      <c r="U236" s="335"/>
      <c r="V236" s="322"/>
      <c r="W236" s="235"/>
      <c r="X236" s="235"/>
      <c r="Y236" s="235"/>
      <c r="Z236" s="235"/>
      <c r="AA236" s="154"/>
      <c r="AB236" s="235"/>
      <c r="AC236" s="235"/>
      <c r="AD236" s="235"/>
      <c r="AE236" s="235"/>
      <c r="AF236" s="154"/>
      <c r="AG236" s="235"/>
      <c r="AH236" s="235"/>
      <c r="AI236" s="389"/>
      <c r="AJ236" s="431">
        <f>AJ235-AJ234</f>
        <v>324156.40599999949</v>
      </c>
      <c r="AK236" s="154"/>
      <c r="AL236" s="235"/>
      <c r="AM236" s="235"/>
      <c r="AN236" s="235"/>
      <c r="AO236" s="431">
        <f>AO235-AO234</f>
        <v>-386071.76800000016</v>
      </c>
      <c r="AP236" s="154"/>
      <c r="AQ236" s="235"/>
      <c r="AR236" s="235"/>
      <c r="AS236" s="235"/>
      <c r="AU236" s="154"/>
      <c r="AV236" s="235"/>
      <c r="AW236" s="235"/>
      <c r="AX236" s="235"/>
      <c r="AZ236" s="154"/>
      <c r="BA236" s="235"/>
      <c r="BB236" s="235"/>
      <c r="BC236" s="235"/>
      <c r="BE236" s="154"/>
      <c r="BF236" s="235"/>
      <c r="BG236" s="235"/>
      <c r="BH236" s="235"/>
      <c r="BJ236" s="154"/>
      <c r="BK236" s="235"/>
      <c r="BL236" s="235"/>
      <c r="BM236" s="235"/>
      <c r="BO236" s="154"/>
      <c r="BP236" s="235"/>
      <c r="BQ236" s="235"/>
      <c r="BR236" s="235"/>
      <c r="BT236" s="154"/>
      <c r="BU236" s="235"/>
      <c r="BV236" s="235"/>
      <c r="BW236" s="235"/>
      <c r="BY236" s="154"/>
      <c r="BZ236" s="235"/>
      <c r="CA236" s="235"/>
      <c r="CB236" s="235"/>
      <c r="CD236" s="154"/>
      <c r="CE236" s="235"/>
      <c r="CF236" s="235"/>
      <c r="CG236" s="235"/>
      <c r="CI236" s="154"/>
      <c r="CJ236" s="235"/>
      <c r="CK236" s="235"/>
      <c r="CL236" s="235"/>
      <c r="CN236" s="154"/>
      <c r="CO236" s="235"/>
      <c r="CP236" s="235"/>
      <c r="CQ236" s="235"/>
      <c r="CS236" s="154"/>
      <c r="CT236" s="235"/>
      <c r="CU236" s="235"/>
      <c r="CV236" s="235"/>
      <c r="CX236" s="154"/>
      <c r="CY236" s="235"/>
      <c r="CZ236" s="235"/>
      <c r="DA236" s="235"/>
      <c r="DC236" s="154"/>
      <c r="DD236" s="235"/>
      <c r="DE236" s="235"/>
      <c r="DF236" s="235"/>
      <c r="DH236" s="154"/>
      <c r="DI236" s="235"/>
      <c r="DJ236" s="235"/>
      <c r="DK236" s="235"/>
      <c r="DM236" s="154"/>
      <c r="DN236" s="235"/>
      <c r="DO236" s="235"/>
      <c r="DP236" s="235"/>
      <c r="DR236" s="154"/>
      <c r="DS236" s="235"/>
      <c r="DT236" s="235"/>
      <c r="DU236" s="235"/>
      <c r="DW236" s="154"/>
      <c r="DX236" s="235"/>
      <c r="DY236" s="235"/>
      <c r="DZ236" s="235"/>
      <c r="EB236" s="154"/>
      <c r="EC236" s="235"/>
      <c r="ED236" s="235"/>
      <c r="EE236" s="235"/>
      <c r="EG236" s="154"/>
      <c r="EH236" s="235"/>
      <c r="EI236" s="235"/>
      <c r="EJ236" s="235"/>
      <c r="EL236" s="154"/>
      <c r="EM236" s="235"/>
      <c r="EN236" s="235"/>
      <c r="EO236" s="235"/>
      <c r="EQ236" s="154"/>
      <c r="ER236" s="235"/>
      <c r="ES236" s="235"/>
      <c r="ET236" s="235"/>
      <c r="EV236" s="154"/>
      <c r="EW236" s="235"/>
      <c r="EX236" s="235"/>
      <c r="EY236" s="235"/>
      <c r="FA236" s="154"/>
      <c r="FB236" s="235"/>
      <c r="FC236" s="235"/>
      <c r="FD236" s="235"/>
      <c r="FF236" s="154"/>
      <c r="FG236" s="235"/>
      <c r="FH236" s="235"/>
      <c r="FI236" s="235"/>
      <c r="FK236" s="154"/>
      <c r="FL236" s="235"/>
      <c r="FM236" s="235"/>
      <c r="FN236" s="235"/>
      <c r="FP236" s="154"/>
      <c r="FQ236" s="235"/>
      <c r="FR236" s="235"/>
      <c r="FS236" s="235"/>
      <c r="FU236" s="154"/>
      <c r="FV236" s="235"/>
      <c r="FW236" s="235"/>
      <c r="FX236" s="235"/>
      <c r="FZ236" s="154"/>
      <c r="GA236" s="235"/>
      <c r="GB236" s="235"/>
      <c r="GC236" s="235"/>
      <c r="GE236" s="154"/>
      <c r="GF236" s="235"/>
      <c r="GG236" s="235"/>
      <c r="GH236" s="235"/>
      <c r="GJ236" s="235"/>
      <c r="GK236" s="235"/>
      <c r="GL236" s="235"/>
      <c r="GM236" s="235"/>
      <c r="GO236" s="154"/>
      <c r="GP236" s="235"/>
      <c r="GQ236" s="235"/>
      <c r="GR236" s="235"/>
      <c r="GT236" s="154"/>
      <c r="GU236" s="235"/>
      <c r="GV236" s="235"/>
      <c r="GW236" s="235"/>
      <c r="GY236" s="154"/>
      <c r="GZ236" s="235"/>
      <c r="HA236" s="235"/>
      <c r="HB236" s="235"/>
      <c r="HD236" s="154"/>
      <c r="HE236" s="235"/>
      <c r="HF236" s="235"/>
      <c r="HG236" s="235"/>
      <c r="HI236" s="154"/>
      <c r="HJ236" s="235"/>
      <c r="HK236" s="235"/>
      <c r="HL236" s="235"/>
      <c r="HN236" s="154"/>
      <c r="HO236" s="235"/>
      <c r="HP236" s="235"/>
      <c r="HQ236" s="235"/>
      <c r="HS236" s="154"/>
      <c r="HT236" s="235"/>
      <c r="HU236" s="235"/>
      <c r="HV236" s="235"/>
      <c r="HX236" s="154"/>
      <c r="HY236" s="235"/>
      <c r="HZ236" s="235"/>
      <c r="IA236" s="235"/>
      <c r="IC236" s="154"/>
      <c r="ID236" s="235"/>
      <c r="IE236" s="235"/>
      <c r="IF236" s="235"/>
      <c r="IH236" s="154"/>
      <c r="II236" s="235"/>
      <c r="IJ236" s="235"/>
      <c r="IK236" s="235"/>
      <c r="IM236" s="154"/>
      <c r="IN236" s="235"/>
      <c r="IO236" s="235"/>
      <c r="IP236" s="235"/>
    </row>
    <row r="237" spans="1:251" ht="15" customHeight="1">
      <c r="B237" s="155"/>
      <c r="C237" s="155"/>
      <c r="D237" s="236"/>
      <c r="E237" s="237"/>
      <c r="F237" s="312"/>
      <c r="G237" s="330"/>
      <c r="H237" s="239"/>
      <c r="I237" s="239"/>
      <c r="J237" s="240"/>
      <c r="K237" s="331"/>
      <c r="L237" s="330"/>
      <c r="M237" s="239"/>
      <c r="N237" s="239"/>
      <c r="O237" s="240"/>
      <c r="P237" s="331"/>
      <c r="Q237" s="330"/>
      <c r="R237" s="239"/>
      <c r="S237" s="239"/>
      <c r="T237" s="240"/>
      <c r="U237" s="331"/>
      <c r="V237" s="323"/>
      <c r="W237" s="239"/>
      <c r="X237" s="239"/>
      <c r="Y237" s="240"/>
      <c r="Z237" s="240"/>
      <c r="AA237" s="238"/>
      <c r="AB237" s="239"/>
      <c r="AC237" s="239"/>
      <c r="AD237" s="240"/>
      <c r="AE237" s="240"/>
      <c r="AF237" s="238"/>
      <c r="AG237" s="239"/>
      <c r="AH237" s="239"/>
      <c r="AI237" s="240"/>
      <c r="AJ237" s="155"/>
      <c r="AK237" s="238"/>
      <c r="AL237" s="239"/>
      <c r="AM237" s="239"/>
      <c r="AN237" s="240"/>
      <c r="AO237" s="155"/>
      <c r="AP237" s="238"/>
      <c r="AQ237" s="239"/>
      <c r="AR237" s="239"/>
      <c r="AS237" s="240"/>
      <c r="AT237" s="155"/>
      <c r="AU237" s="238"/>
      <c r="AV237" s="239"/>
      <c r="AW237" s="239"/>
      <c r="AX237" s="240"/>
      <c r="AY237" s="155"/>
      <c r="AZ237" s="238"/>
      <c r="BA237" s="239"/>
      <c r="BB237" s="239"/>
      <c r="BC237" s="240"/>
      <c r="BD237" s="155"/>
      <c r="BE237" s="238"/>
      <c r="BF237" s="239"/>
      <c r="BG237" s="239"/>
      <c r="BH237" s="240"/>
      <c r="BI237" s="155"/>
      <c r="BJ237" s="238"/>
      <c r="BK237" s="239"/>
      <c r="BL237" s="239"/>
      <c r="BM237" s="240"/>
      <c r="BN237" s="155"/>
      <c r="BO237" s="238"/>
      <c r="BP237" s="239"/>
      <c r="BQ237" s="239"/>
      <c r="BR237" s="240"/>
      <c r="BS237" s="155"/>
      <c r="BT237" s="238"/>
      <c r="BU237" s="239"/>
      <c r="BV237" s="239"/>
      <c r="BW237" s="240"/>
      <c r="BX237" s="155"/>
      <c r="BY237" s="238"/>
      <c r="BZ237" s="239"/>
      <c r="CA237" s="239"/>
      <c r="CB237" s="240"/>
      <c r="CC237" s="155"/>
      <c r="CD237" s="238"/>
      <c r="CE237" s="239"/>
      <c r="CF237" s="239"/>
      <c r="CG237" s="240"/>
      <c r="CH237" s="155"/>
      <c r="CI237" s="238"/>
      <c r="CJ237" s="239"/>
      <c r="CK237" s="239"/>
      <c r="CL237" s="240"/>
      <c r="CM237" s="155"/>
      <c r="CN237" s="238"/>
      <c r="CO237" s="239"/>
      <c r="CP237" s="239"/>
      <c r="CQ237" s="240"/>
      <c r="CR237" s="155"/>
      <c r="CS237" s="238"/>
      <c r="CT237" s="239"/>
      <c r="CU237" s="239"/>
      <c r="CV237" s="240"/>
      <c r="CW237" s="155"/>
      <c r="CX237" s="238"/>
      <c r="CY237" s="239"/>
      <c r="CZ237" s="239"/>
      <c r="DA237" s="240"/>
      <c r="DB237" s="155"/>
      <c r="DC237" s="238"/>
      <c r="DD237" s="239"/>
      <c r="DE237" s="239"/>
      <c r="DF237" s="240"/>
      <c r="DG237" s="155"/>
      <c r="DH237" s="238"/>
      <c r="DI237" s="239"/>
      <c r="DJ237" s="239"/>
      <c r="DK237" s="240"/>
      <c r="DL237" s="155"/>
      <c r="DM237" s="238"/>
      <c r="DN237" s="239"/>
      <c r="DO237" s="239"/>
      <c r="DP237" s="240"/>
      <c r="DQ237" s="155"/>
      <c r="DR237" s="238"/>
      <c r="DS237" s="239"/>
      <c r="DT237" s="239"/>
      <c r="DU237" s="240"/>
      <c r="DV237" s="155"/>
      <c r="DW237" s="238"/>
      <c r="DX237" s="239"/>
      <c r="DY237" s="239"/>
      <c r="DZ237" s="240"/>
      <c r="EA237" s="155"/>
      <c r="EB237" s="238"/>
      <c r="EC237" s="239"/>
      <c r="ED237" s="239"/>
      <c r="EE237" s="240"/>
      <c r="EF237" s="155"/>
      <c r="EG237" s="238"/>
      <c r="EH237" s="239"/>
      <c r="EI237" s="239"/>
      <c r="EJ237" s="240"/>
      <c r="EK237" s="155"/>
      <c r="EL237" s="238"/>
      <c r="EM237" s="239"/>
      <c r="EN237" s="239"/>
      <c r="EO237" s="240"/>
      <c r="EP237" s="155"/>
      <c r="EQ237" s="238"/>
      <c r="ER237" s="239"/>
      <c r="ES237" s="239"/>
      <c r="ET237" s="240"/>
      <c r="EU237" s="155"/>
      <c r="EV237" s="238"/>
      <c r="EW237" s="239"/>
      <c r="EX237" s="239"/>
      <c r="EY237" s="240"/>
      <c r="EZ237" s="155"/>
      <c r="FA237" s="238"/>
      <c r="FB237" s="239"/>
      <c r="FC237" s="239"/>
      <c r="FD237" s="240"/>
      <c r="FE237" s="155"/>
      <c r="FF237" s="238"/>
      <c r="FG237" s="239"/>
      <c r="FH237" s="239"/>
      <c r="FI237" s="240"/>
      <c r="FJ237" s="155"/>
      <c r="FK237" s="238"/>
      <c r="FL237" s="239"/>
      <c r="FM237" s="239"/>
      <c r="FN237" s="240"/>
      <c r="FO237" s="155"/>
      <c r="FP237" s="238"/>
      <c r="FQ237" s="239"/>
      <c r="FR237" s="239"/>
      <c r="FS237" s="240"/>
      <c r="FT237" s="155"/>
      <c r="FU237" s="238"/>
      <c r="FV237" s="239"/>
      <c r="FW237" s="239"/>
      <c r="FX237" s="240"/>
      <c r="FY237" s="155"/>
      <c r="FZ237" s="238"/>
      <c r="GA237" s="239"/>
      <c r="GB237" s="239"/>
      <c r="GC237" s="240"/>
      <c r="GD237" s="155"/>
      <c r="GE237" s="238"/>
      <c r="GF237" s="239"/>
      <c r="GG237" s="239"/>
      <c r="GH237" s="240"/>
      <c r="GI237" s="155"/>
      <c r="GJ237" s="1562"/>
      <c r="GK237" s="239"/>
      <c r="GL237" s="239"/>
      <c r="GM237" s="240"/>
      <c r="GN237" s="155"/>
      <c r="GO237" s="238"/>
      <c r="GP237" s="239"/>
      <c r="GQ237" s="239"/>
      <c r="GR237" s="240"/>
      <c r="GS237" s="155"/>
      <c r="GT237" s="238"/>
      <c r="GU237" s="239"/>
      <c r="GV237" s="239"/>
      <c r="GW237" s="240"/>
      <c r="GX237" s="155"/>
      <c r="GY237" s="238"/>
      <c r="GZ237" s="239"/>
      <c r="HA237" s="239"/>
      <c r="HB237" s="240"/>
      <c r="HC237" s="155"/>
      <c r="HD237" s="238"/>
      <c r="HE237" s="239"/>
      <c r="HF237" s="239"/>
      <c r="HG237" s="240"/>
      <c r="HH237" s="155"/>
      <c r="HI237" s="238"/>
      <c r="HJ237" s="239"/>
      <c r="HK237" s="239"/>
      <c r="HL237" s="240"/>
      <c r="HM237" s="155"/>
      <c r="HN237" s="238"/>
      <c r="HO237" s="239"/>
      <c r="HP237" s="239"/>
      <c r="HQ237" s="240"/>
      <c r="HR237" s="155"/>
      <c r="HS237" s="238"/>
      <c r="HT237" s="239"/>
      <c r="HU237" s="239"/>
      <c r="HV237" s="240"/>
      <c r="HW237" s="155"/>
      <c r="HX237" s="238"/>
      <c r="HY237" s="239"/>
      <c r="HZ237" s="239"/>
      <c r="IA237" s="240"/>
      <c r="IB237" s="155"/>
      <c r="IC237" s="238"/>
      <c r="ID237" s="239"/>
      <c r="IE237" s="239"/>
      <c r="IF237" s="240"/>
      <c r="IG237" s="155"/>
      <c r="IH237" s="238"/>
      <c r="II237" s="239"/>
      <c r="IJ237" s="239"/>
      <c r="IK237" s="240"/>
      <c r="IL237" s="155"/>
      <c r="IM237" s="238"/>
      <c r="IN237" s="239"/>
      <c r="IO237" s="239"/>
      <c r="IP237" s="240"/>
      <c r="IQ237" s="155"/>
    </row>
    <row r="238" spans="1:251" ht="15" customHeight="1">
      <c r="B238" s="155"/>
      <c r="C238" s="155"/>
      <c r="D238" s="236"/>
      <c r="E238" s="237"/>
      <c r="F238" s="312"/>
      <c r="G238" s="330"/>
      <c r="H238" s="239"/>
      <c r="I238" s="239"/>
      <c r="J238" s="240"/>
      <c r="K238" s="331"/>
      <c r="L238" s="330"/>
      <c r="M238" s="239"/>
      <c r="N238" s="239"/>
      <c r="O238" s="240"/>
      <c r="P238" s="331"/>
      <c r="Q238" s="330"/>
      <c r="R238" s="239"/>
      <c r="S238" s="239"/>
      <c r="T238" s="240"/>
      <c r="U238" s="331"/>
      <c r="V238" s="323"/>
      <c r="W238" s="239"/>
      <c r="X238" s="239"/>
      <c r="Y238" s="240"/>
      <c r="Z238" s="240"/>
      <c r="AA238" s="238"/>
      <c r="AB238" s="239"/>
      <c r="AC238" s="239"/>
      <c r="AD238" s="240"/>
      <c r="AE238" s="240"/>
      <c r="AF238" s="238"/>
      <c r="AG238" s="239"/>
      <c r="AH238" s="239"/>
      <c r="AI238" s="240"/>
      <c r="AJ238" s="155"/>
      <c r="AK238" s="238"/>
      <c r="AL238" s="239"/>
      <c r="AM238" s="239"/>
      <c r="AN238" s="240"/>
      <c r="AO238" s="155"/>
      <c r="AP238" s="238"/>
      <c r="AQ238" s="239"/>
      <c r="AR238" s="239"/>
      <c r="AS238" s="240"/>
      <c r="AT238" s="155"/>
      <c r="AU238" s="238"/>
      <c r="AV238" s="239"/>
      <c r="AW238" s="239"/>
      <c r="AX238" s="240"/>
      <c r="AY238" s="155"/>
      <c r="AZ238" s="238"/>
      <c r="BA238" s="239"/>
      <c r="BB238" s="239"/>
      <c r="BC238" s="240"/>
      <c r="BD238" s="155"/>
      <c r="BE238" s="238"/>
      <c r="BF238" s="239"/>
      <c r="BG238" s="239"/>
      <c r="BH238" s="240"/>
      <c r="BI238" s="155"/>
      <c r="BJ238" s="238"/>
      <c r="BK238" s="239"/>
      <c r="BL238" s="239"/>
      <c r="BM238" s="240"/>
      <c r="BN238" s="155"/>
      <c r="BO238" s="238"/>
      <c r="BP238" s="239"/>
      <c r="BQ238" s="239"/>
      <c r="BR238" s="240"/>
      <c r="BS238" s="155"/>
      <c r="BT238" s="238"/>
      <c r="BU238" s="239"/>
      <c r="BV238" s="239"/>
      <c r="BW238" s="240"/>
      <c r="BX238" s="155"/>
      <c r="BY238" s="238"/>
      <c r="BZ238" s="239"/>
      <c r="CA238" s="239"/>
      <c r="CB238" s="240"/>
      <c r="CC238" s="155"/>
      <c r="CD238" s="238"/>
      <c r="CE238" s="239"/>
      <c r="CF238" s="239"/>
      <c r="CG238" s="240"/>
      <c r="CH238" s="155"/>
      <c r="CI238" s="238"/>
      <c r="CJ238" s="239"/>
      <c r="CK238" s="239"/>
      <c r="CL238" s="240"/>
      <c r="CM238" s="155"/>
      <c r="CN238" s="238"/>
      <c r="CO238" s="239"/>
      <c r="CP238" s="239"/>
      <c r="CQ238" s="240"/>
      <c r="CR238" s="155"/>
      <c r="CS238" s="238"/>
      <c r="CT238" s="239"/>
      <c r="CU238" s="239"/>
      <c r="CV238" s="240"/>
      <c r="CW238" s="155"/>
      <c r="CX238" s="238"/>
      <c r="CY238" s="239"/>
      <c r="CZ238" s="239"/>
      <c r="DA238" s="240"/>
      <c r="DB238" s="155"/>
      <c r="DC238" s="238"/>
      <c r="DD238" s="239"/>
      <c r="DE238" s="239"/>
      <c r="DF238" s="240"/>
      <c r="DG238" s="155"/>
      <c r="DH238" s="238"/>
      <c r="DI238" s="239"/>
      <c r="DJ238" s="239"/>
      <c r="DK238" s="240"/>
      <c r="DL238" s="155"/>
      <c r="DM238" s="238"/>
      <c r="DN238" s="239"/>
      <c r="DO238" s="239"/>
      <c r="DP238" s="240"/>
      <c r="DQ238" s="155"/>
      <c r="DR238" s="238"/>
      <c r="DS238" s="239"/>
      <c r="DT238" s="239"/>
      <c r="DU238" s="240"/>
      <c r="DV238" s="155"/>
      <c r="DW238" s="238"/>
      <c r="DX238" s="239"/>
      <c r="DY238" s="239"/>
      <c r="DZ238" s="240"/>
      <c r="EA238" s="155"/>
      <c r="EB238" s="238"/>
      <c r="EC238" s="239"/>
      <c r="ED238" s="239"/>
      <c r="EE238" s="240"/>
      <c r="EF238" s="155"/>
      <c r="EG238" s="238"/>
      <c r="EH238" s="239"/>
      <c r="EI238" s="239"/>
      <c r="EJ238" s="240"/>
      <c r="EK238" s="155"/>
      <c r="EL238" s="238"/>
      <c r="EM238" s="239"/>
      <c r="EN238" s="239"/>
      <c r="EO238" s="240"/>
      <c r="EP238" s="155"/>
      <c r="EQ238" s="238"/>
      <c r="ER238" s="239"/>
      <c r="ES238" s="239"/>
      <c r="ET238" s="240"/>
      <c r="EU238" s="155"/>
      <c r="EV238" s="238"/>
      <c r="EW238" s="239"/>
      <c r="EX238" s="239"/>
      <c r="EY238" s="240"/>
      <c r="EZ238" s="155"/>
      <c r="FA238" s="238"/>
      <c r="FB238" s="239"/>
      <c r="FC238" s="239"/>
      <c r="FD238" s="240"/>
      <c r="FE238" s="155"/>
      <c r="FF238" s="238"/>
      <c r="FG238" s="239"/>
      <c r="FH238" s="239"/>
      <c r="FI238" s="240"/>
      <c r="FJ238" s="155"/>
      <c r="FK238" s="238"/>
      <c r="FL238" s="239"/>
      <c r="FM238" s="239"/>
      <c r="FN238" s="240"/>
      <c r="FO238" s="155"/>
      <c r="FP238" s="238"/>
      <c r="FQ238" s="239"/>
      <c r="FR238" s="239"/>
      <c r="FS238" s="240"/>
      <c r="FT238" s="155"/>
      <c r="FU238" s="238"/>
      <c r="FV238" s="239"/>
      <c r="FW238" s="239"/>
      <c r="FX238" s="240"/>
      <c r="FY238" s="155"/>
      <c r="FZ238" s="238"/>
      <c r="GA238" s="239"/>
      <c r="GB238" s="239"/>
      <c r="GC238" s="240"/>
      <c r="GD238" s="155"/>
      <c r="GE238" s="238"/>
      <c r="GF238" s="239"/>
      <c r="GG238" s="239"/>
      <c r="GH238" s="240"/>
      <c r="GI238" s="155"/>
      <c r="GJ238" s="1562"/>
      <c r="GK238" s="239"/>
      <c r="GL238" s="239"/>
      <c r="GM238" s="240"/>
      <c r="GN238" s="155"/>
      <c r="GO238" s="238"/>
      <c r="GP238" s="239"/>
      <c r="GQ238" s="239"/>
      <c r="GR238" s="240"/>
      <c r="GS238" s="155"/>
      <c r="GT238" s="238"/>
      <c r="GU238" s="239"/>
      <c r="GV238" s="239"/>
      <c r="GW238" s="240"/>
      <c r="GX238" s="155"/>
      <c r="GY238" s="238"/>
      <c r="GZ238" s="239"/>
      <c r="HA238" s="239"/>
      <c r="HB238" s="240"/>
      <c r="HC238" s="155"/>
      <c r="HD238" s="238"/>
      <c r="HE238" s="239"/>
      <c r="HF238" s="239"/>
      <c r="HG238" s="240"/>
      <c r="HH238" s="155"/>
      <c r="HI238" s="238"/>
      <c r="HJ238" s="239"/>
      <c r="HK238" s="239"/>
      <c r="HL238" s="240"/>
      <c r="HM238" s="155"/>
      <c r="HN238" s="238"/>
      <c r="HO238" s="239"/>
      <c r="HP238" s="239"/>
      <c r="HQ238" s="240"/>
      <c r="HR238" s="155"/>
      <c r="HS238" s="238"/>
      <c r="HT238" s="239"/>
      <c r="HU238" s="239"/>
      <c r="HV238" s="240"/>
      <c r="HW238" s="155"/>
      <c r="HX238" s="238"/>
      <c r="HY238" s="239"/>
      <c r="HZ238" s="239"/>
      <c r="IA238" s="240"/>
      <c r="IB238" s="155"/>
      <c r="IC238" s="238"/>
      <c r="ID238" s="239"/>
      <c r="IE238" s="239"/>
      <c r="IF238" s="240"/>
      <c r="IG238" s="155"/>
      <c r="IH238" s="238"/>
      <c r="II238" s="239"/>
      <c r="IJ238" s="239"/>
      <c r="IK238" s="240"/>
      <c r="IL238" s="155"/>
      <c r="IM238" s="238"/>
      <c r="IN238" s="239"/>
      <c r="IO238" s="239"/>
      <c r="IP238" s="240"/>
      <c r="IQ238" s="155"/>
    </row>
    <row r="239" spans="1:251" ht="15" customHeight="1">
      <c r="B239" s="155"/>
      <c r="C239" s="155"/>
      <c r="D239" s="236"/>
      <c r="E239" s="237"/>
      <c r="F239" s="312"/>
      <c r="G239" s="330"/>
      <c r="H239" s="239"/>
      <c r="I239" s="239"/>
      <c r="J239" s="240"/>
      <c r="K239" s="331"/>
      <c r="L239" s="330"/>
      <c r="M239" s="239"/>
      <c r="N239" s="239"/>
      <c r="O239" s="240"/>
      <c r="P239" s="331"/>
      <c r="Q239" s="330"/>
      <c r="R239" s="239"/>
      <c r="S239" s="239"/>
      <c r="T239" s="240"/>
      <c r="U239" s="331"/>
      <c r="V239" s="323"/>
      <c r="W239" s="239"/>
      <c r="X239" s="239"/>
      <c r="Y239" s="240"/>
      <c r="Z239" s="240"/>
      <c r="AA239" s="238"/>
      <c r="AB239" s="239"/>
      <c r="AC239" s="239"/>
      <c r="AD239" s="240"/>
      <c r="AE239" s="240"/>
      <c r="AF239" s="238"/>
      <c r="AG239" s="239"/>
      <c r="AH239" s="239"/>
      <c r="AI239" s="240"/>
      <c r="AJ239" s="155"/>
      <c r="AK239" s="238"/>
      <c r="AL239" s="239"/>
      <c r="AM239" s="239"/>
      <c r="AN239" s="240"/>
      <c r="AO239" s="155"/>
      <c r="AP239" s="238"/>
      <c r="AQ239" s="239"/>
      <c r="AR239" s="239"/>
      <c r="AS239" s="240"/>
      <c r="AT239" s="155"/>
      <c r="AU239" s="238"/>
      <c r="AV239" s="239"/>
      <c r="AW239" s="239"/>
      <c r="AX239" s="240"/>
      <c r="AY239" s="155"/>
      <c r="AZ239" s="238"/>
      <c r="BA239" s="239"/>
      <c r="BB239" s="239"/>
      <c r="BC239" s="240"/>
      <c r="BD239" s="155"/>
      <c r="BE239" s="238"/>
      <c r="BF239" s="239"/>
      <c r="BG239" s="239"/>
      <c r="BH239" s="240"/>
      <c r="BI239" s="155"/>
      <c r="BJ239" s="238"/>
      <c r="BK239" s="239"/>
      <c r="BL239" s="239"/>
      <c r="BM239" s="240"/>
      <c r="BN239" s="155"/>
      <c r="BO239" s="238"/>
      <c r="BP239" s="239"/>
      <c r="BQ239" s="239"/>
      <c r="BR239" s="240"/>
      <c r="BS239" s="155"/>
      <c r="BT239" s="238"/>
      <c r="BU239" s="239"/>
      <c r="BV239" s="239"/>
      <c r="BW239" s="240"/>
      <c r="BX239" s="155"/>
      <c r="BY239" s="238"/>
      <c r="BZ239" s="239"/>
      <c r="CA239" s="239"/>
      <c r="CB239" s="240"/>
      <c r="CC239" s="155"/>
      <c r="CD239" s="238"/>
      <c r="CE239" s="239"/>
      <c r="CF239" s="239"/>
      <c r="CG239" s="240"/>
      <c r="CH239" s="155"/>
      <c r="CI239" s="238"/>
      <c r="CJ239" s="239"/>
      <c r="CK239" s="239"/>
      <c r="CL239" s="240"/>
      <c r="CM239" s="155"/>
      <c r="CN239" s="238"/>
      <c r="CO239" s="239"/>
      <c r="CP239" s="239"/>
      <c r="CQ239" s="240"/>
      <c r="CR239" s="155"/>
      <c r="CS239" s="238"/>
      <c r="CT239" s="239"/>
      <c r="CU239" s="239"/>
      <c r="CV239" s="240"/>
      <c r="CW239" s="155"/>
      <c r="CX239" s="238"/>
      <c r="CY239" s="239"/>
      <c r="CZ239" s="239"/>
      <c r="DA239" s="240"/>
      <c r="DB239" s="155"/>
      <c r="DC239" s="238"/>
      <c r="DD239" s="239"/>
      <c r="DE239" s="239"/>
      <c r="DF239" s="240"/>
      <c r="DG239" s="155"/>
      <c r="DH239" s="238"/>
      <c r="DI239" s="239"/>
      <c r="DJ239" s="239"/>
      <c r="DK239" s="240"/>
      <c r="DL239" s="155"/>
      <c r="DM239" s="238"/>
      <c r="DN239" s="239"/>
      <c r="DO239" s="239"/>
      <c r="DP239" s="240"/>
      <c r="DQ239" s="155"/>
      <c r="DR239" s="238"/>
      <c r="DS239" s="239"/>
      <c r="DT239" s="239"/>
      <c r="DU239" s="240"/>
      <c r="DV239" s="155"/>
      <c r="DW239" s="238"/>
      <c r="DX239" s="239"/>
      <c r="DY239" s="239"/>
      <c r="DZ239" s="240"/>
      <c r="EA239" s="155"/>
      <c r="EB239" s="238"/>
      <c r="EC239" s="239"/>
      <c r="ED239" s="239"/>
      <c r="EE239" s="240"/>
      <c r="EF239" s="155"/>
      <c r="EG239" s="238"/>
      <c r="EH239" s="239"/>
      <c r="EI239" s="239"/>
      <c r="EJ239" s="240"/>
      <c r="EK239" s="155"/>
      <c r="EL239" s="238"/>
      <c r="EM239" s="239"/>
      <c r="EN239" s="239"/>
      <c r="EO239" s="240"/>
      <c r="EP239" s="155"/>
      <c r="EQ239" s="238"/>
      <c r="ER239" s="239"/>
      <c r="ES239" s="239"/>
      <c r="ET239" s="240"/>
      <c r="EU239" s="155"/>
      <c r="EV239" s="238"/>
      <c r="EW239" s="239"/>
      <c r="EX239" s="239"/>
      <c r="EY239" s="240"/>
      <c r="EZ239" s="155"/>
      <c r="FA239" s="238"/>
      <c r="FB239" s="239"/>
      <c r="FC239" s="239"/>
      <c r="FD239" s="240"/>
      <c r="FE239" s="155"/>
      <c r="FF239" s="238"/>
      <c r="FG239" s="239"/>
      <c r="FH239" s="239"/>
      <c r="FI239" s="240"/>
      <c r="FJ239" s="155"/>
      <c r="FK239" s="238"/>
      <c r="FL239" s="239"/>
      <c r="FM239" s="239"/>
      <c r="FN239" s="240"/>
      <c r="FO239" s="155"/>
      <c r="FP239" s="238"/>
      <c r="FQ239" s="239"/>
      <c r="FR239" s="239"/>
      <c r="FS239" s="240"/>
      <c r="FT239" s="155"/>
      <c r="FU239" s="238"/>
      <c r="FV239" s="239"/>
      <c r="FW239" s="239"/>
      <c r="FX239" s="240"/>
      <c r="FY239" s="155"/>
      <c r="FZ239" s="238"/>
      <c r="GA239" s="239"/>
      <c r="GB239" s="239"/>
      <c r="GC239" s="240"/>
      <c r="GD239" s="155"/>
      <c r="GE239" s="238"/>
      <c r="GF239" s="239"/>
      <c r="GG239" s="239"/>
      <c r="GH239" s="240"/>
      <c r="GI239" s="155"/>
      <c r="GJ239" s="1562"/>
      <c r="GK239" s="239"/>
      <c r="GL239" s="239"/>
      <c r="GM239" s="240"/>
      <c r="GN239" s="155"/>
      <c r="GO239" s="238"/>
      <c r="GP239" s="239"/>
      <c r="GQ239" s="239"/>
      <c r="GR239" s="240"/>
      <c r="GS239" s="155"/>
      <c r="GT239" s="238"/>
      <c r="GU239" s="239"/>
      <c r="GV239" s="239"/>
      <c r="GW239" s="240"/>
      <c r="GX239" s="155"/>
      <c r="GY239" s="238"/>
      <c r="GZ239" s="239"/>
      <c r="HA239" s="239"/>
      <c r="HB239" s="240"/>
      <c r="HC239" s="155"/>
      <c r="HD239" s="238"/>
      <c r="HE239" s="239"/>
      <c r="HF239" s="239"/>
      <c r="HG239" s="240"/>
      <c r="HH239" s="155"/>
      <c r="HI239" s="238"/>
      <c r="HJ239" s="239"/>
      <c r="HK239" s="239"/>
      <c r="HL239" s="240"/>
      <c r="HM239" s="155"/>
      <c r="HN239" s="238"/>
      <c r="HO239" s="239"/>
      <c r="HP239" s="239"/>
      <c r="HQ239" s="240"/>
      <c r="HR239" s="155"/>
      <c r="HS239" s="238"/>
      <c r="HT239" s="239"/>
      <c r="HU239" s="239"/>
      <c r="HV239" s="240"/>
      <c r="HW239" s="155"/>
      <c r="HX239" s="238"/>
      <c r="HY239" s="239"/>
      <c r="HZ239" s="239"/>
      <c r="IA239" s="240"/>
      <c r="IB239" s="155"/>
      <c r="IC239" s="238"/>
      <c r="ID239" s="239"/>
      <c r="IE239" s="239"/>
      <c r="IF239" s="240"/>
      <c r="IG239" s="155"/>
      <c r="IH239" s="238"/>
      <c r="II239" s="239"/>
      <c r="IJ239" s="239"/>
      <c r="IK239" s="240"/>
      <c r="IL239" s="155"/>
      <c r="IM239" s="238"/>
      <c r="IN239" s="239"/>
      <c r="IO239" s="239"/>
      <c r="IP239" s="240"/>
      <c r="IQ239" s="155"/>
    </row>
    <row r="240" spans="1:251" ht="15" customHeight="1">
      <c r="B240" s="155"/>
      <c r="C240" s="155"/>
      <c r="D240" s="236"/>
      <c r="E240" s="237"/>
      <c r="F240" s="312"/>
      <c r="G240" s="330"/>
      <c r="H240" s="239"/>
      <c r="I240" s="239"/>
      <c r="J240" s="240"/>
      <c r="K240" s="331"/>
      <c r="L240" s="330"/>
      <c r="M240" s="239"/>
      <c r="N240" s="239"/>
      <c r="O240" s="240"/>
      <c r="P240" s="331"/>
      <c r="Q240" s="330"/>
      <c r="R240" s="239"/>
      <c r="S240" s="239"/>
      <c r="T240" s="240"/>
      <c r="U240" s="331"/>
      <c r="V240" s="323"/>
      <c r="W240" s="239"/>
      <c r="X240" s="239"/>
      <c r="Y240" s="240"/>
      <c r="Z240" s="240"/>
      <c r="AA240" s="238"/>
      <c r="AB240" s="239"/>
      <c r="AC240" s="239"/>
      <c r="AD240" s="240"/>
      <c r="AE240" s="240"/>
      <c r="AF240" s="238"/>
      <c r="AG240" s="239"/>
      <c r="AH240" s="239"/>
      <c r="AI240" s="240"/>
      <c r="AJ240" s="155"/>
      <c r="AK240" s="238"/>
      <c r="AL240" s="239"/>
      <c r="AM240" s="239"/>
      <c r="AN240" s="240"/>
      <c r="AO240" s="155"/>
      <c r="AP240" s="238"/>
      <c r="AQ240" s="239"/>
      <c r="AR240" s="239"/>
      <c r="AS240" s="240"/>
      <c r="AT240" s="155"/>
      <c r="AU240" s="238"/>
      <c r="AV240" s="239"/>
      <c r="AW240" s="239"/>
      <c r="AX240" s="240"/>
      <c r="AY240" s="155"/>
      <c r="AZ240" s="238"/>
      <c r="BA240" s="239"/>
      <c r="BB240" s="239"/>
      <c r="BC240" s="240"/>
      <c r="BD240" s="155"/>
      <c r="BE240" s="238"/>
      <c r="BF240" s="239"/>
      <c r="BG240" s="239"/>
      <c r="BH240" s="240"/>
      <c r="BI240" s="155"/>
      <c r="BJ240" s="238"/>
      <c r="BK240" s="239"/>
      <c r="BL240" s="239"/>
      <c r="BM240" s="240"/>
      <c r="BN240" s="155"/>
      <c r="BO240" s="238"/>
      <c r="BP240" s="239"/>
      <c r="BQ240" s="239"/>
      <c r="BR240" s="240"/>
      <c r="BS240" s="155"/>
      <c r="BT240" s="238"/>
      <c r="BU240" s="239"/>
      <c r="BV240" s="239"/>
      <c r="BW240" s="240"/>
      <c r="BX240" s="155"/>
      <c r="BY240" s="238"/>
      <c r="BZ240" s="239"/>
      <c r="CA240" s="239"/>
      <c r="CB240" s="240"/>
      <c r="CC240" s="155"/>
      <c r="CD240" s="238"/>
      <c r="CE240" s="239"/>
      <c r="CF240" s="239"/>
      <c r="CG240" s="240"/>
      <c r="CH240" s="155"/>
      <c r="CI240" s="238"/>
      <c r="CJ240" s="239"/>
      <c r="CK240" s="239"/>
      <c r="CL240" s="240"/>
      <c r="CM240" s="155"/>
      <c r="CN240" s="238"/>
      <c r="CO240" s="239"/>
      <c r="CP240" s="239"/>
      <c r="CQ240" s="240"/>
      <c r="CR240" s="155"/>
      <c r="CS240" s="238"/>
      <c r="CT240" s="239"/>
      <c r="CU240" s="239"/>
      <c r="CV240" s="240"/>
      <c r="CW240" s="155"/>
      <c r="CX240" s="238"/>
      <c r="CY240" s="239"/>
      <c r="CZ240" s="239"/>
      <c r="DA240" s="240"/>
      <c r="DB240" s="155"/>
      <c r="DC240" s="238"/>
      <c r="DD240" s="239"/>
      <c r="DE240" s="239"/>
      <c r="DF240" s="240"/>
      <c r="DG240" s="155"/>
      <c r="DH240" s="238"/>
      <c r="DI240" s="239"/>
      <c r="DJ240" s="239"/>
      <c r="DK240" s="240"/>
      <c r="DL240" s="155"/>
      <c r="DM240" s="238"/>
      <c r="DN240" s="239"/>
      <c r="DO240" s="239"/>
      <c r="DP240" s="240"/>
      <c r="DQ240" s="155"/>
      <c r="DR240" s="238"/>
      <c r="DS240" s="239"/>
      <c r="DT240" s="239"/>
      <c r="DU240" s="240"/>
      <c r="DV240" s="155"/>
      <c r="DW240" s="238"/>
      <c r="DX240" s="239"/>
      <c r="DY240" s="239"/>
      <c r="DZ240" s="240"/>
      <c r="EA240" s="155"/>
      <c r="EB240" s="238"/>
      <c r="EC240" s="239"/>
      <c r="ED240" s="239"/>
      <c r="EE240" s="240"/>
      <c r="EF240" s="155"/>
      <c r="EG240" s="238"/>
      <c r="EH240" s="239"/>
      <c r="EI240" s="239"/>
      <c r="EJ240" s="240"/>
      <c r="EK240" s="155"/>
      <c r="EL240" s="238"/>
      <c r="EM240" s="239"/>
      <c r="EN240" s="239"/>
      <c r="EO240" s="240"/>
      <c r="EP240" s="155"/>
      <c r="EQ240" s="238"/>
      <c r="ER240" s="239"/>
      <c r="ES240" s="239"/>
      <c r="ET240" s="240"/>
      <c r="EU240" s="155"/>
      <c r="EV240" s="238"/>
      <c r="EW240" s="239"/>
      <c r="EX240" s="239"/>
      <c r="EY240" s="240"/>
      <c r="EZ240" s="155"/>
      <c r="FA240" s="238"/>
      <c r="FB240" s="239"/>
      <c r="FC240" s="239"/>
      <c r="FD240" s="240"/>
      <c r="FE240" s="155"/>
      <c r="FF240" s="238"/>
      <c r="FG240" s="239"/>
      <c r="FH240" s="239"/>
      <c r="FI240" s="240"/>
      <c r="FJ240" s="155"/>
      <c r="FK240" s="238"/>
      <c r="FL240" s="239"/>
      <c r="FM240" s="239"/>
      <c r="FN240" s="240"/>
      <c r="FO240" s="155"/>
      <c r="FP240" s="238"/>
      <c r="FQ240" s="239"/>
      <c r="FR240" s="239"/>
      <c r="FS240" s="240"/>
      <c r="FT240" s="155"/>
      <c r="FU240" s="238"/>
      <c r="FV240" s="239"/>
      <c r="FW240" s="239"/>
      <c r="FX240" s="240"/>
      <c r="FY240" s="155"/>
      <c r="FZ240" s="238"/>
      <c r="GA240" s="239"/>
      <c r="GB240" s="239"/>
      <c r="GC240" s="240"/>
      <c r="GD240" s="155"/>
      <c r="GE240" s="238"/>
      <c r="GF240" s="239"/>
      <c r="GG240" s="239"/>
      <c r="GH240" s="240"/>
      <c r="GI240" s="155"/>
      <c r="GJ240" s="1562"/>
      <c r="GK240" s="239"/>
      <c r="GL240" s="239"/>
      <c r="GM240" s="240"/>
      <c r="GN240" s="155"/>
      <c r="GO240" s="238"/>
      <c r="GP240" s="239"/>
      <c r="GQ240" s="239"/>
      <c r="GR240" s="240"/>
      <c r="GS240" s="155"/>
      <c r="GT240" s="238"/>
      <c r="GU240" s="239"/>
      <c r="GV240" s="239"/>
      <c r="GW240" s="240"/>
      <c r="GX240" s="155"/>
      <c r="GY240" s="238"/>
      <c r="GZ240" s="239"/>
      <c r="HA240" s="239"/>
      <c r="HB240" s="240"/>
      <c r="HC240" s="155"/>
      <c r="HD240" s="238"/>
      <c r="HE240" s="239"/>
      <c r="HF240" s="239"/>
      <c r="HG240" s="240"/>
      <c r="HH240" s="155"/>
      <c r="HI240" s="238"/>
      <c r="HJ240" s="239"/>
      <c r="HK240" s="239"/>
      <c r="HL240" s="240"/>
      <c r="HM240" s="155"/>
      <c r="HN240" s="238"/>
      <c r="HO240" s="239"/>
      <c r="HP240" s="239"/>
      <c r="HQ240" s="240"/>
      <c r="HR240" s="155"/>
      <c r="HS240" s="238"/>
      <c r="HT240" s="239"/>
      <c r="HU240" s="239"/>
      <c r="HV240" s="240"/>
      <c r="HW240" s="155"/>
      <c r="HX240" s="238"/>
      <c r="HY240" s="239"/>
      <c r="HZ240" s="239"/>
      <c r="IA240" s="240"/>
      <c r="IB240" s="155"/>
      <c r="IC240" s="238"/>
      <c r="ID240" s="239"/>
      <c r="IE240" s="239"/>
      <c r="IF240" s="240"/>
      <c r="IG240" s="155"/>
      <c r="IH240" s="238"/>
      <c r="II240" s="239"/>
      <c r="IJ240" s="239"/>
      <c r="IK240" s="240"/>
      <c r="IL240" s="155"/>
      <c r="IM240" s="238"/>
      <c r="IN240" s="239"/>
      <c r="IO240" s="239"/>
      <c r="IP240" s="240"/>
      <c r="IQ240" s="155"/>
    </row>
    <row r="241" spans="2:251" ht="15" customHeight="1">
      <c r="B241" s="155"/>
      <c r="C241" s="155"/>
      <c r="D241" s="236"/>
      <c r="E241" s="237"/>
      <c r="F241" s="312"/>
      <c r="G241" s="330"/>
      <c r="H241" s="239"/>
      <c r="I241" s="239"/>
      <c r="J241" s="240"/>
      <c r="K241" s="331"/>
      <c r="L241" s="330"/>
      <c r="M241" s="239"/>
      <c r="N241" s="239"/>
      <c r="O241" s="240"/>
      <c r="P241" s="331"/>
      <c r="Q241" s="330"/>
      <c r="R241" s="239"/>
      <c r="S241" s="239"/>
      <c r="T241" s="240"/>
      <c r="U241" s="331"/>
      <c r="V241" s="323"/>
      <c r="W241" s="239"/>
      <c r="X241" s="239"/>
      <c r="Y241" s="240"/>
      <c r="Z241" s="240"/>
      <c r="AA241" s="238"/>
      <c r="AB241" s="239"/>
      <c r="AC241" s="239"/>
      <c r="AD241" s="240"/>
      <c r="AE241" s="240"/>
      <c r="AF241" s="238"/>
      <c r="AG241" s="239"/>
      <c r="AH241" s="239"/>
      <c r="AI241" s="240"/>
      <c r="AJ241" s="155"/>
      <c r="AK241" s="238"/>
      <c r="AL241" s="239"/>
      <c r="AM241" s="239"/>
      <c r="AN241" s="240"/>
      <c r="AO241" s="155"/>
      <c r="AP241" s="238"/>
      <c r="AQ241" s="239"/>
      <c r="AR241" s="239"/>
      <c r="AS241" s="240"/>
      <c r="AT241" s="155"/>
      <c r="AU241" s="238"/>
      <c r="AV241" s="239"/>
      <c r="AW241" s="239"/>
      <c r="AX241" s="240"/>
      <c r="AY241" s="155"/>
      <c r="AZ241" s="238"/>
      <c r="BA241" s="239"/>
      <c r="BB241" s="239"/>
      <c r="BC241" s="240"/>
      <c r="BD241" s="155"/>
      <c r="BE241" s="238"/>
      <c r="BF241" s="239"/>
      <c r="BG241" s="239"/>
      <c r="BH241" s="240"/>
      <c r="BI241" s="155"/>
      <c r="BJ241" s="238"/>
      <c r="BK241" s="239"/>
      <c r="BL241" s="239"/>
      <c r="BM241" s="240"/>
      <c r="BN241" s="155"/>
      <c r="BO241" s="238"/>
      <c r="BP241" s="239"/>
      <c r="BQ241" s="239"/>
      <c r="BR241" s="240"/>
      <c r="BS241" s="155"/>
      <c r="BT241" s="238"/>
      <c r="BU241" s="239"/>
      <c r="BV241" s="239"/>
      <c r="BW241" s="240"/>
      <c r="BX241" s="155"/>
      <c r="BY241" s="238"/>
      <c r="BZ241" s="239"/>
      <c r="CA241" s="239"/>
      <c r="CB241" s="240"/>
      <c r="CC241" s="155"/>
      <c r="CD241" s="238"/>
      <c r="CE241" s="239"/>
      <c r="CF241" s="239"/>
      <c r="CG241" s="240"/>
      <c r="CH241" s="155"/>
      <c r="CI241" s="238"/>
      <c r="CJ241" s="239"/>
      <c r="CK241" s="239"/>
      <c r="CL241" s="240"/>
      <c r="CM241" s="155"/>
      <c r="CN241" s="238"/>
      <c r="CO241" s="239"/>
      <c r="CP241" s="239"/>
      <c r="CQ241" s="240"/>
      <c r="CR241" s="155"/>
      <c r="CS241" s="238"/>
      <c r="CT241" s="239"/>
      <c r="CU241" s="239"/>
      <c r="CV241" s="240"/>
      <c r="CW241" s="155"/>
      <c r="CX241" s="238"/>
      <c r="CY241" s="239"/>
      <c r="CZ241" s="239"/>
      <c r="DA241" s="240"/>
      <c r="DB241" s="155"/>
      <c r="DC241" s="238"/>
      <c r="DD241" s="239"/>
      <c r="DE241" s="239"/>
      <c r="DF241" s="240"/>
      <c r="DG241" s="155"/>
      <c r="DH241" s="238"/>
      <c r="DI241" s="239"/>
      <c r="DJ241" s="239"/>
      <c r="DK241" s="240"/>
      <c r="DL241" s="155"/>
      <c r="DM241" s="238"/>
      <c r="DN241" s="239"/>
      <c r="DO241" s="239"/>
      <c r="DP241" s="240"/>
      <c r="DQ241" s="155"/>
      <c r="DR241" s="238"/>
      <c r="DS241" s="239"/>
      <c r="DT241" s="239"/>
      <c r="DU241" s="240"/>
      <c r="DV241" s="155"/>
      <c r="DW241" s="238"/>
      <c r="DX241" s="239"/>
      <c r="DY241" s="239"/>
      <c r="DZ241" s="240"/>
      <c r="EA241" s="155"/>
      <c r="EB241" s="238"/>
      <c r="EC241" s="239"/>
      <c r="ED241" s="239"/>
      <c r="EE241" s="240"/>
      <c r="EF241" s="155"/>
      <c r="EG241" s="238"/>
      <c r="EH241" s="239"/>
      <c r="EI241" s="239"/>
      <c r="EJ241" s="240"/>
      <c r="EK241" s="155"/>
      <c r="EL241" s="238"/>
      <c r="EM241" s="239"/>
      <c r="EN241" s="239"/>
      <c r="EO241" s="240"/>
      <c r="EP241" s="155"/>
      <c r="EQ241" s="238"/>
      <c r="ER241" s="239"/>
      <c r="ES241" s="239"/>
      <c r="ET241" s="240"/>
      <c r="EU241" s="155"/>
      <c r="EV241" s="238"/>
      <c r="EW241" s="239"/>
      <c r="EX241" s="239"/>
      <c r="EY241" s="240"/>
      <c r="EZ241" s="155"/>
      <c r="FA241" s="238"/>
      <c r="FB241" s="239"/>
      <c r="FC241" s="239"/>
      <c r="FD241" s="240"/>
      <c r="FE241" s="155"/>
      <c r="FF241" s="238"/>
      <c r="FG241" s="239"/>
      <c r="FH241" s="239"/>
      <c r="FI241" s="240"/>
      <c r="FJ241" s="155"/>
      <c r="FK241" s="238"/>
      <c r="FL241" s="239"/>
      <c r="FM241" s="239"/>
      <c r="FN241" s="240"/>
      <c r="FO241" s="155"/>
      <c r="FP241" s="238"/>
      <c r="FQ241" s="239"/>
      <c r="FR241" s="239"/>
      <c r="FS241" s="240"/>
      <c r="FT241" s="155"/>
      <c r="FU241" s="238"/>
      <c r="FV241" s="239"/>
      <c r="FW241" s="239"/>
      <c r="FX241" s="240"/>
      <c r="FY241" s="155"/>
      <c r="FZ241" s="238"/>
      <c r="GA241" s="239"/>
      <c r="GB241" s="239"/>
      <c r="GC241" s="240"/>
      <c r="GD241" s="155"/>
      <c r="GE241" s="238"/>
      <c r="GF241" s="239"/>
      <c r="GG241" s="239"/>
      <c r="GH241" s="240"/>
      <c r="GI241" s="155"/>
      <c r="GJ241" s="1562"/>
      <c r="GK241" s="239"/>
      <c r="GL241" s="239"/>
      <c r="GM241" s="240"/>
      <c r="GN241" s="155"/>
      <c r="GO241" s="238"/>
      <c r="GP241" s="239"/>
      <c r="GQ241" s="239"/>
      <c r="GR241" s="240"/>
      <c r="GS241" s="155"/>
      <c r="GT241" s="238"/>
      <c r="GU241" s="239"/>
      <c r="GV241" s="239"/>
      <c r="GW241" s="240"/>
      <c r="GX241" s="155"/>
      <c r="GY241" s="238"/>
      <c r="GZ241" s="239"/>
      <c r="HA241" s="239"/>
      <c r="HB241" s="240"/>
      <c r="HC241" s="155"/>
      <c r="HD241" s="238"/>
      <c r="HE241" s="239"/>
      <c r="HF241" s="239"/>
      <c r="HG241" s="240"/>
      <c r="HH241" s="155"/>
      <c r="HI241" s="238"/>
      <c r="HJ241" s="239"/>
      <c r="HK241" s="239"/>
      <c r="HL241" s="240"/>
      <c r="HM241" s="155"/>
      <c r="HN241" s="238"/>
      <c r="HO241" s="239"/>
      <c r="HP241" s="239"/>
      <c r="HQ241" s="240"/>
      <c r="HR241" s="155"/>
      <c r="HS241" s="238"/>
      <c r="HT241" s="239"/>
      <c r="HU241" s="239"/>
      <c r="HV241" s="240"/>
      <c r="HW241" s="155"/>
      <c r="HX241" s="238"/>
      <c r="HY241" s="239"/>
      <c r="HZ241" s="239"/>
      <c r="IA241" s="240"/>
      <c r="IB241" s="155"/>
      <c r="IC241" s="238"/>
      <c r="ID241" s="239"/>
      <c r="IE241" s="239"/>
      <c r="IF241" s="240"/>
      <c r="IG241" s="155"/>
      <c r="IH241" s="238"/>
      <c r="II241" s="239"/>
      <c r="IJ241" s="239"/>
      <c r="IK241" s="240"/>
      <c r="IL241" s="155"/>
      <c r="IM241" s="238"/>
      <c r="IN241" s="239"/>
      <c r="IO241" s="239"/>
      <c r="IP241" s="240"/>
      <c r="IQ241" s="155"/>
    </row>
    <row r="242" spans="2:251" ht="15" customHeight="1">
      <c r="B242" s="155"/>
      <c r="C242" s="155"/>
      <c r="D242" s="236"/>
      <c r="E242" s="237"/>
      <c r="F242" s="312"/>
      <c r="G242" s="330"/>
      <c r="H242" s="239"/>
      <c r="I242" s="239"/>
      <c r="J242" s="240"/>
      <c r="K242" s="331"/>
      <c r="L242" s="330"/>
      <c r="M242" s="239"/>
      <c r="N242" s="239"/>
      <c r="O242" s="240"/>
      <c r="P242" s="331"/>
      <c r="Q242" s="330"/>
      <c r="R242" s="239"/>
      <c r="S242" s="239"/>
      <c r="T242" s="240"/>
      <c r="U242" s="331"/>
      <c r="V242" s="323"/>
      <c r="W242" s="239"/>
      <c r="X242" s="239"/>
      <c r="Y242" s="240"/>
      <c r="Z242" s="240"/>
      <c r="AA242" s="238"/>
      <c r="AB242" s="239"/>
      <c r="AC242" s="239"/>
      <c r="AD242" s="240"/>
      <c r="AE242" s="240"/>
      <c r="AF242" s="238"/>
      <c r="AG242" s="239"/>
      <c r="AH242" s="239"/>
      <c r="AI242" s="240"/>
      <c r="AJ242" s="155"/>
      <c r="AK242" s="238"/>
      <c r="AL242" s="239"/>
      <c r="AM242" s="239"/>
      <c r="AN242" s="240"/>
      <c r="AO242" s="155"/>
      <c r="AP242" s="238"/>
      <c r="AQ242" s="239"/>
      <c r="AR242" s="239"/>
      <c r="AS242" s="240"/>
      <c r="AT242" s="155"/>
      <c r="AU242" s="238"/>
      <c r="AV242" s="239"/>
      <c r="AW242" s="239"/>
      <c r="AX242" s="240"/>
      <c r="AY242" s="155"/>
      <c r="AZ242" s="238"/>
      <c r="BA242" s="239"/>
      <c r="BB242" s="239"/>
      <c r="BC242" s="240"/>
      <c r="BD242" s="155"/>
      <c r="BE242" s="238"/>
      <c r="BF242" s="239"/>
      <c r="BG242" s="239"/>
      <c r="BH242" s="240"/>
      <c r="BI242" s="155"/>
      <c r="BJ242" s="238"/>
      <c r="BK242" s="239"/>
      <c r="BL242" s="239"/>
      <c r="BM242" s="240"/>
      <c r="BN242" s="155"/>
      <c r="BO242" s="238"/>
      <c r="BP242" s="239"/>
      <c r="BQ242" s="239"/>
      <c r="BR242" s="240"/>
      <c r="BS242" s="155"/>
      <c r="BT242" s="238"/>
      <c r="BU242" s="239"/>
      <c r="BV242" s="239"/>
      <c r="BW242" s="240"/>
      <c r="BX242" s="155"/>
      <c r="BY242" s="238"/>
      <c r="BZ242" s="239"/>
      <c r="CA242" s="239"/>
      <c r="CB242" s="240"/>
      <c r="CC242" s="155"/>
      <c r="CD242" s="238"/>
      <c r="CE242" s="239"/>
      <c r="CF242" s="239"/>
      <c r="CG242" s="240"/>
      <c r="CH242" s="155"/>
      <c r="CI242" s="238"/>
      <c r="CJ242" s="239"/>
      <c r="CK242" s="239"/>
      <c r="CL242" s="240"/>
      <c r="CM242" s="155"/>
      <c r="CN242" s="238"/>
      <c r="CO242" s="239"/>
      <c r="CP242" s="239"/>
      <c r="CQ242" s="240"/>
      <c r="CR242" s="155"/>
      <c r="CS242" s="238"/>
      <c r="CT242" s="239"/>
      <c r="CU242" s="239"/>
      <c r="CV242" s="240"/>
      <c r="CW242" s="155"/>
      <c r="CX242" s="238"/>
      <c r="CY242" s="239"/>
      <c r="CZ242" s="239"/>
      <c r="DA242" s="240"/>
      <c r="DB242" s="155"/>
      <c r="DC242" s="238"/>
      <c r="DD242" s="239"/>
      <c r="DE242" s="239"/>
      <c r="DF242" s="240"/>
      <c r="DG242" s="155"/>
      <c r="DH242" s="238"/>
      <c r="DI242" s="239"/>
      <c r="DJ242" s="239"/>
      <c r="DK242" s="240"/>
      <c r="DL242" s="155"/>
      <c r="DM242" s="238"/>
      <c r="DN242" s="239"/>
      <c r="DO242" s="239"/>
      <c r="DP242" s="240"/>
      <c r="DQ242" s="155"/>
      <c r="DR242" s="238"/>
      <c r="DS242" s="239"/>
      <c r="DT242" s="239"/>
      <c r="DU242" s="240"/>
      <c r="DV242" s="155"/>
      <c r="DW242" s="238"/>
      <c r="DX242" s="239"/>
      <c r="DY242" s="239"/>
      <c r="DZ242" s="240"/>
      <c r="EA242" s="155"/>
      <c r="EB242" s="238"/>
      <c r="EC242" s="239"/>
      <c r="ED242" s="239"/>
      <c r="EE242" s="240"/>
      <c r="EF242" s="155"/>
      <c r="EG242" s="238"/>
      <c r="EH242" s="239"/>
      <c r="EI242" s="239"/>
      <c r="EJ242" s="240"/>
      <c r="EK242" s="155"/>
      <c r="EL242" s="238"/>
      <c r="EM242" s="239"/>
      <c r="EN242" s="239"/>
      <c r="EO242" s="240"/>
      <c r="EP242" s="155"/>
      <c r="EQ242" s="238"/>
      <c r="ER242" s="239"/>
      <c r="ES242" s="239"/>
      <c r="ET242" s="240"/>
      <c r="EU242" s="155"/>
      <c r="EV242" s="238"/>
      <c r="EW242" s="239"/>
      <c r="EX242" s="239"/>
      <c r="EY242" s="240"/>
      <c r="EZ242" s="155"/>
      <c r="FA242" s="238"/>
      <c r="FB242" s="239"/>
      <c r="FC242" s="239"/>
      <c r="FD242" s="240"/>
      <c r="FE242" s="155"/>
      <c r="FF242" s="238"/>
      <c r="FG242" s="239"/>
      <c r="FH242" s="239"/>
      <c r="FI242" s="240"/>
      <c r="FJ242" s="155"/>
      <c r="FK242" s="238"/>
      <c r="FL242" s="239"/>
      <c r="FM242" s="239"/>
      <c r="FN242" s="240"/>
      <c r="FO242" s="155"/>
      <c r="FP242" s="238"/>
      <c r="FQ242" s="239"/>
      <c r="FR242" s="239"/>
      <c r="FS242" s="240"/>
      <c r="FT242" s="155"/>
      <c r="FU242" s="238"/>
      <c r="FV242" s="239"/>
      <c r="FW242" s="239"/>
      <c r="FX242" s="240"/>
      <c r="FY242" s="155"/>
      <c r="FZ242" s="238"/>
      <c r="GA242" s="239"/>
      <c r="GB242" s="239"/>
      <c r="GC242" s="240"/>
      <c r="GD242" s="155"/>
      <c r="GE242" s="238"/>
      <c r="GF242" s="239"/>
      <c r="GG242" s="239"/>
      <c r="GH242" s="240"/>
      <c r="GI242" s="155"/>
      <c r="GJ242" s="1562"/>
      <c r="GK242" s="239"/>
      <c r="GL242" s="239"/>
      <c r="GM242" s="240"/>
      <c r="GN242" s="155"/>
      <c r="GO242" s="238"/>
      <c r="GP242" s="239"/>
      <c r="GQ242" s="239"/>
      <c r="GR242" s="240"/>
      <c r="GS242" s="155"/>
      <c r="GT242" s="238"/>
      <c r="GU242" s="239"/>
      <c r="GV242" s="239"/>
      <c r="GW242" s="240"/>
      <c r="GX242" s="155"/>
      <c r="GY242" s="238"/>
      <c r="GZ242" s="239"/>
      <c r="HA242" s="239"/>
      <c r="HB242" s="240"/>
      <c r="HC242" s="155"/>
      <c r="HD242" s="238"/>
      <c r="HE242" s="239"/>
      <c r="HF242" s="239"/>
      <c r="HG242" s="240"/>
      <c r="HH242" s="155"/>
      <c r="HI242" s="238"/>
      <c r="HJ242" s="239"/>
      <c r="HK242" s="239"/>
      <c r="HL242" s="240"/>
      <c r="HM242" s="155"/>
      <c r="HN242" s="238"/>
      <c r="HO242" s="239"/>
      <c r="HP242" s="239"/>
      <c r="HQ242" s="240"/>
      <c r="HR242" s="155"/>
      <c r="HS242" s="238"/>
      <c r="HT242" s="239"/>
      <c r="HU242" s="239"/>
      <c r="HV242" s="240"/>
      <c r="HW242" s="155"/>
      <c r="HX242" s="238"/>
      <c r="HY242" s="239"/>
      <c r="HZ242" s="239"/>
      <c r="IA242" s="240"/>
      <c r="IB242" s="155"/>
      <c r="IC242" s="238"/>
      <c r="ID242" s="239"/>
      <c r="IE242" s="239"/>
      <c r="IF242" s="240"/>
      <c r="IG242" s="155"/>
      <c r="IH242" s="238"/>
      <c r="II242" s="239"/>
      <c r="IJ242" s="239"/>
      <c r="IK242" s="240"/>
      <c r="IL242" s="155"/>
      <c r="IM242" s="238"/>
      <c r="IN242" s="239"/>
      <c r="IO242" s="239"/>
      <c r="IP242" s="240"/>
      <c r="IQ242" s="155"/>
    </row>
    <row r="243" spans="2:251" ht="15" customHeight="1">
      <c r="B243" s="155"/>
      <c r="C243" s="155"/>
      <c r="D243" s="236"/>
      <c r="E243" s="237"/>
      <c r="F243" s="312"/>
      <c r="G243" s="330"/>
      <c r="H243" s="239"/>
      <c r="I243" s="239"/>
      <c r="J243" s="240"/>
      <c r="K243" s="331"/>
      <c r="L243" s="330"/>
      <c r="M243" s="239"/>
      <c r="N243" s="239"/>
      <c r="O243" s="240"/>
      <c r="P243" s="331"/>
      <c r="Q243" s="330"/>
      <c r="R243" s="239"/>
      <c r="S243" s="239"/>
      <c r="T243" s="240"/>
      <c r="U243" s="331"/>
      <c r="V243" s="323"/>
      <c r="W243" s="239"/>
      <c r="X243" s="239"/>
      <c r="Y243" s="240"/>
      <c r="Z243" s="240"/>
      <c r="AA243" s="238"/>
      <c r="AB243" s="239"/>
      <c r="AC243" s="239"/>
      <c r="AD243" s="240"/>
      <c r="AE243" s="240"/>
      <c r="AF243" s="238"/>
      <c r="AG243" s="239"/>
      <c r="AH243" s="239"/>
      <c r="AI243" s="240"/>
      <c r="AJ243" s="155"/>
      <c r="AK243" s="238"/>
      <c r="AL243" s="239"/>
      <c r="AM243" s="239"/>
      <c r="AN243" s="240"/>
      <c r="AO243" s="155"/>
      <c r="AP243" s="238"/>
      <c r="AQ243" s="239"/>
      <c r="AR243" s="239"/>
      <c r="AS243" s="240"/>
      <c r="AT243" s="155"/>
      <c r="AU243" s="238"/>
      <c r="AV243" s="239"/>
      <c r="AW243" s="239"/>
      <c r="AX243" s="240"/>
      <c r="AY243" s="155"/>
      <c r="AZ243" s="238"/>
      <c r="BA243" s="239"/>
      <c r="BB243" s="239"/>
      <c r="BC243" s="240"/>
      <c r="BD243" s="155"/>
      <c r="BE243" s="238"/>
      <c r="BF243" s="239"/>
      <c r="BG243" s="239"/>
      <c r="BH243" s="240"/>
      <c r="BI243" s="155"/>
      <c r="BJ243" s="238"/>
      <c r="BK243" s="239"/>
      <c r="BL243" s="239"/>
      <c r="BM243" s="240"/>
      <c r="BN243" s="155"/>
      <c r="BO243" s="238"/>
      <c r="BP243" s="239"/>
      <c r="BQ243" s="239"/>
      <c r="BR243" s="240"/>
      <c r="BS243" s="155"/>
      <c r="BT243" s="238"/>
      <c r="BU243" s="239"/>
      <c r="BV243" s="239"/>
      <c r="BW243" s="240"/>
      <c r="BX243" s="155"/>
      <c r="BY243" s="238"/>
      <c r="BZ243" s="239"/>
      <c r="CA243" s="239"/>
      <c r="CB243" s="240"/>
      <c r="CC243" s="155"/>
      <c r="CD243" s="238"/>
      <c r="CE243" s="239"/>
      <c r="CF243" s="239"/>
      <c r="CG243" s="240"/>
      <c r="CH243" s="155"/>
      <c r="CI243" s="238"/>
      <c r="CJ243" s="239"/>
      <c r="CK243" s="239"/>
      <c r="CL243" s="240"/>
      <c r="CM243" s="155"/>
      <c r="CN243" s="238"/>
      <c r="CO243" s="239"/>
      <c r="CP243" s="239"/>
      <c r="CQ243" s="240"/>
      <c r="CR243" s="155"/>
      <c r="CS243" s="238"/>
      <c r="CT243" s="239"/>
      <c r="CU243" s="239"/>
      <c r="CV243" s="240"/>
      <c r="CW243" s="155"/>
      <c r="CX243" s="238"/>
      <c r="CY243" s="239"/>
      <c r="CZ243" s="239"/>
      <c r="DA243" s="240"/>
      <c r="DB243" s="155"/>
      <c r="DC243" s="238"/>
      <c r="DD243" s="239"/>
      <c r="DE243" s="239"/>
      <c r="DF243" s="240"/>
      <c r="DG243" s="155"/>
      <c r="DH243" s="238"/>
      <c r="DI243" s="239"/>
      <c r="DJ243" s="239"/>
      <c r="DK243" s="240"/>
      <c r="DL243" s="155"/>
      <c r="DM243" s="238"/>
      <c r="DN243" s="239"/>
      <c r="DO243" s="239"/>
      <c r="DP243" s="240"/>
      <c r="DQ243" s="155"/>
      <c r="DR243" s="238"/>
      <c r="DS243" s="239"/>
      <c r="DT243" s="239"/>
      <c r="DU243" s="240"/>
      <c r="DV243" s="155"/>
      <c r="DW243" s="238"/>
      <c r="DX243" s="239"/>
      <c r="DY243" s="239"/>
      <c r="DZ243" s="240"/>
      <c r="EA243" s="155"/>
      <c r="EB243" s="238"/>
      <c r="EC243" s="239"/>
      <c r="ED243" s="239"/>
      <c r="EE243" s="240"/>
      <c r="EF243" s="155"/>
      <c r="EG243" s="238"/>
      <c r="EH243" s="239"/>
      <c r="EI243" s="239"/>
      <c r="EJ243" s="240"/>
      <c r="EK243" s="155"/>
      <c r="EL243" s="238"/>
      <c r="EM243" s="239"/>
      <c r="EN243" s="239"/>
      <c r="EO243" s="240"/>
      <c r="EP243" s="155"/>
      <c r="EQ243" s="238"/>
      <c r="ER243" s="239"/>
      <c r="ES243" s="239"/>
      <c r="ET243" s="240"/>
      <c r="EU243" s="155"/>
      <c r="EV243" s="238"/>
      <c r="EW243" s="239"/>
      <c r="EX243" s="239"/>
      <c r="EY243" s="240"/>
      <c r="EZ243" s="155"/>
      <c r="FA243" s="238"/>
      <c r="FB243" s="239"/>
      <c r="FC243" s="239"/>
      <c r="FD243" s="240"/>
      <c r="FE243" s="155"/>
      <c r="FF243" s="238"/>
      <c r="FG243" s="239"/>
      <c r="FH243" s="239"/>
      <c r="FI243" s="240"/>
      <c r="FJ243" s="155"/>
      <c r="FK243" s="238"/>
      <c r="FL243" s="239"/>
      <c r="FM243" s="239"/>
      <c r="FN243" s="240"/>
      <c r="FO243" s="155"/>
      <c r="FP243" s="238"/>
      <c r="FQ243" s="239"/>
      <c r="FR243" s="239"/>
      <c r="FS243" s="240"/>
      <c r="FT243" s="155"/>
      <c r="FU243" s="238"/>
      <c r="FV243" s="239"/>
      <c r="FW243" s="239"/>
      <c r="FX243" s="240"/>
      <c r="FY243" s="155"/>
      <c r="FZ243" s="238"/>
      <c r="GA243" s="239"/>
      <c r="GB243" s="239"/>
      <c r="GC243" s="240"/>
      <c r="GD243" s="155"/>
      <c r="GE243" s="238"/>
      <c r="GF243" s="239"/>
      <c r="GG243" s="239"/>
      <c r="GH243" s="240"/>
      <c r="GI243" s="155"/>
      <c r="GJ243" s="1562"/>
      <c r="GK243" s="239"/>
      <c r="GL243" s="239"/>
      <c r="GM243" s="240"/>
      <c r="GN243" s="155"/>
      <c r="GO243" s="238"/>
      <c r="GP243" s="239"/>
      <c r="GQ243" s="239"/>
      <c r="GR243" s="240"/>
      <c r="GS243" s="155"/>
      <c r="GT243" s="238"/>
      <c r="GU243" s="239"/>
      <c r="GV243" s="239"/>
      <c r="GW243" s="240"/>
      <c r="GX243" s="155"/>
      <c r="GY243" s="238"/>
      <c r="GZ243" s="239"/>
      <c r="HA243" s="239"/>
      <c r="HB243" s="240"/>
      <c r="HC243" s="155"/>
      <c r="HD243" s="238"/>
      <c r="HE243" s="239"/>
      <c r="HF243" s="239"/>
      <c r="HG243" s="240"/>
      <c r="HH243" s="155"/>
      <c r="HI243" s="238"/>
      <c r="HJ243" s="239"/>
      <c r="HK243" s="239"/>
      <c r="HL243" s="240"/>
      <c r="HM243" s="155"/>
      <c r="HN243" s="238"/>
      <c r="HO243" s="239"/>
      <c r="HP243" s="239"/>
      <c r="HQ243" s="240"/>
      <c r="HR243" s="155"/>
      <c r="HS243" s="238"/>
      <c r="HT243" s="239"/>
      <c r="HU243" s="239"/>
      <c r="HV243" s="240"/>
      <c r="HW243" s="155"/>
      <c r="HX243" s="238"/>
      <c r="HY243" s="239"/>
      <c r="HZ243" s="239"/>
      <c r="IA243" s="240"/>
      <c r="IB243" s="155"/>
      <c r="IC243" s="238"/>
      <c r="ID243" s="239"/>
      <c r="IE243" s="239"/>
      <c r="IF243" s="240"/>
      <c r="IG243" s="155"/>
      <c r="IH243" s="238"/>
      <c r="II243" s="239"/>
      <c r="IJ243" s="239"/>
      <c r="IK243" s="240"/>
      <c r="IL243" s="155"/>
      <c r="IM243" s="238"/>
      <c r="IN243" s="239"/>
      <c r="IO243" s="239"/>
      <c r="IP243" s="240"/>
      <c r="IQ243" s="155"/>
    </row>
    <row r="244" spans="2:251" ht="15" customHeight="1">
      <c r="B244" s="155"/>
      <c r="C244" s="155"/>
      <c r="D244" s="236"/>
      <c r="E244" s="237"/>
      <c r="F244" s="312"/>
      <c r="G244" s="330"/>
      <c r="H244" s="239"/>
      <c r="I244" s="239"/>
      <c r="J244" s="240"/>
      <c r="K244" s="331"/>
      <c r="L244" s="330"/>
      <c r="M244" s="239"/>
      <c r="N244" s="239"/>
      <c r="O244" s="240"/>
      <c r="P244" s="331"/>
      <c r="Q244" s="330"/>
      <c r="R244" s="239"/>
      <c r="S244" s="239"/>
      <c r="T244" s="240"/>
      <c r="U244" s="331"/>
      <c r="V244" s="323"/>
      <c r="W244" s="239"/>
      <c r="X244" s="239"/>
      <c r="Y244" s="240"/>
      <c r="Z244" s="240"/>
      <c r="AA244" s="238"/>
      <c r="AB244" s="239"/>
      <c r="AC244" s="239"/>
      <c r="AD244" s="240"/>
      <c r="AE244" s="240"/>
      <c r="AF244" s="238"/>
      <c r="AG244" s="239"/>
      <c r="AH244" s="239"/>
      <c r="AI244" s="240"/>
      <c r="AJ244" s="155"/>
      <c r="AK244" s="238"/>
      <c r="AL244" s="239"/>
      <c r="AM244" s="239"/>
      <c r="AN244" s="240"/>
      <c r="AO244" s="155"/>
      <c r="AP244" s="238"/>
      <c r="AQ244" s="239"/>
      <c r="AR244" s="239"/>
      <c r="AS244" s="240"/>
      <c r="AT244" s="155"/>
      <c r="AU244" s="238"/>
      <c r="AV244" s="239"/>
      <c r="AW244" s="239"/>
      <c r="AX244" s="240"/>
      <c r="AY244" s="155"/>
      <c r="AZ244" s="238"/>
      <c r="BA244" s="239"/>
      <c r="BB244" s="239"/>
      <c r="BC244" s="240"/>
      <c r="BD244" s="155"/>
      <c r="BE244" s="238"/>
      <c r="BF244" s="239"/>
      <c r="BG244" s="239"/>
      <c r="BH244" s="240"/>
      <c r="BI244" s="155"/>
      <c r="BJ244" s="238"/>
      <c r="BK244" s="239"/>
      <c r="BL244" s="239"/>
      <c r="BM244" s="240"/>
      <c r="BN244" s="155"/>
      <c r="BO244" s="238"/>
      <c r="BP244" s="239"/>
      <c r="BQ244" s="239"/>
      <c r="BR244" s="240"/>
      <c r="BS244" s="155"/>
      <c r="BT244" s="238"/>
      <c r="BU244" s="239"/>
      <c r="BV244" s="239"/>
      <c r="BW244" s="240"/>
      <c r="BX244" s="155"/>
      <c r="BY244" s="238"/>
      <c r="BZ244" s="239"/>
      <c r="CA244" s="239"/>
      <c r="CB244" s="240"/>
      <c r="CC244" s="155"/>
      <c r="CD244" s="238"/>
      <c r="CE244" s="239"/>
      <c r="CF244" s="239"/>
      <c r="CG244" s="240"/>
      <c r="CH244" s="155"/>
      <c r="CI244" s="238"/>
      <c r="CJ244" s="239"/>
      <c r="CK244" s="239"/>
      <c r="CL244" s="240"/>
      <c r="CM244" s="155"/>
      <c r="CN244" s="238"/>
      <c r="CO244" s="239"/>
      <c r="CP244" s="239"/>
      <c r="CQ244" s="240"/>
      <c r="CR244" s="155"/>
      <c r="CS244" s="238"/>
      <c r="CT244" s="239"/>
      <c r="CU244" s="239"/>
      <c r="CV244" s="240"/>
      <c r="CW244" s="155"/>
      <c r="CX244" s="238"/>
      <c r="CY244" s="239"/>
      <c r="CZ244" s="239"/>
      <c r="DA244" s="240"/>
      <c r="DB244" s="155"/>
      <c r="DC244" s="238"/>
      <c r="DD244" s="239"/>
      <c r="DE244" s="239"/>
      <c r="DF244" s="240"/>
      <c r="DG244" s="155"/>
      <c r="DH244" s="238"/>
      <c r="DI244" s="239"/>
      <c r="DJ244" s="239"/>
      <c r="DK244" s="240"/>
      <c r="DL244" s="155"/>
      <c r="DM244" s="238"/>
      <c r="DN244" s="239"/>
      <c r="DO244" s="239"/>
      <c r="DP244" s="240"/>
      <c r="DQ244" s="155"/>
      <c r="DR244" s="238"/>
      <c r="DS244" s="239"/>
      <c r="DT244" s="239"/>
      <c r="DU244" s="240"/>
      <c r="DV244" s="155"/>
      <c r="DW244" s="238"/>
      <c r="DX244" s="239"/>
      <c r="DY244" s="239"/>
      <c r="DZ244" s="240"/>
      <c r="EA244" s="155"/>
      <c r="EB244" s="238"/>
      <c r="EC244" s="239"/>
      <c r="ED244" s="239"/>
      <c r="EE244" s="240"/>
      <c r="EF244" s="155"/>
      <c r="EG244" s="238"/>
      <c r="EH244" s="239"/>
      <c r="EI244" s="239"/>
      <c r="EJ244" s="240"/>
      <c r="EK244" s="155"/>
      <c r="EL244" s="238"/>
      <c r="EM244" s="239"/>
      <c r="EN244" s="239"/>
      <c r="EO244" s="240"/>
      <c r="EP244" s="155"/>
      <c r="EQ244" s="238"/>
      <c r="ER244" s="239"/>
      <c r="ES244" s="239"/>
      <c r="ET244" s="240"/>
      <c r="EU244" s="155"/>
      <c r="EV244" s="238"/>
      <c r="EW244" s="239"/>
      <c r="EX244" s="239"/>
      <c r="EY244" s="240"/>
      <c r="EZ244" s="155"/>
      <c r="FA244" s="238"/>
      <c r="FB244" s="239"/>
      <c r="FC244" s="239"/>
      <c r="FD244" s="240"/>
      <c r="FE244" s="155"/>
      <c r="FF244" s="238"/>
      <c r="FG244" s="239"/>
      <c r="FH244" s="239"/>
      <c r="FI244" s="240"/>
      <c r="FJ244" s="155"/>
      <c r="FK244" s="238"/>
      <c r="FL244" s="239"/>
      <c r="FM244" s="239"/>
      <c r="FN244" s="240"/>
      <c r="FO244" s="155"/>
      <c r="FP244" s="238"/>
      <c r="FQ244" s="239"/>
      <c r="FR244" s="239"/>
      <c r="FS244" s="240"/>
      <c r="FT244" s="155"/>
      <c r="FU244" s="238"/>
      <c r="FV244" s="239"/>
      <c r="FW244" s="239"/>
      <c r="FX244" s="240"/>
      <c r="FY244" s="155"/>
      <c r="FZ244" s="238"/>
      <c r="GA244" s="239"/>
      <c r="GB244" s="239"/>
      <c r="GC244" s="240"/>
      <c r="GD244" s="155"/>
      <c r="GE244" s="238"/>
      <c r="GF244" s="239"/>
      <c r="GG244" s="239"/>
      <c r="GH244" s="240"/>
      <c r="GI244" s="155"/>
      <c r="GJ244" s="1562"/>
      <c r="GK244" s="239"/>
      <c r="GL244" s="239"/>
      <c r="GM244" s="240"/>
      <c r="GN244" s="155"/>
      <c r="GO244" s="238"/>
      <c r="GP244" s="239"/>
      <c r="GQ244" s="239"/>
      <c r="GR244" s="240"/>
      <c r="GS244" s="155"/>
      <c r="GT244" s="238"/>
      <c r="GU244" s="239"/>
      <c r="GV244" s="239"/>
      <c r="GW244" s="240"/>
      <c r="GX244" s="155"/>
      <c r="GY244" s="238"/>
      <c r="GZ244" s="239"/>
      <c r="HA244" s="239"/>
      <c r="HB244" s="240"/>
      <c r="HC244" s="155"/>
      <c r="HD244" s="238"/>
      <c r="HE244" s="239"/>
      <c r="HF244" s="239"/>
      <c r="HG244" s="240"/>
      <c r="HH244" s="155"/>
      <c r="HI244" s="238"/>
      <c r="HJ244" s="239"/>
      <c r="HK244" s="239"/>
      <c r="HL244" s="240"/>
      <c r="HM244" s="155"/>
      <c r="HN244" s="238"/>
      <c r="HO244" s="239"/>
      <c r="HP244" s="239"/>
      <c r="HQ244" s="240"/>
      <c r="HR244" s="155"/>
      <c r="HS244" s="238"/>
      <c r="HT244" s="239"/>
      <c r="HU244" s="239"/>
      <c r="HV244" s="240"/>
      <c r="HW244" s="155"/>
      <c r="HX244" s="238"/>
      <c r="HY244" s="239"/>
      <c r="HZ244" s="239"/>
      <c r="IA244" s="240"/>
      <c r="IB244" s="155"/>
      <c r="IC244" s="238"/>
      <c r="ID244" s="239"/>
      <c r="IE244" s="239"/>
      <c r="IF244" s="240"/>
      <c r="IG244" s="155"/>
      <c r="IH244" s="238"/>
      <c r="II244" s="239"/>
      <c r="IJ244" s="239"/>
      <c r="IK244" s="240"/>
      <c r="IL244" s="155"/>
      <c r="IM244" s="238"/>
      <c r="IN244" s="239"/>
      <c r="IO244" s="239"/>
      <c r="IP244" s="240"/>
      <c r="IQ244" s="155"/>
    </row>
    <row r="245" spans="2:251" ht="15" customHeight="1">
      <c r="B245" s="155"/>
      <c r="C245" s="155"/>
      <c r="D245" s="236"/>
      <c r="E245" s="237"/>
      <c r="F245" s="312"/>
      <c r="G245" s="330"/>
      <c r="H245" s="239"/>
      <c r="I245" s="239"/>
      <c r="J245" s="240"/>
      <c r="K245" s="331"/>
      <c r="L245" s="330"/>
      <c r="M245" s="239"/>
      <c r="N245" s="239"/>
      <c r="O245" s="240"/>
      <c r="P245" s="331"/>
      <c r="Q245" s="330"/>
      <c r="R245" s="239"/>
      <c r="S245" s="239"/>
      <c r="T245" s="240"/>
      <c r="U245" s="331"/>
      <c r="V245" s="323"/>
      <c r="W245" s="239"/>
      <c r="X245" s="239"/>
      <c r="Y245" s="240"/>
      <c r="Z245" s="240"/>
      <c r="AA245" s="238"/>
      <c r="AB245" s="239"/>
      <c r="AC245" s="239"/>
      <c r="AD245" s="240"/>
      <c r="AE245" s="240"/>
      <c r="AF245" s="238"/>
      <c r="AG245" s="239"/>
      <c r="AH245" s="239"/>
      <c r="AI245" s="240"/>
      <c r="AJ245" s="155"/>
      <c r="AK245" s="238"/>
      <c r="AL245" s="239"/>
      <c r="AM245" s="239"/>
      <c r="AN245" s="240"/>
      <c r="AO245" s="155"/>
      <c r="AP245" s="238"/>
      <c r="AQ245" s="239"/>
      <c r="AR245" s="239"/>
      <c r="AS245" s="240"/>
      <c r="AT245" s="155"/>
      <c r="AU245" s="238"/>
      <c r="AV245" s="239"/>
      <c r="AW245" s="239"/>
      <c r="AX245" s="240"/>
      <c r="AY245" s="155"/>
      <c r="AZ245" s="238"/>
      <c r="BA245" s="239"/>
      <c r="BB245" s="239"/>
      <c r="BC245" s="240"/>
      <c r="BD245" s="155"/>
      <c r="BE245" s="238"/>
      <c r="BF245" s="239"/>
      <c r="BG245" s="239"/>
      <c r="BH245" s="240"/>
      <c r="BI245" s="155"/>
      <c r="BJ245" s="238"/>
      <c r="BK245" s="239"/>
      <c r="BL245" s="239"/>
      <c r="BM245" s="240"/>
      <c r="BN245" s="155"/>
      <c r="BO245" s="238"/>
      <c r="BP245" s="239"/>
      <c r="BQ245" s="239"/>
      <c r="BR245" s="240"/>
      <c r="BS245" s="155"/>
      <c r="BT245" s="238"/>
      <c r="BU245" s="239"/>
      <c r="BV245" s="239"/>
      <c r="BW245" s="240"/>
      <c r="BX245" s="155"/>
      <c r="BY245" s="238"/>
      <c r="BZ245" s="239"/>
      <c r="CA245" s="239"/>
      <c r="CB245" s="240"/>
      <c r="CC245" s="155"/>
      <c r="CD245" s="238"/>
      <c r="CE245" s="239"/>
      <c r="CF245" s="239"/>
      <c r="CG245" s="240"/>
      <c r="CH245" s="155"/>
      <c r="CI245" s="238"/>
      <c r="CJ245" s="239"/>
      <c r="CK245" s="239"/>
      <c r="CL245" s="240"/>
      <c r="CM245" s="155"/>
      <c r="CN245" s="238"/>
      <c r="CO245" s="239"/>
      <c r="CP245" s="239"/>
      <c r="CQ245" s="240"/>
      <c r="CR245" s="155"/>
      <c r="CS245" s="238"/>
      <c r="CT245" s="239"/>
      <c r="CU245" s="239"/>
      <c r="CV245" s="240"/>
      <c r="CW245" s="155"/>
      <c r="CX245" s="238"/>
      <c r="CY245" s="239"/>
      <c r="CZ245" s="239"/>
      <c r="DA245" s="240"/>
      <c r="DB245" s="155"/>
      <c r="DC245" s="238"/>
      <c r="DD245" s="239"/>
      <c r="DE245" s="239"/>
      <c r="DF245" s="240"/>
      <c r="DG245" s="155"/>
      <c r="DH245" s="238"/>
      <c r="DI245" s="239"/>
      <c r="DJ245" s="239"/>
      <c r="DK245" s="240"/>
      <c r="DL245" s="155"/>
      <c r="DM245" s="238"/>
      <c r="DN245" s="239"/>
      <c r="DO245" s="239"/>
      <c r="DP245" s="240"/>
      <c r="DQ245" s="155"/>
      <c r="DR245" s="238"/>
      <c r="DS245" s="239"/>
      <c r="DT245" s="239"/>
      <c r="DU245" s="240"/>
      <c r="DV245" s="155"/>
      <c r="DW245" s="238"/>
      <c r="DX245" s="239"/>
      <c r="DY245" s="239"/>
      <c r="DZ245" s="240"/>
      <c r="EA245" s="155"/>
      <c r="EB245" s="238"/>
      <c r="EC245" s="239"/>
      <c r="ED245" s="239"/>
      <c r="EE245" s="240"/>
      <c r="EF245" s="155"/>
      <c r="EG245" s="238"/>
      <c r="EH245" s="239"/>
      <c r="EI245" s="239"/>
      <c r="EJ245" s="240"/>
      <c r="EK245" s="155"/>
      <c r="EL245" s="238"/>
      <c r="EM245" s="239"/>
      <c r="EN245" s="239"/>
      <c r="EO245" s="240"/>
      <c r="EP245" s="155"/>
      <c r="EQ245" s="238"/>
      <c r="ER245" s="239"/>
      <c r="ES245" s="239"/>
      <c r="ET245" s="240"/>
      <c r="EU245" s="155"/>
      <c r="EV245" s="238"/>
      <c r="EW245" s="239"/>
      <c r="EX245" s="239"/>
      <c r="EY245" s="240"/>
      <c r="EZ245" s="155"/>
      <c r="FA245" s="238"/>
      <c r="FB245" s="239"/>
      <c r="FC245" s="239"/>
      <c r="FD245" s="240"/>
      <c r="FE245" s="155"/>
      <c r="FF245" s="238"/>
      <c r="FG245" s="239"/>
      <c r="FH245" s="239"/>
      <c r="FI245" s="240"/>
      <c r="FJ245" s="155"/>
      <c r="FK245" s="238"/>
      <c r="FL245" s="239"/>
      <c r="FM245" s="239"/>
      <c r="FN245" s="240"/>
      <c r="FO245" s="155"/>
      <c r="FP245" s="238"/>
      <c r="FQ245" s="239"/>
      <c r="FR245" s="239"/>
      <c r="FS245" s="240"/>
      <c r="FT245" s="155"/>
      <c r="FU245" s="238"/>
      <c r="FV245" s="239"/>
      <c r="FW245" s="239"/>
      <c r="FX245" s="240"/>
      <c r="FY245" s="155"/>
      <c r="FZ245" s="238"/>
      <c r="GA245" s="239"/>
      <c r="GB245" s="239"/>
      <c r="GC245" s="240"/>
      <c r="GD245" s="155"/>
      <c r="GE245" s="238"/>
      <c r="GF245" s="239"/>
      <c r="GG245" s="239"/>
      <c r="GH245" s="240"/>
      <c r="GI245" s="155"/>
      <c r="GJ245" s="1562"/>
      <c r="GK245" s="239"/>
      <c r="GL245" s="239"/>
      <c r="GM245" s="240"/>
      <c r="GN245" s="155"/>
      <c r="GO245" s="238"/>
      <c r="GP245" s="239"/>
      <c r="GQ245" s="239"/>
      <c r="GR245" s="240"/>
      <c r="GS245" s="155"/>
      <c r="GT245" s="238"/>
      <c r="GU245" s="239"/>
      <c r="GV245" s="239"/>
      <c r="GW245" s="240"/>
      <c r="GX245" s="155"/>
      <c r="GY245" s="238"/>
      <c r="GZ245" s="239"/>
      <c r="HA245" s="239"/>
      <c r="HB245" s="240"/>
      <c r="HC245" s="155"/>
      <c r="HD245" s="238"/>
      <c r="HE245" s="239"/>
      <c r="HF245" s="239"/>
      <c r="HG245" s="240"/>
      <c r="HH245" s="155"/>
      <c r="HI245" s="238"/>
      <c r="HJ245" s="239"/>
      <c r="HK245" s="239"/>
      <c r="HL245" s="240"/>
      <c r="HM245" s="155"/>
      <c r="HN245" s="238"/>
      <c r="HO245" s="239"/>
      <c r="HP245" s="239"/>
      <c r="HQ245" s="240"/>
      <c r="HR245" s="155"/>
      <c r="HS245" s="238"/>
      <c r="HT245" s="239"/>
      <c r="HU245" s="239"/>
      <c r="HV245" s="240"/>
      <c r="HW245" s="155"/>
      <c r="HX245" s="238"/>
      <c r="HY245" s="239"/>
      <c r="HZ245" s="239"/>
      <c r="IA245" s="240"/>
      <c r="IB245" s="155"/>
      <c r="IC245" s="238"/>
      <c r="ID245" s="239"/>
      <c r="IE245" s="239"/>
      <c r="IF245" s="240"/>
      <c r="IG245" s="155"/>
      <c r="IH245" s="238"/>
      <c r="II245" s="239"/>
      <c r="IJ245" s="239"/>
      <c r="IK245" s="240"/>
      <c r="IL245" s="155"/>
      <c r="IM245" s="238"/>
      <c r="IN245" s="239"/>
      <c r="IO245" s="239"/>
      <c r="IP245" s="240"/>
      <c r="IQ245" s="155"/>
    </row>
    <row r="246" spans="2:251" ht="15" customHeight="1">
      <c r="B246" s="155"/>
      <c r="C246" s="155"/>
      <c r="D246" s="236"/>
      <c r="E246" s="237"/>
      <c r="F246" s="312"/>
      <c r="G246" s="330"/>
      <c r="H246" s="239"/>
      <c r="I246" s="239"/>
      <c r="J246" s="240"/>
      <c r="K246" s="331"/>
      <c r="L246" s="330"/>
      <c r="M246" s="239"/>
      <c r="N246" s="239"/>
      <c r="O246" s="240"/>
      <c r="P246" s="331"/>
      <c r="Q246" s="330"/>
      <c r="R246" s="239"/>
      <c r="S246" s="239"/>
      <c r="T246" s="240"/>
      <c r="U246" s="331"/>
      <c r="V246" s="323"/>
      <c r="W246" s="239"/>
      <c r="X246" s="239"/>
      <c r="Y246" s="240"/>
      <c r="Z246" s="240"/>
      <c r="AA246" s="238"/>
      <c r="AB246" s="239"/>
      <c r="AC246" s="239"/>
      <c r="AD246" s="240"/>
      <c r="AE246" s="240"/>
      <c r="AF246" s="238"/>
      <c r="AG246" s="239"/>
      <c r="AH246" s="239"/>
      <c r="AI246" s="240"/>
      <c r="AJ246" s="155"/>
      <c r="AK246" s="238"/>
      <c r="AL246" s="239"/>
      <c r="AM246" s="239"/>
      <c r="AN246" s="240"/>
      <c r="AO246" s="155"/>
      <c r="AP246" s="238"/>
      <c r="AQ246" s="239"/>
      <c r="AR246" s="239"/>
      <c r="AS246" s="240"/>
      <c r="AT246" s="155"/>
      <c r="AU246" s="238"/>
      <c r="AV246" s="239"/>
      <c r="AW246" s="239"/>
      <c r="AX246" s="240"/>
      <c r="AY246" s="155"/>
      <c r="AZ246" s="238"/>
      <c r="BA246" s="239"/>
      <c r="BB246" s="239"/>
      <c r="BC246" s="240"/>
      <c r="BD246" s="155"/>
      <c r="BE246" s="238"/>
      <c r="BF246" s="239"/>
      <c r="BG246" s="239"/>
      <c r="BH246" s="240"/>
      <c r="BI246" s="155"/>
      <c r="BJ246" s="238"/>
      <c r="BK246" s="239"/>
      <c r="BL246" s="239"/>
      <c r="BM246" s="240"/>
      <c r="BN246" s="155"/>
      <c r="BO246" s="238"/>
      <c r="BP246" s="239"/>
      <c r="BQ246" s="239"/>
      <c r="BR246" s="240"/>
      <c r="BS246" s="155"/>
      <c r="BT246" s="238"/>
      <c r="BU246" s="239"/>
      <c r="BV246" s="239"/>
      <c r="BW246" s="240"/>
      <c r="BX246" s="155"/>
      <c r="BY246" s="238"/>
      <c r="BZ246" s="239"/>
      <c r="CA246" s="239"/>
      <c r="CB246" s="240"/>
      <c r="CC246" s="155"/>
      <c r="CD246" s="238"/>
      <c r="CE246" s="239"/>
      <c r="CF246" s="239"/>
      <c r="CG246" s="240"/>
      <c r="CH246" s="155"/>
      <c r="CI246" s="238"/>
      <c r="CJ246" s="239"/>
      <c r="CK246" s="239"/>
      <c r="CL246" s="240"/>
      <c r="CM246" s="155"/>
      <c r="CN246" s="238"/>
      <c r="CO246" s="239"/>
      <c r="CP246" s="239"/>
      <c r="CQ246" s="240"/>
      <c r="CR246" s="155"/>
      <c r="CS246" s="238"/>
      <c r="CT246" s="239"/>
      <c r="CU246" s="239"/>
      <c r="CV246" s="240"/>
      <c r="CW246" s="155"/>
      <c r="CX246" s="238"/>
      <c r="CY246" s="239"/>
      <c r="CZ246" s="239"/>
      <c r="DA246" s="240"/>
      <c r="DB246" s="155"/>
      <c r="DC246" s="238"/>
      <c r="DD246" s="239"/>
      <c r="DE246" s="239"/>
      <c r="DF246" s="240"/>
      <c r="DG246" s="155"/>
      <c r="DH246" s="238"/>
      <c r="DI246" s="239"/>
      <c r="DJ246" s="239"/>
      <c r="DK246" s="240"/>
      <c r="DL246" s="155"/>
      <c r="DM246" s="238"/>
      <c r="DN246" s="239"/>
      <c r="DO246" s="239"/>
      <c r="DP246" s="240"/>
      <c r="DQ246" s="155"/>
      <c r="DR246" s="238"/>
      <c r="DS246" s="239"/>
      <c r="DT246" s="239"/>
      <c r="DU246" s="240"/>
      <c r="DV246" s="155"/>
      <c r="DW246" s="238"/>
      <c r="DX246" s="239"/>
      <c r="DY246" s="239"/>
      <c r="DZ246" s="240"/>
      <c r="EA246" s="155"/>
      <c r="EB246" s="238"/>
      <c r="EC246" s="239"/>
      <c r="ED246" s="239"/>
      <c r="EE246" s="240"/>
      <c r="EF246" s="155"/>
      <c r="EG246" s="238"/>
      <c r="EH246" s="239"/>
      <c r="EI246" s="239"/>
      <c r="EJ246" s="240"/>
      <c r="EK246" s="155"/>
      <c r="EL246" s="238"/>
      <c r="EM246" s="239"/>
      <c r="EN246" s="239"/>
      <c r="EO246" s="240"/>
      <c r="EP246" s="155"/>
      <c r="EQ246" s="238"/>
      <c r="ER246" s="239"/>
      <c r="ES246" s="239"/>
      <c r="ET246" s="240"/>
      <c r="EU246" s="155"/>
      <c r="EV246" s="238"/>
      <c r="EW246" s="239"/>
      <c r="EX246" s="239"/>
      <c r="EY246" s="240"/>
      <c r="EZ246" s="155"/>
      <c r="FA246" s="238"/>
      <c r="FB246" s="239"/>
      <c r="FC246" s="239"/>
      <c r="FD246" s="240"/>
      <c r="FE246" s="155"/>
      <c r="FF246" s="238"/>
      <c r="FG246" s="239"/>
      <c r="FH246" s="239"/>
      <c r="FI246" s="240"/>
      <c r="FJ246" s="155"/>
      <c r="FK246" s="238"/>
      <c r="FL246" s="239"/>
      <c r="FM246" s="239"/>
      <c r="FN246" s="240"/>
      <c r="FO246" s="155"/>
      <c r="FP246" s="238"/>
      <c r="FQ246" s="239"/>
      <c r="FR246" s="239"/>
      <c r="FS246" s="240"/>
      <c r="FT246" s="155"/>
      <c r="FU246" s="238"/>
      <c r="FV246" s="239"/>
      <c r="FW246" s="239"/>
      <c r="FX246" s="240"/>
      <c r="FY246" s="155"/>
      <c r="FZ246" s="238"/>
      <c r="GA246" s="239"/>
      <c r="GB246" s="239"/>
      <c r="GC246" s="240"/>
      <c r="GD246" s="155"/>
      <c r="GE246" s="238"/>
      <c r="GF246" s="239"/>
      <c r="GG246" s="239"/>
      <c r="GH246" s="240"/>
      <c r="GI246" s="155"/>
      <c r="GJ246" s="1562"/>
      <c r="GK246" s="239"/>
      <c r="GL246" s="239"/>
      <c r="GM246" s="240"/>
      <c r="GN246" s="155"/>
      <c r="GO246" s="238"/>
      <c r="GP246" s="239"/>
      <c r="GQ246" s="239"/>
      <c r="GR246" s="240"/>
      <c r="GS246" s="155"/>
      <c r="GT246" s="238"/>
      <c r="GU246" s="239"/>
      <c r="GV246" s="239"/>
      <c r="GW246" s="240"/>
      <c r="GX246" s="155"/>
      <c r="GY246" s="238"/>
      <c r="GZ246" s="239"/>
      <c r="HA246" s="239"/>
      <c r="HB246" s="240"/>
      <c r="HC246" s="155"/>
      <c r="HD246" s="238"/>
      <c r="HE246" s="239"/>
      <c r="HF246" s="239"/>
      <c r="HG246" s="240"/>
      <c r="HH246" s="155"/>
      <c r="HI246" s="238"/>
      <c r="HJ246" s="239"/>
      <c r="HK246" s="239"/>
      <c r="HL246" s="240"/>
      <c r="HM246" s="155"/>
      <c r="HN246" s="238"/>
      <c r="HO246" s="239"/>
      <c r="HP246" s="239"/>
      <c r="HQ246" s="240"/>
      <c r="HR246" s="155"/>
      <c r="HS246" s="238"/>
      <c r="HT246" s="239"/>
      <c r="HU246" s="239"/>
      <c r="HV246" s="240"/>
      <c r="HW246" s="155"/>
      <c r="HX246" s="238"/>
      <c r="HY246" s="239"/>
      <c r="HZ246" s="239"/>
      <c r="IA246" s="240"/>
      <c r="IB246" s="155"/>
      <c r="IC246" s="238"/>
      <c r="ID246" s="239"/>
      <c r="IE246" s="239"/>
      <c r="IF246" s="240"/>
      <c r="IG246" s="155"/>
      <c r="IH246" s="238"/>
      <c r="II246" s="239"/>
      <c r="IJ246" s="239"/>
      <c r="IK246" s="240"/>
      <c r="IL246" s="155"/>
      <c r="IM246" s="238"/>
      <c r="IN246" s="239"/>
      <c r="IO246" s="239"/>
      <c r="IP246" s="240"/>
      <c r="IQ246" s="155"/>
    </row>
    <row r="247" spans="2:251" ht="15" customHeight="1">
      <c r="B247" s="155"/>
      <c r="C247" s="155"/>
      <c r="D247" s="236"/>
      <c r="E247" s="237"/>
      <c r="F247" s="312"/>
      <c r="G247" s="330"/>
      <c r="H247" s="239"/>
      <c r="I247" s="239"/>
      <c r="J247" s="240"/>
      <c r="K247" s="331"/>
      <c r="L247" s="330"/>
      <c r="M247" s="239"/>
      <c r="N247" s="239"/>
      <c r="O247" s="240"/>
      <c r="P247" s="331"/>
      <c r="Q247" s="330"/>
      <c r="R247" s="239"/>
      <c r="S247" s="239"/>
      <c r="T247" s="240"/>
      <c r="U247" s="331"/>
      <c r="V247" s="323"/>
      <c r="W247" s="239"/>
      <c r="X247" s="239"/>
      <c r="Y247" s="240"/>
      <c r="Z247" s="240"/>
      <c r="AA247" s="238"/>
      <c r="AB247" s="239"/>
      <c r="AC247" s="239"/>
      <c r="AD247" s="240"/>
      <c r="AE247" s="240"/>
      <c r="AF247" s="238"/>
      <c r="AG247" s="239"/>
      <c r="AH247" s="239"/>
      <c r="AI247" s="240"/>
      <c r="AJ247" s="155"/>
      <c r="AK247" s="238"/>
      <c r="AL247" s="239"/>
      <c r="AM247" s="239"/>
      <c r="AN247" s="240"/>
      <c r="AO247" s="155"/>
      <c r="AP247" s="238"/>
      <c r="AQ247" s="239"/>
      <c r="AR247" s="239"/>
      <c r="AS247" s="240"/>
      <c r="AT247" s="155"/>
      <c r="AU247" s="238"/>
      <c r="AV247" s="239"/>
      <c r="AW247" s="239"/>
      <c r="AX247" s="240"/>
      <c r="AY247" s="155"/>
      <c r="AZ247" s="238"/>
      <c r="BA247" s="239"/>
      <c r="BB247" s="239"/>
      <c r="BC247" s="240"/>
      <c r="BD247" s="155"/>
      <c r="BE247" s="238"/>
      <c r="BF247" s="239"/>
      <c r="BG247" s="239"/>
      <c r="BH247" s="240"/>
      <c r="BI247" s="155"/>
      <c r="BJ247" s="238"/>
      <c r="BK247" s="239"/>
      <c r="BL247" s="239"/>
      <c r="BM247" s="240"/>
      <c r="BN247" s="155"/>
      <c r="BO247" s="238"/>
      <c r="BP247" s="239"/>
      <c r="BQ247" s="239"/>
      <c r="BR247" s="240"/>
      <c r="BS247" s="155"/>
      <c r="BT247" s="238"/>
      <c r="BU247" s="239"/>
      <c r="BV247" s="239"/>
      <c r="BW247" s="240"/>
      <c r="BX247" s="155"/>
      <c r="BY247" s="238"/>
      <c r="BZ247" s="239"/>
      <c r="CA247" s="239"/>
      <c r="CB247" s="240"/>
      <c r="CC247" s="155"/>
      <c r="CD247" s="238"/>
      <c r="CE247" s="239"/>
      <c r="CF247" s="239"/>
      <c r="CG247" s="240"/>
      <c r="CH247" s="155"/>
      <c r="CI247" s="238"/>
      <c r="CJ247" s="239"/>
      <c r="CK247" s="239"/>
      <c r="CL247" s="240"/>
      <c r="CM247" s="155"/>
      <c r="CN247" s="238"/>
      <c r="CO247" s="239"/>
      <c r="CP247" s="239"/>
      <c r="CQ247" s="240"/>
      <c r="CR247" s="155"/>
      <c r="CS247" s="238"/>
      <c r="CT247" s="239"/>
      <c r="CU247" s="239"/>
      <c r="CV247" s="240"/>
      <c r="CW247" s="155"/>
      <c r="CX247" s="238"/>
      <c r="CY247" s="239"/>
      <c r="CZ247" s="239"/>
      <c r="DA247" s="240"/>
      <c r="DB247" s="155"/>
      <c r="DC247" s="238"/>
      <c r="DD247" s="239"/>
      <c r="DE247" s="239"/>
      <c r="DF247" s="240"/>
      <c r="DG247" s="155"/>
      <c r="DH247" s="238"/>
      <c r="DI247" s="239"/>
      <c r="DJ247" s="239"/>
      <c r="DK247" s="240"/>
      <c r="DL247" s="155"/>
      <c r="DM247" s="238"/>
      <c r="DN247" s="239"/>
      <c r="DO247" s="239"/>
      <c r="DP247" s="240"/>
      <c r="DQ247" s="155"/>
      <c r="DR247" s="238"/>
      <c r="DS247" s="239"/>
      <c r="DT247" s="239"/>
      <c r="DU247" s="240"/>
      <c r="DV247" s="155"/>
      <c r="DW247" s="238"/>
      <c r="DX247" s="239"/>
      <c r="DY247" s="239"/>
      <c r="DZ247" s="240"/>
      <c r="EA247" s="155"/>
      <c r="EB247" s="238"/>
      <c r="EC247" s="239"/>
      <c r="ED247" s="239"/>
      <c r="EE247" s="240"/>
      <c r="EF247" s="155"/>
      <c r="EG247" s="238"/>
      <c r="EH247" s="239"/>
      <c r="EI247" s="239"/>
      <c r="EJ247" s="240"/>
      <c r="EK247" s="155"/>
      <c r="EL247" s="238"/>
      <c r="EM247" s="239"/>
      <c r="EN247" s="239"/>
      <c r="EO247" s="240"/>
      <c r="EP247" s="155"/>
      <c r="EQ247" s="238"/>
      <c r="ER247" s="239"/>
      <c r="ES247" s="239"/>
      <c r="ET247" s="240"/>
      <c r="EU247" s="155"/>
      <c r="EV247" s="238"/>
      <c r="EW247" s="239"/>
      <c r="EX247" s="239"/>
      <c r="EY247" s="240"/>
      <c r="EZ247" s="155"/>
      <c r="FA247" s="238"/>
      <c r="FB247" s="239"/>
      <c r="FC247" s="239"/>
      <c r="FD247" s="240"/>
      <c r="FE247" s="155"/>
      <c r="FF247" s="238"/>
      <c r="FG247" s="239"/>
      <c r="FH247" s="239"/>
      <c r="FI247" s="240"/>
      <c r="FJ247" s="155"/>
      <c r="FK247" s="238"/>
      <c r="FL247" s="239"/>
      <c r="FM247" s="239"/>
      <c r="FN247" s="240"/>
      <c r="FO247" s="155"/>
      <c r="FP247" s="238"/>
      <c r="FQ247" s="239"/>
      <c r="FR247" s="239"/>
      <c r="FS247" s="240"/>
      <c r="FT247" s="155"/>
      <c r="FU247" s="238"/>
      <c r="FV247" s="239"/>
      <c r="FW247" s="239"/>
      <c r="FX247" s="240"/>
      <c r="FY247" s="155"/>
      <c r="FZ247" s="238"/>
      <c r="GA247" s="239"/>
      <c r="GB247" s="239"/>
      <c r="GC247" s="240"/>
      <c r="GD247" s="155"/>
      <c r="GE247" s="238"/>
      <c r="GF247" s="239"/>
      <c r="GG247" s="239"/>
      <c r="GH247" s="240"/>
      <c r="GI247" s="155"/>
      <c r="GJ247" s="1562"/>
      <c r="GK247" s="239"/>
      <c r="GL247" s="239"/>
      <c r="GM247" s="240"/>
      <c r="GN247" s="155"/>
      <c r="GO247" s="238"/>
      <c r="GP247" s="239"/>
      <c r="GQ247" s="239"/>
      <c r="GR247" s="240"/>
      <c r="GS247" s="155"/>
      <c r="GT247" s="238"/>
      <c r="GU247" s="239"/>
      <c r="GV247" s="239"/>
      <c r="GW247" s="240"/>
      <c r="GX247" s="155"/>
      <c r="GY247" s="238"/>
      <c r="GZ247" s="239"/>
      <c r="HA247" s="239"/>
      <c r="HB247" s="240"/>
      <c r="HC247" s="155"/>
      <c r="HD247" s="238"/>
      <c r="HE247" s="239"/>
      <c r="HF247" s="239"/>
      <c r="HG247" s="240"/>
      <c r="HH247" s="155"/>
      <c r="HI247" s="238"/>
      <c r="HJ247" s="239"/>
      <c r="HK247" s="239"/>
      <c r="HL247" s="240"/>
      <c r="HM247" s="155"/>
      <c r="HN247" s="238"/>
      <c r="HO247" s="239"/>
      <c r="HP247" s="239"/>
      <c r="HQ247" s="240"/>
      <c r="HR247" s="155"/>
      <c r="HS247" s="238"/>
      <c r="HT247" s="239"/>
      <c r="HU247" s="239"/>
      <c r="HV247" s="240"/>
      <c r="HW247" s="155"/>
      <c r="HX247" s="238"/>
      <c r="HY247" s="239"/>
      <c r="HZ247" s="239"/>
      <c r="IA247" s="240"/>
      <c r="IB247" s="155"/>
      <c r="IC247" s="238"/>
      <c r="ID247" s="239"/>
      <c r="IE247" s="239"/>
      <c r="IF247" s="240"/>
      <c r="IG247" s="155"/>
      <c r="IH247" s="238"/>
      <c r="II247" s="239"/>
      <c r="IJ247" s="239"/>
      <c r="IK247" s="240"/>
      <c r="IL247" s="155"/>
      <c r="IM247" s="238"/>
      <c r="IN247" s="239"/>
      <c r="IO247" s="239"/>
      <c r="IP247" s="240"/>
      <c r="IQ247" s="155"/>
    </row>
    <row r="248" spans="2:251" ht="15" customHeight="1">
      <c r="B248" s="155"/>
      <c r="C248" s="155"/>
      <c r="D248" s="236"/>
      <c r="E248" s="237"/>
      <c r="F248" s="312"/>
      <c r="G248" s="330"/>
      <c r="H248" s="239"/>
      <c r="I248" s="239"/>
      <c r="J248" s="240"/>
      <c r="K248" s="331"/>
      <c r="L248" s="330"/>
      <c r="M248" s="239"/>
      <c r="N248" s="239"/>
      <c r="O248" s="240"/>
      <c r="P248" s="331"/>
      <c r="Q248" s="330"/>
      <c r="R248" s="239"/>
      <c r="S248" s="239"/>
      <c r="T248" s="240"/>
      <c r="U248" s="331"/>
      <c r="V248" s="323"/>
      <c r="W248" s="239"/>
      <c r="X248" s="239"/>
      <c r="Y248" s="240"/>
      <c r="Z248" s="240"/>
      <c r="AA248" s="238"/>
      <c r="AB248" s="239"/>
      <c r="AC248" s="239"/>
      <c r="AD248" s="240"/>
      <c r="AE248" s="240"/>
      <c r="AF248" s="238"/>
      <c r="AG248" s="239"/>
      <c r="AH248" s="239"/>
      <c r="AI248" s="240"/>
      <c r="AJ248" s="155"/>
      <c r="AK248" s="238"/>
      <c r="AL248" s="239"/>
      <c r="AM248" s="239"/>
      <c r="AN248" s="240"/>
      <c r="AO248" s="155"/>
      <c r="AP248" s="238"/>
      <c r="AQ248" s="239"/>
      <c r="AR248" s="239"/>
      <c r="AS248" s="240"/>
      <c r="AT248" s="155"/>
      <c r="AU248" s="238"/>
      <c r="AV248" s="239"/>
      <c r="AW248" s="239"/>
      <c r="AX248" s="240"/>
      <c r="AY248" s="155"/>
      <c r="AZ248" s="238"/>
      <c r="BA248" s="239"/>
      <c r="BB248" s="239"/>
      <c r="BC248" s="240"/>
      <c r="BD248" s="155"/>
      <c r="BE248" s="238"/>
      <c r="BF248" s="239"/>
      <c r="BG248" s="239"/>
      <c r="BH248" s="240"/>
      <c r="BI248" s="155"/>
      <c r="BJ248" s="238"/>
      <c r="BK248" s="239"/>
      <c r="BL248" s="239"/>
      <c r="BM248" s="240"/>
      <c r="BN248" s="155"/>
      <c r="BO248" s="238"/>
      <c r="BP248" s="239"/>
      <c r="BQ248" s="239"/>
      <c r="BR248" s="240"/>
      <c r="BS248" s="155"/>
      <c r="BT248" s="238"/>
      <c r="BU248" s="239"/>
      <c r="BV248" s="239"/>
      <c r="BW248" s="240"/>
      <c r="BX248" s="155"/>
      <c r="BY248" s="238"/>
      <c r="BZ248" s="239"/>
      <c r="CA248" s="239"/>
      <c r="CB248" s="240"/>
      <c r="CC248" s="155"/>
      <c r="CD248" s="238"/>
      <c r="CE248" s="239"/>
      <c r="CF248" s="239"/>
      <c r="CG248" s="240"/>
      <c r="CH248" s="155"/>
      <c r="CI248" s="238"/>
      <c r="CJ248" s="239"/>
      <c r="CK248" s="239"/>
      <c r="CL248" s="240"/>
      <c r="CM248" s="155"/>
      <c r="CN248" s="238"/>
      <c r="CO248" s="239"/>
      <c r="CP248" s="239"/>
      <c r="CQ248" s="240"/>
      <c r="CR248" s="155"/>
      <c r="CS248" s="238"/>
      <c r="CT248" s="239"/>
      <c r="CU248" s="239"/>
      <c r="CV248" s="240"/>
      <c r="CW248" s="155"/>
      <c r="CX248" s="238"/>
      <c r="CY248" s="239"/>
      <c r="CZ248" s="239"/>
      <c r="DA248" s="240"/>
      <c r="DB248" s="155"/>
      <c r="DC248" s="238"/>
      <c r="DD248" s="239"/>
      <c r="DE248" s="239"/>
      <c r="DF248" s="240"/>
      <c r="DG248" s="155"/>
      <c r="DH248" s="238"/>
      <c r="DI248" s="239"/>
      <c r="DJ248" s="239"/>
      <c r="DK248" s="240"/>
      <c r="DL248" s="155"/>
      <c r="DM248" s="238"/>
      <c r="DN248" s="239"/>
      <c r="DO248" s="239"/>
      <c r="DP248" s="240"/>
      <c r="DQ248" s="155"/>
      <c r="DR248" s="238"/>
      <c r="DS248" s="239"/>
      <c r="DT248" s="239"/>
      <c r="DU248" s="240"/>
      <c r="DV248" s="155"/>
      <c r="DW248" s="238"/>
      <c r="DX248" s="239"/>
      <c r="DY248" s="239"/>
      <c r="DZ248" s="240"/>
      <c r="EA248" s="155"/>
      <c r="EB248" s="238"/>
      <c r="EC248" s="239"/>
      <c r="ED248" s="239"/>
      <c r="EE248" s="240"/>
      <c r="EF248" s="155"/>
      <c r="EG248" s="238"/>
      <c r="EH248" s="239"/>
      <c r="EI248" s="239"/>
      <c r="EJ248" s="240"/>
      <c r="EK248" s="155"/>
      <c r="EL248" s="238"/>
      <c r="EM248" s="239"/>
      <c r="EN248" s="239"/>
      <c r="EO248" s="240"/>
      <c r="EP248" s="155"/>
      <c r="EQ248" s="238"/>
      <c r="ER248" s="239"/>
      <c r="ES248" s="239"/>
      <c r="ET248" s="240"/>
      <c r="EU248" s="155"/>
      <c r="EV248" s="238"/>
      <c r="EW248" s="239"/>
      <c r="EX248" s="239"/>
      <c r="EY248" s="240"/>
      <c r="EZ248" s="155"/>
      <c r="FA248" s="238"/>
      <c r="FB248" s="239"/>
      <c r="FC248" s="239"/>
      <c r="FD248" s="240"/>
      <c r="FE248" s="155"/>
      <c r="FF248" s="238"/>
      <c r="FG248" s="239"/>
      <c r="FH248" s="239"/>
      <c r="FI248" s="240"/>
      <c r="FJ248" s="155"/>
      <c r="FK248" s="238"/>
      <c r="FL248" s="239"/>
      <c r="FM248" s="239"/>
      <c r="FN248" s="240"/>
      <c r="FO248" s="155"/>
      <c r="FP248" s="238"/>
      <c r="FQ248" s="239"/>
      <c r="FR248" s="239"/>
      <c r="FS248" s="240"/>
      <c r="FT248" s="155"/>
      <c r="FU248" s="238"/>
      <c r="FV248" s="239"/>
      <c r="FW248" s="239"/>
      <c r="FX248" s="240"/>
      <c r="FY248" s="155"/>
      <c r="FZ248" s="238"/>
      <c r="GA248" s="239"/>
      <c r="GB248" s="239"/>
      <c r="GC248" s="240"/>
      <c r="GD248" s="155"/>
      <c r="GE248" s="238"/>
      <c r="GF248" s="239"/>
      <c r="GG248" s="239"/>
      <c r="GH248" s="240"/>
      <c r="GI248" s="155"/>
      <c r="GJ248" s="1562"/>
      <c r="GK248" s="239"/>
      <c r="GL248" s="239"/>
      <c r="GM248" s="240"/>
      <c r="GN248" s="155"/>
      <c r="GO248" s="238"/>
      <c r="GP248" s="239"/>
      <c r="GQ248" s="239"/>
      <c r="GR248" s="240"/>
      <c r="GS248" s="155"/>
      <c r="GT248" s="238"/>
      <c r="GU248" s="239"/>
      <c r="GV248" s="239"/>
      <c r="GW248" s="240"/>
      <c r="GX248" s="155"/>
      <c r="GY248" s="238"/>
      <c r="GZ248" s="239"/>
      <c r="HA248" s="239"/>
      <c r="HB248" s="240"/>
      <c r="HC248" s="155"/>
      <c r="HD248" s="238"/>
      <c r="HE248" s="239"/>
      <c r="HF248" s="239"/>
      <c r="HG248" s="240"/>
      <c r="HH248" s="155"/>
      <c r="HI248" s="238"/>
      <c r="HJ248" s="239"/>
      <c r="HK248" s="239"/>
      <c r="HL248" s="240"/>
      <c r="HM248" s="155"/>
      <c r="HN248" s="238"/>
      <c r="HO248" s="239"/>
      <c r="HP248" s="239"/>
      <c r="HQ248" s="240"/>
      <c r="HR248" s="155"/>
      <c r="HS248" s="238"/>
      <c r="HT248" s="239"/>
      <c r="HU248" s="239"/>
      <c r="HV248" s="240"/>
      <c r="HW248" s="155"/>
      <c r="HX248" s="238"/>
      <c r="HY248" s="239"/>
      <c r="HZ248" s="239"/>
      <c r="IA248" s="240"/>
      <c r="IB248" s="155"/>
      <c r="IC248" s="238"/>
      <c r="ID248" s="239"/>
      <c r="IE248" s="239"/>
      <c r="IF248" s="240"/>
      <c r="IG248" s="155"/>
      <c r="IH248" s="238"/>
      <c r="II248" s="239"/>
      <c r="IJ248" s="239"/>
      <c r="IK248" s="240"/>
      <c r="IL248" s="155"/>
      <c r="IM248" s="238"/>
      <c r="IN248" s="239"/>
      <c r="IO248" s="239"/>
      <c r="IP248" s="240"/>
      <c r="IQ248" s="155"/>
    </row>
    <row r="249" spans="2:251" ht="15" customHeight="1">
      <c r="B249" s="155"/>
      <c r="C249" s="155"/>
      <c r="D249" s="236"/>
      <c r="E249" s="237"/>
      <c r="F249" s="312"/>
      <c r="G249" s="330"/>
      <c r="H249" s="239"/>
      <c r="I249" s="239"/>
      <c r="J249" s="240"/>
      <c r="K249" s="331"/>
      <c r="L249" s="330"/>
      <c r="M249" s="239"/>
      <c r="N249" s="239"/>
      <c r="O249" s="240"/>
      <c r="P249" s="331"/>
      <c r="Q249" s="330"/>
      <c r="R249" s="239"/>
      <c r="S249" s="239"/>
      <c r="T249" s="240"/>
      <c r="U249" s="331"/>
      <c r="V249" s="323"/>
      <c r="W249" s="239"/>
      <c r="X249" s="239"/>
      <c r="Y249" s="240"/>
      <c r="Z249" s="240"/>
      <c r="AA249" s="238"/>
      <c r="AB249" s="239"/>
      <c r="AC249" s="239"/>
      <c r="AD249" s="240"/>
      <c r="AE249" s="240"/>
      <c r="AF249" s="238"/>
      <c r="AG249" s="239"/>
      <c r="AH249" s="239"/>
      <c r="AI249" s="240"/>
      <c r="AJ249" s="155"/>
      <c r="AK249" s="238"/>
      <c r="AL249" s="239"/>
      <c r="AM249" s="239"/>
      <c r="AN249" s="240"/>
      <c r="AO249" s="155"/>
      <c r="AP249" s="238"/>
      <c r="AQ249" s="239"/>
      <c r="AR249" s="239"/>
      <c r="AS249" s="240"/>
      <c r="AT249" s="155"/>
      <c r="AU249" s="238"/>
      <c r="AV249" s="239"/>
      <c r="AW249" s="239"/>
      <c r="AX249" s="240"/>
      <c r="AY249" s="155"/>
      <c r="AZ249" s="238"/>
      <c r="BA249" s="239"/>
      <c r="BB249" s="239"/>
      <c r="BC249" s="240"/>
      <c r="BD249" s="155"/>
      <c r="BE249" s="238"/>
      <c r="BF249" s="239"/>
      <c r="BG249" s="239"/>
      <c r="BH249" s="240"/>
      <c r="BI249" s="155"/>
      <c r="BJ249" s="238"/>
      <c r="BK249" s="239"/>
      <c r="BL249" s="239"/>
      <c r="BM249" s="240"/>
      <c r="BN249" s="155"/>
      <c r="BO249" s="238"/>
      <c r="BP249" s="239"/>
      <c r="BQ249" s="239"/>
      <c r="BR249" s="240"/>
      <c r="BS249" s="155"/>
      <c r="BT249" s="238"/>
      <c r="BU249" s="239"/>
      <c r="BV249" s="239"/>
      <c r="BW249" s="240"/>
      <c r="BX249" s="155"/>
      <c r="BY249" s="238"/>
      <c r="BZ249" s="239"/>
      <c r="CA249" s="239"/>
      <c r="CB249" s="240"/>
      <c r="CC249" s="155"/>
      <c r="CD249" s="238"/>
      <c r="CE249" s="239"/>
      <c r="CF249" s="239"/>
      <c r="CG249" s="240"/>
      <c r="CH249" s="155"/>
      <c r="CI249" s="238"/>
      <c r="CJ249" s="239"/>
      <c r="CK249" s="239"/>
      <c r="CL249" s="240"/>
      <c r="CM249" s="155"/>
      <c r="CN249" s="238"/>
      <c r="CO249" s="239"/>
      <c r="CP249" s="239"/>
      <c r="CQ249" s="240"/>
      <c r="CR249" s="155"/>
      <c r="CS249" s="238"/>
      <c r="CT249" s="239"/>
      <c r="CU249" s="239"/>
      <c r="CV249" s="240"/>
      <c r="CW249" s="155"/>
      <c r="CX249" s="238"/>
      <c r="CY249" s="239"/>
      <c r="CZ249" s="239"/>
      <c r="DA249" s="240"/>
      <c r="DB249" s="155"/>
      <c r="DC249" s="238"/>
      <c r="DD249" s="239"/>
      <c r="DE249" s="239"/>
      <c r="DF249" s="240"/>
      <c r="DG249" s="155"/>
      <c r="DH249" s="238"/>
      <c r="DI249" s="239"/>
      <c r="DJ249" s="239"/>
      <c r="DK249" s="240"/>
      <c r="DL249" s="155"/>
      <c r="DM249" s="238"/>
      <c r="DN249" s="239"/>
      <c r="DO249" s="239"/>
      <c r="DP249" s="240"/>
      <c r="DQ249" s="155"/>
      <c r="DR249" s="238"/>
      <c r="DS249" s="239"/>
      <c r="DT249" s="239"/>
      <c r="DU249" s="240"/>
      <c r="DV249" s="155"/>
      <c r="DW249" s="238"/>
      <c r="DX249" s="239"/>
      <c r="DY249" s="239"/>
      <c r="DZ249" s="240"/>
      <c r="EA249" s="155"/>
      <c r="EB249" s="238"/>
      <c r="EC249" s="239"/>
      <c r="ED249" s="239"/>
      <c r="EE249" s="240"/>
      <c r="EF249" s="155"/>
      <c r="EG249" s="238"/>
      <c r="EH249" s="239"/>
      <c r="EI249" s="239"/>
      <c r="EJ249" s="240"/>
      <c r="EK249" s="155"/>
      <c r="EL249" s="238"/>
      <c r="EM249" s="239"/>
      <c r="EN249" s="239"/>
      <c r="EO249" s="240"/>
      <c r="EP249" s="155"/>
      <c r="EQ249" s="238"/>
      <c r="ER249" s="239"/>
      <c r="ES249" s="239"/>
      <c r="ET249" s="240"/>
      <c r="EU249" s="155"/>
      <c r="EV249" s="238"/>
      <c r="EW249" s="239"/>
      <c r="EX249" s="239"/>
      <c r="EY249" s="240"/>
      <c r="EZ249" s="155"/>
      <c r="FA249" s="238"/>
      <c r="FB249" s="239"/>
      <c r="FC249" s="239"/>
      <c r="FD249" s="240"/>
      <c r="FE249" s="155"/>
      <c r="FF249" s="238"/>
      <c r="FG249" s="239"/>
      <c r="FH249" s="239"/>
      <c r="FI249" s="240"/>
      <c r="FJ249" s="155"/>
      <c r="FK249" s="238"/>
      <c r="FL249" s="239"/>
      <c r="FM249" s="239"/>
      <c r="FN249" s="240"/>
      <c r="FO249" s="155"/>
      <c r="FP249" s="238"/>
      <c r="FQ249" s="239"/>
      <c r="FR249" s="239"/>
      <c r="FS249" s="240"/>
      <c r="FT249" s="155"/>
      <c r="FU249" s="238"/>
      <c r="FV249" s="239"/>
      <c r="FW249" s="239"/>
      <c r="FX249" s="240"/>
      <c r="FY249" s="155"/>
      <c r="FZ249" s="238"/>
      <c r="GA249" s="239"/>
      <c r="GB249" s="239"/>
      <c r="GC249" s="240"/>
      <c r="GD249" s="155"/>
      <c r="GE249" s="238"/>
      <c r="GF249" s="239"/>
      <c r="GG249" s="239"/>
      <c r="GH249" s="240"/>
      <c r="GI249" s="155"/>
      <c r="GJ249" s="1562"/>
      <c r="GK249" s="239"/>
      <c r="GL249" s="239"/>
      <c r="GM249" s="240"/>
      <c r="GN249" s="155"/>
      <c r="GO249" s="238"/>
      <c r="GP249" s="239"/>
      <c r="GQ249" s="239"/>
      <c r="GR249" s="240"/>
      <c r="GS249" s="155"/>
      <c r="GT249" s="238"/>
      <c r="GU249" s="239"/>
      <c r="GV249" s="239"/>
      <c r="GW249" s="240"/>
      <c r="GX249" s="155"/>
      <c r="GY249" s="238"/>
      <c r="GZ249" s="239"/>
      <c r="HA249" s="239"/>
      <c r="HB249" s="240"/>
      <c r="HC249" s="155"/>
      <c r="HD249" s="238"/>
      <c r="HE249" s="239"/>
      <c r="HF249" s="239"/>
      <c r="HG249" s="240"/>
      <c r="HH249" s="155"/>
      <c r="HI249" s="238"/>
      <c r="HJ249" s="239"/>
      <c r="HK249" s="239"/>
      <c r="HL249" s="240"/>
      <c r="HM249" s="155"/>
      <c r="HN249" s="238"/>
      <c r="HO249" s="239"/>
      <c r="HP249" s="239"/>
      <c r="HQ249" s="240"/>
      <c r="HR249" s="155"/>
      <c r="HS249" s="238"/>
      <c r="HT249" s="239"/>
      <c r="HU249" s="239"/>
      <c r="HV249" s="240"/>
      <c r="HW249" s="155"/>
      <c r="HX249" s="238"/>
      <c r="HY249" s="239"/>
      <c r="HZ249" s="239"/>
      <c r="IA249" s="240"/>
      <c r="IB249" s="155"/>
      <c r="IC249" s="238"/>
      <c r="ID249" s="239"/>
      <c r="IE249" s="239"/>
      <c r="IF249" s="240"/>
      <c r="IG249" s="155"/>
      <c r="IH249" s="238"/>
      <c r="II249" s="239"/>
      <c r="IJ249" s="239"/>
      <c r="IK249" s="240"/>
      <c r="IL249" s="155"/>
      <c r="IM249" s="238"/>
      <c r="IN249" s="239"/>
      <c r="IO249" s="239"/>
      <c r="IP249" s="240"/>
      <c r="IQ249" s="155"/>
    </row>
    <row r="250" spans="2:251" ht="15" customHeight="1">
      <c r="B250" s="155"/>
      <c r="C250" s="155"/>
      <c r="D250" s="236"/>
      <c r="E250" s="237"/>
      <c r="F250" s="312"/>
      <c r="G250" s="330"/>
      <c r="H250" s="239"/>
      <c r="I250" s="239"/>
      <c r="J250" s="240"/>
      <c r="K250" s="331"/>
      <c r="L250" s="330"/>
      <c r="M250" s="239"/>
      <c r="N250" s="239"/>
      <c r="O250" s="240"/>
      <c r="P250" s="331"/>
      <c r="Q250" s="330"/>
      <c r="R250" s="239"/>
      <c r="S250" s="239"/>
      <c r="T250" s="240"/>
      <c r="U250" s="331"/>
      <c r="V250" s="323"/>
      <c r="W250" s="239"/>
      <c r="X250" s="239"/>
      <c r="Y250" s="240"/>
      <c r="Z250" s="240"/>
      <c r="AA250" s="238"/>
      <c r="AB250" s="239"/>
      <c r="AC250" s="239"/>
      <c r="AD250" s="240"/>
      <c r="AE250" s="240"/>
      <c r="AF250" s="238"/>
      <c r="AG250" s="239"/>
      <c r="AH250" s="239"/>
      <c r="AI250" s="240"/>
      <c r="AJ250" s="155"/>
      <c r="AK250" s="238"/>
      <c r="AL250" s="239"/>
      <c r="AM250" s="239"/>
      <c r="AN250" s="240"/>
      <c r="AO250" s="155"/>
      <c r="AP250" s="238"/>
      <c r="AQ250" s="239"/>
      <c r="AR250" s="239"/>
      <c r="AS250" s="240"/>
      <c r="AT250" s="155"/>
      <c r="AU250" s="238"/>
      <c r="AV250" s="239"/>
      <c r="AW250" s="239"/>
      <c r="AX250" s="240"/>
      <c r="AY250" s="155"/>
      <c r="AZ250" s="238"/>
      <c r="BA250" s="239"/>
      <c r="BB250" s="239"/>
      <c r="BC250" s="240"/>
      <c r="BD250" s="155"/>
      <c r="BE250" s="238"/>
      <c r="BF250" s="239"/>
      <c r="BG250" s="239"/>
      <c r="BH250" s="240"/>
      <c r="BI250" s="155"/>
      <c r="BJ250" s="238"/>
      <c r="BK250" s="239"/>
      <c r="BL250" s="239"/>
      <c r="BM250" s="240"/>
      <c r="BN250" s="155"/>
      <c r="BO250" s="238"/>
      <c r="BP250" s="239"/>
      <c r="BQ250" s="239"/>
      <c r="BR250" s="240"/>
      <c r="BS250" s="155"/>
      <c r="BT250" s="238"/>
      <c r="BU250" s="239"/>
      <c r="BV250" s="239"/>
      <c r="BW250" s="240"/>
      <c r="BX250" s="155"/>
      <c r="BY250" s="238"/>
      <c r="BZ250" s="239"/>
      <c r="CA250" s="239"/>
      <c r="CB250" s="240"/>
      <c r="CC250" s="155"/>
      <c r="CD250" s="238"/>
      <c r="CE250" s="239"/>
      <c r="CF250" s="239"/>
      <c r="CG250" s="240"/>
      <c r="CH250" s="155"/>
      <c r="CI250" s="238"/>
      <c r="CJ250" s="239"/>
      <c r="CK250" s="239"/>
      <c r="CL250" s="240"/>
      <c r="CM250" s="155"/>
      <c r="CN250" s="238"/>
      <c r="CO250" s="239"/>
      <c r="CP250" s="239"/>
      <c r="CQ250" s="240"/>
      <c r="CR250" s="155"/>
      <c r="CS250" s="238"/>
      <c r="CT250" s="239"/>
      <c r="CU250" s="239"/>
      <c r="CV250" s="240"/>
      <c r="CW250" s="155"/>
      <c r="CX250" s="238"/>
      <c r="CY250" s="239"/>
      <c r="CZ250" s="239"/>
      <c r="DA250" s="240"/>
      <c r="DB250" s="155"/>
      <c r="DC250" s="238"/>
      <c r="DD250" s="239"/>
      <c r="DE250" s="239"/>
      <c r="DF250" s="240"/>
      <c r="DG250" s="155"/>
      <c r="DH250" s="238"/>
      <c r="DI250" s="239"/>
      <c r="DJ250" s="239"/>
      <c r="DK250" s="240"/>
      <c r="DL250" s="155"/>
      <c r="DM250" s="238"/>
      <c r="DN250" s="239"/>
      <c r="DO250" s="239"/>
      <c r="DP250" s="240"/>
      <c r="DQ250" s="155"/>
      <c r="DR250" s="238"/>
      <c r="DS250" s="239"/>
      <c r="DT250" s="239"/>
      <c r="DU250" s="240"/>
      <c r="DV250" s="155"/>
      <c r="DW250" s="238"/>
      <c r="DX250" s="239"/>
      <c r="DY250" s="239"/>
      <c r="DZ250" s="240"/>
      <c r="EA250" s="155"/>
      <c r="EB250" s="238"/>
      <c r="EC250" s="239"/>
      <c r="ED250" s="239"/>
      <c r="EE250" s="240"/>
      <c r="EF250" s="155"/>
      <c r="EG250" s="238"/>
      <c r="EH250" s="239"/>
      <c r="EI250" s="239"/>
      <c r="EJ250" s="240"/>
      <c r="EK250" s="155"/>
      <c r="EL250" s="238"/>
      <c r="EM250" s="239"/>
      <c r="EN250" s="239"/>
      <c r="EO250" s="240"/>
      <c r="EP250" s="155"/>
      <c r="EQ250" s="238"/>
      <c r="ER250" s="239"/>
      <c r="ES250" s="239"/>
      <c r="ET250" s="240"/>
      <c r="EU250" s="155"/>
      <c r="EV250" s="238"/>
      <c r="EW250" s="239"/>
      <c r="EX250" s="239"/>
      <c r="EY250" s="240"/>
      <c r="EZ250" s="155"/>
      <c r="FA250" s="238"/>
      <c r="FB250" s="239"/>
      <c r="FC250" s="239"/>
      <c r="FD250" s="240"/>
      <c r="FE250" s="155"/>
      <c r="FF250" s="238"/>
      <c r="FG250" s="239"/>
      <c r="FH250" s="239"/>
      <c r="FI250" s="240"/>
      <c r="FJ250" s="155"/>
      <c r="FK250" s="238"/>
      <c r="FL250" s="239"/>
      <c r="FM250" s="239"/>
      <c r="FN250" s="240"/>
      <c r="FO250" s="155"/>
      <c r="FP250" s="238"/>
      <c r="FQ250" s="239"/>
      <c r="FR250" s="239"/>
      <c r="FS250" s="240"/>
      <c r="FT250" s="155"/>
      <c r="FU250" s="238"/>
      <c r="FV250" s="239"/>
      <c r="FW250" s="239"/>
      <c r="FX250" s="240"/>
      <c r="FY250" s="155"/>
      <c r="FZ250" s="238"/>
      <c r="GA250" s="239"/>
      <c r="GB250" s="239"/>
      <c r="GC250" s="240"/>
      <c r="GD250" s="155"/>
      <c r="GE250" s="238"/>
      <c r="GF250" s="239"/>
      <c r="GG250" s="239"/>
      <c r="GH250" s="240"/>
      <c r="GI250" s="155"/>
      <c r="GJ250" s="1562"/>
      <c r="GK250" s="239"/>
      <c r="GL250" s="239"/>
      <c r="GM250" s="240"/>
      <c r="GN250" s="155"/>
      <c r="GO250" s="238"/>
      <c r="GP250" s="239"/>
      <c r="GQ250" s="239"/>
      <c r="GR250" s="240"/>
      <c r="GS250" s="155"/>
      <c r="GT250" s="238"/>
      <c r="GU250" s="239"/>
      <c r="GV250" s="239"/>
      <c r="GW250" s="240"/>
      <c r="GX250" s="155"/>
      <c r="GY250" s="238"/>
      <c r="GZ250" s="239"/>
      <c r="HA250" s="239"/>
      <c r="HB250" s="240"/>
      <c r="HC250" s="155"/>
      <c r="HD250" s="238"/>
      <c r="HE250" s="239"/>
      <c r="HF250" s="239"/>
      <c r="HG250" s="240"/>
      <c r="HH250" s="155"/>
      <c r="HI250" s="238"/>
      <c r="HJ250" s="239"/>
      <c r="HK250" s="239"/>
      <c r="HL250" s="240"/>
      <c r="HM250" s="155"/>
      <c r="HN250" s="238"/>
      <c r="HO250" s="239"/>
      <c r="HP250" s="239"/>
      <c r="HQ250" s="240"/>
      <c r="HR250" s="155"/>
      <c r="HS250" s="238"/>
      <c r="HT250" s="239"/>
      <c r="HU250" s="239"/>
      <c r="HV250" s="240"/>
      <c r="HW250" s="155"/>
      <c r="HX250" s="238"/>
      <c r="HY250" s="239"/>
      <c r="HZ250" s="239"/>
      <c r="IA250" s="240"/>
      <c r="IB250" s="155"/>
      <c r="IC250" s="238"/>
      <c r="ID250" s="239"/>
      <c r="IE250" s="239"/>
      <c r="IF250" s="240"/>
      <c r="IG250" s="155"/>
      <c r="IH250" s="238"/>
      <c r="II250" s="239"/>
      <c r="IJ250" s="239"/>
      <c r="IK250" s="240"/>
      <c r="IL250" s="155"/>
      <c r="IM250" s="238"/>
      <c r="IN250" s="239"/>
      <c r="IO250" s="239"/>
      <c r="IP250" s="240"/>
      <c r="IQ250" s="155"/>
    </row>
    <row r="251" spans="2:251" ht="15" customHeight="1">
      <c r="B251" s="155"/>
      <c r="C251" s="155"/>
      <c r="D251" s="236"/>
      <c r="E251" s="237"/>
      <c r="F251" s="312"/>
      <c r="G251" s="330"/>
      <c r="H251" s="239"/>
      <c r="I251" s="239"/>
      <c r="J251" s="240"/>
      <c r="K251" s="331"/>
      <c r="L251" s="330"/>
      <c r="M251" s="239"/>
      <c r="N251" s="239"/>
      <c r="O251" s="240"/>
      <c r="P251" s="331"/>
      <c r="Q251" s="330"/>
      <c r="R251" s="239"/>
      <c r="S251" s="239"/>
      <c r="T251" s="240"/>
      <c r="U251" s="331"/>
      <c r="V251" s="323"/>
      <c r="W251" s="239"/>
      <c r="X251" s="239"/>
      <c r="Y251" s="240"/>
      <c r="Z251" s="240"/>
      <c r="AA251" s="238"/>
      <c r="AB251" s="239"/>
      <c r="AC251" s="239"/>
      <c r="AD251" s="240"/>
      <c r="AE251" s="240"/>
      <c r="AF251" s="238"/>
      <c r="AG251" s="239"/>
      <c r="AH251" s="239"/>
      <c r="AI251" s="240"/>
      <c r="AJ251" s="155"/>
      <c r="AK251" s="238"/>
      <c r="AL251" s="239"/>
      <c r="AM251" s="239"/>
      <c r="AN251" s="240"/>
      <c r="AO251" s="155"/>
      <c r="AP251" s="238"/>
      <c r="AQ251" s="239"/>
      <c r="AR251" s="239"/>
      <c r="AS251" s="240"/>
      <c r="AT251" s="155"/>
      <c r="AU251" s="238"/>
      <c r="AV251" s="239"/>
      <c r="AW251" s="239"/>
      <c r="AX251" s="240"/>
      <c r="AY251" s="155"/>
      <c r="AZ251" s="238"/>
      <c r="BA251" s="239"/>
      <c r="BB251" s="239"/>
      <c r="BC251" s="240"/>
      <c r="BD251" s="155"/>
      <c r="BE251" s="238"/>
      <c r="BF251" s="239"/>
      <c r="BG251" s="239"/>
      <c r="BH251" s="240"/>
      <c r="BI251" s="155"/>
      <c r="BJ251" s="238"/>
      <c r="BK251" s="239"/>
      <c r="BL251" s="239"/>
      <c r="BM251" s="240"/>
      <c r="BN251" s="155"/>
      <c r="BO251" s="238"/>
      <c r="BP251" s="239"/>
      <c r="BQ251" s="239"/>
      <c r="BR251" s="240"/>
      <c r="BS251" s="155"/>
      <c r="BT251" s="238"/>
      <c r="BU251" s="239"/>
      <c r="BV251" s="239"/>
      <c r="BW251" s="240"/>
      <c r="BX251" s="155"/>
      <c r="BY251" s="238"/>
      <c r="BZ251" s="239"/>
      <c r="CA251" s="239"/>
      <c r="CB251" s="240"/>
      <c r="CC251" s="155"/>
      <c r="CD251" s="238"/>
      <c r="CE251" s="239"/>
      <c r="CF251" s="239"/>
      <c r="CG251" s="240"/>
      <c r="CH251" s="155"/>
      <c r="CI251" s="238"/>
      <c r="CJ251" s="239"/>
      <c r="CK251" s="239"/>
      <c r="CL251" s="240"/>
      <c r="CM251" s="155"/>
      <c r="CN251" s="238"/>
      <c r="CO251" s="239"/>
      <c r="CP251" s="239"/>
      <c r="CQ251" s="240"/>
      <c r="CR251" s="155"/>
      <c r="CS251" s="238"/>
      <c r="CT251" s="239"/>
      <c r="CU251" s="239"/>
      <c r="CV251" s="240"/>
      <c r="CW251" s="155"/>
      <c r="CX251" s="238"/>
      <c r="CY251" s="239"/>
      <c r="CZ251" s="239"/>
      <c r="DA251" s="240"/>
      <c r="DB251" s="155"/>
      <c r="DC251" s="238"/>
      <c r="DD251" s="239"/>
      <c r="DE251" s="239"/>
      <c r="DF251" s="240"/>
      <c r="DG251" s="155"/>
      <c r="DH251" s="238"/>
      <c r="DI251" s="239"/>
      <c r="DJ251" s="239"/>
      <c r="DK251" s="240"/>
      <c r="DL251" s="155"/>
      <c r="DM251" s="238"/>
      <c r="DN251" s="239"/>
      <c r="DO251" s="239"/>
      <c r="DP251" s="240"/>
      <c r="DQ251" s="155"/>
      <c r="DR251" s="238"/>
      <c r="DS251" s="239"/>
      <c r="DT251" s="239"/>
      <c r="DU251" s="240"/>
      <c r="DV251" s="155"/>
      <c r="DW251" s="238"/>
      <c r="DX251" s="239"/>
      <c r="DY251" s="239"/>
      <c r="DZ251" s="240"/>
      <c r="EA251" s="155"/>
      <c r="EB251" s="238"/>
      <c r="EC251" s="239"/>
      <c r="ED251" s="239"/>
      <c r="EE251" s="240"/>
      <c r="EF251" s="155"/>
      <c r="EG251" s="238"/>
      <c r="EH251" s="239"/>
      <c r="EI251" s="239"/>
      <c r="EJ251" s="240"/>
      <c r="EK251" s="155"/>
      <c r="EL251" s="238"/>
      <c r="EM251" s="239"/>
      <c r="EN251" s="239"/>
      <c r="EO251" s="240"/>
      <c r="EP251" s="155"/>
      <c r="EQ251" s="238"/>
      <c r="ER251" s="239"/>
      <c r="ES251" s="239"/>
      <c r="ET251" s="240"/>
      <c r="EU251" s="155"/>
      <c r="EV251" s="238"/>
      <c r="EW251" s="239"/>
      <c r="EX251" s="239"/>
      <c r="EY251" s="240"/>
      <c r="EZ251" s="155"/>
      <c r="FA251" s="238"/>
      <c r="FB251" s="239"/>
      <c r="FC251" s="239"/>
      <c r="FD251" s="240"/>
      <c r="FE251" s="155"/>
      <c r="FF251" s="238"/>
      <c r="FG251" s="239"/>
      <c r="FH251" s="239"/>
      <c r="FI251" s="240"/>
      <c r="FJ251" s="155"/>
      <c r="FK251" s="238"/>
      <c r="FL251" s="239"/>
      <c r="FM251" s="239"/>
      <c r="FN251" s="240"/>
      <c r="FO251" s="155"/>
      <c r="FP251" s="238"/>
      <c r="FQ251" s="239"/>
      <c r="FR251" s="239"/>
      <c r="FS251" s="240"/>
      <c r="FT251" s="155"/>
      <c r="FU251" s="238"/>
      <c r="FV251" s="239"/>
      <c r="FW251" s="239"/>
      <c r="FX251" s="240"/>
      <c r="FY251" s="155"/>
      <c r="FZ251" s="238"/>
      <c r="GA251" s="239"/>
      <c r="GB251" s="239"/>
      <c r="GC251" s="240"/>
      <c r="GD251" s="155"/>
      <c r="GE251" s="238"/>
      <c r="GF251" s="239"/>
      <c r="GG251" s="239"/>
      <c r="GH251" s="240"/>
      <c r="GI251" s="155"/>
      <c r="GJ251" s="1562"/>
      <c r="GK251" s="239"/>
      <c r="GL251" s="239"/>
      <c r="GM251" s="240"/>
      <c r="GN251" s="155"/>
      <c r="GO251" s="238"/>
      <c r="GP251" s="239"/>
      <c r="GQ251" s="239"/>
      <c r="GR251" s="240"/>
      <c r="GS251" s="155"/>
      <c r="GT251" s="238"/>
      <c r="GU251" s="239"/>
      <c r="GV251" s="239"/>
      <c r="GW251" s="240"/>
      <c r="GX251" s="155"/>
      <c r="GY251" s="238"/>
      <c r="GZ251" s="239"/>
      <c r="HA251" s="239"/>
      <c r="HB251" s="240"/>
      <c r="HC251" s="155"/>
      <c r="HD251" s="238"/>
      <c r="HE251" s="239"/>
      <c r="HF251" s="239"/>
      <c r="HG251" s="240"/>
      <c r="HH251" s="155"/>
      <c r="HI251" s="238"/>
      <c r="HJ251" s="239"/>
      <c r="HK251" s="239"/>
      <c r="HL251" s="240"/>
      <c r="HM251" s="155"/>
      <c r="HN251" s="238"/>
      <c r="HO251" s="239"/>
      <c r="HP251" s="239"/>
      <c r="HQ251" s="240"/>
      <c r="HR251" s="155"/>
      <c r="HS251" s="238"/>
      <c r="HT251" s="239"/>
      <c r="HU251" s="239"/>
      <c r="HV251" s="240"/>
      <c r="HW251" s="155"/>
      <c r="HX251" s="238"/>
      <c r="HY251" s="239"/>
      <c r="HZ251" s="239"/>
      <c r="IA251" s="240"/>
      <c r="IB251" s="155"/>
      <c r="IC251" s="238"/>
      <c r="ID251" s="239"/>
      <c r="IE251" s="239"/>
      <c r="IF251" s="240"/>
      <c r="IG251" s="155"/>
      <c r="IH251" s="238"/>
      <c r="II251" s="239"/>
      <c r="IJ251" s="239"/>
      <c r="IK251" s="240"/>
      <c r="IL251" s="155"/>
      <c r="IM251" s="238"/>
      <c r="IN251" s="239"/>
      <c r="IO251" s="239"/>
      <c r="IP251" s="240"/>
      <c r="IQ251" s="155"/>
    </row>
    <row r="252" spans="2:251" ht="15" customHeight="1">
      <c r="B252" s="155"/>
      <c r="C252" s="155"/>
      <c r="D252" s="236"/>
      <c r="E252" s="237"/>
      <c r="F252" s="312"/>
      <c r="G252" s="330"/>
      <c r="H252" s="239"/>
      <c r="I252" s="239"/>
      <c r="J252" s="240"/>
      <c r="K252" s="331"/>
      <c r="L252" s="330"/>
      <c r="M252" s="239"/>
      <c r="N252" s="239"/>
      <c r="O252" s="240"/>
      <c r="P252" s="331"/>
      <c r="Q252" s="330"/>
      <c r="R252" s="239"/>
      <c r="S252" s="239"/>
      <c r="T252" s="240"/>
      <c r="U252" s="331"/>
      <c r="V252" s="323"/>
      <c r="W252" s="239"/>
      <c r="X252" s="239"/>
      <c r="Y252" s="240"/>
      <c r="Z252" s="240"/>
      <c r="AA252" s="238"/>
      <c r="AB252" s="239"/>
      <c r="AC252" s="239"/>
      <c r="AD252" s="240"/>
      <c r="AE252" s="240"/>
      <c r="AF252" s="238"/>
      <c r="AG252" s="239"/>
      <c r="AH252" s="239"/>
      <c r="AI252" s="240"/>
      <c r="AJ252" s="155"/>
      <c r="AK252" s="238"/>
      <c r="AL252" s="239"/>
      <c r="AM252" s="239"/>
      <c r="AN252" s="240"/>
      <c r="AO252" s="155"/>
      <c r="AP252" s="238"/>
      <c r="AQ252" s="239"/>
      <c r="AR252" s="239"/>
      <c r="AS252" s="240"/>
      <c r="AT252" s="155"/>
      <c r="AU252" s="238"/>
      <c r="AV252" s="239"/>
      <c r="AW252" s="239"/>
      <c r="AX252" s="240"/>
      <c r="AY252" s="155"/>
      <c r="AZ252" s="238"/>
      <c r="BA252" s="239"/>
      <c r="BB252" s="239"/>
      <c r="BC252" s="240"/>
      <c r="BD252" s="155"/>
      <c r="BE252" s="238"/>
      <c r="BF252" s="239"/>
      <c r="BG252" s="239"/>
      <c r="BH252" s="240"/>
      <c r="BI252" s="155"/>
      <c r="BJ252" s="238"/>
      <c r="BK252" s="239"/>
      <c r="BL252" s="239"/>
      <c r="BM252" s="240"/>
      <c r="BN252" s="155"/>
      <c r="BO252" s="238"/>
      <c r="BP252" s="239"/>
      <c r="BQ252" s="239"/>
      <c r="BR252" s="240"/>
      <c r="BS252" s="155"/>
      <c r="BT252" s="238"/>
      <c r="BU252" s="239"/>
      <c r="BV252" s="239"/>
      <c r="BW252" s="240"/>
      <c r="BX252" s="155"/>
      <c r="BY252" s="238"/>
      <c r="BZ252" s="239"/>
      <c r="CA252" s="239"/>
      <c r="CB252" s="240"/>
      <c r="CC252" s="155"/>
      <c r="CD252" s="238"/>
      <c r="CE252" s="239"/>
      <c r="CF252" s="239"/>
      <c r="CG252" s="240"/>
      <c r="CH252" s="155"/>
      <c r="CI252" s="238"/>
      <c r="CJ252" s="239"/>
      <c r="CK252" s="239"/>
      <c r="CL252" s="240"/>
      <c r="CM252" s="155"/>
      <c r="CN252" s="238"/>
      <c r="CO252" s="239"/>
      <c r="CP252" s="239"/>
      <c r="CQ252" s="240"/>
      <c r="CR252" s="155"/>
      <c r="CS252" s="238"/>
      <c r="CT252" s="239"/>
      <c r="CU252" s="239"/>
      <c r="CV252" s="240"/>
      <c r="CW252" s="155"/>
      <c r="CX252" s="238"/>
      <c r="CY252" s="239"/>
      <c r="CZ252" s="239"/>
      <c r="DA252" s="240"/>
      <c r="DB252" s="155"/>
      <c r="DC252" s="238"/>
      <c r="DD252" s="239"/>
      <c r="DE252" s="239"/>
      <c r="DF252" s="240"/>
      <c r="DG252" s="155"/>
      <c r="DH252" s="238"/>
      <c r="DI252" s="239"/>
      <c r="DJ252" s="239"/>
      <c r="DK252" s="240"/>
      <c r="DL252" s="155"/>
      <c r="DM252" s="238"/>
      <c r="DN252" s="239"/>
      <c r="DO252" s="239"/>
      <c r="DP252" s="240"/>
      <c r="DQ252" s="155"/>
      <c r="DR252" s="238"/>
      <c r="DS252" s="239"/>
      <c r="DT252" s="239"/>
      <c r="DU252" s="240"/>
      <c r="DV252" s="155"/>
      <c r="DW252" s="238"/>
      <c r="DX252" s="239"/>
      <c r="DY252" s="239"/>
      <c r="DZ252" s="240"/>
      <c r="EA252" s="155"/>
      <c r="EB252" s="238"/>
      <c r="EC252" s="239"/>
      <c r="ED252" s="239"/>
      <c r="EE252" s="240"/>
      <c r="EF252" s="155"/>
      <c r="EG252" s="238"/>
      <c r="EH252" s="239"/>
      <c r="EI252" s="239"/>
      <c r="EJ252" s="240"/>
      <c r="EK252" s="155"/>
      <c r="EL252" s="238"/>
      <c r="EM252" s="239"/>
      <c r="EN252" s="239"/>
      <c r="EO252" s="240"/>
      <c r="EP252" s="155"/>
      <c r="EQ252" s="238"/>
      <c r="ER252" s="239"/>
      <c r="ES252" s="239"/>
      <c r="ET252" s="240"/>
      <c r="EU252" s="155"/>
      <c r="EV252" s="238"/>
      <c r="EW252" s="239"/>
      <c r="EX252" s="239"/>
      <c r="EY252" s="240"/>
      <c r="EZ252" s="155"/>
      <c r="FA252" s="238"/>
      <c r="FB252" s="239"/>
      <c r="FC252" s="239"/>
      <c r="FD252" s="240"/>
      <c r="FE252" s="155"/>
      <c r="FF252" s="238"/>
      <c r="FG252" s="239"/>
      <c r="FH252" s="239"/>
      <c r="FI252" s="240"/>
      <c r="FJ252" s="155"/>
      <c r="FK252" s="238"/>
      <c r="FL252" s="239"/>
      <c r="FM252" s="239"/>
      <c r="FN252" s="240"/>
      <c r="FO252" s="155"/>
      <c r="FP252" s="238"/>
      <c r="FQ252" s="239"/>
      <c r="FR252" s="239"/>
      <c r="FS252" s="240"/>
      <c r="FT252" s="155"/>
      <c r="FU252" s="238"/>
      <c r="FV252" s="239"/>
      <c r="FW252" s="239"/>
      <c r="FX252" s="240"/>
      <c r="FY252" s="155"/>
      <c r="FZ252" s="238"/>
      <c r="GA252" s="239"/>
      <c r="GB252" s="239"/>
      <c r="GC252" s="240"/>
      <c r="GD252" s="155"/>
      <c r="GE252" s="238"/>
      <c r="GF252" s="239"/>
      <c r="GG252" s="239"/>
      <c r="GH252" s="240"/>
      <c r="GI252" s="155"/>
      <c r="GJ252" s="1562"/>
      <c r="GK252" s="239"/>
      <c r="GL252" s="239"/>
      <c r="GM252" s="240"/>
      <c r="GN252" s="155"/>
      <c r="GO252" s="238"/>
      <c r="GP252" s="239"/>
      <c r="GQ252" s="239"/>
      <c r="GR252" s="240"/>
      <c r="GS252" s="155"/>
      <c r="GT252" s="238"/>
      <c r="GU252" s="239"/>
      <c r="GV252" s="239"/>
      <c r="GW252" s="240"/>
      <c r="GX252" s="155"/>
      <c r="GY252" s="238"/>
      <c r="GZ252" s="239"/>
      <c r="HA252" s="239"/>
      <c r="HB252" s="240"/>
      <c r="HC252" s="155"/>
      <c r="HD252" s="238"/>
      <c r="HE252" s="239"/>
      <c r="HF252" s="239"/>
      <c r="HG252" s="240"/>
      <c r="HH252" s="155"/>
      <c r="HI252" s="238"/>
      <c r="HJ252" s="239"/>
      <c r="HK252" s="239"/>
      <c r="HL252" s="240"/>
      <c r="HM252" s="155"/>
      <c r="HN252" s="238"/>
      <c r="HO252" s="239"/>
      <c r="HP252" s="239"/>
      <c r="HQ252" s="240"/>
      <c r="HR252" s="155"/>
      <c r="HS252" s="238"/>
      <c r="HT252" s="239"/>
      <c r="HU252" s="239"/>
      <c r="HV252" s="240"/>
      <c r="HW252" s="155"/>
      <c r="HX252" s="238"/>
      <c r="HY252" s="239"/>
      <c r="HZ252" s="239"/>
      <c r="IA252" s="240"/>
      <c r="IB252" s="155"/>
      <c r="IC252" s="238"/>
      <c r="ID252" s="239"/>
      <c r="IE252" s="239"/>
      <c r="IF252" s="240"/>
      <c r="IG252" s="155"/>
      <c r="IH252" s="238"/>
      <c r="II252" s="239"/>
      <c r="IJ252" s="239"/>
      <c r="IK252" s="240"/>
      <c r="IL252" s="155"/>
      <c r="IM252" s="238"/>
      <c r="IN252" s="239"/>
      <c r="IO252" s="239"/>
      <c r="IP252" s="240"/>
      <c r="IQ252" s="155"/>
    </row>
    <row r="253" spans="2:251" ht="15" customHeight="1">
      <c r="B253" s="155"/>
      <c r="C253" s="155"/>
      <c r="D253" s="236"/>
      <c r="E253" s="237"/>
      <c r="F253" s="312"/>
      <c r="G253" s="330"/>
      <c r="H253" s="239"/>
      <c r="I253" s="239"/>
      <c r="J253" s="240"/>
      <c r="K253" s="331"/>
      <c r="L253" s="330"/>
      <c r="M253" s="239"/>
      <c r="N253" s="239"/>
      <c r="O253" s="240"/>
      <c r="P253" s="331"/>
      <c r="Q253" s="330"/>
      <c r="R253" s="239"/>
      <c r="S253" s="239"/>
      <c r="T253" s="240"/>
      <c r="U253" s="331"/>
      <c r="V253" s="323"/>
      <c r="W253" s="239"/>
      <c r="X253" s="239"/>
      <c r="Y253" s="240"/>
      <c r="Z253" s="240"/>
      <c r="AA253" s="238"/>
      <c r="AB253" s="239"/>
      <c r="AC253" s="239"/>
      <c r="AD253" s="240"/>
      <c r="AE253" s="240"/>
      <c r="AF253" s="238"/>
      <c r="AG253" s="239"/>
      <c r="AH253" s="239"/>
      <c r="AI253" s="240"/>
      <c r="AJ253" s="155"/>
      <c r="AK253" s="238"/>
      <c r="AL253" s="239"/>
      <c r="AM253" s="239"/>
      <c r="AN253" s="240"/>
      <c r="AO253" s="155"/>
      <c r="AP253" s="238"/>
      <c r="AQ253" s="239"/>
      <c r="AR253" s="239"/>
      <c r="AS253" s="240"/>
      <c r="AT253" s="155"/>
      <c r="AU253" s="238"/>
      <c r="AV253" s="239"/>
      <c r="AW253" s="239"/>
      <c r="AX253" s="240"/>
      <c r="AY253" s="155"/>
      <c r="AZ253" s="238"/>
      <c r="BA253" s="239"/>
      <c r="BB253" s="239"/>
      <c r="BC253" s="240"/>
      <c r="BD253" s="155"/>
      <c r="BE253" s="238"/>
      <c r="BF253" s="239"/>
      <c r="BG253" s="239"/>
      <c r="BH253" s="240"/>
      <c r="BI253" s="155"/>
      <c r="BJ253" s="238"/>
      <c r="BK253" s="239"/>
      <c r="BL253" s="239"/>
      <c r="BM253" s="240"/>
      <c r="BN253" s="155"/>
      <c r="BO253" s="238"/>
      <c r="BP253" s="239"/>
      <c r="BQ253" s="239"/>
      <c r="BR253" s="240"/>
      <c r="BS253" s="155"/>
      <c r="BT253" s="238"/>
      <c r="BU253" s="239"/>
      <c r="BV253" s="239"/>
      <c r="BW253" s="240"/>
      <c r="BX253" s="155"/>
      <c r="BY253" s="238"/>
      <c r="BZ253" s="239"/>
      <c r="CA253" s="239"/>
      <c r="CB253" s="240"/>
      <c r="CC253" s="155"/>
      <c r="CD253" s="238"/>
      <c r="CE253" s="239"/>
      <c r="CF253" s="239"/>
      <c r="CG253" s="240"/>
      <c r="CH253" s="155"/>
      <c r="CI253" s="238"/>
      <c r="CJ253" s="239"/>
      <c r="CK253" s="239"/>
      <c r="CL253" s="240"/>
      <c r="CM253" s="155"/>
      <c r="CN253" s="238"/>
      <c r="CO253" s="239"/>
      <c r="CP253" s="239"/>
      <c r="CQ253" s="240"/>
      <c r="CR253" s="155"/>
      <c r="CS253" s="238"/>
      <c r="CT253" s="239"/>
      <c r="CU253" s="239"/>
      <c r="CV253" s="240"/>
      <c r="CW253" s="155"/>
      <c r="CX253" s="238"/>
      <c r="CY253" s="239"/>
      <c r="CZ253" s="239"/>
      <c r="DA253" s="240"/>
      <c r="DB253" s="155"/>
      <c r="DC253" s="238"/>
      <c r="DD253" s="239"/>
      <c r="DE253" s="239"/>
      <c r="DF253" s="240"/>
      <c r="DG253" s="155"/>
      <c r="DH253" s="238"/>
      <c r="DI253" s="239"/>
      <c r="DJ253" s="239"/>
      <c r="DK253" s="240"/>
      <c r="DL253" s="155"/>
      <c r="DM253" s="238"/>
      <c r="DN253" s="239"/>
      <c r="DO253" s="239"/>
      <c r="DP253" s="240"/>
      <c r="DQ253" s="155"/>
      <c r="DR253" s="238"/>
      <c r="DS253" s="239"/>
      <c r="DT253" s="239"/>
      <c r="DU253" s="240"/>
      <c r="DV253" s="155"/>
      <c r="DW253" s="238"/>
      <c r="DX253" s="239"/>
      <c r="DY253" s="239"/>
      <c r="DZ253" s="240"/>
      <c r="EA253" s="155"/>
      <c r="EB253" s="238"/>
      <c r="EC253" s="239"/>
      <c r="ED253" s="239"/>
      <c r="EE253" s="240"/>
      <c r="EF253" s="155"/>
      <c r="EG253" s="238"/>
      <c r="EH253" s="239"/>
      <c r="EI253" s="239"/>
      <c r="EJ253" s="240"/>
      <c r="EK253" s="155"/>
      <c r="EL253" s="238"/>
      <c r="EM253" s="239"/>
      <c r="EN253" s="239"/>
      <c r="EO253" s="240"/>
      <c r="EP253" s="155"/>
      <c r="EQ253" s="238"/>
      <c r="ER253" s="239"/>
      <c r="ES253" s="239"/>
      <c r="ET253" s="240"/>
      <c r="EU253" s="155"/>
      <c r="EV253" s="238"/>
      <c r="EW253" s="239"/>
      <c r="EX253" s="239"/>
      <c r="EY253" s="240"/>
      <c r="EZ253" s="155"/>
      <c r="FA253" s="238"/>
      <c r="FB253" s="239"/>
      <c r="FC253" s="239"/>
      <c r="FD253" s="240"/>
      <c r="FE253" s="155"/>
      <c r="FF253" s="238"/>
      <c r="FG253" s="239"/>
      <c r="FH253" s="239"/>
      <c r="FI253" s="240"/>
      <c r="FJ253" s="155"/>
      <c r="FK253" s="238"/>
      <c r="FL253" s="239"/>
      <c r="FM253" s="239"/>
      <c r="FN253" s="240"/>
      <c r="FO253" s="155"/>
      <c r="FP253" s="238"/>
      <c r="FQ253" s="239"/>
      <c r="FR253" s="239"/>
      <c r="FS253" s="240"/>
      <c r="FT253" s="155"/>
      <c r="FU253" s="238"/>
      <c r="FV253" s="239"/>
      <c r="FW253" s="239"/>
      <c r="FX253" s="240"/>
      <c r="FY253" s="155"/>
      <c r="FZ253" s="238"/>
      <c r="GA253" s="239"/>
      <c r="GB253" s="239"/>
      <c r="GC253" s="240"/>
      <c r="GD253" s="155"/>
      <c r="GE253" s="238"/>
      <c r="GF253" s="239"/>
      <c r="GG253" s="239"/>
      <c r="GH253" s="240"/>
      <c r="GI253" s="155"/>
      <c r="GJ253" s="1562"/>
      <c r="GK253" s="239"/>
      <c r="GL253" s="239"/>
      <c r="GM253" s="240"/>
      <c r="GN253" s="155"/>
      <c r="GO253" s="238"/>
      <c r="GP253" s="239"/>
      <c r="GQ253" s="239"/>
      <c r="GR253" s="240"/>
      <c r="GS253" s="155"/>
      <c r="GT253" s="238"/>
      <c r="GU253" s="239"/>
      <c r="GV253" s="239"/>
      <c r="GW253" s="240"/>
      <c r="GX253" s="155"/>
      <c r="GY253" s="238"/>
      <c r="GZ253" s="239"/>
      <c r="HA253" s="239"/>
      <c r="HB253" s="240"/>
      <c r="HC253" s="155"/>
      <c r="HD253" s="238"/>
      <c r="HE253" s="239"/>
      <c r="HF253" s="239"/>
      <c r="HG253" s="240"/>
      <c r="HH253" s="155"/>
      <c r="HI253" s="238"/>
      <c r="HJ253" s="239"/>
      <c r="HK253" s="239"/>
      <c r="HL253" s="240"/>
      <c r="HM253" s="155"/>
      <c r="HN253" s="238"/>
      <c r="HO253" s="239"/>
      <c r="HP253" s="239"/>
      <c r="HQ253" s="240"/>
      <c r="HR253" s="155"/>
      <c r="HS253" s="238"/>
      <c r="HT253" s="239"/>
      <c r="HU253" s="239"/>
      <c r="HV253" s="240"/>
      <c r="HW253" s="155"/>
      <c r="HX253" s="238"/>
      <c r="HY253" s="239"/>
      <c r="HZ253" s="239"/>
      <c r="IA253" s="240"/>
      <c r="IB253" s="155"/>
      <c r="IC253" s="238"/>
      <c r="ID253" s="239"/>
      <c r="IE253" s="239"/>
      <c r="IF253" s="240"/>
      <c r="IG253" s="155"/>
      <c r="IH253" s="238"/>
      <c r="II253" s="239"/>
      <c r="IJ253" s="239"/>
      <c r="IK253" s="240"/>
      <c r="IL253" s="155"/>
      <c r="IM253" s="238"/>
      <c r="IN253" s="239"/>
      <c r="IO253" s="239"/>
      <c r="IP253" s="240"/>
      <c r="IQ253" s="155"/>
    </row>
    <row r="254" spans="2:251" ht="15" customHeight="1">
      <c r="B254" s="155"/>
      <c r="C254" s="155"/>
      <c r="D254" s="236"/>
      <c r="E254" s="237"/>
      <c r="F254" s="312"/>
      <c r="G254" s="330"/>
      <c r="H254" s="239"/>
      <c r="I254" s="239"/>
      <c r="J254" s="240"/>
      <c r="K254" s="331"/>
      <c r="L254" s="330"/>
      <c r="M254" s="239"/>
      <c r="N254" s="239"/>
      <c r="O254" s="240"/>
      <c r="P254" s="331"/>
      <c r="Q254" s="330"/>
      <c r="R254" s="239"/>
      <c r="S254" s="239"/>
      <c r="T254" s="240"/>
      <c r="U254" s="331"/>
      <c r="V254" s="323"/>
      <c r="W254" s="239"/>
      <c r="X254" s="239"/>
      <c r="Y254" s="240"/>
      <c r="Z254" s="240"/>
      <c r="AA254" s="238"/>
      <c r="AB254" s="239"/>
      <c r="AC254" s="239"/>
      <c r="AD254" s="240"/>
      <c r="AE254" s="240"/>
      <c r="AF254" s="238"/>
      <c r="AG254" s="239"/>
      <c r="AH254" s="239"/>
      <c r="AI254" s="240"/>
      <c r="AJ254" s="155"/>
      <c r="AK254" s="238"/>
      <c r="AL254" s="239"/>
      <c r="AM254" s="239"/>
      <c r="AN254" s="240"/>
      <c r="AO254" s="155"/>
      <c r="AP254" s="238"/>
      <c r="AQ254" s="239"/>
      <c r="AR254" s="239"/>
      <c r="AS254" s="240"/>
      <c r="AT254" s="155"/>
      <c r="AU254" s="238"/>
      <c r="AV254" s="239"/>
      <c r="AW254" s="239"/>
      <c r="AX254" s="240"/>
      <c r="AY254" s="155"/>
      <c r="AZ254" s="238"/>
      <c r="BA254" s="239"/>
      <c r="BB254" s="239"/>
      <c r="BC254" s="240"/>
      <c r="BD254" s="155"/>
      <c r="BE254" s="238"/>
      <c r="BF254" s="239"/>
      <c r="BG254" s="239"/>
      <c r="BH254" s="240"/>
      <c r="BI254" s="155"/>
      <c r="BJ254" s="238"/>
      <c r="BK254" s="239"/>
      <c r="BL254" s="239"/>
      <c r="BM254" s="240"/>
      <c r="BN254" s="155"/>
      <c r="BO254" s="238"/>
      <c r="BP254" s="239"/>
      <c r="BQ254" s="239"/>
      <c r="BR254" s="240"/>
      <c r="BS254" s="155"/>
      <c r="BT254" s="238"/>
      <c r="BU254" s="239"/>
      <c r="BV254" s="239"/>
      <c r="BW254" s="240"/>
      <c r="BX254" s="155"/>
      <c r="BY254" s="238"/>
      <c r="BZ254" s="239"/>
      <c r="CA254" s="239"/>
      <c r="CB254" s="240"/>
      <c r="CC254" s="155"/>
      <c r="CD254" s="238"/>
      <c r="CE254" s="239"/>
      <c r="CF254" s="239"/>
      <c r="CG254" s="240"/>
      <c r="CH254" s="155"/>
      <c r="CI254" s="238"/>
      <c r="CJ254" s="239"/>
      <c r="CK254" s="239"/>
      <c r="CL254" s="240"/>
      <c r="CM254" s="155"/>
      <c r="CN254" s="238"/>
      <c r="CO254" s="239"/>
      <c r="CP254" s="239"/>
      <c r="CQ254" s="240"/>
      <c r="CR254" s="155"/>
      <c r="CS254" s="238"/>
      <c r="CT254" s="239"/>
      <c r="CU254" s="239"/>
      <c r="CV254" s="240"/>
      <c r="CW254" s="155"/>
      <c r="CX254" s="238"/>
      <c r="CY254" s="239"/>
      <c r="CZ254" s="239"/>
      <c r="DA254" s="240"/>
      <c r="DB254" s="155"/>
      <c r="DC254" s="238"/>
      <c r="DD254" s="239"/>
      <c r="DE254" s="239"/>
      <c r="DF254" s="240"/>
      <c r="DG254" s="155"/>
      <c r="DH254" s="238"/>
      <c r="DI254" s="239"/>
      <c r="DJ254" s="239"/>
      <c r="DK254" s="240"/>
      <c r="DL254" s="155"/>
      <c r="DM254" s="238"/>
      <c r="DN254" s="239"/>
      <c r="DO254" s="239"/>
      <c r="DP254" s="240"/>
      <c r="DQ254" s="155"/>
      <c r="DR254" s="238"/>
      <c r="DS254" s="239"/>
      <c r="DT254" s="239"/>
      <c r="DU254" s="240"/>
      <c r="DV254" s="155"/>
      <c r="DW254" s="238"/>
      <c r="DX254" s="239"/>
      <c r="DY254" s="239"/>
      <c r="DZ254" s="240"/>
      <c r="EA254" s="155"/>
      <c r="EB254" s="238"/>
      <c r="EC254" s="239"/>
      <c r="ED254" s="239"/>
      <c r="EE254" s="240"/>
      <c r="EF254" s="155"/>
      <c r="EG254" s="238"/>
      <c r="EH254" s="239"/>
      <c r="EI254" s="239"/>
      <c r="EJ254" s="240"/>
      <c r="EK254" s="155"/>
      <c r="EL254" s="238"/>
      <c r="EM254" s="239"/>
      <c r="EN254" s="239"/>
      <c r="EO254" s="240"/>
      <c r="EP254" s="155"/>
      <c r="EQ254" s="238"/>
      <c r="ER254" s="239"/>
      <c r="ES254" s="239"/>
      <c r="ET254" s="240"/>
      <c r="EU254" s="155"/>
      <c r="EV254" s="238"/>
      <c r="EW254" s="239"/>
      <c r="EX254" s="239"/>
      <c r="EY254" s="240"/>
      <c r="EZ254" s="155"/>
      <c r="FA254" s="238"/>
      <c r="FB254" s="239"/>
      <c r="FC254" s="239"/>
      <c r="FD254" s="240"/>
      <c r="FE254" s="155"/>
      <c r="FF254" s="238"/>
      <c r="FG254" s="239"/>
      <c r="FH254" s="239"/>
      <c r="FI254" s="240"/>
      <c r="FJ254" s="155"/>
      <c r="FK254" s="238"/>
      <c r="FL254" s="239"/>
      <c r="FM254" s="239"/>
      <c r="FN254" s="240"/>
      <c r="FO254" s="155"/>
      <c r="FP254" s="238"/>
      <c r="FQ254" s="239"/>
      <c r="FR254" s="239"/>
      <c r="FS254" s="240"/>
      <c r="FT254" s="155"/>
      <c r="FU254" s="238"/>
      <c r="FV254" s="239"/>
      <c r="FW254" s="239"/>
      <c r="FX254" s="240"/>
      <c r="FY254" s="155"/>
      <c r="FZ254" s="238"/>
      <c r="GA254" s="239"/>
      <c r="GB254" s="239"/>
      <c r="GC254" s="240"/>
      <c r="GD254" s="155"/>
      <c r="GE254" s="238"/>
      <c r="GF254" s="239"/>
      <c r="GG254" s="239"/>
      <c r="GH254" s="240"/>
      <c r="GI254" s="155"/>
      <c r="GJ254" s="1562"/>
      <c r="GK254" s="239"/>
      <c r="GL254" s="239"/>
      <c r="GM254" s="240"/>
      <c r="GN254" s="155"/>
      <c r="GO254" s="238"/>
      <c r="GP254" s="239"/>
      <c r="GQ254" s="239"/>
      <c r="GR254" s="240"/>
      <c r="GS254" s="155"/>
      <c r="GT254" s="238"/>
      <c r="GU254" s="239"/>
      <c r="GV254" s="239"/>
      <c r="GW254" s="240"/>
      <c r="GX254" s="155"/>
      <c r="GY254" s="238"/>
      <c r="GZ254" s="239"/>
      <c r="HA254" s="239"/>
      <c r="HB254" s="240"/>
      <c r="HC254" s="155"/>
      <c r="HD254" s="238"/>
      <c r="HE254" s="239"/>
      <c r="HF254" s="239"/>
      <c r="HG254" s="240"/>
      <c r="HH254" s="155"/>
      <c r="HI254" s="238"/>
      <c r="HJ254" s="239"/>
      <c r="HK254" s="239"/>
      <c r="HL254" s="240"/>
      <c r="HM254" s="155"/>
      <c r="HN254" s="238"/>
      <c r="HO254" s="239"/>
      <c r="HP254" s="239"/>
      <c r="HQ254" s="240"/>
      <c r="HR254" s="155"/>
      <c r="HS254" s="238"/>
      <c r="HT254" s="239"/>
      <c r="HU254" s="239"/>
      <c r="HV254" s="240"/>
      <c r="HW254" s="155"/>
      <c r="HX254" s="238"/>
      <c r="HY254" s="239"/>
      <c r="HZ254" s="239"/>
      <c r="IA254" s="240"/>
      <c r="IB254" s="155"/>
      <c r="IC254" s="238"/>
      <c r="ID254" s="239"/>
      <c r="IE254" s="239"/>
      <c r="IF254" s="240"/>
      <c r="IG254" s="155"/>
      <c r="IH254" s="238"/>
      <c r="II254" s="239"/>
      <c r="IJ254" s="239"/>
      <c r="IK254" s="240"/>
      <c r="IL254" s="155"/>
      <c r="IM254" s="238"/>
      <c r="IN254" s="239"/>
      <c r="IO254" s="239"/>
      <c r="IP254" s="240"/>
      <c r="IQ254" s="155"/>
    </row>
    <row r="255" spans="2:251" ht="15" customHeight="1">
      <c r="B255" s="155"/>
      <c r="C255" s="155"/>
      <c r="D255" s="236"/>
      <c r="E255" s="237"/>
      <c r="F255" s="312"/>
      <c r="G255" s="330"/>
      <c r="H255" s="239"/>
      <c r="I255" s="239"/>
      <c r="J255" s="240"/>
      <c r="K255" s="331"/>
      <c r="L255" s="330"/>
      <c r="M255" s="239"/>
      <c r="N255" s="239"/>
      <c r="O255" s="240"/>
      <c r="P255" s="331"/>
      <c r="Q255" s="330"/>
      <c r="R255" s="239"/>
      <c r="S255" s="239"/>
      <c r="T255" s="240"/>
      <c r="U255" s="331"/>
      <c r="V255" s="323"/>
      <c r="W255" s="239"/>
      <c r="X255" s="239"/>
      <c r="Y255" s="240"/>
      <c r="Z255" s="240"/>
      <c r="AA255" s="238"/>
      <c r="AB255" s="239"/>
      <c r="AC255" s="239"/>
      <c r="AD255" s="240"/>
      <c r="AE255" s="240"/>
      <c r="AF255" s="238"/>
      <c r="AG255" s="239"/>
      <c r="AH255" s="239"/>
      <c r="AI255" s="240"/>
      <c r="AJ255" s="155"/>
      <c r="AK255" s="238"/>
      <c r="AL255" s="239"/>
      <c r="AM255" s="239"/>
      <c r="AN255" s="240"/>
      <c r="AO255" s="155"/>
      <c r="AP255" s="238"/>
      <c r="AQ255" s="239"/>
      <c r="AR255" s="239"/>
      <c r="AS255" s="240"/>
      <c r="AT255" s="155"/>
      <c r="AU255" s="238"/>
      <c r="AV255" s="239"/>
      <c r="AW255" s="239"/>
      <c r="AX255" s="240"/>
      <c r="AY255" s="155"/>
      <c r="AZ255" s="238"/>
      <c r="BA255" s="239"/>
      <c r="BB255" s="239"/>
      <c r="BC255" s="240"/>
      <c r="BD255" s="155"/>
      <c r="BE255" s="238"/>
      <c r="BF255" s="239"/>
      <c r="BG255" s="239"/>
      <c r="BH255" s="240"/>
      <c r="BI255" s="155"/>
      <c r="BJ255" s="238"/>
      <c r="BK255" s="239"/>
      <c r="BL255" s="239"/>
      <c r="BM255" s="240"/>
      <c r="BN255" s="155"/>
      <c r="BO255" s="238"/>
      <c r="BP255" s="239"/>
      <c r="BQ255" s="239"/>
      <c r="BR255" s="240"/>
      <c r="BS255" s="155"/>
      <c r="BT255" s="238"/>
      <c r="BU255" s="239"/>
      <c r="BV255" s="239"/>
      <c r="BW255" s="240"/>
      <c r="BX255" s="155"/>
      <c r="BY255" s="238"/>
      <c r="BZ255" s="239"/>
      <c r="CA255" s="239"/>
      <c r="CB255" s="240"/>
      <c r="CC255" s="155"/>
      <c r="CD255" s="238"/>
      <c r="CE255" s="239"/>
      <c r="CF255" s="239"/>
      <c r="CG255" s="240"/>
      <c r="CH255" s="155"/>
      <c r="CI255" s="238"/>
      <c r="CJ255" s="239"/>
      <c r="CK255" s="239"/>
      <c r="CL255" s="240"/>
      <c r="CM255" s="155"/>
      <c r="CN255" s="238"/>
      <c r="CO255" s="239"/>
      <c r="CP255" s="239"/>
      <c r="CQ255" s="240"/>
      <c r="CR255" s="155"/>
      <c r="CS255" s="238"/>
      <c r="CT255" s="239"/>
      <c r="CU255" s="239"/>
      <c r="CV255" s="240"/>
      <c r="CW255" s="155"/>
      <c r="CX255" s="238"/>
      <c r="CY255" s="239"/>
      <c r="CZ255" s="239"/>
      <c r="DA255" s="240"/>
      <c r="DB255" s="155"/>
      <c r="DC255" s="238"/>
      <c r="DD255" s="239"/>
      <c r="DE255" s="239"/>
      <c r="DF255" s="240"/>
      <c r="DG255" s="155"/>
      <c r="DH255" s="238"/>
      <c r="DI255" s="239"/>
      <c r="DJ255" s="239"/>
      <c r="DK255" s="240"/>
      <c r="DL255" s="155"/>
      <c r="DM255" s="238"/>
      <c r="DN255" s="239"/>
      <c r="DO255" s="239"/>
      <c r="DP255" s="240"/>
      <c r="DQ255" s="155"/>
      <c r="DR255" s="238"/>
      <c r="DS255" s="239"/>
      <c r="DT255" s="239"/>
      <c r="DU255" s="240"/>
      <c r="DV255" s="155"/>
      <c r="DW255" s="238"/>
      <c r="DX255" s="239"/>
      <c r="DY255" s="239"/>
      <c r="DZ255" s="240"/>
      <c r="EA255" s="155"/>
      <c r="EB255" s="238"/>
      <c r="EC255" s="239"/>
      <c r="ED255" s="239"/>
      <c r="EE255" s="240"/>
      <c r="EF255" s="155"/>
      <c r="EG255" s="238"/>
      <c r="EH255" s="239"/>
      <c r="EI255" s="239"/>
      <c r="EJ255" s="240"/>
      <c r="EK255" s="155"/>
      <c r="EL255" s="238"/>
      <c r="EM255" s="239"/>
      <c r="EN255" s="239"/>
      <c r="EO255" s="240"/>
      <c r="EP255" s="155"/>
      <c r="EQ255" s="238"/>
      <c r="ER255" s="239"/>
      <c r="ES255" s="239"/>
      <c r="ET255" s="240"/>
      <c r="EU255" s="155"/>
      <c r="EV255" s="238"/>
      <c r="EW255" s="239"/>
      <c r="EX255" s="239"/>
      <c r="EY255" s="240"/>
      <c r="EZ255" s="155"/>
      <c r="FA255" s="238"/>
      <c r="FB255" s="239"/>
      <c r="FC255" s="239"/>
      <c r="FD255" s="240"/>
      <c r="FE255" s="155"/>
      <c r="FF255" s="238"/>
      <c r="FG255" s="239"/>
      <c r="FH255" s="239"/>
      <c r="FI255" s="240"/>
      <c r="FJ255" s="155"/>
      <c r="FK255" s="238"/>
      <c r="FL255" s="239"/>
      <c r="FM255" s="239"/>
      <c r="FN255" s="240"/>
      <c r="FO255" s="155"/>
      <c r="FP255" s="238"/>
      <c r="FQ255" s="239"/>
      <c r="FR255" s="239"/>
      <c r="FS255" s="240"/>
      <c r="FT255" s="155"/>
      <c r="FU255" s="238"/>
      <c r="FV255" s="239"/>
      <c r="FW255" s="239"/>
      <c r="FX255" s="240"/>
      <c r="FY255" s="155"/>
      <c r="FZ255" s="238"/>
      <c r="GA255" s="239"/>
      <c r="GB255" s="239"/>
      <c r="GC255" s="240"/>
      <c r="GD255" s="155"/>
      <c r="GE255" s="238"/>
      <c r="GF255" s="239"/>
      <c r="GG255" s="239"/>
      <c r="GH255" s="240"/>
      <c r="GI255" s="155"/>
      <c r="GJ255" s="1562"/>
      <c r="GK255" s="239"/>
      <c r="GL255" s="239"/>
      <c r="GM255" s="240"/>
      <c r="GN255" s="155"/>
      <c r="GO255" s="238"/>
      <c r="GP255" s="239"/>
      <c r="GQ255" s="239"/>
      <c r="GR255" s="240"/>
      <c r="GS255" s="155"/>
      <c r="GT255" s="238"/>
      <c r="GU255" s="239"/>
      <c r="GV255" s="239"/>
      <c r="GW255" s="240"/>
      <c r="GX255" s="155"/>
      <c r="GY255" s="238"/>
      <c r="GZ255" s="239"/>
      <c r="HA255" s="239"/>
      <c r="HB255" s="240"/>
      <c r="HC255" s="155"/>
      <c r="HD255" s="238"/>
      <c r="HE255" s="239"/>
      <c r="HF255" s="239"/>
      <c r="HG255" s="240"/>
      <c r="HH255" s="155"/>
      <c r="HI255" s="238"/>
      <c r="HJ255" s="239"/>
      <c r="HK255" s="239"/>
      <c r="HL255" s="240"/>
      <c r="HM255" s="155"/>
      <c r="HN255" s="238"/>
      <c r="HO255" s="239"/>
      <c r="HP255" s="239"/>
      <c r="HQ255" s="240"/>
      <c r="HR255" s="155"/>
      <c r="HS255" s="238"/>
      <c r="HT255" s="239"/>
      <c r="HU255" s="239"/>
      <c r="HV255" s="240"/>
      <c r="HW255" s="155"/>
      <c r="HX255" s="238"/>
      <c r="HY255" s="239"/>
      <c r="HZ255" s="239"/>
      <c r="IA255" s="240"/>
      <c r="IB255" s="155"/>
      <c r="IC255" s="238"/>
      <c r="ID255" s="239"/>
      <c r="IE255" s="239"/>
      <c r="IF255" s="240"/>
      <c r="IG255" s="155"/>
      <c r="IH255" s="238"/>
      <c r="II255" s="239"/>
      <c r="IJ255" s="239"/>
      <c r="IK255" s="240"/>
      <c r="IL255" s="155"/>
      <c r="IM255" s="238"/>
      <c r="IN255" s="239"/>
      <c r="IO255" s="239"/>
      <c r="IP255" s="240"/>
      <c r="IQ255" s="155"/>
    </row>
    <row r="256" spans="2:251" ht="15" customHeight="1">
      <c r="B256" s="155"/>
      <c r="C256" s="155"/>
      <c r="D256" s="236"/>
      <c r="E256" s="237"/>
      <c r="F256" s="312"/>
      <c r="G256" s="330"/>
      <c r="H256" s="239"/>
      <c r="I256" s="239"/>
      <c r="J256" s="240"/>
      <c r="K256" s="331"/>
      <c r="L256" s="330"/>
      <c r="M256" s="239"/>
      <c r="N256" s="239"/>
      <c r="O256" s="240"/>
      <c r="P256" s="331"/>
      <c r="Q256" s="330"/>
      <c r="R256" s="239"/>
      <c r="S256" s="239"/>
      <c r="T256" s="240"/>
      <c r="U256" s="331"/>
      <c r="V256" s="323"/>
      <c r="W256" s="239"/>
      <c r="X256" s="239"/>
      <c r="Y256" s="240"/>
      <c r="Z256" s="240"/>
      <c r="AA256" s="238"/>
      <c r="AB256" s="239"/>
      <c r="AC256" s="239"/>
      <c r="AD256" s="240"/>
      <c r="AE256" s="240"/>
      <c r="AF256" s="238"/>
      <c r="AG256" s="239"/>
      <c r="AH256" s="239"/>
      <c r="AI256" s="240"/>
      <c r="AJ256" s="155"/>
      <c r="AK256" s="238"/>
      <c r="AL256" s="239"/>
      <c r="AM256" s="239"/>
      <c r="AN256" s="240"/>
      <c r="AO256" s="155"/>
      <c r="AP256" s="238"/>
      <c r="AQ256" s="239"/>
      <c r="AR256" s="239"/>
      <c r="AS256" s="240"/>
      <c r="AT256" s="155"/>
      <c r="AU256" s="238"/>
      <c r="AV256" s="239"/>
      <c r="AW256" s="239"/>
      <c r="AX256" s="240"/>
      <c r="AY256" s="155"/>
      <c r="AZ256" s="238"/>
      <c r="BA256" s="239"/>
      <c r="BB256" s="239"/>
      <c r="BC256" s="240"/>
      <c r="BD256" s="155"/>
      <c r="BE256" s="238"/>
      <c r="BF256" s="239"/>
      <c r="BG256" s="239"/>
      <c r="BH256" s="240"/>
      <c r="BI256" s="155"/>
      <c r="BJ256" s="238"/>
      <c r="BK256" s="239"/>
      <c r="BL256" s="239"/>
      <c r="BM256" s="240"/>
      <c r="BN256" s="155"/>
      <c r="BO256" s="238"/>
      <c r="BP256" s="239"/>
      <c r="BQ256" s="239"/>
      <c r="BR256" s="240"/>
      <c r="BS256" s="155"/>
      <c r="BT256" s="238"/>
      <c r="BU256" s="239"/>
      <c r="BV256" s="239"/>
      <c r="BW256" s="240"/>
      <c r="BX256" s="155"/>
      <c r="BY256" s="238"/>
      <c r="BZ256" s="239"/>
      <c r="CA256" s="239"/>
      <c r="CB256" s="240"/>
      <c r="CC256" s="155"/>
      <c r="CD256" s="238"/>
      <c r="CE256" s="239"/>
      <c r="CF256" s="239"/>
      <c r="CG256" s="240"/>
      <c r="CH256" s="155"/>
      <c r="CI256" s="238"/>
      <c r="CJ256" s="239"/>
      <c r="CK256" s="239"/>
      <c r="CL256" s="240"/>
      <c r="CM256" s="155"/>
      <c r="CN256" s="238"/>
      <c r="CO256" s="239"/>
      <c r="CP256" s="239"/>
      <c r="CQ256" s="240"/>
      <c r="CR256" s="155"/>
      <c r="CS256" s="238"/>
      <c r="CT256" s="239"/>
      <c r="CU256" s="239"/>
      <c r="CV256" s="240"/>
      <c r="CW256" s="155"/>
      <c r="CX256" s="238"/>
      <c r="CY256" s="239"/>
      <c r="CZ256" s="239"/>
      <c r="DA256" s="240"/>
      <c r="DB256" s="155"/>
      <c r="DC256" s="238"/>
      <c r="DD256" s="239"/>
      <c r="DE256" s="239"/>
      <c r="DF256" s="240"/>
      <c r="DG256" s="155"/>
      <c r="DH256" s="238"/>
      <c r="DI256" s="239"/>
      <c r="DJ256" s="239"/>
      <c r="DK256" s="240"/>
      <c r="DL256" s="155"/>
      <c r="DM256" s="238"/>
      <c r="DN256" s="239"/>
      <c r="DO256" s="239"/>
      <c r="DP256" s="240"/>
      <c r="DQ256" s="155"/>
      <c r="DR256" s="238"/>
      <c r="DS256" s="239"/>
      <c r="DT256" s="239"/>
      <c r="DU256" s="240"/>
      <c r="DV256" s="155"/>
      <c r="DW256" s="238"/>
      <c r="DX256" s="239"/>
      <c r="DY256" s="239"/>
      <c r="DZ256" s="240"/>
      <c r="EA256" s="155"/>
      <c r="EB256" s="238"/>
      <c r="EC256" s="239"/>
      <c r="ED256" s="239"/>
      <c r="EE256" s="240"/>
      <c r="EF256" s="155"/>
      <c r="EG256" s="238"/>
      <c r="EH256" s="239"/>
      <c r="EI256" s="239"/>
      <c r="EJ256" s="240"/>
      <c r="EK256" s="155"/>
      <c r="EL256" s="238"/>
      <c r="EM256" s="239"/>
      <c r="EN256" s="239"/>
      <c r="EO256" s="240"/>
      <c r="EP256" s="155"/>
      <c r="EQ256" s="238"/>
      <c r="ER256" s="239"/>
      <c r="ES256" s="239"/>
      <c r="ET256" s="240"/>
      <c r="EU256" s="155"/>
      <c r="EV256" s="238"/>
      <c r="EW256" s="239"/>
      <c r="EX256" s="239"/>
      <c r="EY256" s="240"/>
      <c r="EZ256" s="155"/>
      <c r="FA256" s="238"/>
      <c r="FB256" s="239"/>
      <c r="FC256" s="239"/>
      <c r="FD256" s="240"/>
      <c r="FE256" s="155"/>
      <c r="FF256" s="238"/>
      <c r="FG256" s="239"/>
      <c r="FH256" s="239"/>
      <c r="FI256" s="240"/>
      <c r="FJ256" s="155"/>
      <c r="FK256" s="238"/>
      <c r="FL256" s="239"/>
      <c r="FM256" s="239"/>
      <c r="FN256" s="240"/>
      <c r="FO256" s="155"/>
      <c r="FP256" s="238"/>
      <c r="FQ256" s="239"/>
      <c r="FR256" s="239"/>
      <c r="FS256" s="240"/>
      <c r="FT256" s="155"/>
      <c r="FU256" s="238"/>
      <c r="FV256" s="239"/>
      <c r="FW256" s="239"/>
      <c r="FX256" s="240"/>
      <c r="FY256" s="155"/>
      <c r="FZ256" s="238"/>
      <c r="GA256" s="239"/>
      <c r="GB256" s="239"/>
      <c r="GC256" s="240"/>
      <c r="GD256" s="155"/>
      <c r="GE256" s="238"/>
      <c r="GF256" s="239"/>
      <c r="GG256" s="239"/>
      <c r="GH256" s="240"/>
      <c r="GI256" s="155"/>
      <c r="GJ256" s="1562"/>
      <c r="GK256" s="239"/>
      <c r="GL256" s="239"/>
      <c r="GM256" s="240"/>
      <c r="GN256" s="155"/>
      <c r="GO256" s="238"/>
      <c r="GP256" s="239"/>
      <c r="GQ256" s="239"/>
      <c r="GR256" s="240"/>
      <c r="GS256" s="155"/>
      <c r="GT256" s="238"/>
      <c r="GU256" s="239"/>
      <c r="GV256" s="239"/>
      <c r="GW256" s="240"/>
      <c r="GX256" s="155"/>
      <c r="GY256" s="238"/>
      <c r="GZ256" s="239"/>
      <c r="HA256" s="239"/>
      <c r="HB256" s="240"/>
      <c r="HC256" s="155"/>
      <c r="HD256" s="238"/>
      <c r="HE256" s="239"/>
      <c r="HF256" s="239"/>
      <c r="HG256" s="240"/>
      <c r="HH256" s="155"/>
      <c r="HI256" s="238"/>
      <c r="HJ256" s="239"/>
      <c r="HK256" s="239"/>
      <c r="HL256" s="240"/>
      <c r="HM256" s="155"/>
      <c r="HN256" s="238"/>
      <c r="HO256" s="239"/>
      <c r="HP256" s="239"/>
      <c r="HQ256" s="240"/>
      <c r="HR256" s="155"/>
      <c r="HS256" s="238"/>
      <c r="HT256" s="239"/>
      <c r="HU256" s="239"/>
      <c r="HV256" s="240"/>
      <c r="HW256" s="155"/>
      <c r="HX256" s="238"/>
      <c r="HY256" s="239"/>
      <c r="HZ256" s="239"/>
      <c r="IA256" s="240"/>
      <c r="IB256" s="155"/>
      <c r="IC256" s="238"/>
      <c r="ID256" s="239"/>
      <c r="IE256" s="239"/>
      <c r="IF256" s="240"/>
      <c r="IG256" s="155"/>
      <c r="IH256" s="238"/>
      <c r="II256" s="239"/>
      <c r="IJ256" s="239"/>
      <c r="IK256" s="240"/>
      <c r="IL256" s="155"/>
      <c r="IM256" s="238"/>
      <c r="IN256" s="239"/>
      <c r="IO256" s="239"/>
      <c r="IP256" s="240"/>
      <c r="IQ256" s="155"/>
    </row>
    <row r="257" spans="2:251" ht="15" customHeight="1">
      <c r="B257" s="155"/>
      <c r="C257" s="155"/>
      <c r="D257" s="236"/>
      <c r="E257" s="237"/>
      <c r="F257" s="312"/>
      <c r="G257" s="330"/>
      <c r="H257" s="239"/>
      <c r="I257" s="239"/>
      <c r="J257" s="240"/>
      <c r="K257" s="331"/>
      <c r="L257" s="330"/>
      <c r="M257" s="239"/>
      <c r="N257" s="239"/>
      <c r="O257" s="240"/>
      <c r="P257" s="331"/>
      <c r="Q257" s="330"/>
      <c r="R257" s="239"/>
      <c r="S257" s="239"/>
      <c r="T257" s="240"/>
      <c r="U257" s="331"/>
      <c r="V257" s="323"/>
      <c r="W257" s="239"/>
      <c r="X257" s="239"/>
      <c r="Y257" s="240"/>
      <c r="Z257" s="240"/>
      <c r="AA257" s="238"/>
      <c r="AB257" s="239"/>
      <c r="AC257" s="239"/>
      <c r="AD257" s="240"/>
      <c r="AE257" s="240"/>
      <c r="AF257" s="238"/>
      <c r="AG257" s="239"/>
      <c r="AH257" s="239"/>
      <c r="AI257" s="240"/>
      <c r="AJ257" s="155"/>
      <c r="AK257" s="238"/>
      <c r="AL257" s="239"/>
      <c r="AM257" s="239"/>
      <c r="AN257" s="240"/>
      <c r="AO257" s="155"/>
      <c r="AP257" s="238"/>
      <c r="AQ257" s="239"/>
      <c r="AR257" s="239"/>
      <c r="AS257" s="240"/>
      <c r="AT257" s="155"/>
      <c r="AU257" s="238"/>
      <c r="AV257" s="239"/>
      <c r="AW257" s="239"/>
      <c r="AX257" s="240"/>
      <c r="AY257" s="155"/>
      <c r="AZ257" s="238"/>
      <c r="BA257" s="239"/>
      <c r="BB257" s="239"/>
      <c r="BC257" s="240"/>
      <c r="BD257" s="155"/>
      <c r="BE257" s="238"/>
      <c r="BF257" s="239"/>
      <c r="BG257" s="239"/>
      <c r="BH257" s="240"/>
      <c r="BI257" s="155"/>
      <c r="BJ257" s="238"/>
      <c r="BK257" s="239"/>
      <c r="BL257" s="239"/>
      <c r="BM257" s="240"/>
      <c r="BN257" s="155"/>
      <c r="BO257" s="238"/>
      <c r="BP257" s="239"/>
      <c r="BQ257" s="239"/>
      <c r="BR257" s="240"/>
      <c r="BS257" s="155"/>
      <c r="BT257" s="238"/>
      <c r="BU257" s="239"/>
      <c r="BV257" s="239"/>
      <c r="BW257" s="240"/>
      <c r="BX257" s="155"/>
      <c r="BY257" s="238"/>
      <c r="BZ257" s="239"/>
      <c r="CA257" s="239"/>
      <c r="CB257" s="240"/>
      <c r="CC257" s="155"/>
      <c r="CD257" s="238"/>
      <c r="CE257" s="239"/>
      <c r="CF257" s="239"/>
      <c r="CG257" s="240"/>
      <c r="CH257" s="155"/>
      <c r="CI257" s="238"/>
      <c r="CJ257" s="239"/>
      <c r="CK257" s="239"/>
      <c r="CL257" s="240"/>
      <c r="CM257" s="155"/>
      <c r="CN257" s="238"/>
      <c r="CO257" s="239"/>
      <c r="CP257" s="239"/>
      <c r="CQ257" s="240"/>
      <c r="CR257" s="155"/>
      <c r="CS257" s="238"/>
      <c r="CT257" s="239"/>
      <c r="CU257" s="239"/>
      <c r="CV257" s="240"/>
      <c r="CW257" s="155"/>
      <c r="CX257" s="238"/>
      <c r="CY257" s="239"/>
      <c r="CZ257" s="239"/>
      <c r="DA257" s="240"/>
      <c r="DB257" s="155"/>
      <c r="DC257" s="238"/>
      <c r="DD257" s="239"/>
      <c r="DE257" s="239"/>
      <c r="DF257" s="240"/>
      <c r="DG257" s="155"/>
      <c r="DH257" s="238"/>
      <c r="DI257" s="239"/>
      <c r="DJ257" s="239"/>
      <c r="DK257" s="240"/>
      <c r="DL257" s="155"/>
      <c r="DM257" s="238"/>
      <c r="DN257" s="239"/>
      <c r="DO257" s="239"/>
      <c r="DP257" s="240"/>
      <c r="DQ257" s="155"/>
      <c r="DR257" s="238"/>
      <c r="DS257" s="239"/>
      <c r="DT257" s="239"/>
      <c r="DU257" s="240"/>
      <c r="DV257" s="155"/>
      <c r="DW257" s="238"/>
      <c r="DX257" s="239"/>
      <c r="DY257" s="239"/>
      <c r="DZ257" s="240"/>
      <c r="EA257" s="155"/>
      <c r="EB257" s="238"/>
      <c r="EC257" s="239"/>
      <c r="ED257" s="239"/>
      <c r="EE257" s="240"/>
      <c r="EF257" s="155"/>
      <c r="EG257" s="238"/>
      <c r="EH257" s="239"/>
      <c r="EI257" s="239"/>
      <c r="EJ257" s="240"/>
      <c r="EK257" s="155"/>
      <c r="EL257" s="238"/>
      <c r="EM257" s="239"/>
      <c r="EN257" s="239"/>
      <c r="EO257" s="240"/>
      <c r="EP257" s="155"/>
      <c r="EQ257" s="238"/>
      <c r="ER257" s="239"/>
      <c r="ES257" s="239"/>
      <c r="ET257" s="240"/>
      <c r="EU257" s="155"/>
      <c r="EV257" s="238"/>
      <c r="EW257" s="239"/>
      <c r="EX257" s="239"/>
      <c r="EY257" s="240"/>
      <c r="EZ257" s="155"/>
      <c r="FA257" s="238"/>
      <c r="FB257" s="239"/>
      <c r="FC257" s="239"/>
      <c r="FD257" s="240"/>
      <c r="FE257" s="155"/>
      <c r="FF257" s="238"/>
      <c r="FG257" s="239"/>
      <c r="FH257" s="239"/>
      <c r="FI257" s="240"/>
      <c r="FJ257" s="155"/>
      <c r="FK257" s="238"/>
      <c r="FL257" s="239"/>
      <c r="FM257" s="239"/>
      <c r="FN257" s="240"/>
      <c r="FO257" s="155"/>
      <c r="FP257" s="238"/>
      <c r="FQ257" s="239"/>
      <c r="FR257" s="239"/>
      <c r="FS257" s="240"/>
      <c r="FT257" s="155"/>
      <c r="FU257" s="238"/>
      <c r="FV257" s="239"/>
      <c r="FW257" s="239"/>
      <c r="FX257" s="240"/>
      <c r="FY257" s="155"/>
      <c r="FZ257" s="238"/>
      <c r="GA257" s="239"/>
      <c r="GB257" s="239"/>
      <c r="GC257" s="240"/>
      <c r="GD257" s="155"/>
      <c r="GE257" s="238"/>
      <c r="GF257" s="239"/>
      <c r="GG257" s="239"/>
      <c r="GH257" s="240"/>
      <c r="GI257" s="155"/>
      <c r="GJ257" s="1562"/>
      <c r="GK257" s="239"/>
      <c r="GL257" s="239"/>
      <c r="GM257" s="240"/>
      <c r="GN257" s="155"/>
      <c r="GO257" s="238"/>
      <c r="GP257" s="239"/>
      <c r="GQ257" s="239"/>
      <c r="GR257" s="240"/>
      <c r="GS257" s="155"/>
      <c r="GT257" s="238"/>
      <c r="GU257" s="239"/>
      <c r="GV257" s="239"/>
      <c r="GW257" s="240"/>
      <c r="GX257" s="155"/>
      <c r="GY257" s="238"/>
      <c r="GZ257" s="239"/>
      <c r="HA257" s="239"/>
      <c r="HB257" s="240"/>
      <c r="HC257" s="155"/>
      <c r="HD257" s="238"/>
      <c r="HE257" s="239"/>
      <c r="HF257" s="239"/>
      <c r="HG257" s="240"/>
      <c r="HH257" s="155"/>
      <c r="HI257" s="238"/>
      <c r="HJ257" s="239"/>
      <c r="HK257" s="239"/>
      <c r="HL257" s="240"/>
      <c r="HM257" s="155"/>
      <c r="HN257" s="238"/>
      <c r="HO257" s="239"/>
      <c r="HP257" s="239"/>
      <c r="HQ257" s="240"/>
      <c r="HR257" s="155"/>
      <c r="HS257" s="238"/>
      <c r="HT257" s="239"/>
      <c r="HU257" s="239"/>
      <c r="HV257" s="240"/>
      <c r="HW257" s="155"/>
      <c r="HX257" s="238"/>
      <c r="HY257" s="239"/>
      <c r="HZ257" s="239"/>
      <c r="IA257" s="240"/>
      <c r="IB257" s="155"/>
      <c r="IC257" s="238"/>
      <c r="ID257" s="239"/>
      <c r="IE257" s="239"/>
      <c r="IF257" s="240"/>
      <c r="IG257" s="155"/>
      <c r="IH257" s="238"/>
      <c r="II257" s="239"/>
      <c r="IJ257" s="239"/>
      <c r="IK257" s="240"/>
      <c r="IL257" s="155"/>
      <c r="IM257" s="238"/>
      <c r="IN257" s="239"/>
      <c r="IO257" s="239"/>
      <c r="IP257" s="240"/>
      <c r="IQ257" s="155"/>
    </row>
    <row r="258" spans="2:251" ht="15" customHeight="1">
      <c r="B258" s="155"/>
      <c r="C258" s="155"/>
      <c r="D258" s="236"/>
      <c r="E258" s="237"/>
      <c r="F258" s="312"/>
      <c r="G258" s="330"/>
      <c r="H258" s="239"/>
      <c r="I258" s="239"/>
      <c r="J258" s="240"/>
      <c r="K258" s="331"/>
      <c r="L258" s="330"/>
      <c r="M258" s="239"/>
      <c r="N258" s="239"/>
      <c r="O258" s="240"/>
      <c r="P258" s="331"/>
      <c r="Q258" s="330"/>
      <c r="R258" s="239"/>
      <c r="S258" s="239"/>
      <c r="T258" s="240"/>
      <c r="U258" s="331"/>
      <c r="V258" s="323"/>
      <c r="W258" s="239"/>
      <c r="X258" s="239"/>
      <c r="Y258" s="240"/>
      <c r="Z258" s="240"/>
      <c r="AA258" s="238"/>
      <c r="AB258" s="239"/>
      <c r="AC258" s="239"/>
      <c r="AD258" s="240"/>
      <c r="AE258" s="240"/>
      <c r="AF258" s="238"/>
      <c r="AG258" s="239"/>
      <c r="AH258" s="239"/>
      <c r="AI258" s="240"/>
      <c r="AJ258" s="155"/>
      <c r="AK258" s="238"/>
      <c r="AL258" s="239"/>
      <c r="AM258" s="239"/>
      <c r="AN258" s="240"/>
      <c r="AO258" s="155"/>
      <c r="AP258" s="238"/>
      <c r="AQ258" s="239"/>
      <c r="AR258" s="239"/>
      <c r="AS258" s="240"/>
      <c r="AT258" s="155"/>
      <c r="AU258" s="238"/>
      <c r="AV258" s="239"/>
      <c r="AW258" s="239"/>
      <c r="AX258" s="240"/>
      <c r="AY258" s="155"/>
      <c r="AZ258" s="238"/>
      <c r="BA258" s="239"/>
      <c r="BB258" s="239"/>
      <c r="BC258" s="240"/>
      <c r="BD258" s="155"/>
      <c r="BE258" s="238"/>
      <c r="BF258" s="239"/>
      <c r="BG258" s="239"/>
      <c r="BH258" s="240"/>
      <c r="BI258" s="155"/>
      <c r="BJ258" s="238"/>
      <c r="BK258" s="239"/>
      <c r="BL258" s="239"/>
      <c r="BM258" s="240"/>
      <c r="BN258" s="155"/>
      <c r="BO258" s="238"/>
      <c r="BP258" s="239"/>
      <c r="BQ258" s="239"/>
      <c r="BR258" s="240"/>
      <c r="BS258" s="155"/>
      <c r="BT258" s="238"/>
      <c r="BU258" s="239"/>
      <c r="BV258" s="239"/>
      <c r="BW258" s="240"/>
      <c r="BX258" s="155"/>
      <c r="BY258" s="238"/>
      <c r="BZ258" s="239"/>
      <c r="CA258" s="239"/>
      <c r="CB258" s="240"/>
      <c r="CC258" s="155"/>
      <c r="CD258" s="238"/>
      <c r="CE258" s="239"/>
      <c r="CF258" s="239"/>
      <c r="CG258" s="240"/>
      <c r="CH258" s="155"/>
      <c r="CI258" s="238"/>
      <c r="CJ258" s="239"/>
      <c r="CK258" s="239"/>
      <c r="CL258" s="240"/>
      <c r="CM258" s="155"/>
      <c r="CN258" s="238"/>
      <c r="CO258" s="239"/>
      <c r="CP258" s="239"/>
      <c r="CQ258" s="240"/>
      <c r="CR258" s="155"/>
      <c r="CS258" s="238"/>
      <c r="CT258" s="239"/>
      <c r="CU258" s="239"/>
      <c r="CV258" s="240"/>
      <c r="CW258" s="155"/>
      <c r="CX258" s="238"/>
      <c r="CY258" s="239"/>
      <c r="CZ258" s="239"/>
      <c r="DA258" s="240"/>
      <c r="DB258" s="155"/>
      <c r="DC258" s="238"/>
      <c r="DD258" s="239"/>
      <c r="DE258" s="239"/>
      <c r="DF258" s="240"/>
      <c r="DG258" s="155"/>
      <c r="DH258" s="238"/>
      <c r="DI258" s="239"/>
      <c r="DJ258" s="239"/>
      <c r="DK258" s="240"/>
      <c r="DL258" s="155"/>
      <c r="DM258" s="238"/>
      <c r="DN258" s="239"/>
      <c r="DO258" s="239"/>
      <c r="DP258" s="240"/>
      <c r="DQ258" s="155"/>
      <c r="DR258" s="238"/>
      <c r="DS258" s="239"/>
      <c r="DT258" s="239"/>
      <c r="DU258" s="240"/>
      <c r="DV258" s="155"/>
      <c r="DW258" s="238"/>
      <c r="DX258" s="239"/>
      <c r="DY258" s="239"/>
      <c r="DZ258" s="240"/>
      <c r="EA258" s="155"/>
      <c r="EB258" s="238"/>
      <c r="EC258" s="239"/>
      <c r="ED258" s="239"/>
      <c r="EE258" s="240"/>
      <c r="EF258" s="155"/>
      <c r="EG258" s="238"/>
      <c r="EH258" s="239"/>
      <c r="EI258" s="239"/>
      <c r="EJ258" s="240"/>
      <c r="EK258" s="155"/>
      <c r="EL258" s="238"/>
      <c r="EM258" s="239"/>
      <c r="EN258" s="239"/>
      <c r="EO258" s="240"/>
      <c r="EP258" s="155"/>
      <c r="EQ258" s="238"/>
      <c r="ER258" s="239"/>
      <c r="ES258" s="239"/>
      <c r="ET258" s="240"/>
      <c r="EU258" s="155"/>
      <c r="EV258" s="238"/>
      <c r="EW258" s="239"/>
      <c r="EX258" s="239"/>
      <c r="EY258" s="240"/>
      <c r="EZ258" s="155"/>
      <c r="FA258" s="238"/>
      <c r="FB258" s="239"/>
      <c r="FC258" s="239"/>
      <c r="FD258" s="240"/>
      <c r="FE258" s="155"/>
      <c r="FF258" s="238"/>
      <c r="FG258" s="239"/>
      <c r="FH258" s="239"/>
      <c r="FI258" s="240"/>
      <c r="FJ258" s="155"/>
      <c r="FK258" s="238"/>
      <c r="FL258" s="239"/>
      <c r="FM258" s="239"/>
      <c r="FN258" s="240"/>
      <c r="FO258" s="155"/>
      <c r="FP258" s="238"/>
      <c r="FQ258" s="239"/>
      <c r="FR258" s="239"/>
      <c r="FS258" s="240"/>
      <c r="FT258" s="155"/>
      <c r="FU258" s="238"/>
      <c r="FV258" s="239"/>
      <c r="FW258" s="239"/>
      <c r="FX258" s="240"/>
      <c r="FY258" s="155"/>
      <c r="FZ258" s="238"/>
      <c r="GA258" s="239"/>
      <c r="GB258" s="239"/>
      <c r="GC258" s="240"/>
      <c r="GD258" s="155"/>
      <c r="GE258" s="238"/>
      <c r="GF258" s="239"/>
      <c r="GG258" s="239"/>
      <c r="GH258" s="240"/>
      <c r="GI258" s="155"/>
      <c r="GJ258" s="1562"/>
      <c r="GK258" s="239"/>
      <c r="GL258" s="239"/>
      <c r="GM258" s="240"/>
      <c r="GN258" s="155"/>
      <c r="GO258" s="238"/>
      <c r="GP258" s="239"/>
      <c r="GQ258" s="239"/>
      <c r="GR258" s="240"/>
      <c r="GS258" s="155"/>
      <c r="GT258" s="238"/>
      <c r="GU258" s="239"/>
      <c r="GV258" s="239"/>
      <c r="GW258" s="240"/>
      <c r="GX258" s="155"/>
      <c r="GY258" s="238"/>
      <c r="GZ258" s="239"/>
      <c r="HA258" s="239"/>
      <c r="HB258" s="240"/>
      <c r="HC258" s="155"/>
      <c r="HD258" s="238"/>
      <c r="HE258" s="239"/>
      <c r="HF258" s="239"/>
      <c r="HG258" s="240"/>
      <c r="HH258" s="155"/>
      <c r="HI258" s="238"/>
      <c r="HJ258" s="239"/>
      <c r="HK258" s="239"/>
      <c r="HL258" s="240"/>
      <c r="HM258" s="155"/>
      <c r="HN258" s="238"/>
      <c r="HO258" s="239"/>
      <c r="HP258" s="239"/>
      <c r="HQ258" s="240"/>
      <c r="HR258" s="155"/>
      <c r="HS258" s="238"/>
      <c r="HT258" s="239"/>
      <c r="HU258" s="239"/>
      <c r="HV258" s="240"/>
      <c r="HW258" s="155"/>
      <c r="HX258" s="238"/>
      <c r="HY258" s="239"/>
      <c r="HZ258" s="239"/>
      <c r="IA258" s="240"/>
      <c r="IB258" s="155"/>
      <c r="IC258" s="238"/>
      <c r="ID258" s="239"/>
      <c r="IE258" s="239"/>
      <c r="IF258" s="240"/>
      <c r="IG258" s="155"/>
      <c r="IH258" s="238"/>
      <c r="II258" s="239"/>
      <c r="IJ258" s="239"/>
      <c r="IK258" s="240"/>
      <c r="IL258" s="155"/>
      <c r="IM258" s="238"/>
      <c r="IN258" s="239"/>
      <c r="IO258" s="239"/>
      <c r="IP258" s="240"/>
      <c r="IQ258" s="155"/>
    </row>
    <row r="259" spans="2:251" ht="15" customHeight="1">
      <c r="B259" s="155"/>
      <c r="C259" s="155"/>
      <c r="D259" s="236"/>
      <c r="E259" s="237"/>
      <c r="F259" s="312"/>
      <c r="G259" s="330"/>
      <c r="H259" s="239"/>
      <c r="I259" s="239"/>
      <c r="J259" s="240"/>
      <c r="K259" s="331"/>
      <c r="L259" s="330"/>
      <c r="M259" s="239"/>
      <c r="N259" s="239"/>
      <c r="O259" s="240"/>
      <c r="P259" s="331"/>
      <c r="Q259" s="330"/>
      <c r="R259" s="239"/>
      <c r="S259" s="239"/>
      <c r="T259" s="240"/>
      <c r="U259" s="331"/>
      <c r="V259" s="323"/>
      <c r="W259" s="239"/>
      <c r="X259" s="239"/>
      <c r="Y259" s="240"/>
      <c r="Z259" s="240"/>
      <c r="AA259" s="238"/>
      <c r="AB259" s="239"/>
      <c r="AC259" s="239"/>
      <c r="AD259" s="240"/>
      <c r="AE259" s="240"/>
      <c r="AF259" s="238"/>
      <c r="AG259" s="239"/>
      <c r="AH259" s="239"/>
      <c r="AI259" s="240"/>
      <c r="AJ259" s="155"/>
      <c r="AK259" s="238"/>
      <c r="AL259" s="239"/>
      <c r="AM259" s="239"/>
      <c r="AN259" s="240"/>
      <c r="AO259" s="155"/>
      <c r="AP259" s="238"/>
      <c r="AQ259" s="239"/>
      <c r="AR259" s="239"/>
      <c r="AS259" s="240"/>
      <c r="AT259" s="155"/>
      <c r="AU259" s="238"/>
      <c r="AV259" s="239"/>
      <c r="AW259" s="239"/>
      <c r="AX259" s="240"/>
      <c r="AY259" s="155"/>
      <c r="AZ259" s="238"/>
      <c r="BA259" s="239"/>
      <c r="BB259" s="239"/>
      <c r="BC259" s="240"/>
      <c r="BD259" s="155"/>
      <c r="BE259" s="238"/>
      <c r="BF259" s="239"/>
      <c r="BG259" s="239"/>
      <c r="BH259" s="240"/>
      <c r="BI259" s="155"/>
      <c r="BJ259" s="238"/>
      <c r="BK259" s="239"/>
      <c r="BL259" s="239"/>
      <c r="BM259" s="240"/>
      <c r="BN259" s="155"/>
      <c r="BO259" s="238"/>
      <c r="BP259" s="239"/>
      <c r="BQ259" s="239"/>
      <c r="BR259" s="240"/>
      <c r="BS259" s="155"/>
      <c r="BT259" s="238"/>
      <c r="BU259" s="239"/>
      <c r="BV259" s="239"/>
      <c r="BW259" s="240"/>
      <c r="BX259" s="155"/>
      <c r="BY259" s="238"/>
      <c r="BZ259" s="239"/>
      <c r="CA259" s="239"/>
      <c r="CB259" s="240"/>
      <c r="CC259" s="155"/>
      <c r="CD259" s="238"/>
      <c r="CE259" s="239"/>
      <c r="CF259" s="239"/>
      <c r="CG259" s="240"/>
      <c r="CH259" s="155"/>
      <c r="CI259" s="238"/>
      <c r="CJ259" s="239"/>
      <c r="CK259" s="239"/>
      <c r="CL259" s="240"/>
      <c r="CM259" s="155"/>
      <c r="CN259" s="238"/>
      <c r="CO259" s="239"/>
      <c r="CP259" s="239"/>
      <c r="CQ259" s="240"/>
      <c r="CR259" s="155"/>
      <c r="CS259" s="238"/>
      <c r="CT259" s="239"/>
      <c r="CU259" s="239"/>
      <c r="CV259" s="240"/>
      <c r="CW259" s="155"/>
      <c r="CX259" s="238"/>
      <c r="CY259" s="239"/>
      <c r="CZ259" s="239"/>
      <c r="DA259" s="240"/>
      <c r="DB259" s="155"/>
      <c r="DC259" s="238"/>
      <c r="DD259" s="239"/>
      <c r="DE259" s="239"/>
      <c r="DF259" s="240"/>
      <c r="DG259" s="155"/>
      <c r="DH259" s="238"/>
      <c r="DI259" s="239"/>
      <c r="DJ259" s="239"/>
      <c r="DK259" s="240"/>
      <c r="DL259" s="155"/>
      <c r="DM259" s="238"/>
      <c r="DN259" s="239"/>
      <c r="DO259" s="239"/>
      <c r="DP259" s="240"/>
      <c r="DQ259" s="155"/>
      <c r="DR259" s="238"/>
      <c r="DS259" s="239"/>
      <c r="DT259" s="239"/>
      <c r="DU259" s="240"/>
      <c r="DV259" s="155"/>
      <c r="DW259" s="238"/>
      <c r="DX259" s="239"/>
      <c r="DY259" s="239"/>
      <c r="DZ259" s="240"/>
      <c r="EA259" s="155"/>
      <c r="EB259" s="238"/>
      <c r="EC259" s="239"/>
      <c r="ED259" s="239"/>
      <c r="EE259" s="240"/>
      <c r="EF259" s="155"/>
      <c r="EG259" s="238"/>
      <c r="EH259" s="239"/>
      <c r="EI259" s="239"/>
      <c r="EJ259" s="240"/>
      <c r="EK259" s="155"/>
      <c r="EL259" s="238"/>
      <c r="EM259" s="239"/>
      <c r="EN259" s="239"/>
      <c r="EO259" s="240"/>
      <c r="EP259" s="155"/>
      <c r="EQ259" s="238"/>
      <c r="ER259" s="239"/>
      <c r="ES259" s="239"/>
      <c r="ET259" s="240"/>
      <c r="EU259" s="155"/>
      <c r="EV259" s="238"/>
      <c r="EW259" s="239"/>
      <c r="EX259" s="239"/>
      <c r="EY259" s="240"/>
      <c r="EZ259" s="155"/>
      <c r="FA259" s="238"/>
      <c r="FB259" s="239"/>
      <c r="FC259" s="239"/>
      <c r="FD259" s="240"/>
      <c r="FE259" s="155"/>
      <c r="FF259" s="238"/>
      <c r="FG259" s="239"/>
      <c r="FH259" s="239"/>
      <c r="FI259" s="240"/>
      <c r="FJ259" s="155"/>
      <c r="FK259" s="238"/>
      <c r="FL259" s="239"/>
      <c r="FM259" s="239"/>
      <c r="FN259" s="240"/>
      <c r="FO259" s="155"/>
      <c r="FP259" s="238"/>
      <c r="FQ259" s="239"/>
      <c r="FR259" s="239"/>
      <c r="FS259" s="240"/>
      <c r="FT259" s="155"/>
      <c r="FU259" s="238"/>
      <c r="FV259" s="239"/>
      <c r="FW259" s="239"/>
      <c r="FX259" s="240"/>
      <c r="FY259" s="155"/>
      <c r="FZ259" s="238"/>
      <c r="GA259" s="239"/>
      <c r="GB259" s="239"/>
      <c r="GC259" s="240"/>
      <c r="GD259" s="155"/>
      <c r="GE259" s="238"/>
      <c r="GF259" s="239"/>
      <c r="GG259" s="239"/>
      <c r="GH259" s="240"/>
      <c r="GI259" s="155"/>
      <c r="GJ259" s="1562"/>
      <c r="GK259" s="239"/>
      <c r="GL259" s="239"/>
      <c r="GM259" s="240"/>
      <c r="GN259" s="155"/>
      <c r="GO259" s="238"/>
      <c r="GP259" s="239"/>
      <c r="GQ259" s="239"/>
      <c r="GR259" s="240"/>
      <c r="GS259" s="155"/>
      <c r="GT259" s="238"/>
      <c r="GU259" s="239"/>
      <c r="GV259" s="239"/>
      <c r="GW259" s="240"/>
      <c r="GX259" s="155"/>
      <c r="GY259" s="238"/>
      <c r="GZ259" s="239"/>
      <c r="HA259" s="239"/>
      <c r="HB259" s="240"/>
      <c r="HC259" s="155"/>
      <c r="HD259" s="238"/>
      <c r="HE259" s="239"/>
      <c r="HF259" s="239"/>
      <c r="HG259" s="240"/>
      <c r="HH259" s="155"/>
      <c r="HI259" s="238"/>
      <c r="HJ259" s="239"/>
      <c r="HK259" s="239"/>
      <c r="HL259" s="240"/>
      <c r="HM259" s="155"/>
      <c r="HN259" s="238"/>
      <c r="HO259" s="239"/>
      <c r="HP259" s="239"/>
      <c r="HQ259" s="240"/>
      <c r="HR259" s="155"/>
      <c r="HS259" s="238"/>
      <c r="HT259" s="239"/>
      <c r="HU259" s="239"/>
      <c r="HV259" s="240"/>
      <c r="HW259" s="155"/>
      <c r="HX259" s="238"/>
      <c r="HY259" s="239"/>
      <c r="HZ259" s="239"/>
      <c r="IA259" s="240"/>
      <c r="IB259" s="155"/>
      <c r="IC259" s="238"/>
      <c r="ID259" s="239"/>
      <c r="IE259" s="239"/>
      <c r="IF259" s="240"/>
      <c r="IG259" s="155"/>
      <c r="IH259" s="238"/>
      <c r="II259" s="239"/>
      <c r="IJ259" s="239"/>
      <c r="IK259" s="240"/>
      <c r="IL259" s="155"/>
      <c r="IM259" s="238"/>
      <c r="IN259" s="239"/>
      <c r="IO259" s="239"/>
      <c r="IP259" s="240"/>
      <c r="IQ259" s="155"/>
    </row>
    <row r="260" spans="2:251" ht="15" customHeight="1">
      <c r="B260" s="155"/>
      <c r="C260" s="155"/>
      <c r="D260" s="236"/>
      <c r="E260" s="237"/>
      <c r="F260" s="312"/>
      <c r="G260" s="330"/>
      <c r="H260" s="239"/>
      <c r="I260" s="239"/>
      <c r="J260" s="240"/>
      <c r="K260" s="331"/>
      <c r="L260" s="330"/>
      <c r="M260" s="239"/>
      <c r="N260" s="239"/>
      <c r="O260" s="240"/>
      <c r="P260" s="331"/>
      <c r="Q260" s="330"/>
      <c r="R260" s="239"/>
      <c r="S260" s="239"/>
      <c r="T260" s="240"/>
      <c r="U260" s="331"/>
      <c r="V260" s="323"/>
      <c r="W260" s="239"/>
      <c r="X260" s="239"/>
      <c r="Y260" s="240"/>
      <c r="Z260" s="240"/>
      <c r="AA260" s="238"/>
      <c r="AB260" s="239"/>
      <c r="AC260" s="239"/>
      <c r="AD260" s="240"/>
      <c r="AE260" s="240"/>
      <c r="AF260" s="238"/>
      <c r="AG260" s="239"/>
      <c r="AH260" s="239"/>
      <c r="AI260" s="240"/>
      <c r="AJ260" s="155"/>
      <c r="AK260" s="238"/>
      <c r="AL260" s="239"/>
      <c r="AM260" s="239"/>
      <c r="AN260" s="240"/>
      <c r="AO260" s="155"/>
      <c r="AP260" s="238"/>
      <c r="AQ260" s="239"/>
      <c r="AR260" s="239"/>
      <c r="AS260" s="240"/>
      <c r="AT260" s="155"/>
      <c r="AU260" s="238"/>
      <c r="AV260" s="239"/>
      <c r="AW260" s="239"/>
      <c r="AX260" s="240"/>
      <c r="AY260" s="155"/>
      <c r="AZ260" s="238"/>
      <c r="BA260" s="239"/>
      <c r="BB260" s="239"/>
      <c r="BC260" s="240"/>
      <c r="BD260" s="155"/>
      <c r="BE260" s="238"/>
      <c r="BF260" s="239"/>
      <c r="BG260" s="239"/>
      <c r="BH260" s="240"/>
      <c r="BI260" s="155"/>
      <c r="BJ260" s="238"/>
      <c r="BK260" s="239"/>
      <c r="BL260" s="239"/>
      <c r="BM260" s="240"/>
      <c r="BN260" s="155"/>
      <c r="BO260" s="238"/>
      <c r="BP260" s="239"/>
      <c r="BQ260" s="239"/>
      <c r="BR260" s="240"/>
      <c r="BS260" s="155"/>
      <c r="BT260" s="238"/>
      <c r="BU260" s="239"/>
      <c r="BV260" s="239"/>
      <c r="BW260" s="240"/>
      <c r="BX260" s="155"/>
      <c r="BY260" s="238"/>
      <c r="BZ260" s="239"/>
      <c r="CA260" s="239"/>
      <c r="CB260" s="240"/>
      <c r="CC260" s="155"/>
      <c r="CD260" s="238"/>
      <c r="CE260" s="239"/>
      <c r="CF260" s="239"/>
      <c r="CG260" s="240"/>
      <c r="CH260" s="155"/>
      <c r="CI260" s="238"/>
      <c r="CJ260" s="239"/>
      <c r="CK260" s="239"/>
      <c r="CL260" s="240"/>
      <c r="CM260" s="155"/>
      <c r="CN260" s="238"/>
      <c r="CO260" s="239"/>
      <c r="CP260" s="239"/>
      <c r="CQ260" s="240"/>
      <c r="CR260" s="155"/>
      <c r="CS260" s="238"/>
      <c r="CT260" s="239"/>
      <c r="CU260" s="239"/>
      <c r="CV260" s="240"/>
      <c r="CW260" s="155"/>
      <c r="CX260" s="238"/>
      <c r="CY260" s="239"/>
      <c r="CZ260" s="239"/>
      <c r="DA260" s="240"/>
      <c r="DB260" s="155"/>
      <c r="DC260" s="238"/>
      <c r="DD260" s="239"/>
      <c r="DE260" s="239"/>
      <c r="DF260" s="240"/>
      <c r="DG260" s="155"/>
      <c r="DH260" s="238"/>
      <c r="DI260" s="239"/>
      <c r="DJ260" s="239"/>
      <c r="DK260" s="240"/>
      <c r="DL260" s="155"/>
      <c r="DM260" s="238"/>
      <c r="DN260" s="239"/>
      <c r="DO260" s="239"/>
      <c r="DP260" s="240"/>
      <c r="DQ260" s="155"/>
      <c r="DR260" s="238"/>
      <c r="DS260" s="239"/>
      <c r="DT260" s="239"/>
      <c r="DU260" s="240"/>
      <c r="DV260" s="155"/>
      <c r="DW260" s="238"/>
      <c r="DX260" s="239"/>
      <c r="DY260" s="239"/>
      <c r="DZ260" s="240"/>
      <c r="EA260" s="155"/>
      <c r="EB260" s="238"/>
      <c r="EC260" s="239"/>
      <c r="ED260" s="239"/>
      <c r="EE260" s="240"/>
      <c r="EF260" s="155"/>
      <c r="EG260" s="238"/>
      <c r="EH260" s="239"/>
      <c r="EI260" s="239"/>
      <c r="EJ260" s="240"/>
      <c r="EK260" s="155"/>
      <c r="EL260" s="238"/>
      <c r="EM260" s="239"/>
      <c r="EN260" s="239"/>
      <c r="EO260" s="240"/>
      <c r="EP260" s="155"/>
      <c r="EQ260" s="238"/>
      <c r="ER260" s="239"/>
      <c r="ES260" s="239"/>
      <c r="ET260" s="240"/>
      <c r="EU260" s="155"/>
      <c r="EV260" s="238"/>
      <c r="EW260" s="239"/>
      <c r="EX260" s="239"/>
      <c r="EY260" s="240"/>
      <c r="EZ260" s="155"/>
      <c r="FA260" s="238"/>
      <c r="FB260" s="239"/>
      <c r="FC260" s="239"/>
      <c r="FD260" s="240"/>
      <c r="FE260" s="155"/>
      <c r="FF260" s="238"/>
      <c r="FG260" s="239"/>
      <c r="FH260" s="239"/>
      <c r="FI260" s="240"/>
      <c r="FJ260" s="155"/>
      <c r="FK260" s="238"/>
      <c r="FL260" s="239"/>
      <c r="FM260" s="239"/>
      <c r="FN260" s="240"/>
      <c r="FO260" s="155"/>
      <c r="FP260" s="238"/>
      <c r="FQ260" s="239"/>
      <c r="FR260" s="239"/>
      <c r="FS260" s="240"/>
      <c r="FT260" s="155"/>
      <c r="FU260" s="238"/>
      <c r="FV260" s="239"/>
      <c r="FW260" s="239"/>
      <c r="FX260" s="240"/>
      <c r="FY260" s="155"/>
      <c r="FZ260" s="238"/>
      <c r="GA260" s="239"/>
      <c r="GB260" s="239"/>
      <c r="GC260" s="240"/>
      <c r="GD260" s="155"/>
      <c r="GE260" s="238"/>
      <c r="GF260" s="239"/>
      <c r="GG260" s="239"/>
      <c r="GH260" s="240"/>
      <c r="GI260" s="155"/>
      <c r="GJ260" s="1562"/>
      <c r="GK260" s="239"/>
      <c r="GL260" s="239"/>
      <c r="GM260" s="240"/>
      <c r="GN260" s="155"/>
      <c r="GO260" s="238"/>
      <c r="GP260" s="239"/>
      <c r="GQ260" s="239"/>
      <c r="GR260" s="240"/>
      <c r="GS260" s="155"/>
      <c r="GT260" s="238"/>
      <c r="GU260" s="239"/>
      <c r="GV260" s="239"/>
      <c r="GW260" s="240"/>
      <c r="GX260" s="155"/>
      <c r="GY260" s="238"/>
      <c r="GZ260" s="239"/>
      <c r="HA260" s="239"/>
      <c r="HB260" s="240"/>
      <c r="HC260" s="155"/>
      <c r="HD260" s="238"/>
      <c r="HE260" s="239"/>
      <c r="HF260" s="239"/>
      <c r="HG260" s="240"/>
      <c r="HH260" s="155"/>
      <c r="HI260" s="238"/>
      <c r="HJ260" s="239"/>
      <c r="HK260" s="239"/>
      <c r="HL260" s="240"/>
      <c r="HM260" s="155"/>
      <c r="HN260" s="238"/>
      <c r="HO260" s="239"/>
      <c r="HP260" s="239"/>
      <c r="HQ260" s="240"/>
      <c r="HR260" s="155"/>
      <c r="HS260" s="238"/>
      <c r="HT260" s="239"/>
      <c r="HU260" s="239"/>
      <c r="HV260" s="240"/>
      <c r="HW260" s="155"/>
      <c r="HX260" s="238"/>
      <c r="HY260" s="239"/>
      <c r="HZ260" s="239"/>
      <c r="IA260" s="240"/>
      <c r="IB260" s="155"/>
      <c r="IC260" s="238"/>
      <c r="ID260" s="239"/>
      <c r="IE260" s="239"/>
      <c r="IF260" s="240"/>
      <c r="IG260" s="155"/>
      <c r="IH260" s="238"/>
      <c r="II260" s="239"/>
      <c r="IJ260" s="239"/>
      <c r="IK260" s="240"/>
      <c r="IL260" s="155"/>
      <c r="IM260" s="238"/>
      <c r="IN260" s="239"/>
      <c r="IO260" s="239"/>
      <c r="IP260" s="240"/>
      <c r="IQ260" s="155"/>
    </row>
    <row r="261" spans="2:251" ht="15" customHeight="1">
      <c r="B261" s="155"/>
      <c r="C261" s="155"/>
      <c r="D261" s="236"/>
      <c r="E261" s="237"/>
      <c r="F261" s="312"/>
      <c r="G261" s="330"/>
      <c r="H261" s="239"/>
      <c r="I261" s="239"/>
      <c r="J261" s="240"/>
      <c r="K261" s="331"/>
      <c r="L261" s="330"/>
      <c r="M261" s="239"/>
      <c r="N261" s="239"/>
      <c r="O261" s="240"/>
      <c r="P261" s="331"/>
      <c r="Q261" s="330"/>
      <c r="R261" s="239"/>
      <c r="S261" s="239"/>
      <c r="T261" s="240"/>
      <c r="U261" s="331"/>
      <c r="V261" s="323"/>
      <c r="W261" s="239"/>
      <c r="X261" s="239"/>
      <c r="Y261" s="240"/>
      <c r="Z261" s="240"/>
      <c r="AA261" s="238"/>
      <c r="AB261" s="239"/>
      <c r="AC261" s="239"/>
      <c r="AD261" s="240"/>
      <c r="AE261" s="240"/>
      <c r="AF261" s="238"/>
      <c r="AG261" s="239"/>
      <c r="AH261" s="239"/>
      <c r="AI261" s="240"/>
      <c r="AJ261" s="155"/>
      <c r="AK261" s="238"/>
      <c r="AL261" s="239"/>
      <c r="AM261" s="239"/>
      <c r="AN261" s="240"/>
      <c r="AO261" s="155"/>
      <c r="AP261" s="238"/>
      <c r="AQ261" s="239"/>
      <c r="AR261" s="239"/>
      <c r="AS261" s="240"/>
      <c r="AT261" s="155"/>
      <c r="AU261" s="238"/>
      <c r="AV261" s="239"/>
      <c r="AW261" s="239"/>
      <c r="AX261" s="240"/>
      <c r="AY261" s="155"/>
      <c r="AZ261" s="238"/>
      <c r="BA261" s="239"/>
      <c r="BB261" s="239"/>
      <c r="BC261" s="240"/>
      <c r="BD261" s="155"/>
      <c r="BE261" s="238"/>
      <c r="BF261" s="239"/>
      <c r="BG261" s="239"/>
      <c r="BH261" s="240"/>
      <c r="BI261" s="155"/>
      <c r="BJ261" s="238"/>
      <c r="BK261" s="239"/>
      <c r="BL261" s="239"/>
      <c r="BM261" s="240"/>
      <c r="BN261" s="155"/>
      <c r="BO261" s="238"/>
      <c r="BP261" s="239"/>
      <c r="BQ261" s="239"/>
      <c r="BR261" s="240"/>
      <c r="BS261" s="155"/>
      <c r="BT261" s="238"/>
      <c r="BU261" s="239"/>
      <c r="BV261" s="239"/>
      <c r="BW261" s="240"/>
      <c r="BX261" s="155"/>
      <c r="BY261" s="238"/>
      <c r="BZ261" s="239"/>
      <c r="CA261" s="239"/>
      <c r="CB261" s="240"/>
      <c r="CC261" s="155"/>
      <c r="CD261" s="238"/>
      <c r="CE261" s="239"/>
      <c r="CF261" s="239"/>
      <c r="CG261" s="240"/>
      <c r="CH261" s="155"/>
      <c r="CI261" s="238"/>
      <c r="CJ261" s="239"/>
      <c r="CK261" s="239"/>
      <c r="CL261" s="240"/>
      <c r="CM261" s="155"/>
      <c r="CN261" s="238"/>
      <c r="CO261" s="239"/>
      <c r="CP261" s="239"/>
      <c r="CQ261" s="240"/>
      <c r="CR261" s="155"/>
      <c r="CS261" s="238"/>
      <c r="CT261" s="239"/>
      <c r="CU261" s="239"/>
      <c r="CV261" s="240"/>
      <c r="CW261" s="155"/>
      <c r="CX261" s="238"/>
      <c r="CY261" s="239"/>
      <c r="CZ261" s="239"/>
      <c r="DA261" s="240"/>
      <c r="DB261" s="155"/>
      <c r="DC261" s="238"/>
      <c r="DD261" s="239"/>
      <c r="DE261" s="239"/>
      <c r="DF261" s="240"/>
      <c r="DG261" s="155"/>
      <c r="DH261" s="238"/>
      <c r="DI261" s="239"/>
      <c r="DJ261" s="239"/>
      <c r="DK261" s="240"/>
      <c r="DL261" s="155"/>
      <c r="DM261" s="238"/>
      <c r="DN261" s="239"/>
      <c r="DO261" s="239"/>
      <c r="DP261" s="240"/>
      <c r="DQ261" s="155"/>
      <c r="DR261" s="238"/>
      <c r="DS261" s="239"/>
      <c r="DT261" s="239"/>
      <c r="DU261" s="240"/>
      <c r="DV261" s="155"/>
      <c r="DW261" s="238"/>
      <c r="DX261" s="239"/>
      <c r="DY261" s="239"/>
      <c r="DZ261" s="240"/>
      <c r="EA261" s="155"/>
      <c r="EB261" s="238"/>
      <c r="EC261" s="239"/>
      <c r="ED261" s="239"/>
      <c r="EE261" s="240"/>
      <c r="EF261" s="155"/>
      <c r="EG261" s="238"/>
      <c r="EH261" s="239"/>
      <c r="EI261" s="239"/>
      <c r="EJ261" s="240"/>
      <c r="EK261" s="155"/>
      <c r="EL261" s="238"/>
      <c r="EM261" s="239"/>
      <c r="EN261" s="239"/>
      <c r="EO261" s="240"/>
      <c r="EP261" s="155"/>
      <c r="EQ261" s="238"/>
      <c r="ER261" s="239"/>
      <c r="ES261" s="239"/>
      <c r="ET261" s="240"/>
      <c r="EU261" s="155"/>
      <c r="EV261" s="238"/>
      <c r="EW261" s="239"/>
      <c r="EX261" s="239"/>
      <c r="EY261" s="240"/>
      <c r="EZ261" s="155"/>
      <c r="FA261" s="238"/>
      <c r="FB261" s="239"/>
      <c r="FC261" s="239"/>
      <c r="FD261" s="240"/>
      <c r="FE261" s="155"/>
      <c r="FF261" s="238"/>
      <c r="FG261" s="239"/>
      <c r="FH261" s="239"/>
      <c r="FI261" s="240"/>
      <c r="FJ261" s="155"/>
      <c r="FK261" s="238"/>
      <c r="FL261" s="239"/>
      <c r="FM261" s="239"/>
      <c r="FN261" s="240"/>
      <c r="FO261" s="155"/>
      <c r="FP261" s="238"/>
      <c r="FQ261" s="239"/>
      <c r="FR261" s="239"/>
      <c r="FS261" s="240"/>
      <c r="FT261" s="155"/>
      <c r="FU261" s="238"/>
      <c r="FV261" s="239"/>
      <c r="FW261" s="239"/>
      <c r="FX261" s="240"/>
      <c r="FY261" s="155"/>
      <c r="FZ261" s="238"/>
      <c r="GA261" s="239"/>
      <c r="GB261" s="239"/>
      <c r="GC261" s="240"/>
      <c r="GD261" s="155"/>
      <c r="GE261" s="238"/>
      <c r="GF261" s="239"/>
      <c r="GG261" s="239"/>
      <c r="GH261" s="240"/>
      <c r="GI261" s="155"/>
      <c r="GJ261" s="1562"/>
      <c r="GK261" s="239"/>
      <c r="GL261" s="239"/>
      <c r="GM261" s="240"/>
      <c r="GN261" s="155"/>
      <c r="GO261" s="238"/>
      <c r="GP261" s="239"/>
      <c r="GQ261" s="239"/>
      <c r="GR261" s="240"/>
      <c r="GS261" s="155"/>
      <c r="GT261" s="238"/>
      <c r="GU261" s="239"/>
      <c r="GV261" s="239"/>
      <c r="GW261" s="240"/>
      <c r="GX261" s="155"/>
      <c r="GY261" s="238"/>
      <c r="GZ261" s="239"/>
      <c r="HA261" s="239"/>
      <c r="HB261" s="240"/>
      <c r="HC261" s="155"/>
      <c r="HD261" s="238"/>
      <c r="HE261" s="239"/>
      <c r="HF261" s="239"/>
      <c r="HG261" s="240"/>
      <c r="HH261" s="155"/>
      <c r="HI261" s="238"/>
      <c r="HJ261" s="239"/>
      <c r="HK261" s="239"/>
      <c r="HL261" s="240"/>
      <c r="HM261" s="155"/>
      <c r="HN261" s="238"/>
      <c r="HO261" s="239"/>
      <c r="HP261" s="239"/>
      <c r="HQ261" s="240"/>
      <c r="HR261" s="155"/>
      <c r="HS261" s="238"/>
      <c r="HT261" s="239"/>
      <c r="HU261" s="239"/>
      <c r="HV261" s="240"/>
      <c r="HW261" s="155"/>
      <c r="HX261" s="238"/>
      <c r="HY261" s="239"/>
      <c r="HZ261" s="239"/>
      <c r="IA261" s="240"/>
      <c r="IB261" s="155"/>
      <c r="IC261" s="238"/>
      <c r="ID261" s="239"/>
      <c r="IE261" s="239"/>
      <c r="IF261" s="240"/>
      <c r="IG261" s="155"/>
      <c r="IH261" s="238"/>
      <c r="II261" s="239"/>
      <c r="IJ261" s="239"/>
      <c r="IK261" s="240"/>
      <c r="IL261" s="155"/>
      <c r="IM261" s="238"/>
      <c r="IN261" s="239"/>
      <c r="IO261" s="239"/>
      <c r="IP261" s="240"/>
      <c r="IQ261" s="155"/>
    </row>
    <row r="262" spans="2:251" ht="15" customHeight="1">
      <c r="B262" s="155"/>
      <c r="C262" s="155"/>
      <c r="D262" s="236"/>
      <c r="E262" s="237"/>
      <c r="F262" s="312"/>
      <c r="G262" s="330"/>
      <c r="H262" s="239"/>
      <c r="I262" s="239"/>
      <c r="J262" s="240"/>
      <c r="K262" s="331"/>
      <c r="L262" s="330"/>
      <c r="M262" s="239"/>
      <c r="N262" s="239"/>
      <c r="O262" s="240"/>
      <c r="P262" s="331"/>
      <c r="Q262" s="330"/>
      <c r="R262" s="239"/>
      <c r="S262" s="239"/>
      <c r="T262" s="240"/>
      <c r="U262" s="331"/>
      <c r="V262" s="323"/>
      <c r="W262" s="239"/>
      <c r="X262" s="239"/>
      <c r="Y262" s="240"/>
      <c r="Z262" s="240"/>
      <c r="AA262" s="238"/>
      <c r="AB262" s="239"/>
      <c r="AC262" s="239"/>
      <c r="AD262" s="240"/>
      <c r="AE262" s="240"/>
      <c r="AF262" s="238"/>
      <c r="AG262" s="239"/>
      <c r="AH262" s="239"/>
      <c r="AI262" s="240"/>
      <c r="AJ262" s="155"/>
      <c r="AK262" s="238"/>
      <c r="AL262" s="239"/>
      <c r="AM262" s="239"/>
      <c r="AN262" s="240"/>
      <c r="AO262" s="155"/>
      <c r="AP262" s="238"/>
      <c r="AQ262" s="239"/>
      <c r="AR262" s="239"/>
      <c r="AS262" s="240"/>
      <c r="AT262" s="155"/>
      <c r="AU262" s="238"/>
      <c r="AV262" s="239"/>
      <c r="AW262" s="239"/>
      <c r="AX262" s="240"/>
      <c r="AY262" s="155"/>
      <c r="AZ262" s="238"/>
      <c r="BA262" s="239"/>
      <c r="BB262" s="239"/>
      <c r="BC262" s="240"/>
      <c r="BD262" s="155"/>
      <c r="BE262" s="238"/>
      <c r="BF262" s="239"/>
      <c r="BG262" s="239"/>
      <c r="BH262" s="240"/>
      <c r="BI262" s="155"/>
      <c r="BJ262" s="238"/>
      <c r="BK262" s="239"/>
      <c r="BL262" s="239"/>
      <c r="BM262" s="240"/>
      <c r="BN262" s="155"/>
      <c r="BO262" s="238"/>
      <c r="BP262" s="239"/>
      <c r="BQ262" s="239"/>
      <c r="BR262" s="240"/>
      <c r="BS262" s="155"/>
      <c r="BT262" s="238"/>
      <c r="BU262" s="239"/>
      <c r="BV262" s="239"/>
      <c r="BW262" s="240"/>
      <c r="BX262" s="155"/>
      <c r="BY262" s="238"/>
      <c r="BZ262" s="239"/>
      <c r="CA262" s="239"/>
      <c r="CB262" s="240"/>
      <c r="CC262" s="155"/>
      <c r="CD262" s="238"/>
      <c r="CE262" s="239"/>
      <c r="CF262" s="239"/>
      <c r="CG262" s="240"/>
      <c r="CH262" s="155"/>
      <c r="CI262" s="238"/>
      <c r="CJ262" s="239"/>
      <c r="CK262" s="239"/>
      <c r="CL262" s="240"/>
      <c r="CM262" s="155"/>
      <c r="CN262" s="238"/>
      <c r="CO262" s="239"/>
      <c r="CP262" s="239"/>
      <c r="CQ262" s="240"/>
      <c r="CR262" s="155"/>
      <c r="CS262" s="238"/>
      <c r="CT262" s="239"/>
      <c r="CU262" s="239"/>
      <c r="CV262" s="240"/>
      <c r="CW262" s="155"/>
      <c r="CX262" s="238"/>
      <c r="CY262" s="239"/>
      <c r="CZ262" s="239"/>
      <c r="DA262" s="240"/>
      <c r="DB262" s="155"/>
      <c r="DC262" s="238"/>
      <c r="DD262" s="239"/>
      <c r="DE262" s="239"/>
      <c r="DF262" s="240"/>
      <c r="DG262" s="155"/>
      <c r="DH262" s="238"/>
      <c r="DI262" s="239"/>
      <c r="DJ262" s="239"/>
      <c r="DK262" s="240"/>
      <c r="DL262" s="155"/>
      <c r="DM262" s="238"/>
      <c r="DN262" s="239"/>
      <c r="DO262" s="239"/>
      <c r="DP262" s="240"/>
      <c r="DQ262" s="155"/>
      <c r="DR262" s="238"/>
      <c r="DS262" s="239"/>
      <c r="DT262" s="239"/>
      <c r="DU262" s="240"/>
      <c r="DV262" s="155"/>
      <c r="DW262" s="238"/>
      <c r="DX262" s="239"/>
      <c r="DY262" s="239"/>
      <c r="DZ262" s="240"/>
      <c r="EA262" s="155"/>
      <c r="EB262" s="238"/>
      <c r="EC262" s="239"/>
      <c r="ED262" s="239"/>
      <c r="EE262" s="240"/>
      <c r="EF262" s="155"/>
      <c r="EG262" s="238"/>
      <c r="EH262" s="239"/>
      <c r="EI262" s="239"/>
      <c r="EJ262" s="240"/>
      <c r="EK262" s="155"/>
      <c r="EL262" s="238"/>
      <c r="EM262" s="239"/>
      <c r="EN262" s="239"/>
      <c r="EO262" s="240"/>
      <c r="EP262" s="155"/>
      <c r="EQ262" s="238"/>
      <c r="ER262" s="239"/>
      <c r="ES262" s="239"/>
      <c r="ET262" s="240"/>
      <c r="EU262" s="155"/>
      <c r="EV262" s="238"/>
      <c r="EW262" s="239"/>
      <c r="EX262" s="239"/>
      <c r="EY262" s="240"/>
      <c r="EZ262" s="155"/>
      <c r="FA262" s="238"/>
      <c r="FB262" s="239"/>
      <c r="FC262" s="239"/>
      <c r="FD262" s="240"/>
      <c r="FE262" s="155"/>
      <c r="FF262" s="238"/>
      <c r="FG262" s="239"/>
      <c r="FH262" s="239"/>
      <c r="FI262" s="240"/>
      <c r="FJ262" s="155"/>
      <c r="FK262" s="238"/>
      <c r="FL262" s="239"/>
      <c r="FM262" s="239"/>
      <c r="FN262" s="240"/>
      <c r="FO262" s="155"/>
      <c r="FP262" s="238"/>
      <c r="FQ262" s="239"/>
      <c r="FR262" s="239"/>
      <c r="FS262" s="240"/>
      <c r="FT262" s="155"/>
      <c r="FU262" s="238"/>
      <c r="FV262" s="239"/>
      <c r="FW262" s="239"/>
      <c r="FX262" s="240"/>
      <c r="FY262" s="155"/>
      <c r="FZ262" s="238"/>
      <c r="GA262" s="239"/>
      <c r="GB262" s="239"/>
      <c r="GC262" s="240"/>
      <c r="GD262" s="155"/>
      <c r="GE262" s="238"/>
      <c r="GF262" s="239"/>
      <c r="GG262" s="239"/>
      <c r="GH262" s="240"/>
      <c r="GI262" s="155"/>
      <c r="GJ262" s="1562"/>
      <c r="GK262" s="239"/>
      <c r="GL262" s="239"/>
      <c r="GM262" s="240"/>
      <c r="GN262" s="155"/>
      <c r="GO262" s="238"/>
      <c r="GP262" s="239"/>
      <c r="GQ262" s="239"/>
      <c r="GR262" s="240"/>
      <c r="GS262" s="155"/>
      <c r="GT262" s="238"/>
      <c r="GU262" s="239"/>
      <c r="GV262" s="239"/>
      <c r="GW262" s="240"/>
      <c r="GX262" s="155"/>
      <c r="GY262" s="238"/>
      <c r="GZ262" s="239"/>
      <c r="HA262" s="239"/>
      <c r="HB262" s="240"/>
      <c r="HC262" s="155"/>
      <c r="HD262" s="238"/>
      <c r="HE262" s="239"/>
      <c r="HF262" s="239"/>
      <c r="HG262" s="240"/>
      <c r="HH262" s="155"/>
      <c r="HI262" s="238"/>
      <c r="HJ262" s="239"/>
      <c r="HK262" s="239"/>
      <c r="HL262" s="240"/>
      <c r="HM262" s="155"/>
      <c r="HN262" s="238"/>
      <c r="HO262" s="239"/>
      <c r="HP262" s="239"/>
      <c r="HQ262" s="240"/>
      <c r="HR262" s="155"/>
      <c r="HS262" s="238"/>
      <c r="HT262" s="239"/>
      <c r="HU262" s="239"/>
      <c r="HV262" s="240"/>
      <c r="HW262" s="155"/>
      <c r="HX262" s="238"/>
      <c r="HY262" s="239"/>
      <c r="HZ262" s="239"/>
      <c r="IA262" s="240"/>
      <c r="IB262" s="155"/>
      <c r="IC262" s="238"/>
      <c r="ID262" s="239"/>
      <c r="IE262" s="239"/>
      <c r="IF262" s="240"/>
      <c r="IG262" s="155"/>
      <c r="IH262" s="238"/>
      <c r="II262" s="239"/>
      <c r="IJ262" s="239"/>
      <c r="IK262" s="240"/>
      <c r="IL262" s="155"/>
      <c r="IM262" s="238"/>
      <c r="IN262" s="239"/>
      <c r="IO262" s="239"/>
      <c r="IP262" s="240"/>
      <c r="IQ262" s="155"/>
    </row>
    <row r="263" spans="2:251" ht="15" customHeight="1">
      <c r="B263" s="155"/>
      <c r="C263" s="155"/>
      <c r="D263" s="236"/>
      <c r="E263" s="237"/>
      <c r="F263" s="312"/>
      <c r="G263" s="330"/>
      <c r="H263" s="239"/>
      <c r="I263" s="239"/>
      <c r="J263" s="240"/>
      <c r="K263" s="331"/>
      <c r="L263" s="330"/>
      <c r="M263" s="239"/>
      <c r="N263" s="239"/>
      <c r="O263" s="240"/>
      <c r="P263" s="331"/>
      <c r="Q263" s="330"/>
      <c r="R263" s="239"/>
      <c r="S263" s="239"/>
      <c r="T263" s="240"/>
      <c r="U263" s="331"/>
      <c r="V263" s="323"/>
      <c r="W263" s="239"/>
      <c r="X263" s="239"/>
      <c r="Y263" s="240"/>
      <c r="Z263" s="240"/>
      <c r="AA263" s="238"/>
      <c r="AB263" s="239"/>
      <c r="AC263" s="239"/>
      <c r="AD263" s="240"/>
      <c r="AE263" s="240"/>
      <c r="AF263" s="238"/>
      <c r="AG263" s="239"/>
      <c r="AH263" s="239"/>
      <c r="AI263" s="240"/>
      <c r="AJ263" s="155"/>
      <c r="AK263" s="238"/>
      <c r="AL263" s="239"/>
      <c r="AM263" s="239"/>
      <c r="AN263" s="240"/>
      <c r="AO263" s="155"/>
      <c r="AP263" s="238"/>
      <c r="AQ263" s="239"/>
      <c r="AR263" s="239"/>
      <c r="AS263" s="240"/>
      <c r="AT263" s="155"/>
      <c r="AU263" s="238"/>
      <c r="AV263" s="239"/>
      <c r="AW263" s="239"/>
      <c r="AX263" s="240"/>
      <c r="AY263" s="155"/>
      <c r="AZ263" s="238"/>
      <c r="BA263" s="239"/>
      <c r="BB263" s="239"/>
      <c r="BC263" s="240"/>
      <c r="BD263" s="155"/>
      <c r="BE263" s="238"/>
      <c r="BF263" s="239"/>
      <c r="BG263" s="239"/>
      <c r="BH263" s="240"/>
      <c r="BI263" s="155"/>
      <c r="BJ263" s="238"/>
      <c r="BK263" s="239"/>
      <c r="BL263" s="239"/>
      <c r="BM263" s="240"/>
      <c r="BN263" s="155"/>
      <c r="BO263" s="238"/>
      <c r="BP263" s="239"/>
      <c r="BQ263" s="239"/>
      <c r="BR263" s="240"/>
      <c r="BS263" s="155"/>
      <c r="BT263" s="238"/>
      <c r="BU263" s="239"/>
      <c r="BV263" s="239"/>
      <c r="BW263" s="240"/>
      <c r="BX263" s="155"/>
      <c r="BY263" s="238"/>
      <c r="BZ263" s="239"/>
      <c r="CA263" s="239"/>
      <c r="CB263" s="240"/>
      <c r="CC263" s="155"/>
      <c r="CD263" s="238"/>
      <c r="CE263" s="239"/>
      <c r="CF263" s="239"/>
      <c r="CG263" s="240"/>
      <c r="CH263" s="155"/>
      <c r="CI263" s="238"/>
      <c r="CJ263" s="239"/>
      <c r="CK263" s="239"/>
      <c r="CL263" s="240"/>
      <c r="CM263" s="155"/>
      <c r="CN263" s="238"/>
      <c r="CO263" s="239"/>
      <c r="CP263" s="239"/>
      <c r="CQ263" s="240"/>
      <c r="CR263" s="155"/>
      <c r="CS263" s="238"/>
      <c r="CT263" s="239"/>
      <c r="CU263" s="239"/>
      <c r="CV263" s="240"/>
      <c r="CW263" s="155"/>
      <c r="CX263" s="238"/>
      <c r="CY263" s="239"/>
      <c r="CZ263" s="239"/>
      <c r="DA263" s="240"/>
      <c r="DB263" s="155"/>
      <c r="DC263" s="238"/>
      <c r="DD263" s="239"/>
      <c r="DE263" s="239"/>
      <c r="DF263" s="240"/>
      <c r="DG263" s="155"/>
      <c r="DH263" s="238"/>
      <c r="DI263" s="239"/>
      <c r="DJ263" s="239"/>
      <c r="DK263" s="240"/>
      <c r="DL263" s="155"/>
      <c r="DM263" s="238"/>
      <c r="DN263" s="239"/>
      <c r="DO263" s="239"/>
      <c r="DP263" s="240"/>
      <c r="DQ263" s="155"/>
      <c r="DR263" s="238"/>
      <c r="DS263" s="239"/>
      <c r="DT263" s="239"/>
      <c r="DU263" s="240"/>
      <c r="DV263" s="155"/>
      <c r="DW263" s="238"/>
      <c r="DX263" s="239"/>
      <c r="DY263" s="239"/>
      <c r="DZ263" s="240"/>
      <c r="EA263" s="155"/>
      <c r="EB263" s="238"/>
      <c r="EC263" s="239"/>
      <c r="ED263" s="239"/>
      <c r="EE263" s="240"/>
      <c r="EF263" s="155"/>
      <c r="EG263" s="238"/>
      <c r="EH263" s="239"/>
      <c r="EI263" s="239"/>
      <c r="EJ263" s="240"/>
      <c r="EK263" s="155"/>
      <c r="EL263" s="238"/>
      <c r="EM263" s="239"/>
      <c r="EN263" s="239"/>
      <c r="EO263" s="240"/>
      <c r="EP263" s="155"/>
      <c r="EQ263" s="238"/>
      <c r="ER263" s="239"/>
      <c r="ES263" s="239"/>
      <c r="ET263" s="240"/>
      <c r="EU263" s="155"/>
      <c r="EV263" s="238"/>
      <c r="EW263" s="239"/>
      <c r="EX263" s="239"/>
      <c r="EY263" s="240"/>
      <c r="EZ263" s="155"/>
      <c r="FA263" s="238"/>
      <c r="FB263" s="239"/>
      <c r="FC263" s="239"/>
      <c r="FD263" s="240"/>
      <c r="FE263" s="155"/>
      <c r="FF263" s="238"/>
      <c r="FG263" s="239"/>
      <c r="FH263" s="239"/>
      <c r="FI263" s="240"/>
      <c r="FJ263" s="155"/>
      <c r="FK263" s="238"/>
      <c r="FL263" s="239"/>
      <c r="FM263" s="239"/>
      <c r="FN263" s="240"/>
      <c r="FO263" s="155"/>
      <c r="FP263" s="238"/>
      <c r="FQ263" s="239"/>
      <c r="FR263" s="239"/>
      <c r="FS263" s="240"/>
      <c r="FT263" s="155"/>
      <c r="FU263" s="238"/>
      <c r="FV263" s="239"/>
      <c r="FW263" s="239"/>
      <c r="FX263" s="240"/>
      <c r="FY263" s="155"/>
      <c r="FZ263" s="238"/>
      <c r="GA263" s="239"/>
      <c r="GB263" s="239"/>
      <c r="GC263" s="240"/>
      <c r="GD263" s="155"/>
      <c r="GE263" s="238"/>
      <c r="GF263" s="239"/>
      <c r="GG263" s="239"/>
      <c r="GH263" s="240"/>
      <c r="GI263" s="155"/>
      <c r="GJ263" s="1562"/>
      <c r="GK263" s="239"/>
      <c r="GL263" s="239"/>
      <c r="GM263" s="240"/>
      <c r="GN263" s="155"/>
      <c r="GO263" s="238"/>
      <c r="GP263" s="239"/>
      <c r="GQ263" s="239"/>
      <c r="GR263" s="240"/>
      <c r="GS263" s="155"/>
      <c r="GT263" s="238"/>
      <c r="GU263" s="239"/>
      <c r="GV263" s="239"/>
      <c r="GW263" s="240"/>
      <c r="GX263" s="155"/>
      <c r="GY263" s="238"/>
      <c r="GZ263" s="239"/>
      <c r="HA263" s="239"/>
      <c r="HB263" s="240"/>
      <c r="HC263" s="155"/>
      <c r="HD263" s="238"/>
      <c r="HE263" s="239"/>
      <c r="HF263" s="239"/>
      <c r="HG263" s="240"/>
      <c r="HH263" s="155"/>
      <c r="HI263" s="238"/>
      <c r="HJ263" s="239"/>
      <c r="HK263" s="239"/>
      <c r="HL263" s="240"/>
      <c r="HM263" s="155"/>
      <c r="HN263" s="238"/>
      <c r="HO263" s="239"/>
      <c r="HP263" s="239"/>
      <c r="HQ263" s="240"/>
      <c r="HR263" s="155"/>
      <c r="HS263" s="238"/>
      <c r="HT263" s="239"/>
      <c r="HU263" s="239"/>
      <c r="HV263" s="240"/>
      <c r="HW263" s="155"/>
      <c r="HX263" s="238"/>
      <c r="HY263" s="239"/>
      <c r="HZ263" s="239"/>
      <c r="IA263" s="240"/>
      <c r="IB263" s="155"/>
      <c r="IC263" s="238"/>
      <c r="ID263" s="239"/>
      <c r="IE263" s="239"/>
      <c r="IF263" s="240"/>
      <c r="IG263" s="155"/>
      <c r="IH263" s="238"/>
      <c r="II263" s="239"/>
      <c r="IJ263" s="239"/>
      <c r="IK263" s="240"/>
      <c r="IL263" s="155"/>
      <c r="IM263" s="238"/>
      <c r="IN263" s="239"/>
      <c r="IO263" s="239"/>
      <c r="IP263" s="240"/>
      <c r="IQ263" s="155"/>
    </row>
    <row r="264" spans="2:251" ht="15" customHeight="1">
      <c r="B264" s="155"/>
      <c r="C264" s="155"/>
      <c r="D264" s="236"/>
      <c r="E264" s="237"/>
      <c r="F264" s="312"/>
      <c r="G264" s="330"/>
      <c r="H264" s="239"/>
      <c r="I264" s="239"/>
      <c r="J264" s="240"/>
      <c r="K264" s="331"/>
      <c r="L264" s="330"/>
      <c r="M264" s="239"/>
      <c r="N264" s="239"/>
      <c r="O264" s="240"/>
      <c r="P264" s="331"/>
      <c r="Q264" s="330"/>
      <c r="R264" s="239"/>
      <c r="S264" s="239"/>
      <c r="T264" s="240"/>
      <c r="U264" s="331"/>
      <c r="V264" s="323"/>
      <c r="W264" s="239"/>
      <c r="X264" s="239"/>
      <c r="Y264" s="240"/>
      <c r="Z264" s="240"/>
      <c r="AA264" s="238"/>
      <c r="AB264" s="239"/>
      <c r="AC264" s="239"/>
      <c r="AD264" s="240"/>
      <c r="AE264" s="240"/>
      <c r="AF264" s="238"/>
      <c r="AG264" s="239"/>
      <c r="AH264" s="239"/>
      <c r="AI264" s="240"/>
      <c r="AJ264" s="155"/>
      <c r="AK264" s="238"/>
      <c r="AL264" s="239"/>
      <c r="AM264" s="239"/>
      <c r="AN264" s="240"/>
      <c r="AO264" s="155"/>
      <c r="AP264" s="238"/>
      <c r="AQ264" s="239"/>
      <c r="AR264" s="239"/>
      <c r="AS264" s="240"/>
      <c r="AT264" s="155"/>
      <c r="AU264" s="238"/>
      <c r="AV264" s="239"/>
      <c r="AW264" s="239"/>
      <c r="AX264" s="240"/>
      <c r="AY264" s="155"/>
      <c r="AZ264" s="238"/>
      <c r="BA264" s="239"/>
      <c r="BB264" s="239"/>
      <c r="BC264" s="240"/>
      <c r="BD264" s="155"/>
      <c r="BE264" s="238"/>
      <c r="BF264" s="239"/>
      <c r="BG264" s="239"/>
      <c r="BH264" s="240"/>
      <c r="BI264" s="155"/>
      <c r="BJ264" s="238"/>
      <c r="BK264" s="239"/>
      <c r="BL264" s="239"/>
      <c r="BM264" s="240"/>
      <c r="BN264" s="155"/>
      <c r="BO264" s="238"/>
      <c r="BP264" s="239"/>
      <c r="BQ264" s="239"/>
      <c r="BR264" s="240"/>
      <c r="BS264" s="155"/>
      <c r="BT264" s="238"/>
      <c r="BU264" s="239"/>
      <c r="BV264" s="239"/>
      <c r="BW264" s="240"/>
      <c r="BX264" s="155"/>
      <c r="BY264" s="238"/>
      <c r="BZ264" s="239"/>
      <c r="CA264" s="239"/>
      <c r="CB264" s="240"/>
      <c r="CC264" s="155"/>
      <c r="CD264" s="238"/>
      <c r="CE264" s="239"/>
      <c r="CF264" s="239"/>
      <c r="CG264" s="240"/>
      <c r="CH264" s="155"/>
      <c r="CI264" s="238"/>
      <c r="CJ264" s="239"/>
      <c r="CK264" s="239"/>
      <c r="CL264" s="240"/>
      <c r="CM264" s="155"/>
      <c r="CN264" s="238"/>
      <c r="CO264" s="239"/>
      <c r="CP264" s="239"/>
      <c r="CQ264" s="240"/>
      <c r="CR264" s="155"/>
      <c r="CS264" s="238"/>
      <c r="CT264" s="239"/>
      <c r="CU264" s="239"/>
      <c r="CV264" s="240"/>
      <c r="CW264" s="155"/>
      <c r="CX264" s="238"/>
      <c r="CY264" s="239"/>
      <c r="CZ264" s="239"/>
      <c r="DA264" s="240"/>
      <c r="DB264" s="155"/>
      <c r="DC264" s="238"/>
      <c r="DD264" s="239"/>
      <c r="DE264" s="239"/>
      <c r="DF264" s="240"/>
      <c r="DG264" s="155"/>
      <c r="DH264" s="238"/>
      <c r="DI264" s="239"/>
      <c r="DJ264" s="239"/>
      <c r="DK264" s="240"/>
      <c r="DL264" s="155"/>
      <c r="DM264" s="238"/>
      <c r="DN264" s="239"/>
      <c r="DO264" s="239"/>
      <c r="DP264" s="240"/>
      <c r="DQ264" s="155"/>
      <c r="DR264" s="238"/>
      <c r="DS264" s="239"/>
      <c r="DT264" s="239"/>
      <c r="DU264" s="240"/>
      <c r="DV264" s="155"/>
      <c r="DW264" s="238"/>
      <c r="DX264" s="239"/>
      <c r="DY264" s="239"/>
      <c r="DZ264" s="240"/>
      <c r="EA264" s="155"/>
      <c r="EB264" s="238"/>
      <c r="EC264" s="239"/>
      <c r="ED264" s="239"/>
      <c r="EE264" s="240"/>
      <c r="EF264" s="155"/>
      <c r="EG264" s="238"/>
      <c r="EH264" s="239"/>
      <c r="EI264" s="239"/>
      <c r="EJ264" s="240"/>
      <c r="EK264" s="155"/>
      <c r="EL264" s="238"/>
      <c r="EM264" s="239"/>
      <c r="EN264" s="239"/>
      <c r="EO264" s="240"/>
      <c r="EP264" s="155"/>
      <c r="EQ264" s="238"/>
      <c r="ER264" s="239"/>
      <c r="ES264" s="239"/>
      <c r="ET264" s="240"/>
      <c r="EU264" s="155"/>
      <c r="EV264" s="238"/>
      <c r="EW264" s="239"/>
      <c r="EX264" s="239"/>
      <c r="EY264" s="240"/>
      <c r="EZ264" s="155"/>
      <c r="FA264" s="238"/>
      <c r="FB264" s="239"/>
      <c r="FC264" s="239"/>
      <c r="FD264" s="240"/>
      <c r="FE264" s="155"/>
      <c r="FF264" s="238"/>
      <c r="FG264" s="239"/>
      <c r="FH264" s="239"/>
      <c r="FI264" s="240"/>
      <c r="FJ264" s="155"/>
      <c r="FK264" s="238"/>
      <c r="FL264" s="239"/>
      <c r="FM264" s="239"/>
      <c r="FN264" s="240"/>
      <c r="FO264" s="155"/>
      <c r="FP264" s="238"/>
      <c r="FQ264" s="239"/>
      <c r="FR264" s="239"/>
      <c r="FS264" s="240"/>
      <c r="FT264" s="155"/>
      <c r="FU264" s="238"/>
      <c r="FV264" s="239"/>
      <c r="FW264" s="239"/>
      <c r="FX264" s="240"/>
      <c r="FY264" s="155"/>
      <c r="FZ264" s="238"/>
      <c r="GA264" s="239"/>
      <c r="GB264" s="239"/>
      <c r="GC264" s="240"/>
      <c r="GD264" s="155"/>
      <c r="GE264" s="238"/>
      <c r="GF264" s="239"/>
      <c r="GG264" s="239"/>
      <c r="GH264" s="240"/>
      <c r="GI264" s="155"/>
      <c r="GJ264" s="1562"/>
      <c r="GK264" s="239"/>
      <c r="GL264" s="239"/>
      <c r="GM264" s="240"/>
      <c r="GN264" s="155"/>
      <c r="GO264" s="238"/>
      <c r="GP264" s="239"/>
      <c r="GQ264" s="239"/>
      <c r="GR264" s="240"/>
      <c r="GS264" s="155"/>
      <c r="GT264" s="238"/>
      <c r="GU264" s="239"/>
      <c r="GV264" s="239"/>
      <c r="GW264" s="240"/>
      <c r="GX264" s="155"/>
      <c r="GY264" s="238"/>
      <c r="GZ264" s="239"/>
      <c r="HA264" s="239"/>
      <c r="HB264" s="240"/>
      <c r="HC264" s="155"/>
      <c r="HD264" s="238"/>
      <c r="HE264" s="239"/>
      <c r="HF264" s="239"/>
      <c r="HG264" s="240"/>
      <c r="HH264" s="155"/>
      <c r="HI264" s="238"/>
      <c r="HJ264" s="239"/>
      <c r="HK264" s="239"/>
      <c r="HL264" s="240"/>
      <c r="HM264" s="155"/>
      <c r="HN264" s="238"/>
      <c r="HO264" s="239"/>
      <c r="HP264" s="239"/>
      <c r="HQ264" s="240"/>
      <c r="HR264" s="155"/>
      <c r="HS264" s="238"/>
      <c r="HT264" s="239"/>
      <c r="HU264" s="239"/>
      <c r="HV264" s="240"/>
      <c r="HW264" s="155"/>
      <c r="HX264" s="238"/>
      <c r="HY264" s="239"/>
      <c r="HZ264" s="239"/>
      <c r="IA264" s="240"/>
      <c r="IB264" s="155"/>
      <c r="IC264" s="238"/>
      <c r="ID264" s="239"/>
      <c r="IE264" s="239"/>
      <c r="IF264" s="240"/>
      <c r="IG264" s="155"/>
      <c r="IH264" s="238"/>
      <c r="II264" s="239"/>
      <c r="IJ264" s="239"/>
      <c r="IK264" s="240"/>
      <c r="IL264" s="155"/>
      <c r="IM264" s="238"/>
      <c r="IN264" s="239"/>
      <c r="IO264" s="239"/>
      <c r="IP264" s="240"/>
      <c r="IQ264" s="155"/>
    </row>
    <row r="265" spans="2:251" ht="15" customHeight="1">
      <c r="B265" s="155"/>
      <c r="C265" s="155"/>
      <c r="D265" s="236"/>
      <c r="E265" s="237"/>
      <c r="F265" s="312"/>
      <c r="G265" s="330"/>
      <c r="H265" s="239"/>
      <c r="I265" s="239"/>
      <c r="J265" s="240"/>
      <c r="K265" s="331"/>
      <c r="L265" s="330"/>
      <c r="M265" s="239"/>
      <c r="N265" s="239"/>
      <c r="O265" s="240"/>
      <c r="P265" s="331"/>
      <c r="Q265" s="330"/>
      <c r="R265" s="239"/>
      <c r="S265" s="239"/>
      <c r="T265" s="240"/>
      <c r="U265" s="331"/>
      <c r="V265" s="323"/>
      <c r="W265" s="239"/>
      <c r="X265" s="239"/>
      <c r="Y265" s="240"/>
      <c r="Z265" s="240"/>
      <c r="AA265" s="238"/>
      <c r="AB265" s="239"/>
      <c r="AC265" s="239"/>
      <c r="AD265" s="240"/>
      <c r="AE265" s="240"/>
      <c r="AF265" s="238"/>
      <c r="AG265" s="239"/>
      <c r="AH265" s="239"/>
      <c r="AI265" s="240"/>
      <c r="AJ265" s="155"/>
      <c r="AK265" s="238"/>
      <c r="AL265" s="239"/>
      <c r="AM265" s="239"/>
      <c r="AN265" s="240"/>
      <c r="AO265" s="155"/>
      <c r="AP265" s="238"/>
      <c r="AQ265" s="239"/>
      <c r="AR265" s="239"/>
      <c r="AS265" s="240"/>
      <c r="AT265" s="155"/>
      <c r="AU265" s="238"/>
      <c r="AV265" s="239"/>
      <c r="AW265" s="239"/>
      <c r="AX265" s="240"/>
      <c r="AY265" s="155"/>
      <c r="AZ265" s="238"/>
      <c r="BA265" s="239"/>
      <c r="BB265" s="239"/>
      <c r="BC265" s="240"/>
      <c r="BD265" s="155"/>
      <c r="BE265" s="238"/>
      <c r="BF265" s="239"/>
      <c r="BG265" s="239"/>
      <c r="BH265" s="240"/>
      <c r="BI265" s="155"/>
      <c r="BJ265" s="238"/>
      <c r="BK265" s="239"/>
      <c r="BL265" s="239"/>
      <c r="BM265" s="240"/>
      <c r="BN265" s="155"/>
      <c r="BO265" s="238"/>
      <c r="BP265" s="239"/>
      <c r="BQ265" s="239"/>
      <c r="BR265" s="240"/>
      <c r="BS265" s="155"/>
      <c r="BT265" s="238"/>
      <c r="BU265" s="239"/>
      <c r="BV265" s="239"/>
      <c r="BW265" s="240"/>
      <c r="BX265" s="155"/>
      <c r="BY265" s="238"/>
      <c r="BZ265" s="239"/>
      <c r="CA265" s="239"/>
      <c r="CB265" s="240"/>
      <c r="CC265" s="155"/>
      <c r="CD265" s="238"/>
      <c r="CE265" s="239"/>
      <c r="CF265" s="239"/>
      <c r="CG265" s="240"/>
      <c r="CH265" s="155"/>
      <c r="CI265" s="238"/>
      <c r="CJ265" s="239"/>
      <c r="CK265" s="239"/>
      <c r="CL265" s="240"/>
      <c r="CM265" s="155"/>
      <c r="CN265" s="238"/>
      <c r="CO265" s="239"/>
      <c r="CP265" s="239"/>
      <c r="CQ265" s="240"/>
      <c r="CR265" s="155"/>
      <c r="CS265" s="238"/>
      <c r="CT265" s="239"/>
      <c r="CU265" s="239"/>
      <c r="CV265" s="240"/>
      <c r="CW265" s="155"/>
      <c r="CX265" s="238"/>
      <c r="CY265" s="239"/>
      <c r="CZ265" s="239"/>
      <c r="DA265" s="240"/>
      <c r="DB265" s="155"/>
      <c r="DC265" s="238"/>
      <c r="DD265" s="239"/>
      <c r="DE265" s="239"/>
      <c r="DF265" s="240"/>
      <c r="DG265" s="155"/>
      <c r="DH265" s="238"/>
      <c r="DI265" s="239"/>
      <c r="DJ265" s="239"/>
      <c r="DK265" s="240"/>
      <c r="DL265" s="155"/>
      <c r="DM265" s="238"/>
      <c r="DN265" s="239"/>
      <c r="DO265" s="239"/>
      <c r="DP265" s="240"/>
      <c r="DQ265" s="155"/>
      <c r="DR265" s="238"/>
      <c r="DS265" s="239"/>
      <c r="DT265" s="239"/>
      <c r="DU265" s="240"/>
      <c r="DV265" s="155"/>
      <c r="DW265" s="238"/>
      <c r="DX265" s="239"/>
      <c r="DY265" s="239"/>
      <c r="DZ265" s="240"/>
      <c r="EA265" s="155"/>
      <c r="EB265" s="238"/>
      <c r="EC265" s="239"/>
      <c r="ED265" s="239"/>
      <c r="EE265" s="240"/>
      <c r="EF265" s="155"/>
      <c r="EG265" s="238"/>
      <c r="EH265" s="239"/>
      <c r="EI265" s="239"/>
      <c r="EJ265" s="240"/>
      <c r="EK265" s="155"/>
      <c r="EL265" s="238"/>
      <c r="EM265" s="239"/>
      <c r="EN265" s="239"/>
      <c r="EO265" s="240"/>
      <c r="EP265" s="155"/>
      <c r="EQ265" s="238"/>
      <c r="ER265" s="239"/>
      <c r="ES265" s="239"/>
      <c r="ET265" s="240"/>
      <c r="EU265" s="155"/>
      <c r="EV265" s="238"/>
      <c r="EW265" s="239"/>
      <c r="EX265" s="239"/>
      <c r="EY265" s="240"/>
      <c r="EZ265" s="155"/>
      <c r="FA265" s="238"/>
      <c r="FB265" s="239"/>
      <c r="FC265" s="239"/>
      <c r="FD265" s="240"/>
      <c r="FE265" s="155"/>
      <c r="FF265" s="238"/>
      <c r="FG265" s="239"/>
      <c r="FH265" s="239"/>
      <c r="FI265" s="240"/>
      <c r="FJ265" s="155"/>
      <c r="FK265" s="238"/>
      <c r="FL265" s="239"/>
      <c r="FM265" s="239"/>
      <c r="FN265" s="240"/>
      <c r="FO265" s="155"/>
      <c r="FP265" s="238"/>
      <c r="FQ265" s="239"/>
      <c r="FR265" s="239"/>
      <c r="FS265" s="240"/>
      <c r="FT265" s="155"/>
      <c r="FU265" s="238"/>
      <c r="FV265" s="239"/>
      <c r="FW265" s="239"/>
      <c r="FX265" s="240"/>
      <c r="FY265" s="155"/>
      <c r="FZ265" s="238"/>
      <c r="GA265" s="239"/>
      <c r="GB265" s="239"/>
      <c r="GC265" s="240"/>
      <c r="GD265" s="155"/>
      <c r="GE265" s="238"/>
      <c r="GF265" s="239"/>
      <c r="GG265" s="239"/>
      <c r="GH265" s="240"/>
      <c r="GI265" s="155"/>
      <c r="GJ265" s="1562"/>
      <c r="GK265" s="239"/>
      <c r="GL265" s="239"/>
      <c r="GM265" s="240"/>
      <c r="GN265" s="155"/>
      <c r="GO265" s="238"/>
      <c r="GP265" s="239"/>
      <c r="GQ265" s="239"/>
      <c r="GR265" s="240"/>
      <c r="GS265" s="155"/>
      <c r="GT265" s="238"/>
      <c r="GU265" s="239"/>
      <c r="GV265" s="239"/>
      <c r="GW265" s="240"/>
      <c r="GX265" s="155"/>
      <c r="GY265" s="238"/>
      <c r="GZ265" s="239"/>
      <c r="HA265" s="239"/>
      <c r="HB265" s="240"/>
      <c r="HC265" s="155"/>
      <c r="HD265" s="238"/>
      <c r="HE265" s="239"/>
      <c r="HF265" s="239"/>
      <c r="HG265" s="240"/>
      <c r="HH265" s="155"/>
      <c r="HI265" s="238"/>
      <c r="HJ265" s="239"/>
      <c r="HK265" s="239"/>
      <c r="HL265" s="240"/>
      <c r="HM265" s="155"/>
      <c r="HN265" s="238"/>
      <c r="HO265" s="239"/>
      <c r="HP265" s="239"/>
      <c r="HQ265" s="240"/>
      <c r="HR265" s="155"/>
      <c r="HS265" s="238"/>
      <c r="HT265" s="239"/>
      <c r="HU265" s="239"/>
      <c r="HV265" s="240"/>
      <c r="HW265" s="155"/>
      <c r="HX265" s="238"/>
      <c r="HY265" s="239"/>
      <c r="HZ265" s="239"/>
      <c r="IA265" s="240"/>
      <c r="IB265" s="155"/>
      <c r="IC265" s="238"/>
      <c r="ID265" s="239"/>
      <c r="IE265" s="239"/>
      <c r="IF265" s="240"/>
      <c r="IG265" s="155"/>
      <c r="IH265" s="238"/>
      <c r="II265" s="239"/>
      <c r="IJ265" s="239"/>
      <c r="IK265" s="240"/>
      <c r="IL265" s="155"/>
      <c r="IM265" s="238"/>
      <c r="IN265" s="239"/>
      <c r="IO265" s="239"/>
      <c r="IP265" s="240"/>
      <c r="IQ265" s="155"/>
    </row>
    <row r="266" spans="2:251" ht="15" customHeight="1">
      <c r="B266" s="155"/>
      <c r="C266" s="155"/>
      <c r="D266" s="236"/>
      <c r="E266" s="237"/>
      <c r="F266" s="312"/>
      <c r="G266" s="330"/>
      <c r="H266" s="239"/>
      <c r="I266" s="239"/>
      <c r="J266" s="240"/>
      <c r="K266" s="331"/>
      <c r="L266" s="330"/>
      <c r="M266" s="239"/>
      <c r="N266" s="239"/>
      <c r="O266" s="240"/>
      <c r="P266" s="331"/>
      <c r="Q266" s="330"/>
      <c r="R266" s="239"/>
      <c r="S266" s="239"/>
      <c r="T266" s="240"/>
      <c r="U266" s="331"/>
      <c r="V266" s="323"/>
      <c r="W266" s="239"/>
      <c r="X266" s="239"/>
      <c r="Y266" s="240"/>
      <c r="Z266" s="240"/>
      <c r="AA266" s="238"/>
      <c r="AB266" s="239"/>
      <c r="AC266" s="239"/>
      <c r="AD266" s="240"/>
      <c r="AE266" s="240"/>
      <c r="AF266" s="238"/>
      <c r="AG266" s="239"/>
      <c r="AH266" s="239"/>
      <c r="AI266" s="240"/>
      <c r="AJ266" s="155"/>
      <c r="AK266" s="238"/>
      <c r="AL266" s="239"/>
      <c r="AM266" s="239"/>
      <c r="AN266" s="240"/>
      <c r="AO266" s="155"/>
      <c r="AP266" s="238"/>
      <c r="AQ266" s="239"/>
      <c r="AR266" s="239"/>
      <c r="AS266" s="240"/>
      <c r="AT266" s="155"/>
      <c r="AU266" s="238"/>
      <c r="AV266" s="239"/>
      <c r="AW266" s="239"/>
      <c r="AX266" s="240"/>
      <c r="AY266" s="155"/>
      <c r="AZ266" s="238"/>
      <c r="BA266" s="239"/>
      <c r="BB266" s="239"/>
      <c r="BC266" s="240"/>
      <c r="BD266" s="155"/>
      <c r="BE266" s="238"/>
      <c r="BF266" s="239"/>
      <c r="BG266" s="239"/>
      <c r="BH266" s="240"/>
      <c r="BI266" s="155"/>
      <c r="BJ266" s="238"/>
      <c r="BK266" s="239"/>
      <c r="BL266" s="239"/>
      <c r="BM266" s="240"/>
      <c r="BN266" s="155"/>
      <c r="BO266" s="238"/>
      <c r="BP266" s="239"/>
      <c r="BQ266" s="239"/>
      <c r="BR266" s="240"/>
      <c r="BS266" s="155"/>
      <c r="BT266" s="238"/>
      <c r="BU266" s="239"/>
      <c r="BV266" s="239"/>
      <c r="BW266" s="240"/>
      <c r="BX266" s="155"/>
      <c r="BY266" s="238"/>
      <c r="BZ266" s="239"/>
      <c r="CA266" s="239"/>
      <c r="CB266" s="240"/>
      <c r="CC266" s="155"/>
      <c r="CD266" s="238"/>
      <c r="CE266" s="239"/>
      <c r="CF266" s="239"/>
      <c r="CG266" s="240"/>
      <c r="CH266" s="155"/>
      <c r="CI266" s="238"/>
      <c r="CJ266" s="239"/>
      <c r="CK266" s="239"/>
      <c r="CL266" s="240"/>
      <c r="CM266" s="155"/>
      <c r="CN266" s="238"/>
      <c r="CO266" s="239"/>
      <c r="CP266" s="239"/>
      <c r="CQ266" s="240"/>
      <c r="CR266" s="155"/>
      <c r="CS266" s="238"/>
      <c r="CT266" s="239"/>
      <c r="CU266" s="239"/>
      <c r="CV266" s="240"/>
      <c r="CW266" s="155"/>
      <c r="CX266" s="238"/>
      <c r="CY266" s="239"/>
      <c r="CZ266" s="239"/>
      <c r="DA266" s="240"/>
      <c r="DB266" s="155"/>
      <c r="DC266" s="238"/>
      <c r="DD266" s="239"/>
      <c r="DE266" s="239"/>
      <c r="DF266" s="240"/>
      <c r="DG266" s="155"/>
      <c r="DH266" s="238"/>
      <c r="DI266" s="239"/>
      <c r="DJ266" s="239"/>
      <c r="DK266" s="240"/>
      <c r="DL266" s="155"/>
      <c r="DM266" s="238"/>
      <c r="DN266" s="239"/>
      <c r="DO266" s="239"/>
      <c r="DP266" s="240"/>
      <c r="DQ266" s="155"/>
      <c r="DR266" s="238"/>
      <c r="DS266" s="239"/>
      <c r="DT266" s="239"/>
      <c r="DU266" s="240"/>
      <c r="DV266" s="155"/>
      <c r="DW266" s="238"/>
      <c r="DX266" s="239"/>
      <c r="DY266" s="239"/>
      <c r="DZ266" s="240"/>
      <c r="EA266" s="155"/>
      <c r="EB266" s="238"/>
      <c r="EC266" s="239"/>
      <c r="ED266" s="239"/>
      <c r="EE266" s="240"/>
      <c r="EF266" s="155"/>
      <c r="EG266" s="238"/>
      <c r="EH266" s="239"/>
      <c r="EI266" s="239"/>
      <c r="EJ266" s="240"/>
      <c r="EK266" s="155"/>
      <c r="EL266" s="238"/>
      <c r="EM266" s="239"/>
      <c r="EN266" s="239"/>
      <c r="EO266" s="240"/>
      <c r="EP266" s="155"/>
      <c r="EQ266" s="238"/>
      <c r="ER266" s="239"/>
      <c r="ES266" s="239"/>
      <c r="ET266" s="240"/>
      <c r="EU266" s="155"/>
      <c r="EV266" s="238"/>
      <c r="EW266" s="239"/>
      <c r="EX266" s="239"/>
      <c r="EY266" s="240"/>
      <c r="EZ266" s="155"/>
      <c r="FA266" s="238"/>
      <c r="FB266" s="239"/>
      <c r="FC266" s="239"/>
      <c r="FD266" s="240"/>
      <c r="FE266" s="155"/>
      <c r="FF266" s="238"/>
      <c r="FG266" s="239"/>
      <c r="FH266" s="239"/>
      <c r="FI266" s="240"/>
      <c r="FJ266" s="155"/>
      <c r="FK266" s="238"/>
      <c r="FL266" s="239"/>
      <c r="FM266" s="239"/>
      <c r="FN266" s="240"/>
      <c r="FO266" s="155"/>
      <c r="FP266" s="238"/>
      <c r="FQ266" s="239"/>
      <c r="FR266" s="239"/>
      <c r="FS266" s="240"/>
      <c r="FT266" s="155"/>
      <c r="FU266" s="238"/>
      <c r="FV266" s="239"/>
      <c r="FW266" s="239"/>
      <c r="FX266" s="240"/>
      <c r="FY266" s="155"/>
      <c r="FZ266" s="238"/>
      <c r="GA266" s="239"/>
      <c r="GB266" s="239"/>
      <c r="GC266" s="240"/>
      <c r="GD266" s="155"/>
      <c r="GE266" s="238"/>
      <c r="GF266" s="239"/>
      <c r="GG266" s="239"/>
      <c r="GH266" s="240"/>
      <c r="GI266" s="155"/>
      <c r="GJ266" s="1562"/>
      <c r="GK266" s="239"/>
      <c r="GL266" s="239"/>
      <c r="GM266" s="240"/>
      <c r="GN266" s="155"/>
      <c r="GO266" s="238"/>
      <c r="GP266" s="239"/>
      <c r="GQ266" s="239"/>
      <c r="GR266" s="240"/>
      <c r="GS266" s="155"/>
      <c r="GT266" s="238"/>
      <c r="GU266" s="239"/>
      <c r="GV266" s="239"/>
      <c r="GW266" s="240"/>
      <c r="GX266" s="155"/>
      <c r="GY266" s="238"/>
      <c r="GZ266" s="239"/>
      <c r="HA266" s="239"/>
      <c r="HB266" s="240"/>
      <c r="HC266" s="155"/>
      <c r="HD266" s="238"/>
      <c r="HE266" s="239"/>
      <c r="HF266" s="239"/>
      <c r="HG266" s="240"/>
      <c r="HH266" s="155"/>
      <c r="HI266" s="238"/>
      <c r="HJ266" s="239"/>
      <c r="HK266" s="239"/>
      <c r="HL266" s="240"/>
      <c r="HM266" s="155"/>
      <c r="HN266" s="238"/>
      <c r="HO266" s="239"/>
      <c r="HP266" s="239"/>
      <c r="HQ266" s="240"/>
      <c r="HR266" s="155"/>
      <c r="HS266" s="238"/>
      <c r="HT266" s="239"/>
      <c r="HU266" s="239"/>
      <c r="HV266" s="240"/>
      <c r="HW266" s="155"/>
      <c r="HX266" s="238"/>
      <c r="HY266" s="239"/>
      <c r="HZ266" s="239"/>
      <c r="IA266" s="240"/>
      <c r="IB266" s="155"/>
      <c r="IC266" s="238"/>
      <c r="ID266" s="239"/>
      <c r="IE266" s="239"/>
      <c r="IF266" s="240"/>
      <c r="IG266" s="155"/>
      <c r="IH266" s="238"/>
      <c r="II266" s="239"/>
      <c r="IJ266" s="239"/>
      <c r="IK266" s="240"/>
      <c r="IL266" s="155"/>
      <c r="IM266" s="238"/>
      <c r="IN266" s="239"/>
      <c r="IO266" s="239"/>
      <c r="IP266" s="240"/>
      <c r="IQ266" s="155"/>
    </row>
    <row r="267" spans="2:251" ht="15" customHeight="1">
      <c r="B267" s="155"/>
      <c r="C267" s="155"/>
      <c r="D267" s="236"/>
      <c r="E267" s="237"/>
      <c r="F267" s="312"/>
      <c r="G267" s="330"/>
      <c r="H267" s="239"/>
      <c r="I267" s="239"/>
      <c r="J267" s="240"/>
      <c r="K267" s="331"/>
      <c r="L267" s="330"/>
      <c r="M267" s="239"/>
      <c r="N267" s="239"/>
      <c r="O267" s="240"/>
      <c r="P267" s="331"/>
      <c r="Q267" s="330"/>
      <c r="R267" s="239"/>
      <c r="S267" s="239"/>
      <c r="T267" s="240"/>
      <c r="U267" s="331"/>
      <c r="V267" s="323"/>
      <c r="W267" s="239"/>
      <c r="X267" s="239"/>
      <c r="Y267" s="240"/>
      <c r="Z267" s="240"/>
      <c r="AA267" s="238"/>
      <c r="AB267" s="239"/>
      <c r="AC267" s="239"/>
      <c r="AD267" s="240"/>
      <c r="AE267" s="240"/>
      <c r="AF267" s="238"/>
      <c r="AG267" s="239"/>
      <c r="AH267" s="239"/>
      <c r="AI267" s="240"/>
      <c r="AJ267" s="155"/>
      <c r="AK267" s="238"/>
      <c r="AL267" s="239"/>
      <c r="AM267" s="239"/>
      <c r="AN267" s="240"/>
      <c r="AO267" s="155"/>
      <c r="AP267" s="238"/>
      <c r="AQ267" s="239"/>
      <c r="AR267" s="239"/>
      <c r="AS267" s="240"/>
      <c r="AT267" s="155"/>
      <c r="AU267" s="238"/>
      <c r="AV267" s="239"/>
      <c r="AW267" s="239"/>
      <c r="AX267" s="240"/>
      <c r="AY267" s="155"/>
      <c r="AZ267" s="238"/>
      <c r="BA267" s="239"/>
      <c r="BB267" s="239"/>
      <c r="BC267" s="240"/>
      <c r="BD267" s="155"/>
      <c r="BE267" s="238"/>
      <c r="BF267" s="239"/>
      <c r="BG267" s="239"/>
      <c r="BH267" s="240"/>
      <c r="BI267" s="155"/>
      <c r="BJ267" s="238"/>
      <c r="BK267" s="239"/>
      <c r="BL267" s="239"/>
      <c r="BM267" s="240"/>
      <c r="BN267" s="155"/>
      <c r="BO267" s="238"/>
      <c r="BP267" s="239"/>
      <c r="BQ267" s="239"/>
      <c r="BR267" s="240"/>
      <c r="BS267" s="155"/>
      <c r="BT267" s="238"/>
      <c r="BU267" s="239"/>
      <c r="BV267" s="239"/>
      <c r="BW267" s="240"/>
      <c r="BX267" s="155"/>
      <c r="BY267" s="238"/>
      <c r="BZ267" s="239"/>
      <c r="CA267" s="239"/>
      <c r="CB267" s="240"/>
      <c r="CC267" s="155"/>
      <c r="CD267" s="238"/>
      <c r="CE267" s="239"/>
      <c r="CF267" s="239"/>
      <c r="CG267" s="240"/>
      <c r="CH267" s="155"/>
      <c r="CI267" s="238"/>
      <c r="CJ267" s="239"/>
      <c r="CK267" s="239"/>
      <c r="CL267" s="240"/>
      <c r="CM267" s="155"/>
      <c r="CN267" s="238"/>
      <c r="CO267" s="239"/>
      <c r="CP267" s="239"/>
      <c r="CQ267" s="240"/>
      <c r="CR267" s="155"/>
      <c r="CS267" s="238"/>
      <c r="CT267" s="239"/>
      <c r="CU267" s="239"/>
      <c r="CV267" s="240"/>
      <c r="CW267" s="155"/>
      <c r="CX267" s="238"/>
      <c r="CY267" s="239"/>
      <c r="CZ267" s="239"/>
      <c r="DA267" s="240"/>
      <c r="DB267" s="155"/>
      <c r="DC267" s="238"/>
      <c r="DD267" s="239"/>
      <c r="DE267" s="239"/>
      <c r="DF267" s="240"/>
      <c r="DG267" s="155"/>
      <c r="DH267" s="238"/>
      <c r="DI267" s="239"/>
      <c r="DJ267" s="239"/>
      <c r="DK267" s="240"/>
      <c r="DL267" s="155"/>
      <c r="DM267" s="238"/>
      <c r="DN267" s="239"/>
      <c r="DO267" s="239"/>
      <c r="DP267" s="240"/>
      <c r="DQ267" s="155"/>
      <c r="DR267" s="238"/>
      <c r="DS267" s="239"/>
      <c r="DT267" s="239"/>
      <c r="DU267" s="240"/>
      <c r="DV267" s="155"/>
      <c r="DW267" s="238"/>
      <c r="DX267" s="239"/>
      <c r="DY267" s="239"/>
      <c r="DZ267" s="240"/>
      <c r="EA267" s="155"/>
      <c r="EB267" s="238"/>
      <c r="EC267" s="239"/>
      <c r="ED267" s="239"/>
      <c r="EE267" s="240"/>
      <c r="EF267" s="155"/>
      <c r="EG267" s="238"/>
      <c r="EH267" s="239"/>
      <c r="EI267" s="239"/>
      <c r="EJ267" s="240"/>
      <c r="EK267" s="155"/>
      <c r="EL267" s="238"/>
      <c r="EM267" s="239"/>
      <c r="EN267" s="239"/>
      <c r="EO267" s="240"/>
      <c r="EP267" s="155"/>
      <c r="EQ267" s="238"/>
      <c r="ER267" s="239"/>
      <c r="ES267" s="239"/>
      <c r="ET267" s="240"/>
      <c r="EU267" s="155"/>
      <c r="EV267" s="238"/>
      <c r="EW267" s="239"/>
      <c r="EX267" s="239"/>
      <c r="EY267" s="240"/>
      <c r="EZ267" s="155"/>
      <c r="FA267" s="238"/>
      <c r="FB267" s="239"/>
      <c r="FC267" s="239"/>
      <c r="FD267" s="240"/>
      <c r="FE267" s="155"/>
      <c r="FF267" s="238"/>
      <c r="FG267" s="239"/>
      <c r="FH267" s="239"/>
      <c r="FI267" s="240"/>
      <c r="FJ267" s="155"/>
      <c r="FK267" s="238"/>
      <c r="FL267" s="239"/>
      <c r="FM267" s="239"/>
      <c r="FN267" s="240"/>
      <c r="FO267" s="155"/>
      <c r="FP267" s="238"/>
      <c r="FQ267" s="239"/>
      <c r="FR267" s="239"/>
      <c r="FS267" s="240"/>
      <c r="FT267" s="155"/>
      <c r="FU267" s="238"/>
      <c r="FV267" s="239"/>
      <c r="FW267" s="239"/>
      <c r="FX267" s="240"/>
      <c r="FY267" s="155"/>
      <c r="FZ267" s="238"/>
      <c r="GA267" s="239"/>
      <c r="GB267" s="239"/>
      <c r="GC267" s="240"/>
      <c r="GD267" s="155"/>
      <c r="GE267" s="238"/>
      <c r="GF267" s="239"/>
      <c r="GG267" s="239"/>
      <c r="GH267" s="240"/>
      <c r="GI267" s="155"/>
      <c r="GJ267" s="1562"/>
      <c r="GK267" s="239"/>
      <c r="GL267" s="239"/>
      <c r="GM267" s="240"/>
      <c r="GN267" s="155"/>
      <c r="GO267" s="238"/>
      <c r="GP267" s="239"/>
      <c r="GQ267" s="239"/>
      <c r="GR267" s="240"/>
      <c r="GS267" s="155"/>
      <c r="GT267" s="238"/>
      <c r="GU267" s="239"/>
      <c r="GV267" s="239"/>
      <c r="GW267" s="240"/>
      <c r="GX267" s="155"/>
      <c r="GY267" s="238"/>
      <c r="GZ267" s="239"/>
      <c r="HA267" s="239"/>
      <c r="HB267" s="240"/>
      <c r="HC267" s="155"/>
      <c r="HD267" s="238"/>
      <c r="HE267" s="239"/>
      <c r="HF267" s="239"/>
      <c r="HG267" s="240"/>
      <c r="HH267" s="155"/>
      <c r="HI267" s="238"/>
      <c r="HJ267" s="239"/>
      <c r="HK267" s="239"/>
      <c r="HL267" s="240"/>
      <c r="HM267" s="155"/>
      <c r="HN267" s="238"/>
      <c r="HO267" s="239"/>
      <c r="HP267" s="239"/>
      <c r="HQ267" s="240"/>
      <c r="HR267" s="155"/>
      <c r="HS267" s="238"/>
      <c r="HT267" s="239"/>
      <c r="HU267" s="239"/>
      <c r="HV267" s="240"/>
      <c r="HW267" s="155"/>
      <c r="HX267" s="238"/>
      <c r="HY267" s="239"/>
      <c r="HZ267" s="239"/>
      <c r="IA267" s="240"/>
      <c r="IB267" s="155"/>
      <c r="IC267" s="238"/>
      <c r="ID267" s="239"/>
      <c r="IE267" s="239"/>
      <c r="IF267" s="240"/>
      <c r="IG267" s="155"/>
      <c r="IH267" s="238"/>
      <c r="II267" s="239"/>
      <c r="IJ267" s="239"/>
      <c r="IK267" s="240"/>
      <c r="IL267" s="155"/>
      <c r="IM267" s="238"/>
      <c r="IN267" s="239"/>
      <c r="IO267" s="239"/>
      <c r="IP267" s="240"/>
      <c r="IQ267" s="155"/>
    </row>
    <row r="268" spans="2:251" ht="15" customHeight="1">
      <c r="B268" s="155"/>
      <c r="C268" s="155"/>
      <c r="D268" s="236"/>
      <c r="E268" s="237"/>
      <c r="F268" s="312"/>
      <c r="G268" s="330"/>
      <c r="H268" s="239"/>
      <c r="I268" s="239"/>
      <c r="J268" s="240"/>
      <c r="K268" s="331"/>
      <c r="L268" s="330"/>
      <c r="M268" s="239"/>
      <c r="N268" s="239"/>
      <c r="O268" s="240"/>
      <c r="P268" s="331"/>
      <c r="Q268" s="330"/>
      <c r="R268" s="239"/>
      <c r="S268" s="239"/>
      <c r="T268" s="240"/>
      <c r="U268" s="331"/>
      <c r="V268" s="323"/>
      <c r="W268" s="239"/>
      <c r="X268" s="239"/>
      <c r="Y268" s="240"/>
      <c r="Z268" s="240"/>
      <c r="AA268" s="238"/>
      <c r="AB268" s="239"/>
      <c r="AC268" s="239"/>
      <c r="AD268" s="240"/>
      <c r="AE268" s="240"/>
      <c r="AF268" s="238"/>
      <c r="AG268" s="239"/>
      <c r="AH268" s="239"/>
      <c r="AI268" s="240"/>
      <c r="AJ268" s="155"/>
      <c r="AK268" s="238"/>
      <c r="AL268" s="239"/>
      <c r="AM268" s="239"/>
      <c r="AN268" s="240"/>
      <c r="AO268" s="155"/>
      <c r="AP268" s="238"/>
      <c r="AQ268" s="239"/>
      <c r="AR268" s="239"/>
      <c r="AS268" s="240"/>
      <c r="AT268" s="155"/>
      <c r="AU268" s="238"/>
      <c r="AV268" s="239"/>
      <c r="AW268" s="239"/>
      <c r="AX268" s="240"/>
      <c r="AY268" s="155"/>
      <c r="AZ268" s="238"/>
      <c r="BA268" s="239"/>
      <c r="BB268" s="239"/>
      <c r="BC268" s="240"/>
      <c r="BD268" s="155"/>
      <c r="BE268" s="238"/>
      <c r="BF268" s="239"/>
      <c r="BG268" s="239"/>
      <c r="BH268" s="240"/>
      <c r="BI268" s="155"/>
      <c r="BJ268" s="238"/>
      <c r="BK268" s="239"/>
      <c r="BL268" s="239"/>
      <c r="BM268" s="240"/>
      <c r="BN268" s="155"/>
      <c r="BO268" s="238"/>
      <c r="BP268" s="239"/>
      <c r="BQ268" s="239"/>
      <c r="BR268" s="240"/>
      <c r="BS268" s="155"/>
      <c r="BT268" s="238"/>
      <c r="BU268" s="239"/>
      <c r="BV268" s="239"/>
      <c r="BW268" s="240"/>
      <c r="BX268" s="155"/>
      <c r="BY268" s="238"/>
      <c r="BZ268" s="239"/>
      <c r="CA268" s="239"/>
      <c r="CB268" s="240"/>
      <c r="CC268" s="155"/>
      <c r="CD268" s="238"/>
      <c r="CE268" s="239"/>
      <c r="CF268" s="239"/>
      <c r="CG268" s="240"/>
      <c r="CH268" s="155"/>
      <c r="CI268" s="238"/>
      <c r="CJ268" s="239"/>
      <c r="CK268" s="239"/>
      <c r="CL268" s="240"/>
      <c r="CM268" s="155"/>
      <c r="CN268" s="238"/>
      <c r="CO268" s="239"/>
      <c r="CP268" s="239"/>
      <c r="CQ268" s="240"/>
      <c r="CR268" s="155"/>
      <c r="CS268" s="238"/>
      <c r="CT268" s="239"/>
      <c r="CU268" s="239"/>
      <c r="CV268" s="240"/>
      <c r="CW268" s="155"/>
      <c r="CX268" s="238"/>
      <c r="CY268" s="239"/>
      <c r="CZ268" s="239"/>
      <c r="DA268" s="240"/>
      <c r="DB268" s="155"/>
      <c r="DC268" s="238"/>
      <c r="DD268" s="239"/>
      <c r="DE268" s="239"/>
      <c r="DF268" s="240"/>
      <c r="DG268" s="155"/>
      <c r="DH268" s="238"/>
      <c r="DI268" s="239"/>
      <c r="DJ268" s="239"/>
      <c r="DK268" s="240"/>
      <c r="DL268" s="155"/>
      <c r="DM268" s="238"/>
      <c r="DN268" s="239"/>
      <c r="DO268" s="239"/>
      <c r="DP268" s="240"/>
      <c r="DQ268" s="155"/>
      <c r="DR268" s="238"/>
      <c r="DS268" s="239"/>
      <c r="DT268" s="239"/>
      <c r="DU268" s="240"/>
      <c r="DV268" s="155"/>
      <c r="DW268" s="238"/>
      <c r="DX268" s="239"/>
      <c r="DY268" s="239"/>
      <c r="DZ268" s="240"/>
      <c r="EA268" s="155"/>
      <c r="EB268" s="238"/>
      <c r="EC268" s="239"/>
      <c r="ED268" s="239"/>
      <c r="EE268" s="240"/>
      <c r="EF268" s="155"/>
      <c r="EG268" s="238"/>
      <c r="EH268" s="239"/>
      <c r="EI268" s="239"/>
      <c r="EJ268" s="240"/>
      <c r="EK268" s="155"/>
      <c r="EL268" s="238"/>
      <c r="EM268" s="239"/>
      <c r="EN268" s="239"/>
      <c r="EO268" s="240"/>
      <c r="EP268" s="155"/>
      <c r="EQ268" s="238"/>
      <c r="ER268" s="239"/>
      <c r="ES268" s="239"/>
      <c r="ET268" s="240"/>
      <c r="EU268" s="155"/>
      <c r="EV268" s="238"/>
      <c r="EW268" s="239"/>
      <c r="EX268" s="239"/>
      <c r="EY268" s="240"/>
      <c r="EZ268" s="155"/>
      <c r="FA268" s="238"/>
      <c r="FB268" s="239"/>
      <c r="FC268" s="239"/>
      <c r="FD268" s="240"/>
      <c r="FE268" s="155"/>
      <c r="FF268" s="238"/>
      <c r="FG268" s="239"/>
      <c r="FH268" s="239"/>
      <c r="FI268" s="240"/>
      <c r="FJ268" s="155"/>
      <c r="FK268" s="238"/>
      <c r="FL268" s="239"/>
      <c r="FM268" s="239"/>
      <c r="FN268" s="240"/>
      <c r="FO268" s="155"/>
      <c r="FP268" s="238"/>
      <c r="FQ268" s="239"/>
      <c r="FR268" s="239"/>
      <c r="FS268" s="240"/>
      <c r="FT268" s="155"/>
      <c r="FU268" s="238"/>
      <c r="FV268" s="239"/>
      <c r="FW268" s="239"/>
      <c r="FX268" s="240"/>
      <c r="FY268" s="155"/>
      <c r="FZ268" s="238"/>
      <c r="GA268" s="239"/>
      <c r="GB268" s="239"/>
      <c r="GC268" s="240"/>
      <c r="GD268" s="155"/>
      <c r="GE268" s="238"/>
      <c r="GF268" s="239"/>
      <c r="GG268" s="239"/>
      <c r="GH268" s="240"/>
      <c r="GI268" s="155"/>
      <c r="GJ268" s="1562"/>
      <c r="GK268" s="239"/>
      <c r="GL268" s="239"/>
      <c r="GM268" s="240"/>
      <c r="GN268" s="155"/>
      <c r="GO268" s="238"/>
      <c r="GP268" s="239"/>
      <c r="GQ268" s="239"/>
      <c r="GR268" s="240"/>
      <c r="GS268" s="155"/>
      <c r="GT268" s="238"/>
      <c r="GU268" s="239"/>
      <c r="GV268" s="239"/>
      <c r="GW268" s="240"/>
      <c r="GX268" s="155"/>
      <c r="GY268" s="238"/>
      <c r="GZ268" s="239"/>
      <c r="HA268" s="239"/>
      <c r="HB268" s="240"/>
      <c r="HC268" s="155"/>
      <c r="HD268" s="238"/>
      <c r="HE268" s="239"/>
      <c r="HF268" s="239"/>
      <c r="HG268" s="240"/>
      <c r="HH268" s="155"/>
      <c r="HI268" s="238"/>
      <c r="HJ268" s="239"/>
      <c r="HK268" s="239"/>
      <c r="HL268" s="240"/>
      <c r="HM268" s="155"/>
      <c r="HN268" s="238"/>
      <c r="HO268" s="239"/>
      <c r="HP268" s="239"/>
      <c r="HQ268" s="240"/>
      <c r="HR268" s="155"/>
      <c r="HS268" s="238"/>
      <c r="HT268" s="239"/>
      <c r="HU268" s="239"/>
      <c r="HV268" s="240"/>
      <c r="HW268" s="155"/>
      <c r="HX268" s="238"/>
      <c r="HY268" s="239"/>
      <c r="HZ268" s="239"/>
      <c r="IA268" s="240"/>
      <c r="IB268" s="155"/>
      <c r="IC268" s="238"/>
      <c r="ID268" s="239"/>
      <c r="IE268" s="239"/>
      <c r="IF268" s="240"/>
      <c r="IG268" s="155"/>
      <c r="IH268" s="238"/>
      <c r="II268" s="239"/>
      <c r="IJ268" s="239"/>
      <c r="IK268" s="240"/>
      <c r="IL268" s="155"/>
      <c r="IM268" s="238"/>
      <c r="IN268" s="239"/>
      <c r="IO268" s="239"/>
      <c r="IP268" s="240"/>
      <c r="IQ268" s="155"/>
    </row>
    <row r="269" spans="2:251" ht="15" customHeight="1">
      <c r="B269" s="155"/>
      <c r="C269" s="155"/>
      <c r="D269" s="236"/>
      <c r="E269" s="237"/>
      <c r="F269" s="312"/>
      <c r="G269" s="330"/>
      <c r="H269" s="239"/>
      <c r="I269" s="239"/>
      <c r="J269" s="240"/>
      <c r="K269" s="331"/>
      <c r="L269" s="330"/>
      <c r="M269" s="239"/>
      <c r="N269" s="239"/>
      <c r="O269" s="240"/>
      <c r="P269" s="331"/>
      <c r="Q269" s="330"/>
      <c r="R269" s="239"/>
      <c r="S269" s="239"/>
      <c r="T269" s="240"/>
      <c r="U269" s="331"/>
      <c r="V269" s="323"/>
      <c r="W269" s="239"/>
      <c r="X269" s="239"/>
      <c r="Y269" s="240"/>
      <c r="Z269" s="240"/>
      <c r="AA269" s="238"/>
      <c r="AB269" s="239"/>
      <c r="AC269" s="239"/>
      <c r="AD269" s="240"/>
      <c r="AE269" s="240"/>
      <c r="AF269" s="238"/>
      <c r="AG269" s="239"/>
      <c r="AH269" s="239"/>
      <c r="AI269" s="240"/>
      <c r="AJ269" s="155"/>
      <c r="AK269" s="238"/>
      <c r="AL269" s="239"/>
      <c r="AM269" s="239"/>
      <c r="AN269" s="240"/>
      <c r="AO269" s="155"/>
      <c r="AP269" s="238"/>
      <c r="AQ269" s="239"/>
      <c r="AR269" s="239"/>
      <c r="AS269" s="240"/>
      <c r="AT269" s="155"/>
      <c r="AU269" s="238"/>
      <c r="AV269" s="239"/>
      <c r="AW269" s="239"/>
      <c r="AX269" s="240"/>
      <c r="AY269" s="155"/>
      <c r="AZ269" s="238"/>
      <c r="BA269" s="239"/>
      <c r="BB269" s="239"/>
      <c r="BC269" s="240"/>
      <c r="BD269" s="155"/>
      <c r="BE269" s="238"/>
      <c r="BF269" s="239"/>
      <c r="BG269" s="239"/>
      <c r="BH269" s="240"/>
      <c r="BI269" s="155"/>
      <c r="BJ269" s="238"/>
      <c r="BK269" s="239"/>
      <c r="BL269" s="239"/>
      <c r="BM269" s="240"/>
      <c r="BN269" s="155"/>
      <c r="BO269" s="238"/>
      <c r="BP269" s="239"/>
      <c r="BQ269" s="239"/>
      <c r="BR269" s="240"/>
      <c r="BS269" s="155"/>
      <c r="BT269" s="238"/>
      <c r="BU269" s="239"/>
      <c r="BV269" s="239"/>
      <c r="BW269" s="240"/>
      <c r="BX269" s="155"/>
      <c r="BY269" s="238"/>
      <c r="BZ269" s="239"/>
      <c r="CA269" s="239"/>
      <c r="CB269" s="240"/>
      <c r="CC269" s="155"/>
      <c r="CD269" s="238"/>
      <c r="CE269" s="239"/>
      <c r="CF269" s="239"/>
      <c r="CG269" s="240"/>
      <c r="CH269" s="155"/>
      <c r="CI269" s="238"/>
      <c r="CJ269" s="239"/>
      <c r="CK269" s="239"/>
      <c r="CL269" s="240"/>
      <c r="CM269" s="155"/>
      <c r="CN269" s="238"/>
      <c r="CO269" s="239"/>
      <c r="CP269" s="239"/>
      <c r="CQ269" s="240"/>
      <c r="CR269" s="155"/>
      <c r="CS269" s="238"/>
      <c r="CT269" s="239"/>
      <c r="CU269" s="239"/>
      <c r="CV269" s="240"/>
      <c r="CW269" s="155"/>
      <c r="CX269" s="238"/>
      <c r="CY269" s="239"/>
      <c r="CZ269" s="239"/>
      <c r="DA269" s="240"/>
      <c r="DB269" s="155"/>
      <c r="DC269" s="238"/>
      <c r="DD269" s="239"/>
      <c r="DE269" s="239"/>
      <c r="DF269" s="240"/>
      <c r="DG269" s="155"/>
      <c r="DH269" s="238"/>
      <c r="DI269" s="239"/>
      <c r="DJ269" s="239"/>
      <c r="DK269" s="240"/>
      <c r="DL269" s="155"/>
      <c r="DM269" s="238"/>
      <c r="DN269" s="239"/>
      <c r="DO269" s="239"/>
      <c r="DP269" s="240"/>
      <c r="DQ269" s="155"/>
      <c r="DR269" s="238"/>
      <c r="DS269" s="239"/>
      <c r="DT269" s="239"/>
      <c r="DU269" s="240"/>
      <c r="DV269" s="155"/>
      <c r="DW269" s="238"/>
      <c r="DX269" s="239"/>
      <c r="DY269" s="239"/>
      <c r="DZ269" s="240"/>
      <c r="EA269" s="155"/>
      <c r="EB269" s="238"/>
      <c r="EC269" s="239"/>
      <c r="ED269" s="239"/>
      <c r="EE269" s="240"/>
      <c r="EF269" s="155"/>
      <c r="EG269" s="238"/>
      <c r="EH269" s="239"/>
      <c r="EI269" s="239"/>
      <c r="EJ269" s="240"/>
      <c r="EK269" s="155"/>
      <c r="EL269" s="238"/>
      <c r="EM269" s="239"/>
      <c r="EN269" s="239"/>
      <c r="EO269" s="240"/>
      <c r="EP269" s="155"/>
      <c r="EQ269" s="238"/>
      <c r="ER269" s="239"/>
      <c r="ES269" s="239"/>
      <c r="ET269" s="240"/>
      <c r="EU269" s="155"/>
      <c r="EV269" s="238"/>
      <c r="EW269" s="239"/>
      <c r="EX269" s="239"/>
      <c r="EY269" s="240"/>
      <c r="EZ269" s="155"/>
      <c r="FA269" s="238"/>
      <c r="FB269" s="239"/>
      <c r="FC269" s="239"/>
      <c r="FD269" s="240"/>
      <c r="FE269" s="155"/>
      <c r="FF269" s="238"/>
      <c r="FG269" s="239"/>
      <c r="FH269" s="239"/>
      <c r="FI269" s="240"/>
      <c r="FJ269" s="155"/>
      <c r="FK269" s="238"/>
      <c r="FL269" s="239"/>
      <c r="FM269" s="239"/>
      <c r="FN269" s="240"/>
      <c r="FO269" s="155"/>
      <c r="FP269" s="238"/>
      <c r="FQ269" s="239"/>
      <c r="FR269" s="239"/>
      <c r="FS269" s="240"/>
      <c r="FT269" s="155"/>
      <c r="FU269" s="238"/>
      <c r="FV269" s="239"/>
      <c r="FW269" s="239"/>
      <c r="FX269" s="240"/>
      <c r="FY269" s="155"/>
      <c r="FZ269" s="238"/>
      <c r="GA269" s="239"/>
      <c r="GB269" s="239"/>
      <c r="GC269" s="240"/>
      <c r="GD269" s="155"/>
      <c r="GE269" s="238"/>
      <c r="GF269" s="239"/>
      <c r="GG269" s="239"/>
      <c r="GH269" s="240"/>
      <c r="GI269" s="155"/>
      <c r="GJ269" s="1562"/>
      <c r="GK269" s="239"/>
      <c r="GL269" s="239"/>
      <c r="GM269" s="240"/>
      <c r="GN269" s="155"/>
      <c r="GO269" s="238"/>
      <c r="GP269" s="239"/>
      <c r="GQ269" s="239"/>
      <c r="GR269" s="240"/>
      <c r="GS269" s="155"/>
      <c r="GT269" s="238"/>
      <c r="GU269" s="239"/>
      <c r="GV269" s="239"/>
      <c r="GW269" s="240"/>
      <c r="GX269" s="155"/>
      <c r="GY269" s="238"/>
      <c r="GZ269" s="239"/>
      <c r="HA269" s="239"/>
      <c r="HB269" s="240"/>
      <c r="HC269" s="155"/>
      <c r="HD269" s="238"/>
      <c r="HE269" s="239"/>
      <c r="HF269" s="239"/>
      <c r="HG269" s="240"/>
      <c r="HH269" s="155"/>
      <c r="HI269" s="238"/>
      <c r="HJ269" s="239"/>
      <c r="HK269" s="239"/>
      <c r="HL269" s="240"/>
      <c r="HM269" s="155"/>
      <c r="HN269" s="238"/>
      <c r="HO269" s="239"/>
      <c r="HP269" s="239"/>
      <c r="HQ269" s="240"/>
      <c r="HR269" s="155"/>
      <c r="HS269" s="238"/>
      <c r="HT269" s="239"/>
      <c r="HU269" s="239"/>
      <c r="HV269" s="240"/>
      <c r="HW269" s="155"/>
      <c r="HX269" s="238"/>
      <c r="HY269" s="239"/>
      <c r="HZ269" s="239"/>
      <c r="IA269" s="240"/>
      <c r="IB269" s="155"/>
      <c r="IC269" s="238"/>
      <c r="ID269" s="239"/>
      <c r="IE269" s="239"/>
      <c r="IF269" s="240"/>
      <c r="IG269" s="155"/>
      <c r="IH269" s="238"/>
      <c r="II269" s="239"/>
      <c r="IJ269" s="239"/>
      <c r="IK269" s="240"/>
      <c r="IL269" s="155"/>
      <c r="IM269" s="238"/>
      <c r="IN269" s="239"/>
      <c r="IO269" s="239"/>
      <c r="IP269" s="240"/>
      <c r="IQ269" s="155"/>
    </row>
    <row r="270" spans="2:251" ht="15" customHeight="1">
      <c r="B270" s="155"/>
      <c r="C270" s="155"/>
      <c r="D270" s="236"/>
      <c r="E270" s="237"/>
      <c r="F270" s="312"/>
      <c r="G270" s="330"/>
      <c r="H270" s="239"/>
      <c r="I270" s="239"/>
      <c r="J270" s="240"/>
      <c r="K270" s="331"/>
      <c r="L270" s="330"/>
      <c r="M270" s="239"/>
      <c r="N270" s="239"/>
      <c r="O270" s="240"/>
      <c r="P270" s="331"/>
      <c r="Q270" s="330"/>
      <c r="R270" s="239"/>
      <c r="S270" s="239"/>
      <c r="T270" s="240"/>
      <c r="U270" s="331"/>
      <c r="V270" s="323"/>
      <c r="W270" s="239"/>
      <c r="X270" s="239"/>
      <c r="Y270" s="240"/>
      <c r="Z270" s="240"/>
      <c r="AA270" s="238"/>
      <c r="AB270" s="239"/>
      <c r="AC270" s="239"/>
      <c r="AD270" s="240"/>
      <c r="AE270" s="240"/>
      <c r="AF270" s="238"/>
      <c r="AG270" s="239"/>
      <c r="AH270" s="239"/>
      <c r="AI270" s="240"/>
      <c r="AJ270" s="155"/>
      <c r="AK270" s="238"/>
      <c r="AL270" s="239"/>
      <c r="AM270" s="239"/>
      <c r="AN270" s="240"/>
      <c r="AO270" s="155"/>
      <c r="AP270" s="238"/>
      <c r="AQ270" s="239"/>
      <c r="AR270" s="239"/>
      <c r="AS270" s="240"/>
      <c r="AT270" s="155"/>
      <c r="AU270" s="238"/>
      <c r="AV270" s="239"/>
      <c r="AW270" s="239"/>
      <c r="AX270" s="240"/>
      <c r="AY270" s="155"/>
      <c r="AZ270" s="238"/>
      <c r="BA270" s="239"/>
      <c r="BB270" s="239"/>
      <c r="BC270" s="240"/>
      <c r="BD270" s="155"/>
      <c r="BE270" s="238"/>
      <c r="BF270" s="239"/>
      <c r="BG270" s="239"/>
      <c r="BH270" s="240"/>
      <c r="BI270" s="155"/>
      <c r="BJ270" s="238"/>
      <c r="BK270" s="239"/>
      <c r="BL270" s="239"/>
      <c r="BM270" s="240"/>
      <c r="BN270" s="155"/>
      <c r="BO270" s="238"/>
      <c r="BP270" s="239"/>
      <c r="BQ270" s="239"/>
      <c r="BR270" s="240"/>
      <c r="BS270" s="155"/>
      <c r="BT270" s="238"/>
      <c r="BU270" s="239"/>
      <c r="BV270" s="239"/>
      <c r="BW270" s="240"/>
      <c r="BX270" s="155"/>
      <c r="BY270" s="238"/>
      <c r="BZ270" s="239"/>
      <c r="CA270" s="239"/>
      <c r="CB270" s="240"/>
      <c r="CC270" s="155"/>
      <c r="CD270" s="238"/>
      <c r="CE270" s="239"/>
      <c r="CF270" s="239"/>
      <c r="CG270" s="240"/>
      <c r="CH270" s="155"/>
      <c r="CI270" s="238"/>
      <c r="CJ270" s="239"/>
      <c r="CK270" s="239"/>
      <c r="CL270" s="240"/>
      <c r="CM270" s="155"/>
      <c r="CN270" s="238"/>
      <c r="CO270" s="239"/>
      <c r="CP270" s="239"/>
      <c r="CQ270" s="240"/>
      <c r="CR270" s="155"/>
      <c r="CS270" s="238"/>
      <c r="CT270" s="239"/>
      <c r="CU270" s="239"/>
      <c r="CV270" s="240"/>
      <c r="CW270" s="155"/>
      <c r="CX270" s="238"/>
      <c r="CY270" s="239"/>
      <c r="CZ270" s="239"/>
      <c r="DA270" s="240"/>
      <c r="DB270" s="155"/>
      <c r="DC270" s="238"/>
      <c r="DD270" s="239"/>
      <c r="DE270" s="239"/>
      <c r="DF270" s="240"/>
      <c r="DG270" s="155"/>
      <c r="DH270" s="238"/>
      <c r="DI270" s="239"/>
      <c r="DJ270" s="239"/>
      <c r="DK270" s="240"/>
      <c r="DL270" s="155"/>
      <c r="DM270" s="238"/>
      <c r="DN270" s="239"/>
      <c r="DO270" s="239"/>
      <c r="DP270" s="240"/>
      <c r="DQ270" s="155"/>
      <c r="DR270" s="238"/>
      <c r="DS270" s="239"/>
      <c r="DT270" s="239"/>
      <c r="DU270" s="240"/>
      <c r="DV270" s="155"/>
      <c r="DW270" s="238"/>
      <c r="DX270" s="239"/>
      <c r="DY270" s="239"/>
      <c r="DZ270" s="240"/>
      <c r="EA270" s="155"/>
      <c r="EB270" s="238"/>
      <c r="EC270" s="239"/>
      <c r="ED270" s="239"/>
      <c r="EE270" s="240"/>
      <c r="EF270" s="155"/>
      <c r="EG270" s="238"/>
      <c r="EH270" s="239"/>
      <c r="EI270" s="239"/>
      <c r="EJ270" s="240"/>
      <c r="EK270" s="155"/>
      <c r="EL270" s="238"/>
      <c r="EM270" s="239"/>
      <c r="EN270" s="239"/>
      <c r="EO270" s="240"/>
      <c r="EP270" s="155"/>
      <c r="EQ270" s="238"/>
      <c r="ER270" s="239"/>
      <c r="ES270" s="239"/>
      <c r="ET270" s="240"/>
      <c r="EU270" s="155"/>
      <c r="EV270" s="238"/>
      <c r="EW270" s="239"/>
      <c r="EX270" s="239"/>
      <c r="EY270" s="240"/>
      <c r="EZ270" s="155"/>
      <c r="FA270" s="238"/>
      <c r="FB270" s="239"/>
      <c r="FC270" s="239"/>
      <c r="FD270" s="240"/>
      <c r="FE270" s="155"/>
      <c r="FF270" s="238"/>
      <c r="FG270" s="239"/>
      <c r="FH270" s="239"/>
      <c r="FI270" s="240"/>
      <c r="FJ270" s="155"/>
      <c r="FK270" s="238"/>
      <c r="FL270" s="239"/>
      <c r="FM270" s="239"/>
      <c r="FN270" s="240"/>
      <c r="FO270" s="155"/>
      <c r="FP270" s="238"/>
      <c r="FQ270" s="239"/>
      <c r="FR270" s="239"/>
      <c r="FS270" s="240"/>
      <c r="FT270" s="155"/>
      <c r="FU270" s="238"/>
      <c r="FV270" s="239"/>
      <c r="FW270" s="239"/>
      <c r="FX270" s="240"/>
      <c r="FY270" s="155"/>
      <c r="FZ270" s="238"/>
      <c r="GA270" s="239"/>
      <c r="GB270" s="239"/>
      <c r="GC270" s="240"/>
      <c r="GD270" s="155"/>
      <c r="GE270" s="238"/>
      <c r="GF270" s="239"/>
      <c r="GG270" s="239"/>
      <c r="GH270" s="240"/>
      <c r="GI270" s="155"/>
      <c r="GJ270" s="1562"/>
      <c r="GK270" s="239"/>
      <c r="GL270" s="239"/>
      <c r="GM270" s="240"/>
      <c r="GN270" s="155"/>
      <c r="GO270" s="238"/>
      <c r="GP270" s="239"/>
      <c r="GQ270" s="239"/>
      <c r="GR270" s="240"/>
      <c r="GS270" s="155"/>
      <c r="GT270" s="238"/>
      <c r="GU270" s="239"/>
      <c r="GV270" s="239"/>
      <c r="GW270" s="240"/>
      <c r="GX270" s="155"/>
      <c r="GY270" s="238"/>
      <c r="GZ270" s="239"/>
      <c r="HA270" s="239"/>
      <c r="HB270" s="240"/>
      <c r="HC270" s="155"/>
      <c r="HD270" s="238"/>
      <c r="HE270" s="239"/>
      <c r="HF270" s="239"/>
      <c r="HG270" s="240"/>
      <c r="HH270" s="155"/>
      <c r="HI270" s="238"/>
      <c r="HJ270" s="239"/>
      <c r="HK270" s="239"/>
      <c r="HL270" s="240"/>
      <c r="HM270" s="155"/>
      <c r="HN270" s="238"/>
      <c r="HO270" s="239"/>
      <c r="HP270" s="239"/>
      <c r="HQ270" s="240"/>
      <c r="HR270" s="155"/>
      <c r="HS270" s="238"/>
      <c r="HT270" s="239"/>
      <c r="HU270" s="239"/>
      <c r="HV270" s="240"/>
      <c r="HW270" s="155"/>
      <c r="HX270" s="238"/>
      <c r="HY270" s="239"/>
      <c r="HZ270" s="239"/>
      <c r="IA270" s="240"/>
      <c r="IB270" s="155"/>
      <c r="IC270" s="238"/>
      <c r="ID270" s="239"/>
      <c r="IE270" s="239"/>
      <c r="IF270" s="240"/>
      <c r="IG270" s="155"/>
      <c r="IH270" s="238"/>
      <c r="II270" s="239"/>
      <c r="IJ270" s="239"/>
      <c r="IK270" s="240"/>
      <c r="IL270" s="155"/>
      <c r="IM270" s="238"/>
      <c r="IN270" s="239"/>
      <c r="IO270" s="239"/>
      <c r="IP270" s="240"/>
      <c r="IQ270" s="155"/>
    </row>
    <row r="271" spans="2:251" ht="15" customHeight="1">
      <c r="B271" s="155"/>
      <c r="C271" s="155"/>
      <c r="D271" s="236"/>
      <c r="E271" s="237"/>
      <c r="F271" s="312"/>
      <c r="G271" s="330"/>
      <c r="H271" s="239"/>
      <c r="I271" s="239"/>
      <c r="J271" s="240"/>
      <c r="K271" s="331"/>
      <c r="L271" s="330"/>
      <c r="M271" s="239"/>
      <c r="N271" s="239"/>
      <c r="O271" s="240"/>
      <c r="P271" s="331"/>
      <c r="Q271" s="330"/>
      <c r="R271" s="239"/>
      <c r="S271" s="239"/>
      <c r="T271" s="240"/>
      <c r="U271" s="331"/>
      <c r="V271" s="323"/>
      <c r="W271" s="239"/>
      <c r="X271" s="239"/>
      <c r="Y271" s="240"/>
      <c r="Z271" s="240"/>
      <c r="AA271" s="238"/>
      <c r="AB271" s="239"/>
      <c r="AC271" s="239"/>
      <c r="AD271" s="240"/>
      <c r="AE271" s="240"/>
      <c r="AF271" s="238"/>
      <c r="AG271" s="239"/>
      <c r="AH271" s="239"/>
      <c r="AI271" s="240"/>
      <c r="AJ271" s="155"/>
      <c r="AK271" s="238"/>
      <c r="AL271" s="239"/>
      <c r="AM271" s="239"/>
      <c r="AN271" s="240"/>
      <c r="AO271" s="155"/>
      <c r="AP271" s="238"/>
      <c r="AQ271" s="239"/>
      <c r="AR271" s="239"/>
      <c r="AS271" s="240"/>
      <c r="AT271" s="155"/>
      <c r="AU271" s="238"/>
      <c r="AV271" s="239"/>
      <c r="AW271" s="239"/>
      <c r="AX271" s="240"/>
      <c r="AY271" s="155"/>
      <c r="AZ271" s="238"/>
      <c r="BA271" s="239"/>
      <c r="BB271" s="239"/>
      <c r="BC271" s="240"/>
      <c r="BD271" s="155"/>
      <c r="BE271" s="238"/>
      <c r="BF271" s="239"/>
      <c r="BG271" s="239"/>
      <c r="BH271" s="240"/>
      <c r="BI271" s="155"/>
      <c r="BJ271" s="238"/>
      <c r="BK271" s="239"/>
      <c r="BL271" s="239"/>
      <c r="BM271" s="240"/>
      <c r="BN271" s="155"/>
      <c r="BO271" s="238"/>
      <c r="BP271" s="239"/>
      <c r="BQ271" s="239"/>
      <c r="BR271" s="240"/>
      <c r="BS271" s="155"/>
      <c r="BT271" s="238"/>
      <c r="BU271" s="239"/>
      <c r="BV271" s="239"/>
      <c r="BW271" s="240"/>
      <c r="BX271" s="155"/>
      <c r="BY271" s="238"/>
      <c r="BZ271" s="239"/>
      <c r="CA271" s="239"/>
      <c r="CB271" s="240"/>
      <c r="CC271" s="155"/>
      <c r="CD271" s="238"/>
      <c r="CE271" s="239"/>
      <c r="CF271" s="239"/>
      <c r="CG271" s="240"/>
      <c r="CH271" s="155"/>
      <c r="CI271" s="238"/>
      <c r="CJ271" s="239"/>
      <c r="CK271" s="239"/>
      <c r="CL271" s="240"/>
      <c r="CM271" s="155"/>
      <c r="CN271" s="238"/>
      <c r="CO271" s="239"/>
      <c r="CP271" s="239"/>
      <c r="CQ271" s="240"/>
      <c r="CR271" s="155"/>
      <c r="CS271" s="238"/>
      <c r="CT271" s="239"/>
      <c r="CU271" s="239"/>
      <c r="CV271" s="240"/>
      <c r="CW271" s="155"/>
      <c r="CX271" s="238"/>
      <c r="CY271" s="239"/>
      <c r="CZ271" s="239"/>
      <c r="DA271" s="240"/>
      <c r="DB271" s="155"/>
      <c r="DC271" s="238"/>
      <c r="DD271" s="239"/>
      <c r="DE271" s="239"/>
      <c r="DF271" s="240"/>
      <c r="DG271" s="155"/>
      <c r="DH271" s="238"/>
      <c r="DI271" s="239"/>
      <c r="DJ271" s="239"/>
      <c r="DK271" s="240"/>
      <c r="DL271" s="155"/>
      <c r="DM271" s="238"/>
      <c r="DN271" s="239"/>
      <c r="DO271" s="239"/>
      <c r="DP271" s="240"/>
      <c r="DQ271" s="155"/>
      <c r="DR271" s="238"/>
      <c r="DS271" s="239"/>
      <c r="DT271" s="239"/>
      <c r="DU271" s="240"/>
      <c r="DV271" s="155"/>
      <c r="DW271" s="238"/>
      <c r="DX271" s="239"/>
      <c r="DY271" s="239"/>
      <c r="DZ271" s="240"/>
      <c r="EA271" s="155"/>
      <c r="EB271" s="238"/>
      <c r="EC271" s="239"/>
      <c r="ED271" s="239"/>
      <c r="EE271" s="240"/>
      <c r="EF271" s="155"/>
      <c r="EG271" s="238"/>
      <c r="EH271" s="239"/>
      <c r="EI271" s="239"/>
      <c r="EJ271" s="240"/>
      <c r="EK271" s="155"/>
      <c r="EL271" s="238"/>
      <c r="EM271" s="239"/>
      <c r="EN271" s="239"/>
      <c r="EO271" s="240"/>
      <c r="EP271" s="155"/>
      <c r="EQ271" s="238"/>
      <c r="ER271" s="239"/>
      <c r="ES271" s="239"/>
      <c r="ET271" s="240"/>
      <c r="EU271" s="155"/>
      <c r="EV271" s="238"/>
      <c r="EW271" s="239"/>
      <c r="EX271" s="239"/>
      <c r="EY271" s="240"/>
      <c r="EZ271" s="155"/>
      <c r="FA271" s="238"/>
      <c r="FB271" s="239"/>
      <c r="FC271" s="239"/>
      <c r="FD271" s="240"/>
      <c r="FE271" s="155"/>
      <c r="FF271" s="238"/>
      <c r="FG271" s="239"/>
      <c r="FH271" s="239"/>
      <c r="FI271" s="240"/>
      <c r="FJ271" s="155"/>
      <c r="FK271" s="238"/>
      <c r="FL271" s="239"/>
      <c r="FM271" s="239"/>
      <c r="FN271" s="240"/>
      <c r="FO271" s="155"/>
      <c r="FP271" s="238"/>
      <c r="FQ271" s="239"/>
      <c r="FR271" s="239"/>
      <c r="FS271" s="240"/>
      <c r="FT271" s="155"/>
      <c r="FU271" s="238"/>
      <c r="FV271" s="239"/>
      <c r="FW271" s="239"/>
      <c r="FX271" s="240"/>
      <c r="FY271" s="155"/>
      <c r="FZ271" s="238"/>
      <c r="GA271" s="239"/>
      <c r="GB271" s="239"/>
      <c r="GC271" s="240"/>
      <c r="GD271" s="155"/>
      <c r="GE271" s="238"/>
      <c r="GF271" s="239"/>
      <c r="GG271" s="239"/>
      <c r="GH271" s="240"/>
      <c r="GI271" s="155"/>
      <c r="GJ271" s="1562"/>
      <c r="GK271" s="239"/>
      <c r="GL271" s="239"/>
      <c r="GM271" s="240"/>
      <c r="GN271" s="155"/>
      <c r="GO271" s="238"/>
      <c r="GP271" s="239"/>
      <c r="GQ271" s="239"/>
      <c r="GR271" s="240"/>
      <c r="GS271" s="155"/>
      <c r="GT271" s="238"/>
      <c r="GU271" s="239"/>
      <c r="GV271" s="239"/>
      <c r="GW271" s="240"/>
      <c r="GX271" s="155"/>
      <c r="GY271" s="238"/>
      <c r="GZ271" s="239"/>
      <c r="HA271" s="239"/>
      <c r="HB271" s="240"/>
      <c r="HC271" s="155"/>
      <c r="HD271" s="238"/>
      <c r="HE271" s="239"/>
      <c r="HF271" s="239"/>
      <c r="HG271" s="240"/>
      <c r="HH271" s="155"/>
      <c r="HI271" s="238"/>
      <c r="HJ271" s="239"/>
      <c r="HK271" s="239"/>
      <c r="HL271" s="240"/>
      <c r="HM271" s="155"/>
      <c r="HN271" s="238"/>
      <c r="HO271" s="239"/>
      <c r="HP271" s="239"/>
      <c r="HQ271" s="240"/>
      <c r="HR271" s="155"/>
      <c r="HS271" s="238"/>
      <c r="HT271" s="239"/>
      <c r="HU271" s="239"/>
      <c r="HV271" s="240"/>
      <c r="HW271" s="155"/>
      <c r="HX271" s="238"/>
      <c r="HY271" s="239"/>
      <c r="HZ271" s="239"/>
      <c r="IA271" s="240"/>
      <c r="IB271" s="155"/>
      <c r="IC271" s="238"/>
      <c r="ID271" s="239"/>
      <c r="IE271" s="239"/>
      <c r="IF271" s="240"/>
      <c r="IG271" s="155"/>
      <c r="IH271" s="238"/>
      <c r="II271" s="239"/>
      <c r="IJ271" s="239"/>
      <c r="IK271" s="240"/>
      <c r="IL271" s="155"/>
      <c r="IM271" s="238"/>
      <c r="IN271" s="239"/>
      <c r="IO271" s="239"/>
      <c r="IP271" s="240"/>
      <c r="IQ271" s="155"/>
    </row>
    <row r="272" spans="2:251" ht="15" customHeight="1">
      <c r="B272" s="155"/>
      <c r="C272" s="155"/>
      <c r="D272" s="236"/>
      <c r="E272" s="237"/>
      <c r="F272" s="312"/>
      <c r="G272" s="330"/>
      <c r="H272" s="239"/>
      <c r="I272" s="239"/>
      <c r="J272" s="240"/>
      <c r="K272" s="331"/>
      <c r="L272" s="330"/>
      <c r="M272" s="239"/>
      <c r="N272" s="239"/>
      <c r="O272" s="240"/>
      <c r="P272" s="331"/>
      <c r="Q272" s="330"/>
      <c r="R272" s="239"/>
      <c r="S272" s="239"/>
      <c r="T272" s="240"/>
      <c r="U272" s="331"/>
      <c r="V272" s="323"/>
      <c r="W272" s="239"/>
      <c r="X272" s="239"/>
      <c r="Y272" s="240"/>
      <c r="Z272" s="240"/>
      <c r="AA272" s="238"/>
      <c r="AB272" s="239"/>
      <c r="AC272" s="239"/>
      <c r="AD272" s="240"/>
      <c r="AE272" s="240"/>
      <c r="AF272" s="238"/>
      <c r="AG272" s="239"/>
      <c r="AH272" s="239"/>
      <c r="AI272" s="240"/>
      <c r="AJ272" s="155"/>
      <c r="AK272" s="238"/>
      <c r="AL272" s="239"/>
      <c r="AM272" s="239"/>
      <c r="AN272" s="240"/>
      <c r="AO272" s="155"/>
      <c r="AP272" s="238"/>
      <c r="AQ272" s="239"/>
      <c r="AR272" s="239"/>
      <c r="AS272" s="240"/>
      <c r="AT272" s="155"/>
      <c r="AU272" s="238"/>
      <c r="AV272" s="239"/>
      <c r="AW272" s="239"/>
      <c r="AX272" s="240"/>
      <c r="AY272" s="155"/>
      <c r="AZ272" s="238"/>
      <c r="BA272" s="239"/>
      <c r="BB272" s="239"/>
      <c r="BC272" s="240"/>
      <c r="BD272" s="155"/>
      <c r="BE272" s="238"/>
      <c r="BF272" s="239"/>
      <c r="BG272" s="239"/>
      <c r="BH272" s="240"/>
      <c r="BI272" s="155"/>
      <c r="BJ272" s="238"/>
      <c r="BK272" s="239"/>
      <c r="BL272" s="239"/>
      <c r="BM272" s="240"/>
      <c r="BN272" s="155"/>
      <c r="BO272" s="238"/>
      <c r="BP272" s="239"/>
      <c r="BQ272" s="239"/>
      <c r="BR272" s="240"/>
      <c r="BS272" s="155"/>
      <c r="BT272" s="238"/>
      <c r="BU272" s="239"/>
      <c r="BV272" s="239"/>
      <c r="BW272" s="240"/>
      <c r="BX272" s="155"/>
      <c r="BY272" s="238"/>
      <c r="BZ272" s="239"/>
      <c r="CA272" s="239"/>
      <c r="CB272" s="240"/>
      <c r="CC272" s="155"/>
      <c r="CD272" s="238"/>
      <c r="CE272" s="239"/>
      <c r="CF272" s="239"/>
      <c r="CG272" s="240"/>
      <c r="CH272" s="155"/>
      <c r="CI272" s="238"/>
      <c r="CJ272" s="239"/>
      <c r="CK272" s="239"/>
      <c r="CL272" s="240"/>
      <c r="CM272" s="155"/>
      <c r="CN272" s="238"/>
      <c r="CO272" s="239"/>
      <c r="CP272" s="239"/>
      <c r="CQ272" s="240"/>
      <c r="CR272" s="155"/>
      <c r="CS272" s="238"/>
      <c r="CT272" s="239"/>
      <c r="CU272" s="239"/>
      <c r="CV272" s="240"/>
      <c r="CW272" s="155"/>
      <c r="CX272" s="238"/>
      <c r="CY272" s="239"/>
      <c r="CZ272" s="239"/>
      <c r="DA272" s="240"/>
      <c r="DB272" s="155"/>
      <c r="DC272" s="238"/>
      <c r="DD272" s="239"/>
      <c r="DE272" s="239"/>
      <c r="DF272" s="240"/>
      <c r="DG272" s="155"/>
      <c r="DH272" s="238"/>
      <c r="DI272" s="239"/>
      <c r="DJ272" s="239"/>
      <c r="DK272" s="240"/>
      <c r="DL272" s="155"/>
      <c r="DM272" s="238"/>
      <c r="DN272" s="239"/>
      <c r="DO272" s="239"/>
      <c r="DP272" s="240"/>
      <c r="DQ272" s="155"/>
      <c r="DR272" s="238"/>
      <c r="DS272" s="239"/>
      <c r="DT272" s="239"/>
      <c r="DU272" s="240"/>
      <c r="DV272" s="155"/>
      <c r="DW272" s="238"/>
      <c r="DX272" s="239"/>
      <c r="DY272" s="239"/>
      <c r="DZ272" s="240"/>
      <c r="EA272" s="155"/>
      <c r="EB272" s="238"/>
      <c r="EC272" s="239"/>
      <c r="ED272" s="239"/>
      <c r="EE272" s="240"/>
      <c r="EF272" s="155"/>
      <c r="EG272" s="238"/>
      <c r="EH272" s="239"/>
      <c r="EI272" s="239"/>
      <c r="EJ272" s="240"/>
      <c r="EK272" s="155"/>
      <c r="EL272" s="238"/>
      <c r="EM272" s="239"/>
      <c r="EN272" s="239"/>
      <c r="EO272" s="240"/>
      <c r="EP272" s="155"/>
      <c r="EQ272" s="238"/>
      <c r="ER272" s="239"/>
      <c r="ES272" s="239"/>
      <c r="ET272" s="240"/>
      <c r="EU272" s="155"/>
      <c r="EV272" s="238"/>
      <c r="EW272" s="239"/>
      <c r="EX272" s="239"/>
      <c r="EY272" s="240"/>
      <c r="EZ272" s="155"/>
      <c r="FA272" s="238"/>
      <c r="FB272" s="239"/>
      <c r="FC272" s="239"/>
      <c r="FD272" s="240"/>
      <c r="FE272" s="155"/>
      <c r="FF272" s="238"/>
      <c r="FG272" s="239"/>
      <c r="FH272" s="239"/>
      <c r="FI272" s="240"/>
      <c r="FJ272" s="155"/>
      <c r="FK272" s="238"/>
      <c r="FL272" s="239"/>
      <c r="FM272" s="239"/>
      <c r="FN272" s="240"/>
      <c r="FO272" s="155"/>
      <c r="FP272" s="238"/>
      <c r="FQ272" s="239"/>
      <c r="FR272" s="239"/>
      <c r="FS272" s="240"/>
      <c r="FT272" s="155"/>
      <c r="FU272" s="238"/>
      <c r="FV272" s="239"/>
      <c r="FW272" s="239"/>
      <c r="FX272" s="240"/>
      <c r="FY272" s="155"/>
      <c r="FZ272" s="238"/>
      <c r="GA272" s="239"/>
      <c r="GB272" s="239"/>
      <c r="GC272" s="240"/>
      <c r="GD272" s="155"/>
      <c r="GE272" s="238"/>
      <c r="GF272" s="239"/>
      <c r="GG272" s="239"/>
      <c r="GH272" s="240"/>
      <c r="GI272" s="155"/>
      <c r="GJ272" s="1562"/>
      <c r="GK272" s="239"/>
      <c r="GL272" s="239"/>
      <c r="GM272" s="240"/>
      <c r="GN272" s="155"/>
      <c r="GO272" s="238"/>
      <c r="GP272" s="239"/>
      <c r="GQ272" s="239"/>
      <c r="GR272" s="240"/>
      <c r="GS272" s="155"/>
      <c r="GT272" s="238"/>
      <c r="GU272" s="239"/>
      <c r="GV272" s="239"/>
      <c r="GW272" s="240"/>
      <c r="GX272" s="155"/>
      <c r="GY272" s="238"/>
      <c r="GZ272" s="239"/>
      <c r="HA272" s="239"/>
      <c r="HB272" s="240"/>
      <c r="HC272" s="155"/>
      <c r="HD272" s="238"/>
      <c r="HE272" s="239"/>
      <c r="HF272" s="239"/>
      <c r="HG272" s="240"/>
      <c r="HH272" s="155"/>
      <c r="HI272" s="238"/>
      <c r="HJ272" s="239"/>
      <c r="HK272" s="239"/>
      <c r="HL272" s="240"/>
      <c r="HM272" s="155"/>
      <c r="HN272" s="238"/>
      <c r="HO272" s="239"/>
      <c r="HP272" s="239"/>
      <c r="HQ272" s="240"/>
      <c r="HR272" s="155"/>
      <c r="HS272" s="238"/>
      <c r="HT272" s="239"/>
      <c r="HU272" s="239"/>
      <c r="HV272" s="240"/>
      <c r="HW272" s="155"/>
      <c r="HX272" s="238"/>
      <c r="HY272" s="239"/>
      <c r="HZ272" s="239"/>
      <c r="IA272" s="240"/>
      <c r="IB272" s="155"/>
      <c r="IC272" s="238"/>
      <c r="ID272" s="239"/>
      <c r="IE272" s="239"/>
      <c r="IF272" s="240"/>
      <c r="IG272" s="155"/>
      <c r="IH272" s="238"/>
      <c r="II272" s="239"/>
      <c r="IJ272" s="239"/>
      <c r="IK272" s="240"/>
      <c r="IL272" s="155"/>
      <c r="IM272" s="238"/>
      <c r="IN272" s="239"/>
      <c r="IO272" s="239"/>
      <c r="IP272" s="240"/>
      <c r="IQ272" s="155"/>
    </row>
    <row r="273" spans="2:251" ht="15" customHeight="1">
      <c r="B273" s="155"/>
      <c r="C273" s="155"/>
      <c r="D273" s="236"/>
      <c r="E273" s="237"/>
      <c r="F273" s="312"/>
      <c r="G273" s="330"/>
      <c r="H273" s="239"/>
      <c r="I273" s="239"/>
      <c r="J273" s="240"/>
      <c r="K273" s="331"/>
      <c r="L273" s="330"/>
      <c r="M273" s="239"/>
      <c r="N273" s="239"/>
      <c r="O273" s="240"/>
      <c r="P273" s="331"/>
      <c r="Q273" s="330"/>
      <c r="R273" s="239"/>
      <c r="S273" s="239"/>
      <c r="T273" s="240"/>
      <c r="U273" s="331"/>
      <c r="V273" s="323"/>
      <c r="W273" s="239"/>
      <c r="X273" s="239"/>
      <c r="Y273" s="240"/>
      <c r="Z273" s="240"/>
      <c r="AA273" s="238"/>
      <c r="AB273" s="239"/>
      <c r="AC273" s="239"/>
      <c r="AD273" s="240"/>
      <c r="AE273" s="240"/>
      <c r="AF273" s="238"/>
      <c r="AG273" s="239"/>
      <c r="AH273" s="239"/>
      <c r="AI273" s="240"/>
      <c r="AJ273" s="155"/>
      <c r="AK273" s="238"/>
      <c r="AL273" s="239"/>
      <c r="AM273" s="239"/>
      <c r="AN273" s="240"/>
      <c r="AO273" s="155"/>
      <c r="AP273" s="238"/>
      <c r="AQ273" s="239"/>
      <c r="AR273" s="239"/>
      <c r="AS273" s="240"/>
      <c r="AT273" s="155"/>
      <c r="AU273" s="238"/>
      <c r="AV273" s="239"/>
      <c r="AW273" s="239"/>
      <c r="AX273" s="240"/>
      <c r="AY273" s="155"/>
      <c r="AZ273" s="238"/>
      <c r="BA273" s="239"/>
      <c r="BB273" s="239"/>
      <c r="BC273" s="240"/>
      <c r="BD273" s="155"/>
      <c r="BE273" s="238"/>
      <c r="BF273" s="239"/>
      <c r="BG273" s="239"/>
      <c r="BH273" s="240"/>
      <c r="BI273" s="155"/>
      <c r="BJ273" s="238"/>
      <c r="BK273" s="239"/>
      <c r="BL273" s="239"/>
      <c r="BM273" s="240"/>
      <c r="BN273" s="155"/>
      <c r="BO273" s="238"/>
      <c r="BP273" s="239"/>
      <c r="BQ273" s="239"/>
      <c r="BR273" s="240"/>
      <c r="BS273" s="155"/>
      <c r="BT273" s="238"/>
      <c r="BU273" s="239"/>
      <c r="BV273" s="239"/>
      <c r="BW273" s="240"/>
      <c r="BX273" s="155"/>
      <c r="BY273" s="238"/>
      <c r="BZ273" s="239"/>
      <c r="CA273" s="239"/>
      <c r="CB273" s="240"/>
      <c r="CC273" s="155"/>
      <c r="CD273" s="238"/>
      <c r="CE273" s="239"/>
      <c r="CF273" s="239"/>
      <c r="CG273" s="240"/>
      <c r="CH273" s="155"/>
      <c r="CI273" s="238"/>
      <c r="CJ273" s="239"/>
      <c r="CK273" s="239"/>
      <c r="CL273" s="240"/>
      <c r="CM273" s="155"/>
      <c r="CN273" s="238"/>
      <c r="CO273" s="239"/>
      <c r="CP273" s="239"/>
      <c r="CQ273" s="240"/>
      <c r="CR273" s="155"/>
      <c r="CS273" s="238"/>
      <c r="CT273" s="239"/>
      <c r="CU273" s="239"/>
      <c r="CV273" s="240"/>
      <c r="CW273" s="155"/>
      <c r="CX273" s="238"/>
      <c r="CY273" s="239"/>
      <c r="CZ273" s="239"/>
      <c r="DA273" s="240"/>
      <c r="DB273" s="155"/>
      <c r="DC273" s="238"/>
      <c r="DD273" s="239"/>
      <c r="DE273" s="239"/>
      <c r="DF273" s="240"/>
      <c r="DG273" s="155"/>
      <c r="DH273" s="238"/>
      <c r="DI273" s="239"/>
      <c r="DJ273" s="239"/>
      <c r="DK273" s="240"/>
      <c r="DL273" s="155"/>
      <c r="DM273" s="238"/>
      <c r="DN273" s="239"/>
      <c r="DO273" s="239"/>
      <c r="DP273" s="240"/>
      <c r="DQ273" s="155"/>
      <c r="DR273" s="238"/>
      <c r="DS273" s="239"/>
      <c r="DT273" s="239"/>
      <c r="DU273" s="240"/>
      <c r="DV273" s="155"/>
      <c r="DW273" s="238"/>
      <c r="DX273" s="239"/>
      <c r="DY273" s="239"/>
      <c r="DZ273" s="240"/>
      <c r="EA273" s="155"/>
      <c r="EB273" s="238"/>
      <c r="EC273" s="239"/>
      <c r="ED273" s="239"/>
      <c r="EE273" s="240"/>
      <c r="EF273" s="155"/>
      <c r="EG273" s="238"/>
      <c r="EH273" s="239"/>
      <c r="EI273" s="239"/>
      <c r="EJ273" s="240"/>
      <c r="EK273" s="155"/>
      <c r="EL273" s="238"/>
      <c r="EM273" s="239"/>
      <c r="EN273" s="239"/>
      <c r="EO273" s="240"/>
      <c r="EP273" s="155"/>
      <c r="EQ273" s="238"/>
      <c r="ER273" s="239"/>
      <c r="ES273" s="239"/>
      <c r="ET273" s="240"/>
      <c r="EU273" s="155"/>
      <c r="EV273" s="238"/>
      <c r="EW273" s="239"/>
      <c r="EX273" s="239"/>
      <c r="EY273" s="240"/>
      <c r="EZ273" s="155"/>
      <c r="FA273" s="238"/>
      <c r="FB273" s="239"/>
      <c r="FC273" s="239"/>
      <c r="FD273" s="240"/>
      <c r="FE273" s="155"/>
      <c r="FF273" s="238"/>
      <c r="FG273" s="239"/>
      <c r="FH273" s="239"/>
      <c r="FI273" s="240"/>
      <c r="FJ273" s="155"/>
      <c r="FK273" s="238"/>
      <c r="FL273" s="239"/>
      <c r="FM273" s="239"/>
      <c r="FN273" s="240"/>
      <c r="FO273" s="155"/>
      <c r="FP273" s="238"/>
      <c r="FQ273" s="239"/>
      <c r="FR273" s="239"/>
      <c r="FS273" s="240"/>
      <c r="FT273" s="155"/>
      <c r="FU273" s="238"/>
      <c r="FV273" s="239"/>
      <c r="FW273" s="239"/>
      <c r="FX273" s="240"/>
      <c r="FY273" s="155"/>
      <c r="FZ273" s="238"/>
      <c r="GA273" s="239"/>
      <c r="GB273" s="239"/>
      <c r="GC273" s="240"/>
      <c r="GD273" s="155"/>
      <c r="GE273" s="238"/>
      <c r="GF273" s="239"/>
      <c r="GG273" s="239"/>
      <c r="GH273" s="240"/>
      <c r="GI273" s="155"/>
      <c r="GJ273" s="1562"/>
      <c r="GK273" s="239"/>
      <c r="GL273" s="239"/>
      <c r="GM273" s="240"/>
      <c r="GN273" s="155"/>
      <c r="GO273" s="238"/>
      <c r="GP273" s="239"/>
      <c r="GQ273" s="239"/>
      <c r="GR273" s="240"/>
      <c r="GS273" s="155"/>
      <c r="GT273" s="238"/>
      <c r="GU273" s="239"/>
      <c r="GV273" s="239"/>
      <c r="GW273" s="240"/>
      <c r="GX273" s="155"/>
      <c r="GY273" s="238"/>
      <c r="GZ273" s="239"/>
      <c r="HA273" s="239"/>
      <c r="HB273" s="240"/>
      <c r="HC273" s="155"/>
      <c r="HD273" s="238"/>
      <c r="HE273" s="239"/>
      <c r="HF273" s="239"/>
      <c r="HG273" s="240"/>
      <c r="HH273" s="155"/>
      <c r="HI273" s="238"/>
      <c r="HJ273" s="239"/>
      <c r="HK273" s="239"/>
      <c r="HL273" s="240"/>
      <c r="HM273" s="155"/>
      <c r="HN273" s="238"/>
      <c r="HO273" s="239"/>
      <c r="HP273" s="239"/>
      <c r="HQ273" s="240"/>
      <c r="HR273" s="155"/>
      <c r="HS273" s="238"/>
      <c r="HT273" s="239"/>
      <c r="HU273" s="239"/>
      <c r="HV273" s="240"/>
      <c r="HW273" s="155"/>
      <c r="HX273" s="238"/>
      <c r="HY273" s="239"/>
      <c r="HZ273" s="239"/>
      <c r="IA273" s="240"/>
      <c r="IB273" s="155"/>
      <c r="IC273" s="238"/>
      <c r="ID273" s="239"/>
      <c r="IE273" s="239"/>
      <c r="IF273" s="240"/>
      <c r="IG273" s="155"/>
      <c r="IH273" s="238"/>
      <c r="II273" s="239"/>
      <c r="IJ273" s="239"/>
      <c r="IK273" s="240"/>
      <c r="IL273" s="155"/>
      <c r="IM273" s="238"/>
      <c r="IN273" s="239"/>
      <c r="IO273" s="239"/>
      <c r="IP273" s="240"/>
      <c r="IQ273" s="155"/>
    </row>
    <row r="274" spans="2:251" ht="15" customHeight="1">
      <c r="B274" s="155"/>
      <c r="C274" s="155"/>
      <c r="D274" s="236"/>
      <c r="E274" s="237"/>
      <c r="F274" s="312"/>
      <c r="G274" s="330"/>
      <c r="H274" s="239"/>
      <c r="I274" s="239"/>
      <c r="J274" s="240"/>
      <c r="K274" s="331"/>
      <c r="L274" s="330"/>
      <c r="M274" s="239"/>
      <c r="N274" s="239"/>
      <c r="O274" s="240"/>
      <c r="P274" s="331"/>
      <c r="Q274" s="330"/>
      <c r="R274" s="239"/>
      <c r="S274" s="239"/>
      <c r="T274" s="240"/>
      <c r="U274" s="331"/>
      <c r="V274" s="323"/>
      <c r="W274" s="239"/>
      <c r="X274" s="239"/>
      <c r="Y274" s="240"/>
      <c r="Z274" s="240"/>
      <c r="AA274" s="238"/>
      <c r="AB274" s="239"/>
      <c r="AC274" s="239"/>
      <c r="AD274" s="240"/>
      <c r="AE274" s="240"/>
      <c r="AF274" s="238"/>
      <c r="AG274" s="239"/>
      <c r="AH274" s="239"/>
      <c r="AI274" s="240"/>
      <c r="AJ274" s="155"/>
      <c r="AK274" s="238"/>
      <c r="AL274" s="239"/>
      <c r="AM274" s="239"/>
      <c r="AN274" s="240"/>
      <c r="AO274" s="155"/>
      <c r="AP274" s="238"/>
      <c r="AQ274" s="239"/>
      <c r="AR274" s="239"/>
      <c r="AS274" s="240"/>
      <c r="AT274" s="155"/>
      <c r="AU274" s="238"/>
      <c r="AV274" s="239"/>
      <c r="AW274" s="239"/>
      <c r="AX274" s="240"/>
      <c r="AY274" s="155"/>
      <c r="AZ274" s="238"/>
      <c r="BA274" s="239"/>
      <c r="BB274" s="239"/>
      <c r="BC274" s="240"/>
      <c r="BD274" s="155"/>
      <c r="BE274" s="238"/>
      <c r="BF274" s="239"/>
      <c r="BG274" s="239"/>
      <c r="BH274" s="240"/>
      <c r="BI274" s="155"/>
      <c r="BJ274" s="238"/>
      <c r="BK274" s="239"/>
      <c r="BL274" s="239"/>
      <c r="BM274" s="240"/>
      <c r="BN274" s="155"/>
      <c r="BO274" s="238"/>
      <c r="BP274" s="239"/>
      <c r="BQ274" s="239"/>
      <c r="BR274" s="240"/>
      <c r="BS274" s="155"/>
      <c r="BT274" s="238"/>
      <c r="BU274" s="239"/>
      <c r="BV274" s="239"/>
      <c r="BW274" s="240"/>
      <c r="BX274" s="155"/>
      <c r="BY274" s="238"/>
      <c r="BZ274" s="239"/>
      <c r="CA274" s="239"/>
      <c r="CB274" s="240"/>
      <c r="CC274" s="155"/>
      <c r="CD274" s="238"/>
      <c r="CE274" s="239"/>
      <c r="CF274" s="239"/>
      <c r="CG274" s="240"/>
      <c r="CH274" s="155"/>
      <c r="CI274" s="238"/>
      <c r="CJ274" s="239"/>
      <c r="CK274" s="239"/>
      <c r="CL274" s="240"/>
      <c r="CM274" s="155"/>
      <c r="CN274" s="238"/>
      <c r="CO274" s="239"/>
      <c r="CP274" s="239"/>
      <c r="CQ274" s="240"/>
      <c r="CR274" s="155"/>
      <c r="CS274" s="238"/>
      <c r="CT274" s="239"/>
      <c r="CU274" s="239"/>
      <c r="CV274" s="240"/>
      <c r="CW274" s="155"/>
      <c r="CX274" s="238"/>
      <c r="CY274" s="239"/>
      <c r="CZ274" s="239"/>
      <c r="DA274" s="240"/>
      <c r="DB274" s="155"/>
      <c r="DC274" s="238"/>
      <c r="DD274" s="239"/>
      <c r="DE274" s="239"/>
      <c r="DF274" s="240"/>
      <c r="DG274" s="155"/>
      <c r="DH274" s="238"/>
      <c r="DI274" s="239"/>
      <c r="DJ274" s="239"/>
      <c r="DK274" s="240"/>
      <c r="DL274" s="155"/>
      <c r="DM274" s="238"/>
      <c r="DN274" s="239"/>
      <c r="DO274" s="239"/>
      <c r="DP274" s="240"/>
      <c r="DQ274" s="155"/>
      <c r="DR274" s="238"/>
      <c r="DS274" s="239"/>
      <c r="DT274" s="239"/>
      <c r="DU274" s="240"/>
      <c r="DV274" s="155"/>
      <c r="DW274" s="238"/>
      <c r="DX274" s="239"/>
      <c r="DY274" s="239"/>
      <c r="DZ274" s="240"/>
      <c r="EA274" s="155"/>
      <c r="EB274" s="238"/>
      <c r="EC274" s="239"/>
      <c r="ED274" s="239"/>
      <c r="EE274" s="240"/>
      <c r="EF274" s="155"/>
      <c r="EG274" s="238"/>
      <c r="EH274" s="239"/>
      <c r="EI274" s="239"/>
      <c r="EJ274" s="240"/>
      <c r="EK274" s="155"/>
      <c r="EL274" s="238"/>
      <c r="EM274" s="239"/>
      <c r="EN274" s="239"/>
      <c r="EO274" s="240"/>
      <c r="EP274" s="155"/>
      <c r="EQ274" s="238"/>
      <c r="ER274" s="239"/>
      <c r="ES274" s="239"/>
      <c r="ET274" s="240"/>
      <c r="EU274" s="155"/>
      <c r="EV274" s="238"/>
      <c r="EW274" s="239"/>
      <c r="EX274" s="239"/>
      <c r="EY274" s="240"/>
      <c r="EZ274" s="155"/>
      <c r="FA274" s="238"/>
      <c r="FB274" s="239"/>
      <c r="FC274" s="239"/>
      <c r="FD274" s="240"/>
      <c r="FE274" s="155"/>
      <c r="FF274" s="238"/>
      <c r="FG274" s="239"/>
      <c r="FH274" s="239"/>
      <c r="FI274" s="240"/>
      <c r="FJ274" s="155"/>
      <c r="FK274" s="238"/>
      <c r="FL274" s="239"/>
      <c r="FM274" s="239"/>
      <c r="FN274" s="240"/>
      <c r="FO274" s="155"/>
      <c r="FP274" s="238"/>
      <c r="FQ274" s="239"/>
      <c r="FR274" s="239"/>
      <c r="FS274" s="240"/>
      <c r="FT274" s="155"/>
      <c r="FU274" s="238"/>
      <c r="FV274" s="239"/>
      <c r="FW274" s="239"/>
      <c r="FX274" s="240"/>
      <c r="FY274" s="155"/>
      <c r="FZ274" s="238"/>
      <c r="GA274" s="239"/>
      <c r="GB274" s="239"/>
      <c r="GC274" s="240"/>
      <c r="GD274" s="155"/>
      <c r="GE274" s="238"/>
      <c r="GF274" s="239"/>
      <c r="GG274" s="239"/>
      <c r="GH274" s="240"/>
      <c r="GI274" s="155"/>
      <c r="GJ274" s="1562"/>
      <c r="GK274" s="239"/>
      <c r="GL274" s="239"/>
      <c r="GM274" s="240"/>
      <c r="GN274" s="155"/>
      <c r="GO274" s="238"/>
      <c r="GP274" s="239"/>
      <c r="GQ274" s="239"/>
      <c r="GR274" s="240"/>
      <c r="GS274" s="155"/>
      <c r="GT274" s="238"/>
      <c r="GU274" s="239"/>
      <c r="GV274" s="239"/>
      <c r="GW274" s="240"/>
      <c r="GX274" s="155"/>
      <c r="GY274" s="238"/>
      <c r="GZ274" s="239"/>
      <c r="HA274" s="239"/>
      <c r="HB274" s="240"/>
      <c r="HC274" s="155"/>
      <c r="HD274" s="238"/>
      <c r="HE274" s="239"/>
      <c r="HF274" s="239"/>
      <c r="HG274" s="240"/>
      <c r="HH274" s="155"/>
      <c r="HI274" s="238"/>
      <c r="HJ274" s="239"/>
      <c r="HK274" s="239"/>
      <c r="HL274" s="240"/>
      <c r="HM274" s="155"/>
      <c r="HN274" s="238"/>
      <c r="HO274" s="239"/>
      <c r="HP274" s="239"/>
      <c r="HQ274" s="240"/>
      <c r="HR274" s="155"/>
      <c r="HS274" s="238"/>
      <c r="HT274" s="239"/>
      <c r="HU274" s="239"/>
      <c r="HV274" s="240"/>
      <c r="HW274" s="155"/>
      <c r="HX274" s="238"/>
      <c r="HY274" s="239"/>
      <c r="HZ274" s="239"/>
      <c r="IA274" s="240"/>
      <c r="IB274" s="155"/>
      <c r="IC274" s="238"/>
      <c r="ID274" s="239"/>
      <c r="IE274" s="239"/>
      <c r="IF274" s="240"/>
      <c r="IG274" s="155"/>
      <c r="IH274" s="238"/>
      <c r="II274" s="239"/>
      <c r="IJ274" s="239"/>
      <c r="IK274" s="240"/>
      <c r="IL274" s="155"/>
      <c r="IM274" s="238"/>
      <c r="IN274" s="239"/>
      <c r="IO274" s="239"/>
      <c r="IP274" s="240"/>
      <c r="IQ274" s="155"/>
    </row>
    <row r="275" spans="2:251" ht="15" customHeight="1">
      <c r="B275" s="155"/>
      <c r="C275" s="155"/>
      <c r="D275" s="236"/>
      <c r="E275" s="237"/>
      <c r="F275" s="312"/>
      <c r="G275" s="330"/>
      <c r="H275" s="239"/>
      <c r="I275" s="239"/>
      <c r="J275" s="240"/>
      <c r="K275" s="331"/>
      <c r="L275" s="330"/>
      <c r="M275" s="239"/>
      <c r="N275" s="239"/>
      <c r="O275" s="240"/>
      <c r="P275" s="331"/>
      <c r="Q275" s="330"/>
      <c r="R275" s="239"/>
      <c r="S275" s="239"/>
      <c r="T275" s="240"/>
      <c r="U275" s="331"/>
      <c r="V275" s="323"/>
      <c r="W275" s="239"/>
      <c r="X275" s="239"/>
      <c r="Y275" s="240"/>
      <c r="Z275" s="240"/>
      <c r="AA275" s="238"/>
      <c r="AB275" s="239"/>
      <c r="AC275" s="239"/>
      <c r="AD275" s="240"/>
      <c r="AE275" s="240"/>
      <c r="AF275" s="238"/>
      <c r="AG275" s="239"/>
      <c r="AH275" s="239"/>
      <c r="AI275" s="240"/>
      <c r="AJ275" s="155"/>
      <c r="AK275" s="238"/>
      <c r="AL275" s="239"/>
      <c r="AM275" s="239"/>
      <c r="AN275" s="240"/>
      <c r="AO275" s="155"/>
      <c r="AP275" s="238"/>
      <c r="AQ275" s="239"/>
      <c r="AR275" s="239"/>
      <c r="AS275" s="240"/>
      <c r="AT275" s="155"/>
      <c r="AU275" s="238"/>
      <c r="AV275" s="239"/>
      <c r="AW275" s="239"/>
      <c r="AX275" s="240"/>
      <c r="AY275" s="155"/>
      <c r="AZ275" s="238"/>
      <c r="BA275" s="239"/>
      <c r="BB275" s="239"/>
      <c r="BC275" s="240"/>
      <c r="BD275" s="155"/>
      <c r="BE275" s="238"/>
      <c r="BF275" s="239"/>
      <c r="BG275" s="239"/>
      <c r="BH275" s="240"/>
      <c r="BI275" s="155"/>
      <c r="BJ275" s="238"/>
      <c r="BK275" s="239"/>
      <c r="BL275" s="239"/>
      <c r="BM275" s="240"/>
      <c r="BN275" s="155"/>
      <c r="BO275" s="238"/>
      <c r="BP275" s="239"/>
      <c r="BQ275" s="239"/>
      <c r="BR275" s="240"/>
      <c r="BS275" s="155"/>
      <c r="BT275" s="238"/>
      <c r="BU275" s="239"/>
      <c r="BV275" s="239"/>
      <c r="BW275" s="240"/>
      <c r="BX275" s="155"/>
      <c r="BY275" s="238"/>
      <c r="BZ275" s="239"/>
      <c r="CA275" s="239"/>
      <c r="CB275" s="240"/>
      <c r="CC275" s="155"/>
      <c r="CD275" s="238"/>
      <c r="CE275" s="239"/>
      <c r="CF275" s="239"/>
      <c r="CG275" s="240"/>
      <c r="CH275" s="155"/>
      <c r="CI275" s="238"/>
      <c r="CJ275" s="239"/>
      <c r="CK275" s="239"/>
      <c r="CL275" s="240"/>
      <c r="CM275" s="155"/>
      <c r="CN275" s="238"/>
      <c r="CO275" s="239"/>
      <c r="CP275" s="239"/>
      <c r="CQ275" s="240"/>
      <c r="CR275" s="155"/>
      <c r="CS275" s="238"/>
      <c r="CT275" s="239"/>
      <c r="CU275" s="239"/>
      <c r="CV275" s="240"/>
      <c r="CW275" s="155"/>
      <c r="CX275" s="238"/>
      <c r="CY275" s="239"/>
      <c r="CZ275" s="239"/>
      <c r="DA275" s="240"/>
      <c r="DB275" s="155"/>
      <c r="DC275" s="238"/>
      <c r="DD275" s="239"/>
      <c r="DE275" s="239"/>
      <c r="DF275" s="240"/>
      <c r="DG275" s="155"/>
      <c r="DH275" s="238"/>
      <c r="DI275" s="239"/>
      <c r="DJ275" s="239"/>
      <c r="DK275" s="240"/>
      <c r="DL275" s="155"/>
      <c r="DM275" s="238"/>
      <c r="DN275" s="239"/>
      <c r="DO275" s="239"/>
      <c r="DP275" s="240"/>
      <c r="DQ275" s="155"/>
      <c r="DR275" s="238"/>
      <c r="DS275" s="239"/>
      <c r="DT275" s="239"/>
      <c r="DU275" s="240"/>
      <c r="DV275" s="155"/>
      <c r="DW275" s="238"/>
      <c r="DX275" s="239"/>
      <c r="DY275" s="239"/>
      <c r="DZ275" s="240"/>
      <c r="EA275" s="155"/>
      <c r="EB275" s="238"/>
      <c r="EC275" s="239"/>
      <c r="ED275" s="239"/>
      <c r="EE275" s="240"/>
      <c r="EF275" s="155"/>
      <c r="EG275" s="238"/>
      <c r="EH275" s="239"/>
      <c r="EI275" s="239"/>
      <c r="EJ275" s="240"/>
      <c r="EK275" s="155"/>
      <c r="EL275" s="238"/>
      <c r="EM275" s="239"/>
      <c r="EN275" s="239"/>
      <c r="EO275" s="240"/>
      <c r="EP275" s="155"/>
      <c r="EQ275" s="238"/>
      <c r="ER275" s="239"/>
      <c r="ES275" s="239"/>
      <c r="ET275" s="240"/>
      <c r="EU275" s="155"/>
      <c r="EV275" s="238"/>
      <c r="EW275" s="239"/>
      <c r="EX275" s="239"/>
      <c r="EY275" s="240"/>
      <c r="EZ275" s="155"/>
      <c r="FA275" s="238"/>
      <c r="FB275" s="239"/>
      <c r="FC275" s="239"/>
      <c r="FD275" s="240"/>
      <c r="FE275" s="155"/>
      <c r="FF275" s="238"/>
      <c r="FG275" s="239"/>
      <c r="FH275" s="239"/>
      <c r="FI275" s="240"/>
      <c r="FJ275" s="155"/>
      <c r="FK275" s="238"/>
      <c r="FL275" s="239"/>
      <c r="FM275" s="239"/>
      <c r="FN275" s="240"/>
      <c r="FO275" s="155"/>
      <c r="FP275" s="238"/>
      <c r="FQ275" s="239"/>
      <c r="FR275" s="239"/>
      <c r="FS275" s="240"/>
      <c r="FT275" s="155"/>
      <c r="FU275" s="238"/>
      <c r="FV275" s="239"/>
      <c r="FW275" s="239"/>
      <c r="FX275" s="240"/>
      <c r="FY275" s="155"/>
      <c r="FZ275" s="238"/>
      <c r="GA275" s="239"/>
      <c r="GB275" s="239"/>
      <c r="GC275" s="240"/>
      <c r="GD275" s="155"/>
      <c r="GE275" s="238"/>
      <c r="GF275" s="239"/>
      <c r="GG275" s="239"/>
      <c r="GH275" s="240"/>
      <c r="GI275" s="155"/>
      <c r="GJ275" s="1562"/>
      <c r="GK275" s="239"/>
      <c r="GL275" s="239"/>
      <c r="GM275" s="240"/>
      <c r="GN275" s="155"/>
      <c r="GO275" s="238"/>
      <c r="GP275" s="239"/>
      <c r="GQ275" s="239"/>
      <c r="GR275" s="240"/>
      <c r="GS275" s="155"/>
      <c r="GT275" s="238"/>
      <c r="GU275" s="239"/>
      <c r="GV275" s="239"/>
      <c r="GW275" s="240"/>
      <c r="GX275" s="155"/>
      <c r="GY275" s="238"/>
      <c r="GZ275" s="239"/>
      <c r="HA275" s="239"/>
      <c r="HB275" s="240"/>
      <c r="HC275" s="155"/>
      <c r="HD275" s="238"/>
      <c r="HE275" s="239"/>
      <c r="HF275" s="239"/>
      <c r="HG275" s="240"/>
      <c r="HH275" s="155"/>
      <c r="HI275" s="238"/>
      <c r="HJ275" s="239"/>
      <c r="HK275" s="239"/>
      <c r="HL275" s="240"/>
      <c r="HM275" s="155"/>
      <c r="HN275" s="238"/>
      <c r="HO275" s="239"/>
      <c r="HP275" s="239"/>
      <c r="HQ275" s="240"/>
      <c r="HR275" s="155"/>
      <c r="HS275" s="238"/>
      <c r="HT275" s="239"/>
      <c r="HU275" s="239"/>
      <c r="HV275" s="240"/>
      <c r="HW275" s="155"/>
      <c r="HX275" s="238"/>
      <c r="HY275" s="239"/>
      <c r="HZ275" s="239"/>
      <c r="IA275" s="240"/>
      <c r="IB275" s="155"/>
      <c r="IC275" s="238"/>
      <c r="ID275" s="239"/>
      <c r="IE275" s="239"/>
      <c r="IF275" s="240"/>
      <c r="IG275" s="155"/>
      <c r="IH275" s="238"/>
      <c r="II275" s="239"/>
      <c r="IJ275" s="239"/>
      <c r="IK275" s="240"/>
      <c r="IL275" s="155"/>
      <c r="IM275" s="238"/>
      <c r="IN275" s="239"/>
      <c r="IO275" s="239"/>
      <c r="IP275" s="240"/>
      <c r="IQ275" s="155"/>
    </row>
    <row r="276" spans="2:251" ht="15" customHeight="1">
      <c r="B276" s="155"/>
      <c r="C276" s="155"/>
      <c r="D276" s="236"/>
      <c r="E276" s="237"/>
      <c r="F276" s="312"/>
      <c r="G276" s="330"/>
      <c r="H276" s="239"/>
      <c r="I276" s="239"/>
      <c r="J276" s="240"/>
      <c r="K276" s="331"/>
      <c r="L276" s="330"/>
      <c r="M276" s="239"/>
      <c r="N276" s="239"/>
      <c r="O276" s="240"/>
      <c r="P276" s="331"/>
      <c r="Q276" s="330"/>
      <c r="R276" s="239"/>
      <c r="S276" s="239"/>
      <c r="T276" s="240"/>
      <c r="U276" s="331"/>
      <c r="V276" s="323"/>
      <c r="W276" s="239"/>
      <c r="X276" s="239"/>
      <c r="Y276" s="240"/>
      <c r="Z276" s="240"/>
      <c r="AA276" s="238"/>
      <c r="AB276" s="239"/>
      <c r="AC276" s="239"/>
      <c r="AD276" s="240"/>
      <c r="AE276" s="240"/>
      <c r="AF276" s="238"/>
      <c r="AG276" s="239"/>
      <c r="AH276" s="239"/>
      <c r="AI276" s="240"/>
      <c r="AJ276" s="155"/>
      <c r="AK276" s="238"/>
      <c r="AL276" s="239"/>
      <c r="AM276" s="239"/>
      <c r="AN276" s="240"/>
      <c r="AO276" s="155"/>
      <c r="AP276" s="238"/>
      <c r="AQ276" s="239"/>
      <c r="AR276" s="239"/>
      <c r="AS276" s="240"/>
      <c r="AT276" s="155"/>
      <c r="AU276" s="238"/>
      <c r="AV276" s="239"/>
      <c r="AW276" s="239"/>
      <c r="AX276" s="240"/>
      <c r="AY276" s="155"/>
      <c r="AZ276" s="238"/>
      <c r="BA276" s="239"/>
      <c r="BB276" s="239"/>
      <c r="BC276" s="240"/>
      <c r="BD276" s="155"/>
      <c r="BE276" s="238"/>
      <c r="BF276" s="239"/>
      <c r="BG276" s="239"/>
      <c r="BH276" s="240"/>
      <c r="BI276" s="155"/>
      <c r="BJ276" s="238"/>
      <c r="BK276" s="239"/>
      <c r="BL276" s="239"/>
      <c r="BM276" s="240"/>
      <c r="BN276" s="155"/>
      <c r="BO276" s="238"/>
      <c r="BP276" s="239"/>
      <c r="BQ276" s="239"/>
      <c r="BR276" s="240"/>
      <c r="BS276" s="155"/>
      <c r="BT276" s="238"/>
      <c r="BU276" s="239"/>
      <c r="BV276" s="239"/>
      <c r="BW276" s="240"/>
      <c r="BX276" s="155"/>
      <c r="BY276" s="238"/>
      <c r="BZ276" s="239"/>
      <c r="CA276" s="239"/>
      <c r="CB276" s="240"/>
      <c r="CC276" s="155"/>
      <c r="CD276" s="238"/>
      <c r="CE276" s="239"/>
      <c r="CF276" s="239"/>
      <c r="CG276" s="240"/>
      <c r="CH276" s="155"/>
      <c r="CI276" s="238"/>
      <c r="CJ276" s="239"/>
      <c r="CK276" s="239"/>
      <c r="CL276" s="240"/>
      <c r="CM276" s="155"/>
      <c r="CN276" s="238"/>
      <c r="CO276" s="239"/>
      <c r="CP276" s="239"/>
      <c r="CQ276" s="240"/>
      <c r="CR276" s="155"/>
      <c r="CS276" s="238"/>
      <c r="CT276" s="239"/>
      <c r="CU276" s="239"/>
      <c r="CV276" s="240"/>
      <c r="CW276" s="155"/>
      <c r="CX276" s="238"/>
      <c r="CY276" s="239"/>
      <c r="CZ276" s="239"/>
      <c r="DA276" s="240"/>
      <c r="DB276" s="155"/>
      <c r="DC276" s="238"/>
      <c r="DD276" s="239"/>
      <c r="DE276" s="239"/>
      <c r="DF276" s="240"/>
      <c r="DG276" s="155"/>
      <c r="DH276" s="238"/>
      <c r="DI276" s="239"/>
      <c r="DJ276" s="239"/>
      <c r="DK276" s="240"/>
      <c r="DL276" s="155"/>
      <c r="DM276" s="238"/>
      <c r="DN276" s="239"/>
      <c r="DO276" s="239"/>
      <c r="DP276" s="240"/>
      <c r="DQ276" s="155"/>
      <c r="DR276" s="238"/>
      <c r="DS276" s="239"/>
      <c r="DT276" s="239"/>
      <c r="DU276" s="240"/>
      <c r="DV276" s="155"/>
      <c r="DW276" s="238"/>
      <c r="DX276" s="239"/>
      <c r="DY276" s="239"/>
      <c r="DZ276" s="240"/>
      <c r="EA276" s="155"/>
      <c r="EB276" s="238"/>
      <c r="EC276" s="239"/>
      <c r="ED276" s="239"/>
      <c r="EE276" s="240"/>
      <c r="EF276" s="155"/>
      <c r="EG276" s="238"/>
      <c r="EH276" s="239"/>
      <c r="EI276" s="239"/>
      <c r="EJ276" s="240"/>
      <c r="EK276" s="155"/>
      <c r="EL276" s="238"/>
      <c r="EM276" s="239"/>
      <c r="EN276" s="239"/>
      <c r="EO276" s="240"/>
      <c r="EP276" s="155"/>
      <c r="EQ276" s="238"/>
      <c r="ER276" s="239"/>
      <c r="ES276" s="239"/>
      <c r="ET276" s="240"/>
      <c r="EU276" s="155"/>
      <c r="EV276" s="238"/>
      <c r="EW276" s="239"/>
      <c r="EX276" s="239"/>
      <c r="EY276" s="240"/>
      <c r="EZ276" s="155"/>
      <c r="FA276" s="238"/>
      <c r="FB276" s="239"/>
      <c r="FC276" s="239"/>
      <c r="FD276" s="240"/>
      <c r="FE276" s="155"/>
      <c r="FF276" s="238"/>
      <c r="FG276" s="239"/>
      <c r="FH276" s="239"/>
      <c r="FI276" s="240"/>
      <c r="FJ276" s="155"/>
      <c r="FK276" s="238"/>
      <c r="FL276" s="239"/>
      <c r="FM276" s="239"/>
      <c r="FN276" s="240"/>
      <c r="FO276" s="155"/>
      <c r="FP276" s="238"/>
      <c r="FQ276" s="239"/>
      <c r="FR276" s="239"/>
      <c r="FS276" s="240"/>
      <c r="FT276" s="155"/>
      <c r="FU276" s="238"/>
      <c r="FV276" s="239"/>
      <c r="FW276" s="239"/>
      <c r="FX276" s="240"/>
      <c r="FY276" s="155"/>
      <c r="FZ276" s="238"/>
      <c r="GA276" s="239"/>
      <c r="GB276" s="239"/>
      <c r="GC276" s="240"/>
      <c r="GD276" s="155"/>
      <c r="GE276" s="238"/>
      <c r="GF276" s="239"/>
      <c r="GG276" s="239"/>
      <c r="GH276" s="240"/>
      <c r="GI276" s="155"/>
      <c r="GJ276" s="1562"/>
      <c r="GK276" s="239"/>
      <c r="GL276" s="239"/>
      <c r="GM276" s="240"/>
      <c r="GN276" s="155"/>
      <c r="GO276" s="238"/>
      <c r="GP276" s="239"/>
      <c r="GQ276" s="239"/>
      <c r="GR276" s="240"/>
      <c r="GS276" s="155"/>
      <c r="GT276" s="238"/>
      <c r="GU276" s="239"/>
      <c r="GV276" s="239"/>
      <c r="GW276" s="240"/>
      <c r="GX276" s="155"/>
      <c r="GY276" s="238"/>
      <c r="GZ276" s="239"/>
      <c r="HA276" s="239"/>
      <c r="HB276" s="240"/>
      <c r="HC276" s="155"/>
      <c r="HD276" s="238"/>
      <c r="HE276" s="239"/>
      <c r="HF276" s="239"/>
      <c r="HG276" s="240"/>
      <c r="HH276" s="155"/>
      <c r="HI276" s="238"/>
      <c r="HJ276" s="239"/>
      <c r="HK276" s="239"/>
      <c r="HL276" s="240"/>
      <c r="HM276" s="155"/>
      <c r="HN276" s="238"/>
      <c r="HO276" s="239"/>
      <c r="HP276" s="239"/>
      <c r="HQ276" s="240"/>
      <c r="HR276" s="155"/>
      <c r="HS276" s="238"/>
      <c r="HT276" s="239"/>
      <c r="HU276" s="239"/>
      <c r="HV276" s="240"/>
      <c r="HW276" s="155"/>
      <c r="HX276" s="238"/>
      <c r="HY276" s="239"/>
      <c r="HZ276" s="239"/>
      <c r="IA276" s="240"/>
      <c r="IB276" s="155"/>
      <c r="IC276" s="238"/>
      <c r="ID276" s="239"/>
      <c r="IE276" s="239"/>
      <c r="IF276" s="240"/>
      <c r="IG276" s="155"/>
      <c r="IH276" s="238"/>
      <c r="II276" s="239"/>
      <c r="IJ276" s="239"/>
      <c r="IK276" s="240"/>
      <c r="IL276" s="155"/>
      <c r="IM276" s="238"/>
      <c r="IN276" s="239"/>
      <c r="IO276" s="239"/>
      <c r="IP276" s="240"/>
      <c r="IQ276" s="155"/>
    </row>
    <row r="277" spans="2:251" ht="15" customHeight="1">
      <c r="B277" s="155"/>
      <c r="C277" s="155"/>
      <c r="D277" s="236"/>
      <c r="E277" s="237"/>
      <c r="F277" s="312"/>
      <c r="G277" s="330"/>
      <c r="H277" s="239"/>
      <c r="I277" s="239"/>
      <c r="J277" s="240"/>
      <c r="K277" s="331"/>
      <c r="L277" s="330"/>
      <c r="M277" s="239"/>
      <c r="N277" s="239"/>
      <c r="O277" s="240"/>
      <c r="P277" s="331"/>
      <c r="Q277" s="330"/>
      <c r="R277" s="239"/>
      <c r="S277" s="239"/>
      <c r="T277" s="240"/>
      <c r="U277" s="331"/>
      <c r="V277" s="323"/>
      <c r="W277" s="239"/>
      <c r="X277" s="239"/>
      <c r="Y277" s="240"/>
      <c r="Z277" s="240"/>
      <c r="AA277" s="238"/>
      <c r="AB277" s="239"/>
      <c r="AC277" s="239"/>
      <c r="AD277" s="240"/>
      <c r="AE277" s="240"/>
      <c r="AF277" s="238"/>
      <c r="AG277" s="239"/>
      <c r="AH277" s="239"/>
      <c r="AI277" s="240"/>
      <c r="AJ277" s="155"/>
      <c r="AK277" s="238"/>
      <c r="AL277" s="239"/>
      <c r="AM277" s="239"/>
      <c r="AN277" s="240"/>
      <c r="AO277" s="155"/>
      <c r="AP277" s="238"/>
      <c r="AQ277" s="239"/>
      <c r="AR277" s="239"/>
      <c r="AS277" s="240"/>
      <c r="AT277" s="155"/>
      <c r="AU277" s="238"/>
      <c r="AV277" s="239"/>
      <c r="AW277" s="239"/>
      <c r="AX277" s="240"/>
      <c r="AY277" s="155"/>
      <c r="AZ277" s="238"/>
      <c r="BA277" s="239"/>
      <c r="BB277" s="239"/>
      <c r="BC277" s="240"/>
      <c r="BD277" s="155"/>
      <c r="BE277" s="238"/>
      <c r="BF277" s="239"/>
      <c r="BG277" s="239"/>
      <c r="BH277" s="240"/>
      <c r="BI277" s="155"/>
      <c r="BJ277" s="238"/>
      <c r="BK277" s="239"/>
      <c r="BL277" s="239"/>
      <c r="BM277" s="240"/>
      <c r="BN277" s="155"/>
      <c r="BO277" s="238"/>
      <c r="BP277" s="239"/>
      <c r="BQ277" s="239"/>
      <c r="BR277" s="240"/>
      <c r="BS277" s="155"/>
      <c r="BT277" s="238"/>
      <c r="BU277" s="239"/>
      <c r="BV277" s="239"/>
      <c r="BW277" s="240"/>
      <c r="BX277" s="155"/>
      <c r="BY277" s="238"/>
      <c r="BZ277" s="239"/>
      <c r="CA277" s="239"/>
      <c r="CB277" s="240"/>
      <c r="CC277" s="155"/>
      <c r="CD277" s="238"/>
      <c r="CE277" s="239"/>
      <c r="CF277" s="239"/>
      <c r="CG277" s="240"/>
      <c r="CH277" s="155"/>
      <c r="CI277" s="238"/>
      <c r="CJ277" s="239"/>
      <c r="CK277" s="239"/>
      <c r="CL277" s="240"/>
      <c r="CM277" s="155"/>
      <c r="CN277" s="238"/>
      <c r="CO277" s="239"/>
      <c r="CP277" s="239"/>
      <c r="CQ277" s="240"/>
      <c r="CR277" s="155"/>
      <c r="CS277" s="238"/>
      <c r="CT277" s="239"/>
      <c r="CU277" s="239"/>
      <c r="CV277" s="240"/>
      <c r="CW277" s="155"/>
      <c r="CX277" s="238"/>
      <c r="CY277" s="239"/>
      <c r="CZ277" s="239"/>
      <c r="DA277" s="240"/>
      <c r="DB277" s="155"/>
      <c r="DC277" s="238"/>
      <c r="DD277" s="239"/>
      <c r="DE277" s="239"/>
      <c r="DF277" s="240"/>
      <c r="DG277" s="155"/>
      <c r="DH277" s="238"/>
      <c r="DI277" s="239"/>
      <c r="DJ277" s="239"/>
      <c r="DK277" s="240"/>
      <c r="DL277" s="155"/>
      <c r="DM277" s="238"/>
      <c r="DN277" s="239"/>
      <c r="DO277" s="239"/>
      <c r="DP277" s="240"/>
      <c r="DQ277" s="155"/>
      <c r="DR277" s="238"/>
      <c r="DS277" s="239"/>
      <c r="DT277" s="239"/>
      <c r="DU277" s="240"/>
      <c r="DV277" s="155"/>
      <c r="DW277" s="238"/>
      <c r="DX277" s="239"/>
      <c r="DY277" s="239"/>
      <c r="DZ277" s="240"/>
      <c r="EA277" s="155"/>
      <c r="EB277" s="238"/>
      <c r="EC277" s="239"/>
      <c r="ED277" s="239"/>
      <c r="EE277" s="240"/>
      <c r="EF277" s="155"/>
      <c r="EG277" s="238"/>
      <c r="EH277" s="239"/>
      <c r="EI277" s="239"/>
      <c r="EJ277" s="240"/>
      <c r="EK277" s="155"/>
      <c r="EL277" s="238"/>
      <c r="EM277" s="239"/>
      <c r="EN277" s="239"/>
      <c r="EO277" s="240"/>
      <c r="EP277" s="155"/>
      <c r="EQ277" s="238"/>
      <c r="ER277" s="239"/>
      <c r="ES277" s="239"/>
      <c r="ET277" s="240"/>
      <c r="EU277" s="155"/>
      <c r="EV277" s="238"/>
      <c r="EW277" s="239"/>
      <c r="EX277" s="239"/>
      <c r="EY277" s="240"/>
      <c r="EZ277" s="155"/>
      <c r="FA277" s="238"/>
      <c r="FB277" s="239"/>
      <c r="FC277" s="239"/>
      <c r="FD277" s="240"/>
      <c r="FE277" s="155"/>
      <c r="FF277" s="238"/>
      <c r="FG277" s="239"/>
      <c r="FH277" s="239"/>
      <c r="FI277" s="240"/>
      <c r="FJ277" s="155"/>
      <c r="FK277" s="238"/>
      <c r="FL277" s="239"/>
      <c r="FM277" s="239"/>
      <c r="FN277" s="240"/>
      <c r="FO277" s="155"/>
      <c r="FP277" s="238"/>
      <c r="FQ277" s="239"/>
      <c r="FR277" s="239"/>
      <c r="FS277" s="240"/>
      <c r="FT277" s="155"/>
      <c r="FU277" s="238"/>
      <c r="FV277" s="239"/>
      <c r="FW277" s="239"/>
      <c r="FX277" s="240"/>
      <c r="FY277" s="155"/>
      <c r="FZ277" s="238"/>
      <c r="GA277" s="239"/>
      <c r="GB277" s="239"/>
      <c r="GC277" s="240"/>
      <c r="GD277" s="155"/>
      <c r="GE277" s="238"/>
      <c r="GF277" s="239"/>
      <c r="GG277" s="239"/>
      <c r="GH277" s="240"/>
      <c r="GI277" s="155"/>
      <c r="GJ277" s="1562"/>
      <c r="GK277" s="239"/>
      <c r="GL277" s="239"/>
      <c r="GM277" s="240"/>
      <c r="GN277" s="155"/>
      <c r="GO277" s="238"/>
      <c r="GP277" s="239"/>
      <c r="GQ277" s="239"/>
      <c r="GR277" s="240"/>
      <c r="GS277" s="155"/>
      <c r="GT277" s="238"/>
      <c r="GU277" s="239"/>
      <c r="GV277" s="239"/>
      <c r="GW277" s="240"/>
      <c r="GX277" s="155"/>
      <c r="GY277" s="238"/>
      <c r="GZ277" s="239"/>
      <c r="HA277" s="239"/>
      <c r="HB277" s="240"/>
      <c r="HC277" s="155"/>
      <c r="HD277" s="238"/>
      <c r="HE277" s="239"/>
      <c r="HF277" s="239"/>
      <c r="HG277" s="240"/>
      <c r="HH277" s="155"/>
      <c r="HI277" s="238"/>
      <c r="HJ277" s="239"/>
      <c r="HK277" s="239"/>
      <c r="HL277" s="240"/>
      <c r="HM277" s="155"/>
      <c r="HN277" s="238"/>
      <c r="HO277" s="239"/>
      <c r="HP277" s="239"/>
      <c r="HQ277" s="240"/>
      <c r="HR277" s="155"/>
      <c r="HS277" s="238"/>
      <c r="HT277" s="239"/>
      <c r="HU277" s="239"/>
      <c r="HV277" s="240"/>
      <c r="HW277" s="155"/>
      <c r="HX277" s="238"/>
      <c r="HY277" s="239"/>
      <c r="HZ277" s="239"/>
      <c r="IA277" s="240"/>
      <c r="IB277" s="155"/>
      <c r="IC277" s="238"/>
      <c r="ID277" s="239"/>
      <c r="IE277" s="239"/>
      <c r="IF277" s="240"/>
      <c r="IG277" s="155"/>
      <c r="IH277" s="238"/>
      <c r="II277" s="239"/>
      <c r="IJ277" s="239"/>
      <c r="IK277" s="240"/>
      <c r="IL277" s="155"/>
      <c r="IM277" s="238"/>
      <c r="IN277" s="239"/>
      <c r="IO277" s="239"/>
      <c r="IP277" s="240"/>
      <c r="IQ277" s="155"/>
    </row>
    <row r="278" spans="2:251" ht="15" customHeight="1">
      <c r="B278" s="155"/>
      <c r="C278" s="155"/>
      <c r="D278" s="236"/>
      <c r="E278" s="237"/>
      <c r="F278" s="312"/>
      <c r="G278" s="330"/>
      <c r="H278" s="239"/>
      <c r="I278" s="239"/>
      <c r="J278" s="240"/>
      <c r="K278" s="331"/>
      <c r="L278" s="330"/>
      <c r="M278" s="239"/>
      <c r="N278" s="239"/>
      <c r="O278" s="240"/>
      <c r="P278" s="331"/>
      <c r="Q278" s="330"/>
      <c r="R278" s="239"/>
      <c r="S278" s="239"/>
      <c r="T278" s="240"/>
      <c r="U278" s="331"/>
      <c r="V278" s="323"/>
      <c r="W278" s="239"/>
      <c r="X278" s="239"/>
      <c r="Y278" s="240"/>
      <c r="Z278" s="240"/>
      <c r="AA278" s="238"/>
      <c r="AB278" s="239"/>
      <c r="AC278" s="239"/>
      <c r="AD278" s="240"/>
      <c r="AE278" s="240"/>
      <c r="AF278" s="238"/>
      <c r="AG278" s="239"/>
      <c r="AH278" s="239"/>
      <c r="AI278" s="240"/>
      <c r="AJ278" s="155"/>
      <c r="AK278" s="238"/>
      <c r="AL278" s="239"/>
      <c r="AM278" s="239"/>
      <c r="AN278" s="240"/>
      <c r="AO278" s="155"/>
      <c r="AP278" s="238"/>
      <c r="AQ278" s="239"/>
      <c r="AR278" s="239"/>
      <c r="AS278" s="240"/>
      <c r="AT278" s="155"/>
      <c r="AU278" s="238"/>
      <c r="AV278" s="239"/>
      <c r="AW278" s="239"/>
      <c r="AX278" s="240"/>
      <c r="AY278" s="155"/>
      <c r="AZ278" s="238"/>
      <c r="BA278" s="239"/>
      <c r="BB278" s="239"/>
      <c r="BC278" s="240"/>
      <c r="BD278" s="155"/>
      <c r="BE278" s="238"/>
      <c r="BF278" s="239"/>
      <c r="BG278" s="239"/>
      <c r="BH278" s="240"/>
      <c r="BI278" s="155"/>
      <c r="BJ278" s="238"/>
      <c r="BK278" s="239"/>
      <c r="BL278" s="239"/>
      <c r="BM278" s="240"/>
      <c r="BN278" s="155"/>
      <c r="BO278" s="238"/>
      <c r="BP278" s="239"/>
      <c r="BQ278" s="239"/>
      <c r="BR278" s="240"/>
      <c r="BS278" s="155"/>
      <c r="BT278" s="238"/>
      <c r="BU278" s="239"/>
      <c r="BV278" s="239"/>
      <c r="BW278" s="240"/>
      <c r="BX278" s="155"/>
      <c r="BY278" s="238"/>
      <c r="BZ278" s="239"/>
      <c r="CA278" s="239"/>
      <c r="CB278" s="240"/>
      <c r="CC278" s="155"/>
      <c r="CD278" s="238"/>
      <c r="CE278" s="239"/>
      <c r="CF278" s="239"/>
      <c r="CG278" s="240"/>
      <c r="CH278" s="155"/>
      <c r="CI278" s="238"/>
      <c r="CJ278" s="239"/>
      <c r="CK278" s="239"/>
      <c r="CL278" s="240"/>
      <c r="CM278" s="155"/>
      <c r="CN278" s="238"/>
      <c r="CO278" s="239"/>
      <c r="CP278" s="239"/>
      <c r="CQ278" s="240"/>
      <c r="CR278" s="155"/>
      <c r="CS278" s="238"/>
      <c r="CT278" s="239"/>
      <c r="CU278" s="239"/>
      <c r="CV278" s="240"/>
      <c r="CW278" s="155"/>
      <c r="CX278" s="238"/>
      <c r="CY278" s="239"/>
      <c r="CZ278" s="239"/>
      <c r="DA278" s="240"/>
      <c r="DB278" s="155"/>
      <c r="DC278" s="238"/>
      <c r="DD278" s="239"/>
      <c r="DE278" s="239"/>
      <c r="DF278" s="240"/>
      <c r="DG278" s="155"/>
      <c r="DH278" s="238"/>
      <c r="DI278" s="239"/>
      <c r="DJ278" s="239"/>
      <c r="DK278" s="240"/>
      <c r="DL278" s="155"/>
      <c r="DM278" s="238"/>
      <c r="DN278" s="239"/>
      <c r="DO278" s="239"/>
      <c r="DP278" s="240"/>
      <c r="DQ278" s="155"/>
      <c r="DR278" s="238"/>
      <c r="DS278" s="239"/>
      <c r="DT278" s="239"/>
      <c r="DU278" s="240"/>
      <c r="DV278" s="155"/>
      <c r="DW278" s="238"/>
      <c r="DX278" s="239"/>
      <c r="DY278" s="239"/>
      <c r="DZ278" s="240"/>
      <c r="EA278" s="155"/>
      <c r="EB278" s="238"/>
      <c r="EC278" s="239"/>
      <c r="ED278" s="239"/>
      <c r="EE278" s="240"/>
      <c r="EF278" s="155"/>
      <c r="EG278" s="238"/>
      <c r="EH278" s="239"/>
      <c r="EI278" s="239"/>
      <c r="EJ278" s="240"/>
      <c r="EK278" s="155"/>
      <c r="EL278" s="238"/>
      <c r="EM278" s="239"/>
      <c r="EN278" s="239"/>
      <c r="EO278" s="240"/>
      <c r="EP278" s="155"/>
      <c r="EQ278" s="238"/>
      <c r="ER278" s="239"/>
      <c r="ES278" s="239"/>
      <c r="ET278" s="240"/>
      <c r="EU278" s="155"/>
      <c r="EV278" s="238"/>
      <c r="EW278" s="239"/>
      <c r="EX278" s="239"/>
      <c r="EY278" s="240"/>
      <c r="EZ278" s="155"/>
      <c r="FA278" s="238"/>
      <c r="FB278" s="239"/>
      <c r="FC278" s="239"/>
      <c r="FD278" s="240"/>
      <c r="FE278" s="155"/>
      <c r="FF278" s="238"/>
      <c r="FG278" s="239"/>
      <c r="FH278" s="239"/>
      <c r="FI278" s="240"/>
      <c r="FJ278" s="155"/>
      <c r="FK278" s="238"/>
      <c r="FL278" s="239"/>
      <c r="FM278" s="239"/>
      <c r="FN278" s="240"/>
      <c r="FO278" s="155"/>
      <c r="FP278" s="238"/>
      <c r="FQ278" s="239"/>
      <c r="FR278" s="239"/>
      <c r="FS278" s="240"/>
      <c r="FT278" s="155"/>
      <c r="FU278" s="238"/>
      <c r="FV278" s="239"/>
      <c r="FW278" s="239"/>
      <c r="FX278" s="240"/>
      <c r="FY278" s="155"/>
      <c r="FZ278" s="238"/>
      <c r="GA278" s="239"/>
      <c r="GB278" s="239"/>
      <c r="GC278" s="240"/>
      <c r="GD278" s="155"/>
      <c r="GE278" s="238"/>
      <c r="GF278" s="239"/>
      <c r="GG278" s="239"/>
      <c r="GH278" s="240"/>
      <c r="GI278" s="155"/>
      <c r="GJ278" s="1562"/>
      <c r="GK278" s="239"/>
      <c r="GL278" s="239"/>
      <c r="GM278" s="240"/>
      <c r="GN278" s="155"/>
      <c r="GO278" s="238"/>
      <c r="GP278" s="239"/>
      <c r="GQ278" s="239"/>
      <c r="GR278" s="240"/>
      <c r="GS278" s="155"/>
      <c r="GT278" s="238"/>
      <c r="GU278" s="239"/>
      <c r="GV278" s="239"/>
      <c r="GW278" s="240"/>
      <c r="GX278" s="155"/>
      <c r="GY278" s="238"/>
      <c r="GZ278" s="239"/>
      <c r="HA278" s="239"/>
      <c r="HB278" s="240"/>
      <c r="HC278" s="155"/>
      <c r="HD278" s="238"/>
      <c r="HE278" s="239"/>
      <c r="HF278" s="239"/>
      <c r="HG278" s="240"/>
      <c r="HH278" s="155"/>
      <c r="HI278" s="238"/>
      <c r="HJ278" s="239"/>
      <c r="HK278" s="239"/>
      <c r="HL278" s="240"/>
      <c r="HM278" s="155"/>
      <c r="HN278" s="238"/>
      <c r="HO278" s="239"/>
      <c r="HP278" s="239"/>
      <c r="HQ278" s="240"/>
      <c r="HR278" s="155"/>
      <c r="HS278" s="238"/>
      <c r="HT278" s="239"/>
      <c r="HU278" s="239"/>
      <c r="HV278" s="240"/>
      <c r="HW278" s="155"/>
      <c r="HX278" s="238"/>
      <c r="HY278" s="239"/>
      <c r="HZ278" s="239"/>
      <c r="IA278" s="240"/>
      <c r="IB278" s="155"/>
      <c r="IC278" s="238"/>
      <c r="ID278" s="239"/>
      <c r="IE278" s="239"/>
      <c r="IF278" s="240"/>
      <c r="IG278" s="155"/>
      <c r="IH278" s="238"/>
      <c r="II278" s="239"/>
      <c r="IJ278" s="239"/>
      <c r="IK278" s="240"/>
      <c r="IL278" s="155"/>
      <c r="IM278" s="238"/>
      <c r="IN278" s="239"/>
      <c r="IO278" s="239"/>
      <c r="IP278" s="240"/>
      <c r="IQ278" s="155"/>
    </row>
    <row r="279" spans="2:251" ht="15" customHeight="1">
      <c r="B279" s="155"/>
      <c r="C279" s="155"/>
      <c r="D279" s="236"/>
      <c r="E279" s="237"/>
      <c r="F279" s="312"/>
      <c r="G279" s="330"/>
      <c r="H279" s="239"/>
      <c r="I279" s="239"/>
      <c r="J279" s="240"/>
      <c r="K279" s="331"/>
      <c r="L279" s="330"/>
      <c r="M279" s="239"/>
      <c r="N279" s="239"/>
      <c r="O279" s="240"/>
      <c r="P279" s="331"/>
      <c r="Q279" s="330"/>
      <c r="R279" s="239"/>
      <c r="S279" s="239"/>
      <c r="T279" s="240"/>
      <c r="U279" s="331"/>
      <c r="V279" s="323"/>
      <c r="W279" s="239"/>
      <c r="X279" s="239"/>
      <c r="Y279" s="240"/>
      <c r="Z279" s="240"/>
      <c r="AA279" s="238"/>
      <c r="AB279" s="239"/>
      <c r="AC279" s="239"/>
      <c r="AD279" s="240"/>
      <c r="AE279" s="240"/>
      <c r="AF279" s="238"/>
      <c r="AG279" s="239"/>
      <c r="AH279" s="239"/>
      <c r="AI279" s="240"/>
      <c r="AJ279" s="155"/>
      <c r="AK279" s="238"/>
      <c r="AL279" s="239"/>
      <c r="AM279" s="239"/>
      <c r="AN279" s="240"/>
      <c r="AO279" s="155"/>
      <c r="AP279" s="238"/>
      <c r="AQ279" s="239"/>
      <c r="AR279" s="239"/>
      <c r="AS279" s="240"/>
      <c r="AT279" s="155"/>
      <c r="AU279" s="238"/>
      <c r="AV279" s="239"/>
      <c r="AW279" s="239"/>
      <c r="AX279" s="240"/>
      <c r="AY279" s="155"/>
      <c r="AZ279" s="238"/>
      <c r="BA279" s="239"/>
      <c r="BB279" s="239"/>
      <c r="BC279" s="240"/>
      <c r="BD279" s="155"/>
      <c r="BE279" s="238"/>
      <c r="BF279" s="239"/>
      <c r="BG279" s="239"/>
      <c r="BH279" s="240"/>
      <c r="BI279" s="155"/>
      <c r="BJ279" s="238"/>
      <c r="BK279" s="239"/>
      <c r="BL279" s="239"/>
      <c r="BM279" s="240"/>
      <c r="BN279" s="155"/>
      <c r="BO279" s="238"/>
      <c r="BP279" s="239"/>
      <c r="BQ279" s="239"/>
      <c r="BR279" s="240"/>
      <c r="BS279" s="155"/>
      <c r="BT279" s="238"/>
      <c r="BU279" s="239"/>
      <c r="BV279" s="239"/>
      <c r="BW279" s="240"/>
      <c r="BX279" s="155"/>
      <c r="BY279" s="238"/>
      <c r="BZ279" s="239"/>
      <c r="CA279" s="239"/>
      <c r="CB279" s="240"/>
      <c r="CC279" s="155"/>
      <c r="CD279" s="238"/>
      <c r="CE279" s="239"/>
      <c r="CF279" s="239"/>
      <c r="CG279" s="240"/>
      <c r="CH279" s="155"/>
      <c r="CI279" s="238"/>
      <c r="CJ279" s="239"/>
      <c r="CK279" s="239"/>
      <c r="CL279" s="240"/>
      <c r="CM279" s="155"/>
      <c r="CN279" s="238"/>
      <c r="CO279" s="239"/>
      <c r="CP279" s="239"/>
      <c r="CQ279" s="240"/>
      <c r="CR279" s="155"/>
      <c r="CS279" s="238"/>
      <c r="CT279" s="239"/>
      <c r="CU279" s="239"/>
      <c r="CV279" s="240"/>
      <c r="CW279" s="155"/>
      <c r="CX279" s="238"/>
      <c r="CY279" s="239"/>
      <c r="CZ279" s="239"/>
      <c r="DA279" s="240"/>
      <c r="DB279" s="155"/>
      <c r="DC279" s="238"/>
      <c r="DD279" s="239"/>
      <c r="DE279" s="239"/>
      <c r="DF279" s="240"/>
      <c r="DG279" s="155"/>
      <c r="DH279" s="238"/>
      <c r="DI279" s="239"/>
      <c r="DJ279" s="239"/>
      <c r="DK279" s="240"/>
      <c r="DL279" s="155"/>
      <c r="DM279" s="238"/>
      <c r="DN279" s="239"/>
      <c r="DO279" s="239"/>
      <c r="DP279" s="240"/>
      <c r="DQ279" s="155"/>
      <c r="DR279" s="238"/>
      <c r="DS279" s="239"/>
      <c r="DT279" s="239"/>
      <c r="DU279" s="240"/>
      <c r="DV279" s="155"/>
      <c r="DW279" s="238"/>
      <c r="DX279" s="239"/>
      <c r="DY279" s="239"/>
      <c r="DZ279" s="240"/>
      <c r="EA279" s="155"/>
      <c r="EB279" s="238"/>
      <c r="EC279" s="239"/>
      <c r="ED279" s="239"/>
      <c r="EE279" s="240"/>
      <c r="EF279" s="155"/>
      <c r="EG279" s="238"/>
      <c r="EH279" s="239"/>
      <c r="EI279" s="239"/>
      <c r="EJ279" s="240"/>
      <c r="EK279" s="155"/>
      <c r="EL279" s="238"/>
      <c r="EM279" s="239"/>
      <c r="EN279" s="239"/>
      <c r="EO279" s="240"/>
      <c r="EP279" s="155"/>
      <c r="EQ279" s="238"/>
      <c r="ER279" s="239"/>
      <c r="ES279" s="239"/>
      <c r="ET279" s="240"/>
      <c r="EU279" s="155"/>
      <c r="EV279" s="238"/>
      <c r="EW279" s="239"/>
      <c r="EX279" s="239"/>
      <c r="EY279" s="240"/>
      <c r="EZ279" s="155"/>
      <c r="FA279" s="238"/>
      <c r="FB279" s="239"/>
      <c r="FC279" s="239"/>
      <c r="FD279" s="240"/>
      <c r="FE279" s="155"/>
      <c r="FF279" s="238"/>
      <c r="FG279" s="239"/>
      <c r="FH279" s="239"/>
      <c r="FI279" s="240"/>
      <c r="FJ279" s="155"/>
      <c r="FK279" s="238"/>
      <c r="FL279" s="239"/>
      <c r="FM279" s="239"/>
      <c r="FN279" s="240"/>
      <c r="FO279" s="155"/>
      <c r="FP279" s="238"/>
      <c r="FQ279" s="239"/>
      <c r="FR279" s="239"/>
      <c r="FS279" s="240"/>
      <c r="FT279" s="155"/>
      <c r="FU279" s="238"/>
      <c r="FV279" s="239"/>
      <c r="FW279" s="239"/>
      <c r="FX279" s="240"/>
      <c r="FY279" s="155"/>
      <c r="FZ279" s="238"/>
      <c r="GA279" s="239"/>
      <c r="GB279" s="239"/>
      <c r="GC279" s="240"/>
      <c r="GD279" s="155"/>
      <c r="GE279" s="238"/>
      <c r="GF279" s="239"/>
      <c r="GG279" s="239"/>
      <c r="GH279" s="240"/>
      <c r="GI279" s="155"/>
      <c r="GJ279" s="1562"/>
      <c r="GK279" s="239"/>
      <c r="GL279" s="239"/>
      <c r="GM279" s="240"/>
      <c r="GN279" s="155"/>
      <c r="GO279" s="238"/>
      <c r="GP279" s="239"/>
      <c r="GQ279" s="239"/>
      <c r="GR279" s="240"/>
      <c r="GS279" s="155"/>
      <c r="GT279" s="238"/>
      <c r="GU279" s="239"/>
      <c r="GV279" s="239"/>
      <c r="GW279" s="240"/>
      <c r="GX279" s="155"/>
      <c r="GY279" s="238"/>
      <c r="GZ279" s="239"/>
      <c r="HA279" s="239"/>
      <c r="HB279" s="240"/>
      <c r="HC279" s="155"/>
      <c r="HD279" s="238"/>
      <c r="HE279" s="239"/>
      <c r="HF279" s="239"/>
      <c r="HG279" s="240"/>
      <c r="HH279" s="155"/>
      <c r="HI279" s="238"/>
      <c r="HJ279" s="239"/>
      <c r="HK279" s="239"/>
      <c r="HL279" s="240"/>
      <c r="HM279" s="155"/>
      <c r="HN279" s="238"/>
      <c r="HO279" s="239"/>
      <c r="HP279" s="239"/>
      <c r="HQ279" s="240"/>
      <c r="HR279" s="155"/>
      <c r="HS279" s="238"/>
      <c r="HT279" s="239"/>
      <c r="HU279" s="239"/>
      <c r="HV279" s="240"/>
      <c r="HW279" s="155"/>
      <c r="HX279" s="238"/>
      <c r="HY279" s="239"/>
      <c r="HZ279" s="239"/>
      <c r="IA279" s="240"/>
      <c r="IB279" s="155"/>
      <c r="IC279" s="238"/>
      <c r="ID279" s="239"/>
      <c r="IE279" s="239"/>
      <c r="IF279" s="240"/>
      <c r="IG279" s="155"/>
      <c r="IH279" s="238"/>
      <c r="II279" s="239"/>
      <c r="IJ279" s="239"/>
      <c r="IK279" s="240"/>
      <c r="IL279" s="155"/>
      <c r="IM279" s="238"/>
      <c r="IN279" s="239"/>
      <c r="IO279" s="239"/>
      <c r="IP279" s="240"/>
      <c r="IQ279" s="155"/>
    </row>
    <row r="280" spans="2:251" ht="15" customHeight="1">
      <c r="B280" s="155"/>
      <c r="C280" s="155"/>
      <c r="D280" s="236"/>
      <c r="E280" s="237"/>
      <c r="F280" s="312"/>
      <c r="G280" s="330"/>
      <c r="H280" s="239"/>
      <c r="I280" s="239"/>
      <c r="J280" s="240"/>
      <c r="K280" s="331"/>
      <c r="L280" s="330"/>
      <c r="M280" s="239"/>
      <c r="N280" s="239"/>
      <c r="O280" s="240"/>
      <c r="P280" s="331"/>
      <c r="Q280" s="330"/>
      <c r="R280" s="239"/>
      <c r="S280" s="239"/>
      <c r="T280" s="240"/>
      <c r="U280" s="331"/>
      <c r="V280" s="323"/>
      <c r="W280" s="239"/>
      <c r="X280" s="239"/>
      <c r="Y280" s="240"/>
      <c r="Z280" s="240"/>
      <c r="AA280" s="238"/>
      <c r="AB280" s="239"/>
      <c r="AC280" s="239"/>
      <c r="AD280" s="240"/>
      <c r="AE280" s="240"/>
      <c r="AF280" s="238"/>
      <c r="AG280" s="239"/>
      <c r="AH280" s="239"/>
      <c r="AI280" s="240"/>
      <c r="AJ280" s="155"/>
      <c r="AK280" s="238"/>
      <c r="AL280" s="239"/>
      <c r="AM280" s="239"/>
      <c r="AN280" s="240"/>
      <c r="AO280" s="155"/>
      <c r="AP280" s="238"/>
      <c r="AQ280" s="239"/>
      <c r="AR280" s="239"/>
      <c r="AS280" s="240"/>
      <c r="AT280" s="155"/>
      <c r="AU280" s="238"/>
      <c r="AV280" s="239"/>
      <c r="AW280" s="239"/>
      <c r="AX280" s="240"/>
      <c r="AY280" s="155"/>
      <c r="AZ280" s="238"/>
      <c r="BA280" s="239"/>
      <c r="BB280" s="239"/>
      <c r="BC280" s="240"/>
      <c r="BD280" s="155"/>
      <c r="BE280" s="238"/>
      <c r="BF280" s="239"/>
      <c r="BG280" s="239"/>
      <c r="BH280" s="240"/>
      <c r="BI280" s="155"/>
      <c r="BJ280" s="238"/>
      <c r="BK280" s="239"/>
      <c r="BL280" s="239"/>
      <c r="BM280" s="240"/>
      <c r="BN280" s="155"/>
      <c r="BO280" s="238"/>
      <c r="BP280" s="239"/>
      <c r="BQ280" s="239"/>
      <c r="BR280" s="240"/>
      <c r="BS280" s="155"/>
      <c r="BT280" s="238"/>
      <c r="BU280" s="239"/>
      <c r="BV280" s="239"/>
      <c r="BW280" s="240"/>
      <c r="BX280" s="155"/>
      <c r="BY280" s="238"/>
      <c r="BZ280" s="239"/>
      <c r="CA280" s="239"/>
      <c r="CB280" s="240"/>
      <c r="CC280" s="155"/>
      <c r="CD280" s="238"/>
      <c r="CE280" s="239"/>
      <c r="CF280" s="239"/>
      <c r="CG280" s="240"/>
      <c r="CH280" s="155"/>
      <c r="CI280" s="238"/>
      <c r="CJ280" s="239"/>
      <c r="CK280" s="239"/>
      <c r="CL280" s="240"/>
      <c r="CM280" s="155"/>
      <c r="CN280" s="238"/>
      <c r="CO280" s="239"/>
      <c r="CP280" s="239"/>
      <c r="CQ280" s="240"/>
      <c r="CR280" s="155"/>
      <c r="CS280" s="238"/>
      <c r="CT280" s="239"/>
      <c r="CU280" s="239"/>
      <c r="CV280" s="240"/>
      <c r="CW280" s="155"/>
      <c r="CX280" s="238"/>
      <c r="CY280" s="239"/>
      <c r="CZ280" s="239"/>
      <c r="DA280" s="240"/>
      <c r="DB280" s="155"/>
      <c r="DC280" s="238"/>
      <c r="DD280" s="239"/>
      <c r="DE280" s="239"/>
      <c r="DF280" s="240"/>
      <c r="DG280" s="155"/>
      <c r="DH280" s="238"/>
      <c r="DI280" s="239"/>
      <c r="DJ280" s="239"/>
      <c r="DK280" s="240"/>
      <c r="DL280" s="155"/>
      <c r="DM280" s="238"/>
      <c r="DN280" s="239"/>
      <c r="DO280" s="239"/>
      <c r="DP280" s="240"/>
      <c r="DQ280" s="155"/>
      <c r="DR280" s="238"/>
      <c r="DS280" s="239"/>
      <c r="DT280" s="239"/>
      <c r="DU280" s="240"/>
      <c r="DV280" s="155"/>
      <c r="DW280" s="238"/>
      <c r="DX280" s="239"/>
      <c r="DY280" s="239"/>
      <c r="DZ280" s="240"/>
      <c r="EA280" s="155"/>
      <c r="EB280" s="238"/>
      <c r="EC280" s="239"/>
      <c r="ED280" s="239"/>
      <c r="EE280" s="240"/>
      <c r="EF280" s="155"/>
      <c r="EG280" s="238"/>
      <c r="EH280" s="239"/>
      <c r="EI280" s="239"/>
      <c r="EJ280" s="240"/>
      <c r="EK280" s="155"/>
      <c r="EL280" s="238"/>
      <c r="EM280" s="239"/>
      <c r="EN280" s="239"/>
      <c r="EO280" s="240"/>
      <c r="EP280" s="155"/>
      <c r="EQ280" s="238"/>
      <c r="ER280" s="239"/>
      <c r="ES280" s="239"/>
      <c r="ET280" s="240"/>
      <c r="EU280" s="155"/>
      <c r="EV280" s="238"/>
      <c r="EW280" s="239"/>
      <c r="EX280" s="239"/>
      <c r="EY280" s="240"/>
      <c r="EZ280" s="155"/>
      <c r="FA280" s="238"/>
      <c r="FB280" s="239"/>
      <c r="FC280" s="239"/>
      <c r="FD280" s="240"/>
      <c r="FE280" s="155"/>
      <c r="FF280" s="238"/>
      <c r="FG280" s="239"/>
      <c r="FH280" s="239"/>
      <c r="FI280" s="240"/>
      <c r="FJ280" s="155"/>
      <c r="FK280" s="238"/>
      <c r="FL280" s="239"/>
      <c r="FM280" s="239"/>
      <c r="FN280" s="240"/>
      <c r="FO280" s="155"/>
      <c r="FP280" s="238"/>
      <c r="FQ280" s="239"/>
      <c r="FR280" s="239"/>
      <c r="FS280" s="240"/>
      <c r="FT280" s="155"/>
      <c r="FU280" s="238"/>
      <c r="FV280" s="239"/>
      <c r="FW280" s="239"/>
      <c r="FX280" s="240"/>
      <c r="FY280" s="155"/>
      <c r="FZ280" s="238"/>
      <c r="GA280" s="239"/>
      <c r="GB280" s="239"/>
      <c r="GC280" s="240"/>
      <c r="GD280" s="155"/>
      <c r="GE280" s="238"/>
      <c r="GF280" s="239"/>
      <c r="GG280" s="239"/>
      <c r="GH280" s="240"/>
      <c r="GI280" s="155"/>
      <c r="GJ280" s="1562"/>
      <c r="GK280" s="239"/>
      <c r="GL280" s="239"/>
      <c r="GM280" s="240"/>
      <c r="GN280" s="155"/>
      <c r="GO280" s="238"/>
      <c r="GP280" s="239"/>
      <c r="GQ280" s="239"/>
      <c r="GR280" s="240"/>
      <c r="GS280" s="155"/>
      <c r="GT280" s="238"/>
      <c r="GU280" s="239"/>
      <c r="GV280" s="239"/>
      <c r="GW280" s="240"/>
      <c r="GX280" s="155"/>
      <c r="GY280" s="238"/>
      <c r="GZ280" s="239"/>
      <c r="HA280" s="239"/>
      <c r="HB280" s="240"/>
      <c r="HC280" s="155"/>
      <c r="HD280" s="238"/>
      <c r="HE280" s="239"/>
      <c r="HF280" s="239"/>
      <c r="HG280" s="240"/>
      <c r="HH280" s="155"/>
      <c r="HI280" s="238"/>
      <c r="HJ280" s="239"/>
      <c r="HK280" s="239"/>
      <c r="HL280" s="240"/>
      <c r="HM280" s="155"/>
      <c r="HN280" s="238"/>
      <c r="HO280" s="239"/>
      <c r="HP280" s="239"/>
      <c r="HQ280" s="240"/>
      <c r="HR280" s="155"/>
      <c r="HS280" s="238"/>
      <c r="HT280" s="239"/>
      <c r="HU280" s="239"/>
      <c r="HV280" s="240"/>
      <c r="HW280" s="155"/>
      <c r="HX280" s="238"/>
      <c r="HY280" s="239"/>
      <c r="HZ280" s="239"/>
      <c r="IA280" s="240"/>
      <c r="IB280" s="155"/>
      <c r="IC280" s="238"/>
      <c r="ID280" s="239"/>
      <c r="IE280" s="239"/>
      <c r="IF280" s="240"/>
      <c r="IG280" s="155"/>
      <c r="IH280" s="238"/>
      <c r="II280" s="239"/>
      <c r="IJ280" s="239"/>
      <c r="IK280" s="240"/>
      <c r="IL280" s="155"/>
      <c r="IM280" s="238"/>
      <c r="IN280" s="239"/>
      <c r="IO280" s="239"/>
      <c r="IP280" s="240"/>
      <c r="IQ280" s="155"/>
    </row>
    <row r="281" spans="2:251" ht="15" customHeight="1">
      <c r="B281" s="155"/>
      <c r="C281" s="155"/>
      <c r="D281" s="236"/>
      <c r="E281" s="237"/>
      <c r="F281" s="312"/>
      <c r="G281" s="330"/>
      <c r="H281" s="239"/>
      <c r="I281" s="239"/>
      <c r="J281" s="240"/>
      <c r="K281" s="331"/>
      <c r="L281" s="330"/>
      <c r="M281" s="239"/>
      <c r="N281" s="239"/>
      <c r="O281" s="240"/>
      <c r="P281" s="331"/>
      <c r="Q281" s="330"/>
      <c r="R281" s="239"/>
      <c r="S281" s="239"/>
      <c r="T281" s="240"/>
      <c r="U281" s="331"/>
      <c r="V281" s="323"/>
      <c r="W281" s="239"/>
      <c r="X281" s="239"/>
      <c r="Y281" s="240"/>
      <c r="Z281" s="240"/>
      <c r="AA281" s="238"/>
      <c r="AB281" s="239"/>
      <c r="AC281" s="239"/>
      <c r="AD281" s="240"/>
      <c r="AE281" s="240"/>
      <c r="AF281" s="238"/>
      <c r="AG281" s="239"/>
      <c r="AH281" s="239"/>
      <c r="AI281" s="240"/>
      <c r="AJ281" s="155"/>
      <c r="AK281" s="238"/>
      <c r="AL281" s="239"/>
      <c r="AM281" s="239"/>
      <c r="AN281" s="240"/>
      <c r="AO281" s="155"/>
      <c r="AP281" s="238"/>
      <c r="AQ281" s="239"/>
      <c r="AR281" s="239"/>
      <c r="AS281" s="240"/>
      <c r="AT281" s="155"/>
      <c r="AU281" s="238"/>
      <c r="AV281" s="239"/>
      <c r="AW281" s="239"/>
      <c r="AX281" s="240"/>
      <c r="AY281" s="155"/>
      <c r="AZ281" s="238"/>
      <c r="BA281" s="239"/>
      <c r="BB281" s="239"/>
      <c r="BC281" s="240"/>
      <c r="BD281" s="155"/>
      <c r="BE281" s="238"/>
      <c r="BF281" s="239"/>
      <c r="BG281" s="239"/>
      <c r="BH281" s="240"/>
      <c r="BI281" s="155"/>
      <c r="BJ281" s="238"/>
      <c r="BK281" s="239"/>
      <c r="BL281" s="239"/>
      <c r="BM281" s="240"/>
      <c r="BN281" s="155"/>
      <c r="BO281" s="238"/>
      <c r="BP281" s="239"/>
      <c r="BQ281" s="239"/>
      <c r="BR281" s="240"/>
      <c r="BS281" s="155"/>
      <c r="BT281" s="238"/>
      <c r="BU281" s="239"/>
      <c r="BV281" s="239"/>
      <c r="BW281" s="240"/>
      <c r="BX281" s="155"/>
      <c r="BY281" s="238"/>
      <c r="BZ281" s="239"/>
      <c r="CA281" s="239"/>
      <c r="CB281" s="240"/>
      <c r="CC281" s="155"/>
      <c r="CD281" s="238"/>
      <c r="CE281" s="239"/>
      <c r="CF281" s="239"/>
      <c r="CG281" s="240"/>
      <c r="CH281" s="155"/>
      <c r="CI281" s="238"/>
      <c r="CJ281" s="239"/>
      <c r="CK281" s="239"/>
      <c r="CL281" s="240"/>
      <c r="CM281" s="155"/>
      <c r="CN281" s="238"/>
      <c r="CO281" s="239"/>
      <c r="CP281" s="239"/>
      <c r="CQ281" s="240"/>
      <c r="CR281" s="155"/>
      <c r="CS281" s="238"/>
      <c r="CT281" s="239"/>
      <c r="CU281" s="239"/>
      <c r="CV281" s="240"/>
      <c r="CW281" s="155"/>
      <c r="CX281" s="238"/>
      <c r="CY281" s="239"/>
      <c r="CZ281" s="239"/>
      <c r="DA281" s="240"/>
      <c r="DB281" s="155"/>
      <c r="DC281" s="238"/>
      <c r="DD281" s="239"/>
      <c r="DE281" s="239"/>
      <c r="DF281" s="240"/>
      <c r="DG281" s="155"/>
      <c r="DH281" s="238"/>
      <c r="DI281" s="239"/>
      <c r="DJ281" s="239"/>
      <c r="DK281" s="240"/>
      <c r="DL281" s="155"/>
      <c r="DM281" s="238"/>
      <c r="DN281" s="239"/>
      <c r="DO281" s="239"/>
      <c r="DP281" s="240"/>
      <c r="DQ281" s="155"/>
      <c r="DR281" s="238"/>
      <c r="DS281" s="239"/>
      <c r="DT281" s="239"/>
      <c r="DU281" s="240"/>
      <c r="DV281" s="155"/>
      <c r="DW281" s="238"/>
      <c r="DX281" s="239"/>
      <c r="DY281" s="239"/>
      <c r="DZ281" s="240"/>
      <c r="EA281" s="155"/>
      <c r="EB281" s="238"/>
      <c r="EC281" s="239"/>
      <c r="ED281" s="239"/>
      <c r="EE281" s="240"/>
      <c r="EF281" s="155"/>
      <c r="EG281" s="238"/>
      <c r="EH281" s="239"/>
      <c r="EI281" s="239"/>
      <c r="EJ281" s="240"/>
      <c r="EK281" s="155"/>
      <c r="EL281" s="238"/>
      <c r="EM281" s="239"/>
      <c r="EN281" s="239"/>
      <c r="EO281" s="240"/>
      <c r="EP281" s="155"/>
      <c r="EQ281" s="238"/>
      <c r="ER281" s="239"/>
      <c r="ES281" s="239"/>
      <c r="ET281" s="240"/>
      <c r="EU281" s="155"/>
      <c r="EV281" s="238"/>
      <c r="EW281" s="239"/>
      <c r="EX281" s="239"/>
      <c r="EY281" s="240"/>
      <c r="EZ281" s="155"/>
      <c r="FA281" s="238"/>
      <c r="FB281" s="239"/>
      <c r="FC281" s="239"/>
      <c r="FD281" s="240"/>
      <c r="FE281" s="155"/>
      <c r="FF281" s="238"/>
      <c r="FG281" s="239"/>
      <c r="FH281" s="239"/>
      <c r="FI281" s="240"/>
      <c r="FJ281" s="155"/>
      <c r="FK281" s="238"/>
      <c r="FL281" s="239"/>
      <c r="FM281" s="239"/>
      <c r="FN281" s="240"/>
      <c r="FO281" s="155"/>
      <c r="FP281" s="238"/>
      <c r="FQ281" s="239"/>
      <c r="FR281" s="239"/>
      <c r="FS281" s="240"/>
      <c r="FT281" s="155"/>
      <c r="FU281" s="238"/>
      <c r="FV281" s="239"/>
      <c r="FW281" s="239"/>
      <c r="FX281" s="240"/>
      <c r="FY281" s="155"/>
      <c r="FZ281" s="238"/>
      <c r="GA281" s="239"/>
      <c r="GB281" s="239"/>
      <c r="GC281" s="240"/>
      <c r="GD281" s="155"/>
      <c r="GE281" s="238"/>
      <c r="GF281" s="239"/>
      <c r="GG281" s="239"/>
      <c r="GH281" s="240"/>
      <c r="GI281" s="155"/>
      <c r="GJ281" s="1562"/>
      <c r="GK281" s="239"/>
      <c r="GL281" s="239"/>
      <c r="GM281" s="240"/>
      <c r="GN281" s="155"/>
      <c r="GO281" s="238"/>
      <c r="GP281" s="239"/>
      <c r="GQ281" s="239"/>
      <c r="GR281" s="240"/>
      <c r="GS281" s="155"/>
      <c r="GT281" s="238"/>
      <c r="GU281" s="239"/>
      <c r="GV281" s="239"/>
      <c r="GW281" s="240"/>
      <c r="GX281" s="155"/>
      <c r="GY281" s="238"/>
      <c r="GZ281" s="239"/>
      <c r="HA281" s="239"/>
      <c r="HB281" s="240"/>
      <c r="HC281" s="155"/>
      <c r="HD281" s="238"/>
      <c r="HE281" s="239"/>
      <c r="HF281" s="239"/>
      <c r="HG281" s="240"/>
      <c r="HH281" s="155"/>
      <c r="HI281" s="238"/>
      <c r="HJ281" s="239"/>
      <c r="HK281" s="239"/>
      <c r="HL281" s="240"/>
      <c r="HM281" s="155"/>
      <c r="HN281" s="238"/>
      <c r="HO281" s="239"/>
      <c r="HP281" s="239"/>
      <c r="HQ281" s="240"/>
      <c r="HR281" s="155"/>
      <c r="HS281" s="238"/>
      <c r="HT281" s="239"/>
      <c r="HU281" s="239"/>
      <c r="HV281" s="240"/>
      <c r="HW281" s="155"/>
      <c r="HX281" s="238"/>
      <c r="HY281" s="239"/>
      <c r="HZ281" s="239"/>
      <c r="IA281" s="240"/>
      <c r="IB281" s="155"/>
      <c r="IC281" s="238"/>
      <c r="ID281" s="239"/>
      <c r="IE281" s="239"/>
      <c r="IF281" s="240"/>
      <c r="IG281" s="155"/>
      <c r="IH281" s="238"/>
      <c r="II281" s="239"/>
      <c r="IJ281" s="239"/>
      <c r="IK281" s="240"/>
      <c r="IL281" s="155"/>
      <c r="IM281" s="238"/>
      <c r="IN281" s="239"/>
      <c r="IO281" s="239"/>
      <c r="IP281" s="240"/>
      <c r="IQ281" s="155"/>
    </row>
    <row r="282" spans="2:251" ht="15" customHeight="1">
      <c r="B282" s="155"/>
      <c r="C282" s="155"/>
      <c r="D282" s="236"/>
      <c r="E282" s="237"/>
      <c r="F282" s="312"/>
      <c r="G282" s="330"/>
      <c r="H282" s="239"/>
      <c r="I282" s="239"/>
      <c r="J282" s="240"/>
      <c r="K282" s="331"/>
      <c r="L282" s="330"/>
      <c r="M282" s="239"/>
      <c r="N282" s="239"/>
      <c r="O282" s="240"/>
      <c r="P282" s="331"/>
      <c r="Q282" s="330"/>
      <c r="R282" s="239"/>
      <c r="S282" s="239"/>
      <c r="T282" s="240"/>
      <c r="U282" s="331"/>
      <c r="V282" s="323"/>
      <c r="W282" s="239"/>
      <c r="X282" s="239"/>
      <c r="Y282" s="240"/>
      <c r="Z282" s="240"/>
      <c r="AA282" s="238"/>
      <c r="AB282" s="239"/>
      <c r="AC282" s="239"/>
      <c r="AD282" s="240"/>
      <c r="AE282" s="240"/>
      <c r="AF282" s="238"/>
      <c r="AG282" s="239"/>
      <c r="AH282" s="239"/>
      <c r="AI282" s="240"/>
      <c r="AJ282" s="155"/>
      <c r="AK282" s="238"/>
      <c r="AL282" s="239"/>
      <c r="AM282" s="239"/>
      <c r="AN282" s="240"/>
      <c r="AO282" s="155"/>
      <c r="AP282" s="238"/>
      <c r="AQ282" s="239"/>
      <c r="AR282" s="239"/>
      <c r="AS282" s="240"/>
      <c r="AT282" s="155"/>
      <c r="AU282" s="238"/>
      <c r="AV282" s="239"/>
      <c r="AW282" s="239"/>
      <c r="AX282" s="240"/>
      <c r="AY282" s="155"/>
      <c r="AZ282" s="238"/>
      <c r="BA282" s="239"/>
      <c r="BB282" s="239"/>
      <c r="BC282" s="240"/>
      <c r="BD282" s="155"/>
      <c r="BE282" s="238"/>
      <c r="BF282" s="239"/>
      <c r="BG282" s="239"/>
      <c r="BH282" s="240"/>
      <c r="BI282" s="155"/>
      <c r="BJ282" s="238"/>
      <c r="BK282" s="239"/>
      <c r="BL282" s="239"/>
      <c r="BM282" s="240"/>
      <c r="BN282" s="155"/>
      <c r="BO282" s="238"/>
      <c r="BP282" s="239"/>
      <c r="BQ282" s="239"/>
      <c r="BR282" s="240"/>
      <c r="BS282" s="155"/>
      <c r="BT282" s="238"/>
      <c r="BU282" s="239"/>
      <c r="BV282" s="239"/>
      <c r="BW282" s="240"/>
      <c r="BX282" s="155"/>
      <c r="BY282" s="238"/>
      <c r="BZ282" s="239"/>
      <c r="CA282" s="239"/>
      <c r="CB282" s="240"/>
      <c r="CC282" s="155"/>
      <c r="CD282" s="238"/>
      <c r="CE282" s="239"/>
      <c r="CF282" s="239"/>
      <c r="CG282" s="240"/>
      <c r="CH282" s="155"/>
      <c r="CI282" s="238"/>
      <c r="CJ282" s="239"/>
      <c r="CK282" s="239"/>
      <c r="CL282" s="240"/>
      <c r="CM282" s="155"/>
      <c r="CN282" s="238"/>
      <c r="CO282" s="239"/>
      <c r="CP282" s="239"/>
      <c r="CQ282" s="240"/>
      <c r="CR282" s="155"/>
      <c r="CS282" s="238"/>
      <c r="CT282" s="239"/>
      <c r="CU282" s="239"/>
      <c r="CV282" s="240"/>
      <c r="CW282" s="155"/>
      <c r="CX282" s="238"/>
      <c r="CY282" s="239"/>
      <c r="CZ282" s="239"/>
      <c r="DA282" s="240"/>
      <c r="DB282" s="155"/>
      <c r="DC282" s="238"/>
      <c r="DD282" s="239"/>
      <c r="DE282" s="239"/>
      <c r="DF282" s="240"/>
      <c r="DG282" s="155"/>
      <c r="DH282" s="238"/>
      <c r="DI282" s="239"/>
      <c r="DJ282" s="239"/>
      <c r="DK282" s="240"/>
      <c r="DL282" s="155"/>
      <c r="DM282" s="238"/>
      <c r="DN282" s="239"/>
      <c r="DO282" s="239"/>
      <c r="DP282" s="240"/>
      <c r="DQ282" s="155"/>
      <c r="DR282" s="238"/>
      <c r="DS282" s="239"/>
      <c r="DT282" s="239"/>
      <c r="DU282" s="240"/>
      <c r="DV282" s="155"/>
      <c r="DW282" s="238"/>
      <c r="DX282" s="239"/>
      <c r="DY282" s="239"/>
      <c r="DZ282" s="240"/>
      <c r="EA282" s="155"/>
      <c r="EB282" s="238"/>
      <c r="EC282" s="239"/>
      <c r="ED282" s="239"/>
      <c r="EE282" s="240"/>
      <c r="EF282" s="155"/>
      <c r="EG282" s="238"/>
      <c r="EH282" s="239"/>
      <c r="EI282" s="239"/>
      <c r="EJ282" s="240"/>
      <c r="EK282" s="155"/>
      <c r="EL282" s="238"/>
      <c r="EM282" s="239"/>
      <c r="EN282" s="239"/>
      <c r="EO282" s="240"/>
      <c r="EP282" s="155"/>
      <c r="EQ282" s="238"/>
      <c r="ER282" s="239"/>
      <c r="ES282" s="239"/>
      <c r="ET282" s="240"/>
      <c r="EU282" s="155"/>
      <c r="EV282" s="238"/>
      <c r="EW282" s="239"/>
      <c r="EX282" s="239"/>
      <c r="EY282" s="240"/>
      <c r="EZ282" s="155"/>
      <c r="FA282" s="238"/>
      <c r="FB282" s="239"/>
      <c r="FC282" s="239"/>
      <c r="FD282" s="240"/>
      <c r="FE282" s="155"/>
      <c r="FF282" s="238"/>
      <c r="FG282" s="239"/>
      <c r="FH282" s="239"/>
      <c r="FI282" s="240"/>
      <c r="FJ282" s="155"/>
      <c r="FK282" s="238"/>
      <c r="FL282" s="239"/>
      <c r="FM282" s="239"/>
      <c r="FN282" s="240"/>
      <c r="FO282" s="155"/>
      <c r="FP282" s="238"/>
      <c r="FQ282" s="239"/>
      <c r="FR282" s="239"/>
      <c r="FS282" s="240"/>
      <c r="FT282" s="155"/>
      <c r="FU282" s="238"/>
      <c r="FV282" s="239"/>
      <c r="FW282" s="239"/>
      <c r="FX282" s="240"/>
      <c r="FY282" s="155"/>
      <c r="FZ282" s="238"/>
      <c r="GA282" s="239"/>
      <c r="GB282" s="239"/>
      <c r="GC282" s="240"/>
      <c r="GD282" s="155"/>
      <c r="GE282" s="238"/>
      <c r="GF282" s="239"/>
      <c r="GG282" s="239"/>
      <c r="GH282" s="240"/>
      <c r="GI282" s="155"/>
      <c r="GJ282" s="1562"/>
      <c r="GK282" s="239"/>
      <c r="GL282" s="239"/>
      <c r="GM282" s="240"/>
      <c r="GN282" s="155"/>
      <c r="GO282" s="238"/>
      <c r="GP282" s="239"/>
      <c r="GQ282" s="239"/>
      <c r="GR282" s="240"/>
      <c r="GS282" s="155"/>
      <c r="GT282" s="238"/>
      <c r="GU282" s="239"/>
      <c r="GV282" s="239"/>
      <c r="GW282" s="240"/>
      <c r="GX282" s="155"/>
      <c r="GY282" s="238"/>
      <c r="GZ282" s="239"/>
      <c r="HA282" s="239"/>
      <c r="HB282" s="240"/>
      <c r="HC282" s="155"/>
      <c r="HD282" s="238"/>
      <c r="HE282" s="239"/>
      <c r="HF282" s="239"/>
      <c r="HG282" s="240"/>
      <c r="HH282" s="155"/>
      <c r="HI282" s="238"/>
      <c r="HJ282" s="239"/>
      <c r="HK282" s="239"/>
      <c r="HL282" s="240"/>
      <c r="HM282" s="155"/>
      <c r="HN282" s="238"/>
      <c r="HO282" s="239"/>
      <c r="HP282" s="239"/>
      <c r="HQ282" s="240"/>
      <c r="HR282" s="155"/>
      <c r="HS282" s="238"/>
      <c r="HT282" s="239"/>
      <c r="HU282" s="239"/>
      <c r="HV282" s="240"/>
      <c r="HW282" s="155"/>
      <c r="HX282" s="238"/>
      <c r="HY282" s="239"/>
      <c r="HZ282" s="239"/>
      <c r="IA282" s="240"/>
      <c r="IB282" s="155"/>
      <c r="IC282" s="238"/>
      <c r="ID282" s="239"/>
      <c r="IE282" s="239"/>
      <c r="IF282" s="240"/>
      <c r="IG282" s="155"/>
      <c r="IH282" s="238"/>
      <c r="II282" s="239"/>
      <c r="IJ282" s="239"/>
      <c r="IK282" s="240"/>
      <c r="IL282" s="155"/>
      <c r="IM282" s="238"/>
      <c r="IN282" s="239"/>
      <c r="IO282" s="239"/>
      <c r="IP282" s="240"/>
      <c r="IQ282" s="155"/>
    </row>
    <row r="283" spans="2:251" ht="15" customHeight="1">
      <c r="B283" s="155"/>
      <c r="C283" s="155"/>
      <c r="D283" s="236"/>
      <c r="E283" s="237"/>
      <c r="F283" s="312"/>
      <c r="G283" s="330"/>
      <c r="H283" s="239"/>
      <c r="I283" s="239"/>
      <c r="J283" s="240"/>
      <c r="K283" s="331"/>
      <c r="L283" s="330"/>
      <c r="M283" s="239"/>
      <c r="N283" s="239"/>
      <c r="O283" s="240"/>
      <c r="P283" s="331"/>
      <c r="Q283" s="330"/>
      <c r="R283" s="239"/>
      <c r="S283" s="239"/>
      <c r="T283" s="240"/>
      <c r="U283" s="331"/>
      <c r="V283" s="323"/>
      <c r="W283" s="239"/>
      <c r="X283" s="239"/>
      <c r="Y283" s="240"/>
      <c r="Z283" s="240"/>
      <c r="AA283" s="238"/>
      <c r="AB283" s="239"/>
      <c r="AC283" s="239"/>
      <c r="AD283" s="240"/>
      <c r="AE283" s="240"/>
      <c r="AF283" s="238"/>
      <c r="AG283" s="239"/>
      <c r="AH283" s="239"/>
      <c r="AI283" s="240"/>
      <c r="AJ283" s="155"/>
      <c r="AK283" s="238"/>
      <c r="AL283" s="239"/>
      <c r="AM283" s="239"/>
      <c r="AN283" s="240"/>
      <c r="AO283" s="155"/>
      <c r="AP283" s="238"/>
      <c r="AQ283" s="239"/>
      <c r="AR283" s="239"/>
      <c r="AS283" s="240"/>
      <c r="AT283" s="155"/>
      <c r="AU283" s="238"/>
      <c r="AV283" s="239"/>
      <c r="AW283" s="239"/>
      <c r="AX283" s="240"/>
      <c r="AY283" s="155"/>
      <c r="AZ283" s="238"/>
      <c r="BA283" s="239"/>
      <c r="BB283" s="239"/>
      <c r="BC283" s="240"/>
      <c r="BD283" s="155"/>
      <c r="BE283" s="238"/>
      <c r="BF283" s="239"/>
      <c r="BG283" s="239"/>
      <c r="BH283" s="240"/>
      <c r="BI283" s="155"/>
      <c r="BJ283" s="238"/>
      <c r="BK283" s="239"/>
      <c r="BL283" s="239"/>
      <c r="BM283" s="240"/>
      <c r="BN283" s="155"/>
      <c r="BO283" s="238"/>
      <c r="BP283" s="239"/>
      <c r="BQ283" s="239"/>
      <c r="BR283" s="240"/>
      <c r="BS283" s="155"/>
      <c r="BT283" s="238"/>
      <c r="BU283" s="239"/>
      <c r="BV283" s="239"/>
      <c r="BW283" s="240"/>
      <c r="BX283" s="155"/>
      <c r="BY283" s="238"/>
      <c r="BZ283" s="239"/>
      <c r="CA283" s="239"/>
      <c r="CB283" s="240"/>
      <c r="CC283" s="155"/>
      <c r="CD283" s="238"/>
      <c r="CE283" s="239"/>
      <c r="CF283" s="239"/>
      <c r="CG283" s="240"/>
      <c r="CH283" s="155"/>
      <c r="CI283" s="238"/>
      <c r="CJ283" s="239"/>
      <c r="CK283" s="239"/>
      <c r="CL283" s="240"/>
      <c r="CM283" s="155"/>
      <c r="CN283" s="238"/>
      <c r="CO283" s="239"/>
      <c r="CP283" s="239"/>
      <c r="CQ283" s="240"/>
      <c r="CR283" s="155"/>
      <c r="CS283" s="238"/>
      <c r="CT283" s="239"/>
      <c r="CU283" s="239"/>
      <c r="CV283" s="240"/>
      <c r="CW283" s="155"/>
      <c r="CX283" s="238"/>
      <c r="CY283" s="239"/>
      <c r="CZ283" s="239"/>
      <c r="DA283" s="240"/>
      <c r="DB283" s="155"/>
      <c r="DC283" s="238"/>
      <c r="DD283" s="239"/>
      <c r="DE283" s="239"/>
      <c r="DF283" s="240"/>
      <c r="DG283" s="155"/>
      <c r="DH283" s="238"/>
      <c r="DI283" s="239"/>
      <c r="DJ283" s="239"/>
      <c r="DK283" s="240"/>
      <c r="DL283" s="155"/>
      <c r="DM283" s="238"/>
      <c r="DN283" s="239"/>
      <c r="DO283" s="239"/>
      <c r="DP283" s="240"/>
      <c r="DQ283" s="155"/>
      <c r="DR283" s="238"/>
      <c r="DS283" s="239"/>
      <c r="DT283" s="239"/>
      <c r="DU283" s="240"/>
      <c r="DV283" s="155"/>
      <c r="DW283" s="238"/>
      <c r="DX283" s="239"/>
      <c r="DY283" s="239"/>
      <c r="DZ283" s="240"/>
      <c r="EA283" s="155"/>
      <c r="EB283" s="238"/>
      <c r="EC283" s="239"/>
      <c r="ED283" s="239"/>
      <c r="EE283" s="240"/>
      <c r="EF283" s="155"/>
      <c r="EG283" s="238"/>
      <c r="EH283" s="239"/>
      <c r="EI283" s="239"/>
      <c r="EJ283" s="240"/>
      <c r="EK283" s="155"/>
      <c r="EL283" s="238"/>
      <c r="EM283" s="239"/>
      <c r="EN283" s="239"/>
      <c r="EO283" s="240"/>
      <c r="EP283" s="155"/>
      <c r="EQ283" s="238"/>
      <c r="ER283" s="239"/>
      <c r="ES283" s="239"/>
      <c r="ET283" s="240"/>
      <c r="EU283" s="155"/>
      <c r="EV283" s="238"/>
      <c r="EW283" s="239"/>
      <c r="EX283" s="239"/>
      <c r="EY283" s="240"/>
      <c r="EZ283" s="155"/>
      <c r="FA283" s="238"/>
      <c r="FB283" s="239"/>
      <c r="FC283" s="239"/>
      <c r="FD283" s="240"/>
      <c r="FE283" s="155"/>
      <c r="FF283" s="238"/>
      <c r="FG283" s="239"/>
      <c r="FH283" s="239"/>
      <c r="FI283" s="240"/>
      <c r="FJ283" s="155"/>
      <c r="FK283" s="238"/>
      <c r="FL283" s="239"/>
      <c r="FM283" s="239"/>
      <c r="FN283" s="240"/>
      <c r="FO283" s="155"/>
      <c r="FP283" s="238"/>
      <c r="FQ283" s="239"/>
      <c r="FR283" s="239"/>
      <c r="FS283" s="240"/>
      <c r="FT283" s="155"/>
      <c r="FU283" s="238"/>
      <c r="FV283" s="239"/>
      <c r="FW283" s="239"/>
      <c r="FX283" s="240"/>
      <c r="FY283" s="155"/>
      <c r="FZ283" s="238"/>
      <c r="GA283" s="239"/>
      <c r="GB283" s="239"/>
      <c r="GC283" s="240"/>
      <c r="GD283" s="155"/>
      <c r="GE283" s="238"/>
      <c r="GF283" s="239"/>
      <c r="GG283" s="239"/>
      <c r="GH283" s="240"/>
      <c r="GI283" s="155"/>
      <c r="GJ283" s="1562"/>
      <c r="GK283" s="239"/>
      <c r="GL283" s="239"/>
      <c r="GM283" s="240"/>
      <c r="GN283" s="155"/>
      <c r="GO283" s="238"/>
      <c r="GP283" s="239"/>
      <c r="GQ283" s="239"/>
      <c r="GR283" s="240"/>
      <c r="GS283" s="155"/>
      <c r="GT283" s="238"/>
      <c r="GU283" s="239"/>
      <c r="GV283" s="239"/>
      <c r="GW283" s="240"/>
      <c r="GX283" s="155"/>
      <c r="GY283" s="238"/>
      <c r="GZ283" s="239"/>
      <c r="HA283" s="239"/>
      <c r="HB283" s="240"/>
      <c r="HC283" s="155"/>
      <c r="HD283" s="238"/>
      <c r="HE283" s="239"/>
      <c r="HF283" s="239"/>
      <c r="HG283" s="240"/>
      <c r="HH283" s="155"/>
      <c r="HI283" s="238"/>
      <c r="HJ283" s="239"/>
      <c r="HK283" s="239"/>
      <c r="HL283" s="240"/>
      <c r="HM283" s="155"/>
      <c r="HN283" s="238"/>
      <c r="HO283" s="239"/>
      <c r="HP283" s="239"/>
      <c r="HQ283" s="240"/>
      <c r="HR283" s="155"/>
      <c r="HS283" s="238"/>
      <c r="HT283" s="239"/>
      <c r="HU283" s="239"/>
      <c r="HV283" s="240"/>
      <c r="HW283" s="155"/>
      <c r="HX283" s="238"/>
      <c r="HY283" s="239"/>
      <c r="HZ283" s="239"/>
      <c r="IA283" s="240"/>
      <c r="IB283" s="155"/>
      <c r="IC283" s="238"/>
      <c r="ID283" s="239"/>
      <c r="IE283" s="239"/>
      <c r="IF283" s="240"/>
      <c r="IG283" s="155"/>
      <c r="IH283" s="238"/>
      <c r="II283" s="239"/>
      <c r="IJ283" s="239"/>
      <c r="IK283" s="240"/>
      <c r="IL283" s="155"/>
      <c r="IM283" s="238"/>
      <c r="IN283" s="239"/>
      <c r="IO283" s="239"/>
      <c r="IP283" s="240"/>
      <c r="IQ283" s="155"/>
    </row>
    <row r="284" spans="2:251" ht="15" customHeight="1">
      <c r="B284" s="155"/>
      <c r="C284" s="155"/>
      <c r="D284" s="236"/>
      <c r="E284" s="237"/>
      <c r="F284" s="312"/>
      <c r="G284" s="330"/>
      <c r="H284" s="239"/>
      <c r="I284" s="239"/>
      <c r="J284" s="240"/>
      <c r="K284" s="331"/>
      <c r="L284" s="330"/>
      <c r="M284" s="239"/>
      <c r="N284" s="239"/>
      <c r="O284" s="240"/>
      <c r="P284" s="331"/>
      <c r="Q284" s="330"/>
      <c r="R284" s="239"/>
      <c r="S284" s="239"/>
      <c r="T284" s="240"/>
      <c r="U284" s="331"/>
      <c r="V284" s="323"/>
      <c r="W284" s="239"/>
      <c r="X284" s="239"/>
      <c r="Y284" s="240"/>
      <c r="Z284" s="240"/>
      <c r="AA284" s="238"/>
      <c r="AB284" s="239"/>
      <c r="AC284" s="239"/>
      <c r="AD284" s="240"/>
      <c r="AE284" s="240"/>
      <c r="AF284" s="238"/>
      <c r="AG284" s="239"/>
      <c r="AH284" s="239"/>
      <c r="AI284" s="240"/>
      <c r="AJ284" s="155"/>
      <c r="AK284" s="238"/>
      <c r="AL284" s="239"/>
      <c r="AM284" s="239"/>
      <c r="AN284" s="240"/>
      <c r="AO284" s="155"/>
      <c r="AP284" s="238"/>
      <c r="AQ284" s="239"/>
      <c r="AR284" s="239"/>
      <c r="AS284" s="240"/>
      <c r="AT284" s="155"/>
      <c r="AU284" s="238"/>
      <c r="AV284" s="239"/>
      <c r="AW284" s="239"/>
      <c r="AX284" s="240"/>
      <c r="AY284" s="155"/>
      <c r="AZ284" s="238"/>
      <c r="BA284" s="239"/>
      <c r="BB284" s="239"/>
      <c r="BC284" s="240"/>
      <c r="BD284" s="155"/>
      <c r="BE284" s="238"/>
      <c r="BF284" s="239"/>
      <c r="BG284" s="239"/>
      <c r="BH284" s="240"/>
      <c r="BI284" s="155"/>
      <c r="BJ284" s="238"/>
      <c r="BK284" s="239"/>
      <c r="BL284" s="239"/>
      <c r="BM284" s="240"/>
      <c r="BN284" s="155"/>
      <c r="BO284" s="238"/>
      <c r="BP284" s="239"/>
      <c r="BQ284" s="239"/>
      <c r="BR284" s="240"/>
      <c r="BS284" s="155"/>
      <c r="BT284" s="238"/>
      <c r="BU284" s="239"/>
      <c r="BV284" s="239"/>
      <c r="BW284" s="240"/>
      <c r="BX284" s="155"/>
      <c r="BY284" s="238"/>
      <c r="BZ284" s="239"/>
      <c r="CA284" s="239"/>
      <c r="CB284" s="240"/>
      <c r="CC284" s="155"/>
      <c r="CD284" s="238"/>
      <c r="CE284" s="239"/>
      <c r="CF284" s="239"/>
      <c r="CG284" s="240"/>
      <c r="CH284" s="155"/>
      <c r="CI284" s="238"/>
      <c r="CJ284" s="239"/>
      <c r="CK284" s="239"/>
      <c r="CL284" s="240"/>
      <c r="CM284" s="155"/>
      <c r="CN284" s="238"/>
      <c r="CO284" s="239"/>
      <c r="CP284" s="239"/>
      <c r="CQ284" s="240"/>
      <c r="CR284" s="155"/>
      <c r="CS284" s="238"/>
      <c r="CT284" s="239"/>
      <c r="CU284" s="239"/>
      <c r="CV284" s="240"/>
      <c r="CW284" s="155"/>
      <c r="CX284" s="238"/>
      <c r="CY284" s="239"/>
      <c r="CZ284" s="239"/>
      <c r="DA284" s="240"/>
      <c r="DB284" s="155"/>
      <c r="DC284" s="238"/>
      <c r="DD284" s="239"/>
      <c r="DE284" s="239"/>
      <c r="DF284" s="240"/>
      <c r="DG284" s="155"/>
      <c r="DH284" s="238"/>
      <c r="DI284" s="239"/>
      <c r="DJ284" s="239"/>
      <c r="DK284" s="240"/>
      <c r="DL284" s="155"/>
      <c r="DM284" s="238"/>
      <c r="DN284" s="239"/>
      <c r="DO284" s="239"/>
      <c r="DP284" s="240"/>
      <c r="DQ284" s="155"/>
      <c r="DR284" s="238"/>
      <c r="DS284" s="239"/>
      <c r="DT284" s="239"/>
      <c r="DU284" s="240"/>
      <c r="DV284" s="155"/>
      <c r="DW284" s="238"/>
      <c r="DX284" s="239"/>
      <c r="DY284" s="239"/>
      <c r="DZ284" s="240"/>
      <c r="EA284" s="155"/>
      <c r="EB284" s="238"/>
      <c r="EC284" s="239"/>
      <c r="ED284" s="239"/>
      <c r="EE284" s="240"/>
      <c r="EF284" s="155"/>
      <c r="EG284" s="238"/>
      <c r="EH284" s="239"/>
      <c r="EI284" s="239"/>
      <c r="EJ284" s="240"/>
      <c r="EK284" s="155"/>
      <c r="EL284" s="238"/>
      <c r="EM284" s="239"/>
      <c r="EN284" s="239"/>
      <c r="EO284" s="240"/>
      <c r="EP284" s="155"/>
      <c r="EQ284" s="238"/>
      <c r="ER284" s="239"/>
      <c r="ES284" s="239"/>
      <c r="ET284" s="240"/>
      <c r="EU284" s="155"/>
      <c r="EV284" s="238"/>
      <c r="EW284" s="239"/>
      <c r="EX284" s="239"/>
      <c r="EY284" s="240"/>
      <c r="EZ284" s="155"/>
      <c r="FA284" s="238"/>
      <c r="FB284" s="239"/>
      <c r="FC284" s="239"/>
      <c r="FD284" s="240"/>
      <c r="FE284" s="155"/>
      <c r="FF284" s="238"/>
      <c r="FG284" s="239"/>
      <c r="FH284" s="239"/>
      <c r="FI284" s="240"/>
      <c r="FJ284" s="155"/>
      <c r="FK284" s="238"/>
      <c r="FL284" s="239"/>
      <c r="FM284" s="239"/>
      <c r="FN284" s="240"/>
      <c r="FO284" s="155"/>
      <c r="FP284" s="238"/>
      <c r="FQ284" s="239"/>
      <c r="FR284" s="239"/>
      <c r="FS284" s="240"/>
      <c r="FT284" s="155"/>
      <c r="FU284" s="238"/>
      <c r="FV284" s="239"/>
      <c r="FW284" s="239"/>
      <c r="FX284" s="240"/>
      <c r="FY284" s="155"/>
      <c r="FZ284" s="238"/>
      <c r="GA284" s="239"/>
      <c r="GB284" s="239"/>
      <c r="GC284" s="240"/>
      <c r="GD284" s="155"/>
      <c r="GE284" s="238"/>
      <c r="GF284" s="239"/>
      <c r="GG284" s="239"/>
      <c r="GH284" s="240"/>
      <c r="GI284" s="155"/>
      <c r="GJ284" s="1562"/>
      <c r="GK284" s="239"/>
      <c r="GL284" s="239"/>
      <c r="GM284" s="240"/>
      <c r="GN284" s="155"/>
      <c r="GO284" s="238"/>
      <c r="GP284" s="239"/>
      <c r="GQ284" s="239"/>
      <c r="GR284" s="240"/>
      <c r="GS284" s="155"/>
      <c r="GT284" s="238"/>
      <c r="GU284" s="239"/>
      <c r="GV284" s="239"/>
      <c r="GW284" s="240"/>
      <c r="GX284" s="155"/>
      <c r="GY284" s="238"/>
      <c r="GZ284" s="239"/>
      <c r="HA284" s="239"/>
      <c r="HB284" s="240"/>
      <c r="HC284" s="155"/>
      <c r="HD284" s="238"/>
      <c r="HE284" s="239"/>
      <c r="HF284" s="239"/>
      <c r="HG284" s="240"/>
      <c r="HH284" s="155"/>
      <c r="HI284" s="238"/>
      <c r="HJ284" s="239"/>
      <c r="HK284" s="239"/>
      <c r="HL284" s="240"/>
      <c r="HM284" s="155"/>
      <c r="HN284" s="238"/>
      <c r="HO284" s="239"/>
      <c r="HP284" s="239"/>
      <c r="HQ284" s="240"/>
      <c r="HR284" s="155"/>
      <c r="HS284" s="238"/>
      <c r="HT284" s="239"/>
      <c r="HU284" s="239"/>
      <c r="HV284" s="240"/>
      <c r="HW284" s="155"/>
      <c r="HX284" s="238"/>
      <c r="HY284" s="239"/>
      <c r="HZ284" s="239"/>
      <c r="IA284" s="240"/>
      <c r="IB284" s="155"/>
      <c r="IC284" s="238"/>
      <c r="ID284" s="239"/>
      <c r="IE284" s="239"/>
      <c r="IF284" s="240"/>
      <c r="IG284" s="155"/>
      <c r="IH284" s="238"/>
      <c r="II284" s="239"/>
      <c r="IJ284" s="239"/>
      <c r="IK284" s="240"/>
      <c r="IL284" s="155"/>
      <c r="IM284" s="238"/>
      <c r="IN284" s="239"/>
      <c r="IO284" s="239"/>
      <c r="IP284" s="240"/>
      <c r="IQ284" s="155"/>
    </row>
    <row r="285" spans="2:251" ht="15" customHeight="1">
      <c r="B285" s="155"/>
      <c r="C285" s="155"/>
      <c r="D285" s="236"/>
      <c r="E285" s="237"/>
      <c r="F285" s="312"/>
      <c r="G285" s="330"/>
      <c r="H285" s="239"/>
      <c r="I285" s="239"/>
      <c r="J285" s="240"/>
      <c r="K285" s="331"/>
      <c r="L285" s="330"/>
      <c r="M285" s="239"/>
      <c r="N285" s="239"/>
      <c r="O285" s="240"/>
      <c r="P285" s="331"/>
      <c r="Q285" s="330"/>
      <c r="R285" s="239"/>
      <c r="S285" s="239"/>
      <c r="T285" s="240"/>
      <c r="U285" s="331"/>
      <c r="V285" s="323"/>
      <c r="W285" s="239"/>
      <c r="X285" s="239"/>
      <c r="Y285" s="240"/>
      <c r="Z285" s="240"/>
      <c r="AA285" s="238"/>
      <c r="AB285" s="239"/>
      <c r="AC285" s="239"/>
      <c r="AD285" s="240"/>
      <c r="AE285" s="240"/>
      <c r="AF285" s="238"/>
      <c r="AG285" s="239"/>
      <c r="AH285" s="239"/>
      <c r="AI285" s="240"/>
      <c r="AJ285" s="155"/>
      <c r="AK285" s="238"/>
      <c r="AL285" s="239"/>
      <c r="AM285" s="239"/>
      <c r="AN285" s="240"/>
      <c r="AO285" s="155"/>
      <c r="AP285" s="238"/>
      <c r="AQ285" s="239"/>
      <c r="AR285" s="239"/>
      <c r="AS285" s="240"/>
      <c r="AT285" s="155"/>
      <c r="AU285" s="238"/>
      <c r="AV285" s="239"/>
      <c r="AW285" s="239"/>
      <c r="AX285" s="240"/>
      <c r="AY285" s="155"/>
      <c r="AZ285" s="238"/>
      <c r="BA285" s="239"/>
      <c r="BB285" s="239"/>
      <c r="BC285" s="240"/>
      <c r="BD285" s="155"/>
      <c r="BE285" s="238"/>
      <c r="BF285" s="239"/>
      <c r="BG285" s="239"/>
      <c r="BH285" s="240"/>
      <c r="BI285" s="155"/>
      <c r="BJ285" s="238"/>
      <c r="BK285" s="239"/>
      <c r="BL285" s="239"/>
      <c r="BM285" s="240"/>
      <c r="BN285" s="155"/>
      <c r="BO285" s="238"/>
      <c r="BP285" s="239"/>
      <c r="BQ285" s="239"/>
      <c r="BR285" s="240"/>
      <c r="BS285" s="155"/>
      <c r="BT285" s="238"/>
      <c r="BU285" s="239"/>
      <c r="BV285" s="239"/>
      <c r="BW285" s="240"/>
      <c r="BX285" s="155"/>
      <c r="BY285" s="238"/>
      <c r="BZ285" s="239"/>
      <c r="CA285" s="239"/>
      <c r="CB285" s="240"/>
      <c r="CC285" s="155"/>
      <c r="CD285" s="238"/>
      <c r="CE285" s="239"/>
      <c r="CF285" s="239"/>
      <c r="CG285" s="240"/>
      <c r="CH285" s="155"/>
      <c r="CI285" s="238"/>
      <c r="CJ285" s="239"/>
      <c r="CK285" s="239"/>
      <c r="CL285" s="240"/>
      <c r="CM285" s="155"/>
      <c r="CN285" s="238"/>
      <c r="CO285" s="239"/>
      <c r="CP285" s="239"/>
      <c r="CQ285" s="240"/>
      <c r="CR285" s="155"/>
      <c r="CS285" s="238"/>
      <c r="CT285" s="239"/>
      <c r="CU285" s="239"/>
      <c r="CV285" s="240"/>
      <c r="CW285" s="155"/>
      <c r="CX285" s="238"/>
      <c r="CY285" s="239"/>
      <c r="CZ285" s="239"/>
      <c r="DA285" s="240"/>
      <c r="DB285" s="155"/>
      <c r="DC285" s="238"/>
      <c r="DD285" s="239"/>
      <c r="DE285" s="239"/>
      <c r="DF285" s="240"/>
      <c r="DG285" s="155"/>
      <c r="DH285" s="238"/>
      <c r="DI285" s="239"/>
      <c r="DJ285" s="239"/>
      <c r="DK285" s="240"/>
      <c r="DL285" s="155"/>
      <c r="DM285" s="238"/>
      <c r="DN285" s="239"/>
      <c r="DO285" s="239"/>
      <c r="DP285" s="240"/>
      <c r="DQ285" s="155"/>
      <c r="DR285" s="238"/>
      <c r="DS285" s="239"/>
      <c r="DT285" s="239"/>
      <c r="DU285" s="240"/>
      <c r="DV285" s="155"/>
      <c r="DW285" s="238"/>
      <c r="DX285" s="239"/>
      <c r="DY285" s="239"/>
      <c r="DZ285" s="240"/>
      <c r="EA285" s="155"/>
      <c r="EB285" s="238"/>
      <c r="EC285" s="239"/>
      <c r="ED285" s="239"/>
      <c r="EE285" s="240"/>
      <c r="EF285" s="155"/>
      <c r="EG285" s="238"/>
      <c r="EH285" s="239"/>
      <c r="EI285" s="239"/>
      <c r="EJ285" s="240"/>
      <c r="EK285" s="155"/>
      <c r="EL285" s="238"/>
      <c r="EM285" s="239"/>
      <c r="EN285" s="239"/>
      <c r="EO285" s="240"/>
      <c r="EP285" s="155"/>
      <c r="EQ285" s="238"/>
      <c r="ER285" s="239"/>
      <c r="ES285" s="239"/>
      <c r="ET285" s="240"/>
      <c r="EU285" s="155"/>
      <c r="EV285" s="238"/>
      <c r="EW285" s="239"/>
      <c r="EX285" s="239"/>
      <c r="EY285" s="240"/>
      <c r="EZ285" s="155"/>
      <c r="FA285" s="238"/>
      <c r="FB285" s="239"/>
      <c r="FC285" s="239"/>
      <c r="FD285" s="240"/>
      <c r="FE285" s="155"/>
      <c r="FF285" s="238"/>
      <c r="FG285" s="239"/>
      <c r="FH285" s="239"/>
      <c r="FI285" s="240"/>
      <c r="FJ285" s="155"/>
      <c r="FK285" s="238"/>
      <c r="FL285" s="239"/>
      <c r="FM285" s="239"/>
      <c r="FN285" s="240"/>
      <c r="FO285" s="155"/>
      <c r="FP285" s="238"/>
      <c r="FQ285" s="239"/>
      <c r="FR285" s="239"/>
      <c r="FS285" s="240"/>
      <c r="FT285" s="155"/>
      <c r="FU285" s="238"/>
      <c r="FV285" s="239"/>
      <c r="FW285" s="239"/>
      <c r="FX285" s="240"/>
      <c r="FY285" s="155"/>
      <c r="FZ285" s="238"/>
      <c r="GA285" s="239"/>
      <c r="GB285" s="239"/>
      <c r="GC285" s="240"/>
      <c r="GD285" s="155"/>
      <c r="GE285" s="238"/>
      <c r="GF285" s="239"/>
      <c r="GG285" s="239"/>
      <c r="GH285" s="240"/>
      <c r="GI285" s="155"/>
      <c r="GJ285" s="1562"/>
      <c r="GK285" s="239"/>
      <c r="GL285" s="239"/>
      <c r="GM285" s="240"/>
      <c r="GN285" s="155"/>
      <c r="GO285" s="238"/>
      <c r="GP285" s="239"/>
      <c r="GQ285" s="239"/>
      <c r="GR285" s="240"/>
      <c r="GS285" s="155"/>
      <c r="GT285" s="238"/>
      <c r="GU285" s="239"/>
      <c r="GV285" s="239"/>
      <c r="GW285" s="240"/>
      <c r="GX285" s="155"/>
      <c r="GY285" s="238"/>
      <c r="GZ285" s="239"/>
      <c r="HA285" s="239"/>
      <c r="HB285" s="240"/>
      <c r="HC285" s="155"/>
      <c r="HD285" s="238"/>
      <c r="HE285" s="239"/>
      <c r="HF285" s="239"/>
      <c r="HG285" s="240"/>
      <c r="HH285" s="155"/>
      <c r="HI285" s="238"/>
      <c r="HJ285" s="239"/>
      <c r="HK285" s="239"/>
      <c r="HL285" s="240"/>
      <c r="HM285" s="155"/>
      <c r="HN285" s="238"/>
      <c r="HO285" s="239"/>
      <c r="HP285" s="239"/>
      <c r="HQ285" s="240"/>
      <c r="HR285" s="155"/>
      <c r="HS285" s="238"/>
      <c r="HT285" s="239"/>
      <c r="HU285" s="239"/>
      <c r="HV285" s="240"/>
      <c r="HW285" s="155"/>
      <c r="HX285" s="238"/>
      <c r="HY285" s="239"/>
      <c r="HZ285" s="239"/>
      <c r="IA285" s="240"/>
      <c r="IB285" s="155"/>
      <c r="IC285" s="238"/>
      <c r="ID285" s="239"/>
      <c r="IE285" s="239"/>
      <c r="IF285" s="240"/>
      <c r="IG285" s="155"/>
      <c r="IH285" s="238"/>
      <c r="II285" s="239"/>
      <c r="IJ285" s="239"/>
      <c r="IK285" s="240"/>
      <c r="IL285" s="155"/>
      <c r="IM285" s="238"/>
      <c r="IN285" s="239"/>
      <c r="IO285" s="239"/>
      <c r="IP285" s="240"/>
      <c r="IQ285" s="155"/>
    </row>
    <row r="286" spans="2:251" ht="15" customHeight="1">
      <c r="B286" s="155"/>
      <c r="C286" s="155"/>
      <c r="D286" s="236"/>
      <c r="E286" s="237"/>
      <c r="F286" s="312"/>
      <c r="G286" s="330"/>
      <c r="H286" s="239"/>
      <c r="I286" s="239"/>
      <c r="J286" s="240"/>
      <c r="K286" s="331"/>
      <c r="L286" s="330"/>
      <c r="M286" s="239"/>
      <c r="N286" s="239"/>
      <c r="O286" s="240"/>
      <c r="P286" s="331"/>
      <c r="Q286" s="330"/>
      <c r="R286" s="239"/>
      <c r="S286" s="239"/>
      <c r="T286" s="240"/>
      <c r="U286" s="331"/>
      <c r="V286" s="323"/>
      <c r="W286" s="239"/>
      <c r="X286" s="239"/>
      <c r="Y286" s="240"/>
      <c r="Z286" s="240"/>
      <c r="AA286" s="238"/>
      <c r="AB286" s="239"/>
      <c r="AC286" s="239"/>
      <c r="AD286" s="240"/>
      <c r="AE286" s="240"/>
      <c r="AF286" s="238"/>
      <c r="AG286" s="239"/>
      <c r="AH286" s="239"/>
      <c r="AI286" s="240"/>
      <c r="AJ286" s="155"/>
      <c r="AK286" s="238"/>
      <c r="AL286" s="239"/>
      <c r="AM286" s="239"/>
      <c r="AN286" s="240"/>
      <c r="AO286" s="155"/>
      <c r="AP286" s="238"/>
      <c r="AQ286" s="239"/>
      <c r="AR286" s="239"/>
      <c r="AS286" s="240"/>
      <c r="AT286" s="155"/>
      <c r="AU286" s="238"/>
      <c r="AV286" s="239"/>
      <c r="AW286" s="239"/>
      <c r="AX286" s="240"/>
      <c r="AY286" s="155"/>
      <c r="AZ286" s="238"/>
      <c r="BA286" s="239"/>
      <c r="BB286" s="239"/>
      <c r="BC286" s="240"/>
      <c r="BD286" s="155"/>
      <c r="BE286" s="238"/>
      <c r="BF286" s="239"/>
      <c r="BG286" s="239"/>
      <c r="BH286" s="240"/>
      <c r="BI286" s="155"/>
      <c r="BJ286" s="238"/>
      <c r="BK286" s="239"/>
      <c r="BL286" s="239"/>
      <c r="BM286" s="240"/>
      <c r="BN286" s="155"/>
      <c r="BO286" s="238"/>
      <c r="BP286" s="239"/>
      <c r="BQ286" s="239"/>
      <c r="BR286" s="240"/>
      <c r="BS286" s="155"/>
      <c r="BT286" s="238"/>
      <c r="BU286" s="239"/>
      <c r="BV286" s="239"/>
      <c r="BW286" s="240"/>
      <c r="BX286" s="155"/>
      <c r="BY286" s="238"/>
      <c r="BZ286" s="239"/>
      <c r="CA286" s="239"/>
      <c r="CB286" s="240"/>
      <c r="CC286" s="155"/>
      <c r="CD286" s="238"/>
      <c r="CE286" s="239"/>
      <c r="CF286" s="239"/>
      <c r="CG286" s="240"/>
      <c r="CH286" s="155"/>
      <c r="CI286" s="238"/>
      <c r="CJ286" s="239"/>
      <c r="CK286" s="239"/>
      <c r="CL286" s="240"/>
      <c r="CM286" s="155"/>
      <c r="CN286" s="238"/>
      <c r="CO286" s="239"/>
      <c r="CP286" s="239"/>
      <c r="CQ286" s="240"/>
      <c r="CR286" s="155"/>
      <c r="CS286" s="238"/>
      <c r="CT286" s="239"/>
      <c r="CU286" s="239"/>
      <c r="CV286" s="240"/>
      <c r="CW286" s="155"/>
      <c r="CX286" s="238"/>
      <c r="CY286" s="239"/>
      <c r="CZ286" s="239"/>
      <c r="DA286" s="240"/>
      <c r="DB286" s="155"/>
      <c r="DC286" s="238"/>
      <c r="DD286" s="239"/>
      <c r="DE286" s="239"/>
      <c r="DF286" s="240"/>
      <c r="DG286" s="155"/>
      <c r="DH286" s="238"/>
      <c r="DI286" s="239"/>
      <c r="DJ286" s="239"/>
      <c r="DK286" s="240"/>
      <c r="DL286" s="155"/>
      <c r="DM286" s="238"/>
      <c r="DN286" s="239"/>
      <c r="DO286" s="239"/>
      <c r="DP286" s="240"/>
      <c r="DQ286" s="155"/>
      <c r="DR286" s="238"/>
      <c r="DS286" s="239"/>
      <c r="DT286" s="239"/>
      <c r="DU286" s="240"/>
      <c r="DV286" s="155"/>
      <c r="DW286" s="238"/>
      <c r="DX286" s="239"/>
      <c r="DY286" s="239"/>
      <c r="DZ286" s="240"/>
      <c r="EA286" s="155"/>
      <c r="EB286" s="238"/>
      <c r="EC286" s="239"/>
      <c r="ED286" s="239"/>
      <c r="EE286" s="240"/>
      <c r="EF286" s="155"/>
      <c r="EG286" s="238"/>
      <c r="EH286" s="239"/>
      <c r="EI286" s="239"/>
      <c r="EJ286" s="240"/>
      <c r="EK286" s="155"/>
      <c r="EL286" s="238"/>
      <c r="EM286" s="239"/>
      <c r="EN286" s="239"/>
      <c r="EO286" s="240"/>
      <c r="EP286" s="155"/>
      <c r="EQ286" s="238"/>
      <c r="ER286" s="239"/>
      <c r="ES286" s="239"/>
      <c r="ET286" s="240"/>
      <c r="EU286" s="155"/>
      <c r="EV286" s="238"/>
      <c r="EW286" s="239"/>
      <c r="EX286" s="239"/>
      <c r="EY286" s="240"/>
      <c r="EZ286" s="155"/>
      <c r="FA286" s="238"/>
      <c r="FB286" s="239"/>
      <c r="FC286" s="239"/>
      <c r="FD286" s="240"/>
      <c r="FE286" s="155"/>
      <c r="FF286" s="238"/>
      <c r="FG286" s="239"/>
      <c r="FH286" s="239"/>
      <c r="FI286" s="240"/>
      <c r="FJ286" s="155"/>
      <c r="FK286" s="238"/>
      <c r="FL286" s="239"/>
      <c r="FM286" s="239"/>
      <c r="FN286" s="240"/>
      <c r="FO286" s="155"/>
      <c r="FP286" s="238"/>
      <c r="FQ286" s="239"/>
      <c r="FR286" s="239"/>
      <c r="FS286" s="240"/>
      <c r="FT286" s="155"/>
      <c r="FU286" s="238"/>
      <c r="FV286" s="239"/>
      <c r="FW286" s="239"/>
      <c r="FX286" s="240"/>
      <c r="FY286" s="155"/>
      <c r="FZ286" s="238"/>
      <c r="GA286" s="239"/>
      <c r="GB286" s="239"/>
      <c r="GC286" s="240"/>
      <c r="GD286" s="155"/>
      <c r="GE286" s="238"/>
      <c r="GF286" s="239"/>
      <c r="GG286" s="239"/>
      <c r="GH286" s="240"/>
      <c r="GI286" s="155"/>
      <c r="GJ286" s="1562"/>
      <c r="GK286" s="239"/>
      <c r="GL286" s="239"/>
      <c r="GM286" s="240"/>
      <c r="GN286" s="155"/>
      <c r="GO286" s="238"/>
      <c r="GP286" s="239"/>
      <c r="GQ286" s="239"/>
      <c r="GR286" s="240"/>
      <c r="GS286" s="155"/>
      <c r="GT286" s="238"/>
      <c r="GU286" s="239"/>
      <c r="GV286" s="239"/>
      <c r="GW286" s="240"/>
      <c r="GX286" s="155"/>
      <c r="GY286" s="238"/>
      <c r="GZ286" s="239"/>
      <c r="HA286" s="239"/>
      <c r="HB286" s="240"/>
      <c r="HC286" s="155"/>
      <c r="HD286" s="238"/>
      <c r="HE286" s="239"/>
      <c r="HF286" s="239"/>
      <c r="HG286" s="240"/>
      <c r="HH286" s="155"/>
      <c r="HI286" s="238"/>
      <c r="HJ286" s="239"/>
      <c r="HK286" s="239"/>
      <c r="HL286" s="240"/>
      <c r="HM286" s="155"/>
      <c r="HN286" s="238"/>
      <c r="HO286" s="239"/>
      <c r="HP286" s="239"/>
      <c r="HQ286" s="240"/>
      <c r="HR286" s="155"/>
      <c r="HS286" s="238"/>
      <c r="HT286" s="239"/>
      <c r="HU286" s="239"/>
      <c r="HV286" s="240"/>
      <c r="HW286" s="155"/>
      <c r="HX286" s="238"/>
      <c r="HY286" s="239"/>
      <c r="HZ286" s="239"/>
      <c r="IA286" s="240"/>
      <c r="IB286" s="155"/>
      <c r="IC286" s="238"/>
      <c r="ID286" s="239"/>
      <c r="IE286" s="239"/>
      <c r="IF286" s="240"/>
      <c r="IG286" s="155"/>
      <c r="IH286" s="238"/>
      <c r="II286" s="239"/>
      <c r="IJ286" s="239"/>
      <c r="IK286" s="240"/>
      <c r="IL286" s="155"/>
      <c r="IM286" s="238"/>
      <c r="IN286" s="239"/>
      <c r="IO286" s="239"/>
      <c r="IP286" s="240"/>
      <c r="IQ286" s="155"/>
    </row>
    <row r="287" spans="2:251" ht="15" customHeight="1">
      <c r="B287" s="155"/>
      <c r="C287" s="155"/>
      <c r="D287" s="236"/>
      <c r="E287" s="237"/>
      <c r="F287" s="312"/>
      <c r="G287" s="330"/>
      <c r="H287" s="239"/>
      <c r="I287" s="239"/>
      <c r="J287" s="240"/>
      <c r="K287" s="331"/>
      <c r="L287" s="330"/>
      <c r="M287" s="239"/>
      <c r="N287" s="239"/>
      <c r="O287" s="240"/>
      <c r="P287" s="331"/>
      <c r="Q287" s="330"/>
      <c r="R287" s="239"/>
      <c r="S287" s="239"/>
      <c r="T287" s="240"/>
      <c r="U287" s="331"/>
      <c r="V287" s="323"/>
      <c r="W287" s="239"/>
      <c r="X287" s="239"/>
      <c r="Y287" s="240"/>
      <c r="Z287" s="240"/>
      <c r="AA287" s="238"/>
      <c r="AB287" s="239"/>
      <c r="AC287" s="239"/>
      <c r="AD287" s="240"/>
      <c r="AE287" s="240"/>
      <c r="AF287" s="238"/>
      <c r="AG287" s="239"/>
      <c r="AH287" s="239"/>
      <c r="AI287" s="240"/>
      <c r="AJ287" s="155"/>
      <c r="AK287" s="238"/>
      <c r="AL287" s="239"/>
      <c r="AM287" s="239"/>
      <c r="AN287" s="240"/>
      <c r="AO287" s="155"/>
      <c r="AP287" s="238"/>
      <c r="AQ287" s="239"/>
      <c r="AR287" s="239"/>
      <c r="AS287" s="240"/>
      <c r="AT287" s="155"/>
      <c r="AU287" s="238"/>
      <c r="AV287" s="239"/>
      <c r="AW287" s="239"/>
      <c r="AX287" s="240"/>
      <c r="AY287" s="155"/>
      <c r="AZ287" s="238"/>
      <c r="BA287" s="239"/>
      <c r="BB287" s="239"/>
      <c r="BC287" s="240"/>
      <c r="BD287" s="155"/>
      <c r="BE287" s="238"/>
      <c r="BF287" s="239"/>
      <c r="BG287" s="239"/>
      <c r="BH287" s="240"/>
      <c r="BI287" s="155"/>
      <c r="BJ287" s="238"/>
      <c r="BK287" s="239"/>
      <c r="BL287" s="239"/>
      <c r="BM287" s="240"/>
      <c r="BN287" s="155"/>
      <c r="BO287" s="238"/>
      <c r="BP287" s="239"/>
      <c r="BQ287" s="239"/>
      <c r="BR287" s="240"/>
      <c r="BS287" s="155"/>
      <c r="BT287" s="238"/>
      <c r="BU287" s="239"/>
      <c r="BV287" s="239"/>
      <c r="BW287" s="240"/>
      <c r="BX287" s="155"/>
      <c r="BY287" s="238"/>
      <c r="BZ287" s="239"/>
      <c r="CA287" s="239"/>
      <c r="CB287" s="240"/>
      <c r="CC287" s="155"/>
      <c r="CD287" s="238"/>
      <c r="CE287" s="239"/>
      <c r="CF287" s="239"/>
      <c r="CG287" s="240"/>
      <c r="CH287" s="155"/>
      <c r="CI287" s="238"/>
      <c r="CJ287" s="239"/>
      <c r="CK287" s="239"/>
      <c r="CL287" s="240"/>
      <c r="CM287" s="155"/>
      <c r="CN287" s="238"/>
      <c r="CO287" s="239"/>
      <c r="CP287" s="239"/>
      <c r="CQ287" s="240"/>
      <c r="CR287" s="155"/>
      <c r="CS287" s="238"/>
      <c r="CT287" s="239"/>
      <c r="CU287" s="239"/>
      <c r="CV287" s="240"/>
      <c r="CW287" s="155"/>
      <c r="CX287" s="238"/>
      <c r="CY287" s="239"/>
      <c r="CZ287" s="239"/>
      <c r="DA287" s="240"/>
      <c r="DB287" s="155"/>
      <c r="DC287" s="238"/>
      <c r="DD287" s="239"/>
      <c r="DE287" s="239"/>
      <c r="DF287" s="240"/>
      <c r="DG287" s="155"/>
      <c r="DH287" s="238"/>
      <c r="DI287" s="239"/>
      <c r="DJ287" s="239"/>
      <c r="DK287" s="240"/>
      <c r="DL287" s="155"/>
      <c r="DM287" s="238"/>
      <c r="DN287" s="239"/>
      <c r="DO287" s="239"/>
      <c r="DP287" s="240"/>
      <c r="DQ287" s="155"/>
      <c r="DR287" s="238"/>
      <c r="DS287" s="239"/>
      <c r="DT287" s="239"/>
      <c r="DU287" s="240"/>
      <c r="DV287" s="155"/>
      <c r="DW287" s="238"/>
      <c r="DX287" s="239"/>
      <c r="DY287" s="239"/>
      <c r="DZ287" s="240"/>
      <c r="EA287" s="155"/>
      <c r="EB287" s="238"/>
      <c r="EC287" s="239"/>
      <c r="ED287" s="239"/>
      <c r="EE287" s="240"/>
      <c r="EF287" s="155"/>
      <c r="EG287" s="238"/>
      <c r="EH287" s="239"/>
      <c r="EI287" s="239"/>
      <c r="EJ287" s="240"/>
      <c r="EK287" s="155"/>
      <c r="EL287" s="238"/>
      <c r="EM287" s="239"/>
      <c r="EN287" s="239"/>
      <c r="EO287" s="240"/>
      <c r="EP287" s="155"/>
      <c r="EQ287" s="238"/>
      <c r="ER287" s="239"/>
      <c r="ES287" s="239"/>
      <c r="ET287" s="240"/>
      <c r="EU287" s="155"/>
      <c r="EV287" s="238"/>
      <c r="EW287" s="239"/>
      <c r="EX287" s="239"/>
      <c r="EY287" s="240"/>
      <c r="EZ287" s="155"/>
      <c r="FA287" s="238"/>
      <c r="FB287" s="239"/>
      <c r="FC287" s="239"/>
      <c r="FD287" s="240"/>
      <c r="FE287" s="155"/>
      <c r="FF287" s="238"/>
      <c r="FG287" s="239"/>
      <c r="FH287" s="239"/>
      <c r="FI287" s="240"/>
      <c r="FJ287" s="155"/>
      <c r="FK287" s="238"/>
      <c r="FL287" s="239"/>
      <c r="FM287" s="239"/>
      <c r="FN287" s="240"/>
      <c r="FO287" s="155"/>
      <c r="FP287" s="238"/>
      <c r="FQ287" s="239"/>
      <c r="FR287" s="239"/>
      <c r="FS287" s="240"/>
      <c r="FT287" s="155"/>
      <c r="FU287" s="238"/>
      <c r="FV287" s="239"/>
      <c r="FW287" s="239"/>
      <c r="FX287" s="240"/>
      <c r="FY287" s="155"/>
      <c r="FZ287" s="238"/>
      <c r="GA287" s="239"/>
      <c r="GB287" s="239"/>
      <c r="GC287" s="240"/>
      <c r="GD287" s="155"/>
      <c r="GE287" s="238"/>
      <c r="GF287" s="239"/>
      <c r="GG287" s="239"/>
      <c r="GH287" s="240"/>
      <c r="GI287" s="155"/>
      <c r="GJ287" s="1562"/>
      <c r="GK287" s="239"/>
      <c r="GL287" s="239"/>
      <c r="GM287" s="240"/>
      <c r="GN287" s="155"/>
      <c r="GO287" s="238"/>
      <c r="GP287" s="239"/>
      <c r="GQ287" s="239"/>
      <c r="GR287" s="240"/>
      <c r="GS287" s="155"/>
      <c r="GT287" s="238"/>
      <c r="GU287" s="239"/>
      <c r="GV287" s="239"/>
      <c r="GW287" s="240"/>
      <c r="GX287" s="155"/>
      <c r="GY287" s="238"/>
      <c r="GZ287" s="239"/>
      <c r="HA287" s="239"/>
      <c r="HB287" s="240"/>
      <c r="HC287" s="155"/>
      <c r="HD287" s="238"/>
      <c r="HE287" s="239"/>
      <c r="HF287" s="239"/>
      <c r="HG287" s="240"/>
      <c r="HH287" s="155"/>
      <c r="HI287" s="238"/>
      <c r="HJ287" s="239"/>
      <c r="HK287" s="239"/>
      <c r="HL287" s="240"/>
      <c r="HM287" s="155"/>
      <c r="HN287" s="238"/>
      <c r="HO287" s="239"/>
      <c r="HP287" s="239"/>
      <c r="HQ287" s="240"/>
      <c r="HR287" s="155"/>
      <c r="HS287" s="238"/>
      <c r="HT287" s="239"/>
      <c r="HU287" s="239"/>
      <c r="HV287" s="240"/>
      <c r="HW287" s="155"/>
      <c r="HX287" s="238"/>
      <c r="HY287" s="239"/>
      <c r="HZ287" s="239"/>
      <c r="IA287" s="240"/>
      <c r="IB287" s="155"/>
      <c r="IC287" s="238"/>
      <c r="ID287" s="239"/>
      <c r="IE287" s="239"/>
      <c r="IF287" s="240"/>
      <c r="IG287" s="155"/>
      <c r="IH287" s="238"/>
      <c r="II287" s="239"/>
      <c r="IJ287" s="239"/>
      <c r="IK287" s="240"/>
      <c r="IL287" s="155"/>
      <c r="IM287" s="238"/>
      <c r="IN287" s="239"/>
      <c r="IO287" s="239"/>
      <c r="IP287" s="240"/>
      <c r="IQ287" s="155"/>
    </row>
    <row r="288" spans="2:251" ht="15" customHeight="1">
      <c r="B288" s="155"/>
      <c r="C288" s="155"/>
      <c r="D288" s="236"/>
      <c r="E288" s="237"/>
      <c r="F288" s="312"/>
      <c r="G288" s="330"/>
      <c r="H288" s="239"/>
      <c r="I288" s="239"/>
      <c r="J288" s="240"/>
      <c r="K288" s="331"/>
      <c r="L288" s="330"/>
      <c r="M288" s="239"/>
      <c r="N288" s="239"/>
      <c r="O288" s="240"/>
      <c r="P288" s="331"/>
      <c r="Q288" s="330"/>
      <c r="R288" s="239"/>
      <c r="S288" s="239"/>
      <c r="T288" s="240"/>
      <c r="U288" s="331"/>
      <c r="V288" s="323"/>
      <c r="W288" s="239"/>
      <c r="X288" s="239"/>
      <c r="Y288" s="240"/>
      <c r="Z288" s="240"/>
      <c r="AA288" s="238"/>
      <c r="AB288" s="239"/>
      <c r="AC288" s="239"/>
      <c r="AD288" s="240"/>
      <c r="AE288" s="240"/>
      <c r="AF288" s="238"/>
      <c r="AG288" s="239"/>
      <c r="AH288" s="239"/>
      <c r="AI288" s="240"/>
      <c r="AJ288" s="155"/>
      <c r="AK288" s="238"/>
      <c r="AL288" s="239"/>
      <c r="AM288" s="239"/>
      <c r="AN288" s="240"/>
      <c r="AO288" s="155"/>
      <c r="AP288" s="238"/>
      <c r="AQ288" s="239"/>
      <c r="AR288" s="239"/>
      <c r="AS288" s="240"/>
      <c r="AT288" s="155"/>
      <c r="AU288" s="238"/>
      <c r="AV288" s="239"/>
      <c r="AW288" s="239"/>
      <c r="AX288" s="240"/>
      <c r="AY288" s="155"/>
      <c r="AZ288" s="238"/>
      <c r="BA288" s="239"/>
      <c r="BB288" s="239"/>
      <c r="BC288" s="240"/>
      <c r="BD288" s="155"/>
      <c r="BE288" s="238"/>
      <c r="BF288" s="239"/>
      <c r="BG288" s="239"/>
      <c r="BH288" s="240"/>
      <c r="BI288" s="155"/>
      <c r="BJ288" s="238"/>
      <c r="BK288" s="239"/>
      <c r="BL288" s="239"/>
      <c r="BM288" s="240"/>
      <c r="BN288" s="155"/>
      <c r="BO288" s="238"/>
      <c r="BP288" s="239"/>
      <c r="BQ288" s="239"/>
      <c r="BR288" s="240"/>
      <c r="BS288" s="155"/>
      <c r="BT288" s="238"/>
      <c r="BU288" s="239"/>
      <c r="BV288" s="239"/>
      <c r="BW288" s="240"/>
      <c r="BX288" s="155"/>
      <c r="BY288" s="238"/>
      <c r="BZ288" s="239"/>
      <c r="CA288" s="239"/>
      <c r="CB288" s="240"/>
      <c r="CC288" s="155"/>
      <c r="CD288" s="238"/>
      <c r="CE288" s="239"/>
      <c r="CF288" s="239"/>
      <c r="CG288" s="240"/>
      <c r="CH288" s="155"/>
      <c r="CI288" s="238"/>
      <c r="CJ288" s="239"/>
      <c r="CK288" s="239"/>
      <c r="CL288" s="240"/>
      <c r="CM288" s="155"/>
      <c r="CN288" s="238"/>
      <c r="CO288" s="239"/>
      <c r="CP288" s="239"/>
      <c r="CQ288" s="240"/>
      <c r="CR288" s="155"/>
      <c r="CS288" s="238"/>
      <c r="CT288" s="239"/>
      <c r="CU288" s="239"/>
      <c r="CV288" s="240"/>
      <c r="CW288" s="155"/>
      <c r="CX288" s="238"/>
      <c r="CY288" s="239"/>
      <c r="CZ288" s="239"/>
      <c r="DA288" s="240"/>
      <c r="DB288" s="155"/>
      <c r="DC288" s="238"/>
      <c r="DD288" s="239"/>
      <c r="DE288" s="239"/>
      <c r="DF288" s="240"/>
      <c r="DG288" s="155"/>
      <c r="DH288" s="238"/>
      <c r="DI288" s="239"/>
      <c r="DJ288" s="239"/>
      <c r="DK288" s="240"/>
      <c r="DL288" s="155"/>
      <c r="DM288" s="238"/>
      <c r="DN288" s="239"/>
      <c r="DO288" s="239"/>
      <c r="DP288" s="240"/>
      <c r="DQ288" s="155"/>
      <c r="DR288" s="238"/>
      <c r="DS288" s="239"/>
      <c r="DT288" s="239"/>
      <c r="DU288" s="240"/>
      <c r="DV288" s="155"/>
      <c r="DW288" s="238"/>
      <c r="DX288" s="239"/>
      <c r="DY288" s="239"/>
      <c r="DZ288" s="240"/>
      <c r="EA288" s="155"/>
      <c r="EB288" s="238"/>
      <c r="EC288" s="239"/>
      <c r="ED288" s="239"/>
      <c r="EE288" s="240"/>
      <c r="EF288" s="155"/>
      <c r="EG288" s="238"/>
      <c r="EH288" s="239"/>
      <c r="EI288" s="239"/>
      <c r="EJ288" s="240"/>
      <c r="EK288" s="155"/>
      <c r="EL288" s="238"/>
      <c r="EM288" s="239"/>
      <c r="EN288" s="239"/>
      <c r="EO288" s="240"/>
      <c r="EP288" s="155"/>
      <c r="EQ288" s="238"/>
      <c r="ER288" s="239"/>
      <c r="ES288" s="239"/>
      <c r="ET288" s="240"/>
      <c r="EU288" s="155"/>
      <c r="EV288" s="238"/>
      <c r="EW288" s="239"/>
      <c r="EX288" s="239"/>
      <c r="EY288" s="240"/>
      <c r="EZ288" s="155"/>
      <c r="FA288" s="238"/>
      <c r="FB288" s="239"/>
      <c r="FC288" s="239"/>
      <c r="FD288" s="240"/>
      <c r="FE288" s="155"/>
      <c r="FF288" s="238"/>
      <c r="FG288" s="239"/>
      <c r="FH288" s="239"/>
      <c r="FI288" s="240"/>
      <c r="FJ288" s="155"/>
      <c r="FK288" s="238"/>
      <c r="FL288" s="239"/>
      <c r="FM288" s="239"/>
      <c r="FN288" s="240"/>
      <c r="FO288" s="155"/>
      <c r="FP288" s="238"/>
      <c r="FQ288" s="239"/>
      <c r="FR288" s="239"/>
      <c r="FS288" s="240"/>
      <c r="FT288" s="155"/>
      <c r="FU288" s="238"/>
      <c r="FV288" s="239"/>
      <c r="FW288" s="239"/>
      <c r="FX288" s="240"/>
      <c r="FY288" s="155"/>
      <c r="FZ288" s="238"/>
      <c r="GA288" s="239"/>
      <c r="GB288" s="239"/>
      <c r="GC288" s="240"/>
      <c r="GD288" s="155"/>
      <c r="GE288" s="238"/>
      <c r="GF288" s="239"/>
      <c r="GG288" s="239"/>
      <c r="GH288" s="240"/>
      <c r="GI288" s="155"/>
      <c r="GJ288" s="1562"/>
      <c r="GK288" s="239"/>
      <c r="GL288" s="239"/>
      <c r="GM288" s="240"/>
      <c r="GN288" s="155"/>
      <c r="GO288" s="238"/>
      <c r="GP288" s="239"/>
      <c r="GQ288" s="239"/>
      <c r="GR288" s="240"/>
      <c r="GS288" s="155"/>
      <c r="GT288" s="238"/>
      <c r="GU288" s="239"/>
      <c r="GV288" s="239"/>
      <c r="GW288" s="240"/>
      <c r="GX288" s="155"/>
      <c r="GY288" s="238"/>
      <c r="GZ288" s="239"/>
      <c r="HA288" s="239"/>
      <c r="HB288" s="240"/>
      <c r="HC288" s="155"/>
      <c r="HD288" s="238"/>
      <c r="HE288" s="239"/>
      <c r="HF288" s="239"/>
      <c r="HG288" s="240"/>
      <c r="HH288" s="155"/>
      <c r="HI288" s="238"/>
      <c r="HJ288" s="239"/>
      <c r="HK288" s="239"/>
      <c r="HL288" s="240"/>
      <c r="HM288" s="155"/>
      <c r="HN288" s="238"/>
      <c r="HO288" s="239"/>
      <c r="HP288" s="239"/>
      <c r="HQ288" s="240"/>
      <c r="HR288" s="155"/>
      <c r="HS288" s="238"/>
      <c r="HT288" s="239"/>
      <c r="HU288" s="239"/>
      <c r="HV288" s="240"/>
      <c r="HW288" s="155"/>
      <c r="HX288" s="238"/>
      <c r="HY288" s="239"/>
      <c r="HZ288" s="239"/>
      <c r="IA288" s="240"/>
      <c r="IB288" s="155"/>
      <c r="IC288" s="238"/>
      <c r="ID288" s="239"/>
      <c r="IE288" s="239"/>
      <c r="IF288" s="240"/>
      <c r="IG288" s="155"/>
      <c r="IH288" s="238"/>
      <c r="II288" s="239"/>
      <c r="IJ288" s="239"/>
      <c r="IK288" s="240"/>
      <c r="IL288" s="155"/>
      <c r="IM288" s="238"/>
      <c r="IN288" s="239"/>
      <c r="IO288" s="239"/>
      <c r="IP288" s="240"/>
      <c r="IQ288" s="155"/>
    </row>
    <row r="289" spans="2:251" ht="15" customHeight="1">
      <c r="B289" s="155"/>
      <c r="C289" s="155"/>
      <c r="D289" s="236"/>
      <c r="E289" s="237"/>
      <c r="F289" s="312"/>
      <c r="G289" s="330"/>
      <c r="H289" s="239"/>
      <c r="I289" s="239"/>
      <c r="J289" s="240"/>
      <c r="K289" s="331"/>
      <c r="L289" s="330"/>
      <c r="M289" s="239"/>
      <c r="N289" s="239"/>
      <c r="O289" s="240"/>
      <c r="P289" s="331"/>
      <c r="Q289" s="330"/>
      <c r="R289" s="239"/>
      <c r="S289" s="239"/>
      <c r="T289" s="240"/>
      <c r="U289" s="331"/>
      <c r="V289" s="323"/>
      <c r="W289" s="239"/>
      <c r="X289" s="239"/>
      <c r="Y289" s="240"/>
      <c r="Z289" s="240"/>
      <c r="AA289" s="238"/>
      <c r="AB289" s="239"/>
      <c r="AC289" s="239"/>
      <c r="AD289" s="240"/>
      <c r="AE289" s="240"/>
      <c r="AF289" s="238"/>
      <c r="AG289" s="239"/>
      <c r="AH289" s="239"/>
      <c r="AI289" s="240"/>
      <c r="AJ289" s="155"/>
      <c r="AK289" s="238"/>
      <c r="AL289" s="239"/>
      <c r="AM289" s="239"/>
      <c r="AN289" s="240"/>
      <c r="AO289" s="155"/>
      <c r="AP289" s="238"/>
      <c r="AQ289" s="239"/>
      <c r="AR289" s="239"/>
      <c r="AS289" s="240"/>
      <c r="AT289" s="155"/>
      <c r="AU289" s="238"/>
      <c r="AV289" s="239"/>
      <c r="AW289" s="239"/>
      <c r="AX289" s="240"/>
      <c r="AY289" s="155"/>
      <c r="AZ289" s="238"/>
      <c r="BA289" s="239"/>
      <c r="BB289" s="239"/>
      <c r="BC289" s="240"/>
      <c r="BD289" s="155"/>
      <c r="BE289" s="238"/>
      <c r="BF289" s="239"/>
      <c r="BG289" s="239"/>
      <c r="BH289" s="240"/>
      <c r="BI289" s="155"/>
      <c r="BJ289" s="238"/>
      <c r="BK289" s="239"/>
      <c r="BL289" s="239"/>
      <c r="BM289" s="240"/>
      <c r="BN289" s="155"/>
      <c r="BO289" s="238"/>
      <c r="BP289" s="239"/>
      <c r="BQ289" s="239"/>
      <c r="BR289" s="240"/>
      <c r="BS289" s="155"/>
      <c r="BT289" s="238"/>
      <c r="BU289" s="239"/>
      <c r="BV289" s="239"/>
      <c r="BW289" s="240"/>
      <c r="BX289" s="155"/>
      <c r="BY289" s="238"/>
      <c r="BZ289" s="239"/>
      <c r="CA289" s="239"/>
      <c r="CB289" s="240"/>
      <c r="CC289" s="155"/>
      <c r="CD289" s="238"/>
      <c r="CE289" s="239"/>
      <c r="CF289" s="239"/>
      <c r="CG289" s="240"/>
      <c r="CH289" s="155"/>
      <c r="CI289" s="238"/>
      <c r="CJ289" s="239"/>
      <c r="CK289" s="239"/>
      <c r="CL289" s="240"/>
      <c r="CM289" s="155"/>
      <c r="CN289" s="238"/>
      <c r="CO289" s="239"/>
      <c r="CP289" s="239"/>
      <c r="CQ289" s="240"/>
      <c r="CR289" s="155"/>
      <c r="CS289" s="238"/>
      <c r="CT289" s="239"/>
      <c r="CU289" s="239"/>
      <c r="CV289" s="240"/>
      <c r="CW289" s="155"/>
      <c r="CX289" s="238"/>
      <c r="CY289" s="239"/>
      <c r="CZ289" s="239"/>
      <c r="DA289" s="240"/>
      <c r="DB289" s="155"/>
      <c r="DC289" s="238"/>
      <c r="DD289" s="239"/>
      <c r="DE289" s="239"/>
      <c r="DF289" s="240"/>
      <c r="DG289" s="155"/>
      <c r="DH289" s="238"/>
      <c r="DI289" s="239"/>
      <c r="DJ289" s="239"/>
      <c r="DK289" s="240"/>
      <c r="DL289" s="155"/>
      <c r="DM289" s="238"/>
      <c r="DN289" s="239"/>
      <c r="DO289" s="239"/>
      <c r="DP289" s="240"/>
      <c r="DQ289" s="155"/>
      <c r="DR289" s="238"/>
      <c r="DS289" s="239"/>
      <c r="DT289" s="239"/>
      <c r="DU289" s="240"/>
      <c r="DV289" s="155"/>
      <c r="DW289" s="238"/>
      <c r="DX289" s="239"/>
      <c r="DY289" s="239"/>
      <c r="DZ289" s="240"/>
      <c r="EA289" s="155"/>
      <c r="EB289" s="238"/>
      <c r="EC289" s="239"/>
      <c r="ED289" s="239"/>
      <c r="EE289" s="240"/>
      <c r="EF289" s="155"/>
      <c r="EG289" s="238"/>
      <c r="EH289" s="239"/>
      <c r="EI289" s="239"/>
      <c r="EJ289" s="240"/>
      <c r="EK289" s="155"/>
      <c r="EL289" s="238"/>
      <c r="EM289" s="239"/>
      <c r="EN289" s="239"/>
      <c r="EO289" s="240"/>
      <c r="EP289" s="155"/>
      <c r="EQ289" s="238"/>
      <c r="ER289" s="239"/>
      <c r="ES289" s="239"/>
      <c r="ET289" s="240"/>
      <c r="EU289" s="155"/>
      <c r="EV289" s="238"/>
      <c r="EW289" s="239"/>
      <c r="EX289" s="239"/>
      <c r="EY289" s="240"/>
      <c r="EZ289" s="155"/>
      <c r="FA289" s="238"/>
      <c r="FB289" s="239"/>
      <c r="FC289" s="239"/>
      <c r="FD289" s="240"/>
      <c r="FE289" s="155"/>
      <c r="FF289" s="238"/>
      <c r="FG289" s="239"/>
      <c r="FH289" s="239"/>
      <c r="FI289" s="240"/>
      <c r="FJ289" s="155"/>
      <c r="FK289" s="238"/>
      <c r="FL289" s="239"/>
      <c r="FM289" s="239"/>
      <c r="FN289" s="240"/>
      <c r="FO289" s="155"/>
      <c r="FP289" s="238"/>
      <c r="FQ289" s="239"/>
      <c r="FR289" s="239"/>
      <c r="FS289" s="240"/>
      <c r="FT289" s="155"/>
      <c r="FU289" s="238"/>
      <c r="FV289" s="239"/>
      <c r="FW289" s="239"/>
      <c r="FX289" s="240"/>
      <c r="FY289" s="155"/>
      <c r="FZ289" s="238"/>
      <c r="GA289" s="239"/>
      <c r="GB289" s="239"/>
      <c r="GC289" s="240"/>
      <c r="GD289" s="155"/>
      <c r="GE289" s="238"/>
      <c r="GF289" s="239"/>
      <c r="GG289" s="239"/>
      <c r="GH289" s="240"/>
      <c r="GI289" s="155"/>
      <c r="GJ289" s="1562"/>
      <c r="GK289" s="239"/>
      <c r="GL289" s="239"/>
      <c r="GM289" s="240"/>
      <c r="GN289" s="155"/>
      <c r="GO289" s="238"/>
      <c r="GP289" s="239"/>
      <c r="GQ289" s="239"/>
      <c r="GR289" s="240"/>
      <c r="GS289" s="155"/>
      <c r="GT289" s="238"/>
      <c r="GU289" s="239"/>
      <c r="GV289" s="239"/>
      <c r="GW289" s="240"/>
      <c r="GX289" s="155"/>
      <c r="GY289" s="238"/>
      <c r="GZ289" s="239"/>
      <c r="HA289" s="239"/>
      <c r="HB289" s="240"/>
      <c r="HC289" s="155"/>
      <c r="HD289" s="238"/>
      <c r="HE289" s="239"/>
      <c r="HF289" s="239"/>
      <c r="HG289" s="240"/>
      <c r="HH289" s="155"/>
      <c r="HI289" s="238"/>
      <c r="HJ289" s="239"/>
      <c r="HK289" s="239"/>
      <c r="HL289" s="240"/>
      <c r="HM289" s="155"/>
      <c r="HN289" s="238"/>
      <c r="HO289" s="239"/>
      <c r="HP289" s="239"/>
      <c r="HQ289" s="240"/>
      <c r="HR289" s="155"/>
      <c r="HS289" s="238"/>
      <c r="HT289" s="239"/>
      <c r="HU289" s="239"/>
      <c r="HV289" s="240"/>
      <c r="HW289" s="155"/>
      <c r="HX289" s="238"/>
      <c r="HY289" s="239"/>
      <c r="HZ289" s="239"/>
      <c r="IA289" s="240"/>
      <c r="IB289" s="155"/>
      <c r="IC289" s="238"/>
      <c r="ID289" s="239"/>
      <c r="IE289" s="239"/>
      <c r="IF289" s="240"/>
      <c r="IG289" s="155"/>
      <c r="IH289" s="238"/>
      <c r="II289" s="239"/>
      <c r="IJ289" s="239"/>
      <c r="IK289" s="240"/>
      <c r="IL289" s="155"/>
      <c r="IM289" s="238"/>
      <c r="IN289" s="239"/>
      <c r="IO289" s="239"/>
      <c r="IP289" s="240"/>
      <c r="IQ289" s="155"/>
    </row>
    <row r="290" spans="2:251" ht="15" customHeight="1">
      <c r="B290" s="155"/>
      <c r="C290" s="155"/>
      <c r="D290" s="236"/>
      <c r="E290" s="237"/>
      <c r="F290" s="312"/>
      <c r="G290" s="330"/>
      <c r="H290" s="239"/>
      <c r="I290" s="239"/>
      <c r="J290" s="240"/>
      <c r="K290" s="331"/>
      <c r="L290" s="330"/>
      <c r="M290" s="239"/>
      <c r="N290" s="239"/>
      <c r="O290" s="240"/>
      <c r="P290" s="331"/>
      <c r="Q290" s="330"/>
      <c r="R290" s="239"/>
      <c r="S290" s="239"/>
      <c r="T290" s="240"/>
      <c r="U290" s="331"/>
      <c r="V290" s="323"/>
      <c r="W290" s="239"/>
      <c r="X290" s="239"/>
      <c r="Y290" s="240"/>
      <c r="Z290" s="240"/>
      <c r="AA290" s="238"/>
      <c r="AB290" s="239"/>
      <c r="AC290" s="239"/>
      <c r="AD290" s="240"/>
      <c r="AE290" s="240"/>
      <c r="AF290" s="238"/>
      <c r="AG290" s="239"/>
      <c r="AH290" s="239"/>
      <c r="AI290" s="240"/>
      <c r="AJ290" s="155"/>
      <c r="AK290" s="238"/>
      <c r="AL290" s="239"/>
      <c r="AM290" s="239"/>
      <c r="AN290" s="240"/>
      <c r="AO290" s="155"/>
      <c r="AP290" s="238"/>
      <c r="AQ290" s="239"/>
      <c r="AR290" s="239"/>
      <c r="AS290" s="240"/>
      <c r="AT290" s="155"/>
      <c r="AU290" s="238"/>
      <c r="AV290" s="239"/>
      <c r="AW290" s="239"/>
      <c r="AX290" s="240"/>
      <c r="AY290" s="155"/>
      <c r="AZ290" s="238"/>
      <c r="BA290" s="239"/>
      <c r="BB290" s="239"/>
      <c r="BC290" s="240"/>
      <c r="BD290" s="155"/>
      <c r="BE290" s="238"/>
      <c r="BF290" s="239"/>
      <c r="BG290" s="239"/>
      <c r="BH290" s="240"/>
      <c r="BI290" s="155"/>
      <c r="BJ290" s="238"/>
      <c r="BK290" s="239"/>
      <c r="BL290" s="239"/>
      <c r="BM290" s="240"/>
      <c r="BN290" s="155"/>
      <c r="BO290" s="238"/>
      <c r="BP290" s="239"/>
      <c r="BQ290" s="239"/>
      <c r="BR290" s="240"/>
      <c r="BS290" s="155"/>
      <c r="BT290" s="238"/>
      <c r="BU290" s="239"/>
      <c r="BV290" s="239"/>
      <c r="BW290" s="240"/>
      <c r="BX290" s="155"/>
      <c r="BY290" s="238"/>
      <c r="BZ290" s="239"/>
      <c r="CA290" s="239"/>
      <c r="CB290" s="240"/>
      <c r="CC290" s="155"/>
      <c r="CD290" s="238"/>
      <c r="CE290" s="239"/>
      <c r="CF290" s="239"/>
      <c r="CG290" s="240"/>
      <c r="CH290" s="155"/>
      <c r="CI290" s="238"/>
      <c r="CJ290" s="239"/>
      <c r="CK290" s="239"/>
      <c r="CL290" s="240"/>
      <c r="CM290" s="155"/>
      <c r="CN290" s="238"/>
      <c r="CO290" s="239"/>
      <c r="CP290" s="239"/>
      <c r="CQ290" s="240"/>
      <c r="CR290" s="155"/>
      <c r="CS290" s="238"/>
      <c r="CT290" s="239"/>
      <c r="CU290" s="239"/>
      <c r="CV290" s="240"/>
      <c r="CW290" s="155"/>
      <c r="CX290" s="238"/>
      <c r="CY290" s="239"/>
      <c r="CZ290" s="239"/>
      <c r="DA290" s="240"/>
      <c r="DB290" s="155"/>
      <c r="DC290" s="238"/>
      <c r="DD290" s="239"/>
      <c r="DE290" s="239"/>
      <c r="DF290" s="240"/>
      <c r="DG290" s="155"/>
      <c r="DH290" s="238"/>
      <c r="DI290" s="239"/>
      <c r="DJ290" s="239"/>
      <c r="DK290" s="240"/>
      <c r="DL290" s="155"/>
      <c r="DM290" s="238"/>
      <c r="DN290" s="239"/>
      <c r="DO290" s="239"/>
      <c r="DP290" s="240"/>
      <c r="DQ290" s="155"/>
      <c r="DR290" s="238"/>
      <c r="DS290" s="239"/>
      <c r="DT290" s="239"/>
      <c r="DU290" s="240"/>
      <c r="DV290" s="155"/>
      <c r="DW290" s="238"/>
      <c r="DX290" s="239"/>
      <c r="DY290" s="239"/>
      <c r="DZ290" s="240"/>
      <c r="EA290" s="155"/>
      <c r="EB290" s="238"/>
      <c r="EC290" s="239"/>
      <c r="ED290" s="239"/>
      <c r="EE290" s="240"/>
      <c r="EF290" s="155"/>
      <c r="EG290" s="238"/>
      <c r="EH290" s="239"/>
      <c r="EI290" s="239"/>
      <c r="EJ290" s="240"/>
      <c r="EK290" s="155"/>
      <c r="EL290" s="238"/>
      <c r="EM290" s="239"/>
      <c r="EN290" s="239"/>
      <c r="EO290" s="240"/>
      <c r="EP290" s="155"/>
      <c r="EQ290" s="238"/>
      <c r="ER290" s="239"/>
      <c r="ES290" s="239"/>
      <c r="ET290" s="240"/>
      <c r="EU290" s="155"/>
      <c r="EV290" s="238"/>
      <c r="EW290" s="239"/>
      <c r="EX290" s="239"/>
      <c r="EY290" s="240"/>
      <c r="EZ290" s="155"/>
      <c r="FA290" s="238"/>
      <c r="FB290" s="239"/>
      <c r="FC290" s="239"/>
      <c r="FD290" s="240"/>
      <c r="FE290" s="155"/>
      <c r="FF290" s="238"/>
      <c r="FG290" s="239"/>
      <c r="FH290" s="239"/>
      <c r="FI290" s="240"/>
      <c r="FJ290" s="155"/>
      <c r="FK290" s="238"/>
      <c r="FL290" s="239"/>
      <c r="FM290" s="239"/>
      <c r="FN290" s="240"/>
      <c r="FO290" s="155"/>
      <c r="FP290" s="238"/>
      <c r="FQ290" s="239"/>
      <c r="FR290" s="239"/>
      <c r="FS290" s="240"/>
      <c r="FT290" s="155"/>
      <c r="FU290" s="238"/>
      <c r="FV290" s="239"/>
      <c r="FW290" s="239"/>
      <c r="FX290" s="240"/>
      <c r="FY290" s="155"/>
      <c r="FZ290" s="238"/>
      <c r="GA290" s="239"/>
      <c r="GB290" s="239"/>
      <c r="GC290" s="240"/>
      <c r="GD290" s="155"/>
      <c r="GE290" s="238"/>
      <c r="GF290" s="239"/>
      <c r="GG290" s="239"/>
      <c r="GH290" s="240"/>
      <c r="GI290" s="155"/>
      <c r="GJ290" s="1562"/>
      <c r="GK290" s="239"/>
      <c r="GL290" s="239"/>
      <c r="GM290" s="240"/>
      <c r="GN290" s="155"/>
      <c r="GO290" s="238"/>
      <c r="GP290" s="239"/>
      <c r="GQ290" s="239"/>
      <c r="GR290" s="240"/>
      <c r="GS290" s="155"/>
      <c r="GT290" s="238"/>
      <c r="GU290" s="239"/>
      <c r="GV290" s="239"/>
      <c r="GW290" s="240"/>
      <c r="GX290" s="155"/>
      <c r="GY290" s="238"/>
      <c r="GZ290" s="239"/>
      <c r="HA290" s="239"/>
      <c r="HB290" s="240"/>
      <c r="HC290" s="155"/>
      <c r="HD290" s="238"/>
      <c r="HE290" s="239"/>
      <c r="HF290" s="239"/>
      <c r="HG290" s="240"/>
      <c r="HH290" s="155"/>
      <c r="HI290" s="238"/>
      <c r="HJ290" s="239"/>
      <c r="HK290" s="239"/>
      <c r="HL290" s="240"/>
      <c r="HM290" s="155"/>
      <c r="HN290" s="238"/>
      <c r="HO290" s="239"/>
      <c r="HP290" s="239"/>
      <c r="HQ290" s="240"/>
      <c r="HR290" s="155"/>
      <c r="HS290" s="238"/>
      <c r="HT290" s="239"/>
      <c r="HU290" s="239"/>
      <c r="HV290" s="240"/>
      <c r="HW290" s="155"/>
      <c r="HX290" s="238"/>
      <c r="HY290" s="239"/>
      <c r="HZ290" s="239"/>
      <c r="IA290" s="240"/>
      <c r="IB290" s="155"/>
      <c r="IC290" s="238"/>
      <c r="ID290" s="239"/>
      <c r="IE290" s="239"/>
      <c r="IF290" s="240"/>
      <c r="IG290" s="155"/>
      <c r="IH290" s="238"/>
      <c r="II290" s="239"/>
      <c r="IJ290" s="239"/>
      <c r="IK290" s="240"/>
      <c r="IL290" s="155"/>
      <c r="IM290" s="238"/>
      <c r="IN290" s="239"/>
      <c r="IO290" s="239"/>
      <c r="IP290" s="240"/>
      <c r="IQ290" s="155"/>
    </row>
    <row r="291" spans="2:251" ht="15" customHeight="1">
      <c r="B291" s="155"/>
      <c r="C291" s="155"/>
      <c r="D291" s="236"/>
      <c r="E291" s="237"/>
      <c r="F291" s="312"/>
      <c r="G291" s="330"/>
      <c r="H291" s="239"/>
      <c r="I291" s="239"/>
      <c r="J291" s="240"/>
      <c r="K291" s="331"/>
      <c r="L291" s="330"/>
      <c r="M291" s="239"/>
      <c r="N291" s="239"/>
      <c r="O291" s="240"/>
      <c r="P291" s="331"/>
      <c r="Q291" s="330"/>
      <c r="R291" s="239"/>
      <c r="S291" s="239"/>
      <c r="T291" s="240"/>
      <c r="U291" s="331"/>
      <c r="V291" s="323"/>
      <c r="W291" s="239"/>
      <c r="X291" s="239"/>
      <c r="Y291" s="240"/>
      <c r="Z291" s="240"/>
      <c r="AA291" s="238"/>
      <c r="AB291" s="239"/>
      <c r="AC291" s="239"/>
      <c r="AD291" s="240"/>
      <c r="AE291" s="240"/>
      <c r="AF291" s="238"/>
      <c r="AG291" s="239"/>
      <c r="AH291" s="239"/>
      <c r="AI291" s="240"/>
      <c r="AJ291" s="155"/>
      <c r="AK291" s="238"/>
      <c r="AL291" s="239"/>
      <c r="AM291" s="239"/>
      <c r="AN291" s="240"/>
      <c r="AO291" s="155"/>
      <c r="AP291" s="238"/>
      <c r="AQ291" s="239"/>
      <c r="AR291" s="239"/>
      <c r="AS291" s="240"/>
      <c r="AT291" s="155"/>
      <c r="AU291" s="238"/>
      <c r="AV291" s="239"/>
      <c r="AW291" s="239"/>
      <c r="AX291" s="240"/>
      <c r="AY291" s="155"/>
      <c r="AZ291" s="238"/>
      <c r="BA291" s="239"/>
      <c r="BB291" s="239"/>
      <c r="BC291" s="240"/>
      <c r="BD291" s="155"/>
      <c r="BE291" s="238"/>
      <c r="BF291" s="239"/>
      <c r="BG291" s="239"/>
      <c r="BH291" s="240"/>
      <c r="BI291" s="155"/>
      <c r="BJ291" s="238"/>
      <c r="BK291" s="239"/>
      <c r="BL291" s="239"/>
      <c r="BM291" s="240"/>
      <c r="BN291" s="155"/>
      <c r="BO291" s="238"/>
      <c r="BP291" s="239"/>
      <c r="BQ291" s="239"/>
      <c r="BR291" s="240"/>
      <c r="BS291" s="155"/>
      <c r="BT291" s="238"/>
      <c r="BU291" s="239"/>
      <c r="BV291" s="239"/>
      <c r="BW291" s="240"/>
      <c r="BX291" s="155"/>
      <c r="BY291" s="238"/>
      <c r="BZ291" s="239"/>
      <c r="CA291" s="239"/>
      <c r="CB291" s="240"/>
      <c r="CC291" s="155"/>
      <c r="CD291" s="238"/>
      <c r="CE291" s="239"/>
      <c r="CF291" s="239"/>
      <c r="CG291" s="240"/>
      <c r="CH291" s="155"/>
      <c r="CI291" s="238"/>
      <c r="CJ291" s="239"/>
      <c r="CK291" s="239"/>
      <c r="CL291" s="240"/>
      <c r="CM291" s="155"/>
      <c r="CN291" s="238"/>
      <c r="CO291" s="239"/>
      <c r="CP291" s="239"/>
      <c r="CQ291" s="240"/>
      <c r="CR291" s="155"/>
      <c r="CS291" s="238"/>
      <c r="CT291" s="239"/>
      <c r="CU291" s="239"/>
      <c r="CV291" s="240"/>
      <c r="CW291" s="155"/>
      <c r="CX291" s="238"/>
      <c r="CY291" s="239"/>
      <c r="CZ291" s="239"/>
      <c r="DA291" s="240"/>
      <c r="DB291" s="155"/>
      <c r="DC291" s="238"/>
      <c r="DD291" s="239"/>
      <c r="DE291" s="239"/>
      <c r="DF291" s="240"/>
      <c r="DG291" s="155"/>
      <c r="DH291" s="238"/>
      <c r="DI291" s="239"/>
      <c r="DJ291" s="239"/>
      <c r="DK291" s="240"/>
      <c r="DL291" s="155"/>
      <c r="DM291" s="238"/>
      <c r="DN291" s="239"/>
      <c r="DO291" s="239"/>
      <c r="DP291" s="240"/>
      <c r="DQ291" s="155"/>
      <c r="DR291" s="238"/>
      <c r="DS291" s="239"/>
      <c r="DT291" s="239"/>
      <c r="DU291" s="240"/>
      <c r="DV291" s="155"/>
      <c r="DW291" s="238"/>
      <c r="DX291" s="239"/>
      <c r="DY291" s="239"/>
      <c r="DZ291" s="240"/>
      <c r="EA291" s="155"/>
      <c r="EB291" s="238"/>
      <c r="EC291" s="239"/>
      <c r="ED291" s="239"/>
      <c r="EE291" s="240"/>
      <c r="EF291" s="155"/>
      <c r="EG291" s="238"/>
      <c r="EH291" s="239"/>
      <c r="EI291" s="239"/>
      <c r="EJ291" s="240"/>
      <c r="EK291" s="155"/>
      <c r="EL291" s="238"/>
      <c r="EM291" s="239"/>
      <c r="EN291" s="239"/>
      <c r="EO291" s="240"/>
      <c r="EP291" s="155"/>
      <c r="EQ291" s="238"/>
      <c r="ER291" s="239"/>
      <c r="ES291" s="239"/>
      <c r="ET291" s="240"/>
      <c r="EU291" s="155"/>
      <c r="EV291" s="238"/>
      <c r="EW291" s="239"/>
      <c r="EX291" s="239"/>
      <c r="EY291" s="240"/>
      <c r="EZ291" s="155"/>
      <c r="FA291" s="238"/>
      <c r="FB291" s="239"/>
      <c r="FC291" s="239"/>
      <c r="FD291" s="240"/>
      <c r="FE291" s="155"/>
      <c r="FF291" s="238"/>
      <c r="FG291" s="239"/>
      <c r="FH291" s="239"/>
      <c r="FI291" s="240"/>
      <c r="FJ291" s="155"/>
      <c r="FK291" s="238"/>
      <c r="FL291" s="239"/>
      <c r="FM291" s="239"/>
      <c r="FN291" s="240"/>
      <c r="FO291" s="155"/>
      <c r="FP291" s="238"/>
      <c r="FQ291" s="239"/>
      <c r="FR291" s="239"/>
      <c r="FS291" s="240"/>
      <c r="FT291" s="155"/>
      <c r="FU291" s="238"/>
      <c r="FV291" s="239"/>
      <c r="FW291" s="239"/>
      <c r="FX291" s="240"/>
      <c r="FY291" s="155"/>
      <c r="FZ291" s="238"/>
      <c r="GA291" s="239"/>
      <c r="GB291" s="239"/>
      <c r="GC291" s="240"/>
      <c r="GD291" s="155"/>
      <c r="GE291" s="238"/>
      <c r="GF291" s="239"/>
      <c r="GG291" s="239"/>
      <c r="GH291" s="240"/>
      <c r="GI291" s="155"/>
      <c r="GJ291" s="1562"/>
      <c r="GK291" s="239"/>
      <c r="GL291" s="239"/>
      <c r="GM291" s="240"/>
      <c r="GN291" s="155"/>
      <c r="GO291" s="238"/>
      <c r="GP291" s="239"/>
      <c r="GQ291" s="239"/>
      <c r="GR291" s="240"/>
      <c r="GS291" s="155"/>
      <c r="GT291" s="238"/>
      <c r="GU291" s="239"/>
      <c r="GV291" s="239"/>
      <c r="GW291" s="240"/>
      <c r="GX291" s="155"/>
      <c r="GY291" s="238"/>
      <c r="GZ291" s="239"/>
      <c r="HA291" s="239"/>
      <c r="HB291" s="240"/>
      <c r="HC291" s="155"/>
      <c r="HD291" s="238"/>
      <c r="HE291" s="239"/>
      <c r="HF291" s="239"/>
      <c r="HG291" s="240"/>
      <c r="HH291" s="155"/>
      <c r="HI291" s="238"/>
      <c r="HJ291" s="239"/>
      <c r="HK291" s="239"/>
      <c r="HL291" s="240"/>
      <c r="HM291" s="155"/>
      <c r="HN291" s="238"/>
      <c r="HO291" s="239"/>
      <c r="HP291" s="239"/>
      <c r="HQ291" s="240"/>
      <c r="HR291" s="155"/>
      <c r="HS291" s="238"/>
      <c r="HT291" s="239"/>
      <c r="HU291" s="239"/>
      <c r="HV291" s="240"/>
      <c r="HW291" s="155"/>
      <c r="HX291" s="238"/>
      <c r="HY291" s="239"/>
      <c r="HZ291" s="239"/>
      <c r="IA291" s="240"/>
      <c r="IB291" s="155"/>
      <c r="IC291" s="238"/>
      <c r="ID291" s="239"/>
      <c r="IE291" s="239"/>
      <c r="IF291" s="240"/>
      <c r="IG291" s="155"/>
      <c r="IH291" s="238"/>
      <c r="II291" s="239"/>
      <c r="IJ291" s="239"/>
      <c r="IK291" s="240"/>
      <c r="IL291" s="155"/>
      <c r="IM291" s="238"/>
      <c r="IN291" s="239"/>
      <c r="IO291" s="239"/>
      <c r="IP291" s="240"/>
      <c r="IQ291" s="155"/>
    </row>
    <row r="292" spans="2:251" ht="15" customHeight="1">
      <c r="B292" s="155"/>
      <c r="C292" s="155"/>
      <c r="D292" s="236"/>
      <c r="E292" s="237"/>
      <c r="F292" s="312"/>
      <c r="G292" s="330"/>
      <c r="H292" s="239"/>
      <c r="I292" s="239"/>
      <c r="J292" s="240"/>
      <c r="K292" s="331"/>
      <c r="L292" s="330"/>
      <c r="M292" s="239"/>
      <c r="N292" s="239"/>
      <c r="O292" s="240"/>
      <c r="P292" s="331"/>
      <c r="Q292" s="330"/>
      <c r="R292" s="239"/>
      <c r="S292" s="239"/>
      <c r="T292" s="240"/>
      <c r="U292" s="331"/>
      <c r="V292" s="323"/>
      <c r="W292" s="239"/>
      <c r="X292" s="239"/>
      <c r="Y292" s="240"/>
      <c r="Z292" s="240"/>
      <c r="AA292" s="238"/>
      <c r="AB292" s="239"/>
      <c r="AC292" s="239"/>
      <c r="AD292" s="240"/>
      <c r="AE292" s="240"/>
      <c r="AF292" s="238"/>
      <c r="AG292" s="239"/>
      <c r="AH292" s="239"/>
      <c r="AI292" s="240"/>
      <c r="AJ292" s="155"/>
      <c r="AK292" s="238"/>
      <c r="AL292" s="239"/>
      <c r="AM292" s="239"/>
      <c r="AN292" s="240"/>
      <c r="AO292" s="155"/>
      <c r="AP292" s="238"/>
      <c r="AQ292" s="239"/>
      <c r="AR292" s="239"/>
      <c r="AS292" s="240"/>
      <c r="AT292" s="155"/>
      <c r="AU292" s="238"/>
      <c r="AV292" s="239"/>
      <c r="AW292" s="239"/>
      <c r="AX292" s="240"/>
      <c r="AY292" s="155"/>
      <c r="AZ292" s="238"/>
      <c r="BA292" s="239"/>
      <c r="BB292" s="239"/>
      <c r="BC292" s="240"/>
      <c r="BD292" s="155"/>
      <c r="BE292" s="238"/>
      <c r="BF292" s="239"/>
      <c r="BG292" s="239"/>
      <c r="BH292" s="240"/>
      <c r="BI292" s="155"/>
      <c r="BJ292" s="238"/>
      <c r="BK292" s="239"/>
      <c r="BL292" s="239"/>
      <c r="BM292" s="240"/>
      <c r="BN292" s="155"/>
      <c r="BO292" s="238"/>
      <c r="BP292" s="239"/>
      <c r="BQ292" s="239"/>
      <c r="BR292" s="240"/>
      <c r="BS292" s="155"/>
      <c r="BT292" s="238"/>
      <c r="BU292" s="239"/>
      <c r="BV292" s="239"/>
      <c r="BW292" s="240"/>
      <c r="BX292" s="155"/>
      <c r="BY292" s="238"/>
      <c r="BZ292" s="239"/>
      <c r="CA292" s="239"/>
      <c r="CB292" s="240"/>
      <c r="CC292" s="155"/>
      <c r="CD292" s="238"/>
      <c r="CE292" s="239"/>
      <c r="CF292" s="239"/>
      <c r="CG292" s="240"/>
      <c r="CH292" s="155"/>
      <c r="CI292" s="238"/>
      <c r="CJ292" s="239"/>
      <c r="CK292" s="239"/>
      <c r="CL292" s="240"/>
      <c r="CM292" s="155"/>
      <c r="CN292" s="238"/>
      <c r="CO292" s="239"/>
      <c r="CP292" s="239"/>
      <c r="CQ292" s="240"/>
      <c r="CR292" s="155"/>
      <c r="CS292" s="238"/>
      <c r="CT292" s="239"/>
      <c r="CU292" s="239"/>
      <c r="CV292" s="240"/>
      <c r="CW292" s="155"/>
      <c r="CX292" s="238"/>
      <c r="CY292" s="239"/>
      <c r="CZ292" s="239"/>
      <c r="DA292" s="240"/>
      <c r="DB292" s="155"/>
      <c r="DC292" s="238"/>
      <c r="DD292" s="239"/>
      <c r="DE292" s="239"/>
      <c r="DF292" s="240"/>
      <c r="DG292" s="155"/>
      <c r="DH292" s="238"/>
      <c r="DI292" s="239"/>
      <c r="DJ292" s="239"/>
      <c r="DK292" s="240"/>
      <c r="DL292" s="155"/>
      <c r="DM292" s="238"/>
      <c r="DN292" s="239"/>
      <c r="DO292" s="239"/>
      <c r="DP292" s="240"/>
      <c r="DQ292" s="155"/>
      <c r="DR292" s="238"/>
      <c r="DS292" s="239"/>
      <c r="DT292" s="239"/>
      <c r="DU292" s="240"/>
      <c r="DV292" s="155"/>
      <c r="DW292" s="238"/>
      <c r="DX292" s="239"/>
      <c r="DY292" s="239"/>
      <c r="DZ292" s="240"/>
      <c r="EA292" s="155"/>
      <c r="EB292" s="238"/>
      <c r="EC292" s="239"/>
      <c r="ED292" s="239"/>
      <c r="EE292" s="240"/>
      <c r="EF292" s="155"/>
      <c r="EG292" s="238"/>
      <c r="EH292" s="239"/>
      <c r="EI292" s="239"/>
      <c r="EJ292" s="240"/>
      <c r="EK292" s="155"/>
      <c r="EL292" s="238"/>
      <c r="EM292" s="239"/>
      <c r="EN292" s="239"/>
      <c r="EO292" s="240"/>
      <c r="EP292" s="155"/>
      <c r="EQ292" s="238"/>
      <c r="ER292" s="239"/>
      <c r="ES292" s="239"/>
      <c r="ET292" s="240"/>
      <c r="EU292" s="155"/>
      <c r="EV292" s="238"/>
      <c r="EW292" s="239"/>
      <c r="EX292" s="239"/>
      <c r="EY292" s="240"/>
      <c r="EZ292" s="155"/>
      <c r="FA292" s="238"/>
      <c r="FB292" s="239"/>
      <c r="FC292" s="239"/>
      <c r="FD292" s="240"/>
      <c r="FE292" s="155"/>
      <c r="FF292" s="238"/>
      <c r="FG292" s="239"/>
      <c r="FH292" s="239"/>
      <c r="FI292" s="240"/>
      <c r="FJ292" s="155"/>
      <c r="FK292" s="238"/>
      <c r="FL292" s="239"/>
      <c r="FM292" s="239"/>
      <c r="FN292" s="240"/>
      <c r="FO292" s="155"/>
      <c r="FP292" s="238"/>
      <c r="FQ292" s="239"/>
      <c r="FR292" s="239"/>
      <c r="FS292" s="240"/>
      <c r="FT292" s="155"/>
      <c r="FU292" s="238"/>
      <c r="FV292" s="239"/>
      <c r="FW292" s="239"/>
      <c r="FX292" s="240"/>
      <c r="FY292" s="155"/>
      <c r="FZ292" s="238"/>
      <c r="GA292" s="239"/>
      <c r="GB292" s="239"/>
      <c r="GC292" s="240"/>
      <c r="GD292" s="155"/>
      <c r="GE292" s="238"/>
      <c r="GF292" s="239"/>
      <c r="GG292" s="239"/>
      <c r="GH292" s="240"/>
      <c r="GI292" s="155"/>
      <c r="GJ292" s="1562"/>
      <c r="GK292" s="239"/>
      <c r="GL292" s="239"/>
      <c r="GM292" s="240"/>
      <c r="GN292" s="155"/>
      <c r="GO292" s="238"/>
      <c r="GP292" s="239"/>
      <c r="GQ292" s="239"/>
      <c r="GR292" s="240"/>
      <c r="GS292" s="155"/>
      <c r="GT292" s="238"/>
      <c r="GU292" s="239"/>
      <c r="GV292" s="239"/>
      <c r="GW292" s="240"/>
      <c r="GX292" s="155"/>
      <c r="GY292" s="238"/>
      <c r="GZ292" s="239"/>
      <c r="HA292" s="239"/>
      <c r="HB292" s="240"/>
      <c r="HC292" s="155"/>
      <c r="HD292" s="238"/>
      <c r="HE292" s="239"/>
      <c r="HF292" s="239"/>
      <c r="HG292" s="240"/>
      <c r="HH292" s="155"/>
      <c r="HI292" s="238"/>
      <c r="HJ292" s="239"/>
      <c r="HK292" s="239"/>
      <c r="HL292" s="240"/>
      <c r="HM292" s="155"/>
      <c r="HN292" s="238"/>
      <c r="HO292" s="239"/>
      <c r="HP292" s="239"/>
      <c r="HQ292" s="240"/>
      <c r="HR292" s="155"/>
      <c r="HS292" s="238"/>
      <c r="HT292" s="239"/>
      <c r="HU292" s="239"/>
      <c r="HV292" s="240"/>
      <c r="HW292" s="155"/>
      <c r="HX292" s="238"/>
      <c r="HY292" s="239"/>
      <c r="HZ292" s="239"/>
      <c r="IA292" s="240"/>
      <c r="IB292" s="155"/>
      <c r="IC292" s="238"/>
      <c r="ID292" s="239"/>
      <c r="IE292" s="239"/>
      <c r="IF292" s="240"/>
      <c r="IG292" s="155"/>
      <c r="IH292" s="238"/>
      <c r="II292" s="239"/>
      <c r="IJ292" s="239"/>
      <c r="IK292" s="240"/>
      <c r="IL292" s="155"/>
      <c r="IM292" s="238"/>
      <c r="IN292" s="239"/>
      <c r="IO292" s="239"/>
      <c r="IP292" s="240"/>
      <c r="IQ292" s="155"/>
    </row>
    <row r="293" spans="2:251" ht="15" customHeight="1">
      <c r="B293" s="155"/>
      <c r="C293" s="155"/>
      <c r="D293" s="236"/>
      <c r="E293" s="237"/>
      <c r="F293" s="312"/>
      <c r="G293" s="330"/>
      <c r="H293" s="239"/>
      <c r="I293" s="239"/>
      <c r="J293" s="240"/>
      <c r="K293" s="331"/>
      <c r="L293" s="330"/>
      <c r="M293" s="239"/>
      <c r="N293" s="239"/>
      <c r="O293" s="240"/>
      <c r="P293" s="331"/>
      <c r="Q293" s="330"/>
      <c r="R293" s="239"/>
      <c r="S293" s="239"/>
      <c r="T293" s="240"/>
      <c r="U293" s="331"/>
      <c r="V293" s="323"/>
      <c r="W293" s="239"/>
      <c r="X293" s="239"/>
      <c r="Y293" s="240"/>
      <c r="Z293" s="240"/>
      <c r="AA293" s="238"/>
      <c r="AB293" s="239"/>
      <c r="AC293" s="239"/>
      <c r="AD293" s="240"/>
      <c r="AE293" s="240"/>
      <c r="AF293" s="238"/>
      <c r="AG293" s="239"/>
      <c r="AH293" s="239"/>
      <c r="AI293" s="240"/>
      <c r="AK293" s="238"/>
      <c r="AL293" s="239"/>
      <c r="AM293" s="239"/>
      <c r="AN293" s="240"/>
      <c r="AP293" s="238"/>
      <c r="AQ293" s="239"/>
      <c r="AR293" s="239"/>
      <c r="AS293" s="240"/>
      <c r="AU293" s="238"/>
      <c r="AV293" s="239"/>
      <c r="AW293" s="239"/>
      <c r="AX293" s="240"/>
      <c r="AZ293" s="238"/>
      <c r="BA293" s="239"/>
      <c r="BB293" s="239"/>
      <c r="BC293" s="240"/>
      <c r="BE293" s="238"/>
      <c r="BF293" s="239"/>
      <c r="BG293" s="239"/>
      <c r="BH293" s="240"/>
      <c r="BJ293" s="238"/>
      <c r="BK293" s="239"/>
      <c r="BL293" s="239"/>
      <c r="BM293" s="240"/>
      <c r="BO293" s="238"/>
      <c r="BP293" s="239"/>
      <c r="BQ293" s="239"/>
      <c r="BR293" s="240"/>
      <c r="BT293" s="238"/>
      <c r="BU293" s="239"/>
      <c r="BV293" s="239"/>
      <c r="BW293" s="240"/>
      <c r="BY293" s="238"/>
      <c r="BZ293" s="239"/>
      <c r="CA293" s="239"/>
      <c r="CB293" s="240"/>
      <c r="CD293" s="238"/>
      <c r="CE293" s="239"/>
      <c r="CF293" s="239"/>
      <c r="CG293" s="240"/>
      <c r="CI293" s="238"/>
      <c r="CJ293" s="239"/>
      <c r="CK293" s="239"/>
      <c r="CL293" s="240"/>
      <c r="CN293" s="238"/>
      <c r="CO293" s="239"/>
      <c r="CP293" s="239"/>
      <c r="CQ293" s="240"/>
      <c r="CS293" s="238"/>
      <c r="CT293" s="239"/>
      <c r="CU293" s="239"/>
      <c r="CV293" s="240"/>
      <c r="CX293" s="238"/>
      <c r="CY293" s="239"/>
      <c r="CZ293" s="239"/>
      <c r="DA293" s="240"/>
      <c r="DC293" s="238"/>
      <c r="DD293" s="239"/>
      <c r="DE293" s="239"/>
      <c r="DF293" s="240"/>
      <c r="DH293" s="238"/>
      <c r="DI293" s="239"/>
      <c r="DJ293" s="239"/>
      <c r="DK293" s="240"/>
      <c r="DM293" s="238"/>
      <c r="DN293" s="239"/>
      <c r="DO293" s="239"/>
      <c r="DP293" s="240"/>
      <c r="DR293" s="238"/>
      <c r="DS293" s="239"/>
      <c r="DT293" s="239"/>
      <c r="DU293" s="240"/>
      <c r="DW293" s="238"/>
      <c r="DX293" s="239"/>
      <c r="DY293" s="239"/>
      <c r="DZ293" s="240"/>
      <c r="EB293" s="238"/>
      <c r="EC293" s="239"/>
      <c r="ED293" s="239"/>
      <c r="EE293" s="240"/>
      <c r="EG293" s="238"/>
      <c r="EH293" s="239"/>
      <c r="EI293" s="239"/>
      <c r="EJ293" s="240"/>
      <c r="EL293" s="238"/>
      <c r="EM293" s="239"/>
      <c r="EN293" s="239"/>
      <c r="EO293" s="240"/>
      <c r="EQ293" s="238"/>
      <c r="ER293" s="239"/>
      <c r="ES293" s="239"/>
      <c r="ET293" s="240"/>
      <c r="EV293" s="238"/>
      <c r="EW293" s="239"/>
      <c r="EX293" s="239"/>
      <c r="EY293" s="240"/>
      <c r="FA293" s="238"/>
      <c r="FB293" s="239"/>
      <c r="FC293" s="239"/>
      <c r="FD293" s="240"/>
      <c r="FF293" s="238"/>
      <c r="FG293" s="239"/>
      <c r="FH293" s="239"/>
      <c r="FI293" s="240"/>
      <c r="FK293" s="238"/>
      <c r="FL293" s="239"/>
      <c r="FM293" s="239"/>
      <c r="FN293" s="240"/>
      <c r="FP293" s="238"/>
      <c r="FQ293" s="239"/>
      <c r="FR293" s="239"/>
      <c r="FS293" s="240"/>
      <c r="FU293" s="238"/>
      <c r="FV293" s="239"/>
      <c r="FW293" s="239"/>
      <c r="FX293" s="240"/>
      <c r="FZ293" s="238"/>
      <c r="GA293" s="239"/>
      <c r="GB293" s="239"/>
      <c r="GC293" s="240"/>
      <c r="GE293" s="238"/>
      <c r="GF293" s="239"/>
      <c r="GG293" s="239"/>
      <c r="GH293" s="240"/>
      <c r="GJ293" s="1562"/>
      <c r="GK293" s="239"/>
      <c r="GL293" s="239"/>
      <c r="GM293" s="240"/>
      <c r="GO293" s="238"/>
      <c r="GP293" s="239"/>
      <c r="GQ293" s="239"/>
      <c r="GR293" s="240"/>
      <c r="GT293" s="238"/>
      <c r="GU293" s="239"/>
      <c r="GV293" s="239"/>
      <c r="GW293" s="240"/>
      <c r="GY293" s="238"/>
      <c r="GZ293" s="239"/>
      <c r="HA293" s="239"/>
      <c r="HB293" s="240"/>
      <c r="HD293" s="238"/>
      <c r="HE293" s="239"/>
      <c r="HF293" s="239"/>
      <c r="HG293" s="240"/>
      <c r="HI293" s="238"/>
      <c r="HJ293" s="239"/>
      <c r="HK293" s="239"/>
      <c r="HL293" s="240"/>
      <c r="HN293" s="238"/>
      <c r="HO293" s="239"/>
      <c r="HP293" s="239"/>
      <c r="HQ293" s="240"/>
      <c r="HS293" s="238"/>
      <c r="HT293" s="239"/>
      <c r="HU293" s="239"/>
      <c r="HV293" s="240"/>
      <c r="HX293" s="238"/>
      <c r="HY293" s="239"/>
      <c r="HZ293" s="239"/>
      <c r="IA293" s="240"/>
      <c r="IC293" s="238"/>
      <c r="ID293" s="239"/>
      <c r="IE293" s="239"/>
      <c r="IF293" s="240"/>
      <c r="IH293" s="238"/>
      <c r="II293" s="239"/>
      <c r="IJ293" s="239"/>
      <c r="IK293" s="240"/>
      <c r="IM293" s="238"/>
      <c r="IN293" s="239"/>
      <c r="IO293" s="239"/>
      <c r="IP293" s="240"/>
    </row>
    <row r="294" spans="2:251" ht="15" customHeight="1">
      <c r="B294" s="155"/>
      <c r="C294" s="155"/>
      <c r="D294" s="236"/>
      <c r="E294" s="237"/>
      <c r="F294" s="312"/>
      <c r="G294" s="330"/>
      <c r="H294" s="239"/>
      <c r="I294" s="239"/>
      <c r="J294" s="240"/>
      <c r="K294" s="331"/>
      <c r="L294" s="330"/>
      <c r="M294" s="239"/>
      <c r="N294" s="239"/>
      <c r="O294" s="240"/>
      <c r="P294" s="331"/>
      <c r="Q294" s="330"/>
      <c r="R294" s="239"/>
      <c r="S294" s="239"/>
      <c r="T294" s="240"/>
      <c r="U294" s="331"/>
      <c r="V294" s="323"/>
      <c r="W294" s="239"/>
      <c r="X294" s="239"/>
      <c r="Y294" s="240"/>
      <c r="Z294" s="240"/>
      <c r="AA294" s="238"/>
      <c r="AB294" s="239"/>
      <c r="AC294" s="239"/>
      <c r="AD294" s="240"/>
      <c r="AE294" s="240"/>
      <c r="AF294" s="238"/>
      <c r="AG294" s="239"/>
      <c r="AH294" s="239"/>
      <c r="AI294" s="240"/>
      <c r="AK294" s="238"/>
      <c r="AL294" s="239"/>
      <c r="AM294" s="239"/>
      <c r="AN294" s="240"/>
      <c r="AP294" s="238"/>
      <c r="AQ294" s="239"/>
      <c r="AR294" s="239"/>
      <c r="AS294" s="240"/>
      <c r="AU294" s="238"/>
      <c r="AV294" s="239"/>
      <c r="AW294" s="239"/>
      <c r="AX294" s="240"/>
      <c r="AZ294" s="238"/>
      <c r="BA294" s="239"/>
      <c r="BB294" s="239"/>
      <c r="BC294" s="240"/>
      <c r="BE294" s="238"/>
      <c r="BF294" s="239"/>
      <c r="BG294" s="239"/>
      <c r="BH294" s="240"/>
      <c r="BJ294" s="238"/>
      <c r="BK294" s="239"/>
      <c r="BL294" s="239"/>
      <c r="BM294" s="240"/>
      <c r="BO294" s="238"/>
      <c r="BP294" s="239"/>
      <c r="BQ294" s="239"/>
      <c r="BR294" s="240"/>
      <c r="BT294" s="238"/>
      <c r="BU294" s="239"/>
      <c r="BV294" s="239"/>
      <c r="BW294" s="240"/>
      <c r="BY294" s="238"/>
      <c r="BZ294" s="239"/>
      <c r="CA294" s="239"/>
      <c r="CB294" s="240"/>
      <c r="CD294" s="238"/>
      <c r="CE294" s="239"/>
      <c r="CF294" s="239"/>
      <c r="CG294" s="240"/>
      <c r="CI294" s="238"/>
      <c r="CJ294" s="239"/>
      <c r="CK294" s="239"/>
      <c r="CL294" s="240"/>
      <c r="CN294" s="238"/>
      <c r="CO294" s="239"/>
      <c r="CP294" s="239"/>
      <c r="CQ294" s="240"/>
      <c r="CS294" s="238"/>
      <c r="CT294" s="239"/>
      <c r="CU294" s="239"/>
      <c r="CV294" s="240"/>
      <c r="CX294" s="238"/>
      <c r="CY294" s="239"/>
      <c r="CZ294" s="239"/>
      <c r="DA294" s="240"/>
      <c r="DC294" s="238"/>
      <c r="DD294" s="239"/>
      <c r="DE294" s="239"/>
      <c r="DF294" s="240"/>
      <c r="DH294" s="238"/>
      <c r="DI294" s="239"/>
      <c r="DJ294" s="239"/>
      <c r="DK294" s="240"/>
      <c r="DM294" s="238"/>
      <c r="DN294" s="239"/>
      <c r="DO294" s="239"/>
      <c r="DP294" s="240"/>
      <c r="DR294" s="238"/>
      <c r="DS294" s="239"/>
      <c r="DT294" s="239"/>
      <c r="DU294" s="240"/>
      <c r="DW294" s="238"/>
      <c r="DX294" s="239"/>
      <c r="DY294" s="239"/>
      <c r="DZ294" s="240"/>
      <c r="EB294" s="238"/>
      <c r="EC294" s="239"/>
      <c r="ED294" s="239"/>
      <c r="EE294" s="240"/>
      <c r="EG294" s="238"/>
      <c r="EH294" s="239"/>
      <c r="EI294" s="239"/>
      <c r="EJ294" s="240"/>
      <c r="EL294" s="238"/>
      <c r="EM294" s="239"/>
      <c r="EN294" s="239"/>
      <c r="EO294" s="240"/>
      <c r="EQ294" s="238"/>
      <c r="ER294" s="239"/>
      <c r="ES294" s="239"/>
      <c r="ET294" s="240"/>
      <c r="EV294" s="238"/>
      <c r="EW294" s="239"/>
      <c r="EX294" s="239"/>
      <c r="EY294" s="240"/>
      <c r="FA294" s="238"/>
      <c r="FB294" s="239"/>
      <c r="FC294" s="239"/>
      <c r="FD294" s="240"/>
      <c r="FF294" s="238"/>
      <c r="FG294" s="239"/>
      <c r="FH294" s="239"/>
      <c r="FI294" s="240"/>
      <c r="FK294" s="238"/>
      <c r="FL294" s="239"/>
      <c r="FM294" s="239"/>
      <c r="FN294" s="240"/>
      <c r="FP294" s="238"/>
      <c r="FQ294" s="239"/>
      <c r="FR294" s="239"/>
      <c r="FS294" s="240"/>
      <c r="FU294" s="238"/>
      <c r="FV294" s="239"/>
      <c r="FW294" s="239"/>
      <c r="FX294" s="240"/>
      <c r="FZ294" s="238"/>
      <c r="GA294" s="239"/>
      <c r="GB294" s="239"/>
      <c r="GC294" s="240"/>
      <c r="GE294" s="238"/>
      <c r="GF294" s="239"/>
      <c r="GG294" s="239"/>
      <c r="GH294" s="240"/>
      <c r="GJ294" s="1562"/>
      <c r="GK294" s="239"/>
      <c r="GL294" s="239"/>
      <c r="GM294" s="240"/>
      <c r="GO294" s="238"/>
      <c r="GP294" s="239"/>
      <c r="GQ294" s="239"/>
      <c r="GR294" s="240"/>
      <c r="GT294" s="238"/>
      <c r="GU294" s="239"/>
      <c r="GV294" s="239"/>
      <c r="GW294" s="240"/>
      <c r="GY294" s="238"/>
      <c r="GZ294" s="239"/>
      <c r="HA294" s="239"/>
      <c r="HB294" s="240"/>
      <c r="HD294" s="238"/>
      <c r="HE294" s="239"/>
      <c r="HF294" s="239"/>
      <c r="HG294" s="240"/>
      <c r="HI294" s="238"/>
      <c r="HJ294" s="239"/>
      <c r="HK294" s="239"/>
      <c r="HL294" s="240"/>
      <c r="HN294" s="238"/>
      <c r="HO294" s="239"/>
      <c r="HP294" s="239"/>
      <c r="HQ294" s="240"/>
      <c r="HS294" s="238"/>
      <c r="HT294" s="239"/>
      <c r="HU294" s="239"/>
      <c r="HV294" s="240"/>
      <c r="HX294" s="238"/>
      <c r="HY294" s="239"/>
      <c r="HZ294" s="239"/>
      <c r="IA294" s="240"/>
      <c r="IC294" s="238"/>
      <c r="ID294" s="239"/>
      <c r="IE294" s="239"/>
      <c r="IF294" s="240"/>
      <c r="IH294" s="238"/>
      <c r="II294" s="239"/>
      <c r="IJ294" s="239"/>
      <c r="IK294" s="240"/>
      <c r="IM294" s="238"/>
      <c r="IN294" s="239"/>
      <c r="IO294" s="239"/>
      <c r="IP294" s="240"/>
    </row>
    <row r="295" spans="2:251" ht="15" customHeight="1">
      <c r="B295" s="155"/>
      <c r="C295" s="155"/>
      <c r="D295" s="236"/>
      <c r="E295" s="237"/>
      <c r="F295" s="312"/>
      <c r="G295" s="330"/>
      <c r="H295" s="239"/>
      <c r="I295" s="239"/>
      <c r="J295" s="240"/>
      <c r="K295" s="331"/>
      <c r="L295" s="330"/>
      <c r="M295" s="239"/>
      <c r="N295" s="239"/>
      <c r="O295" s="240"/>
      <c r="P295" s="331"/>
      <c r="Q295" s="330"/>
      <c r="R295" s="239"/>
      <c r="S295" s="239"/>
      <c r="T295" s="240"/>
      <c r="U295" s="331"/>
      <c r="V295" s="323"/>
      <c r="W295" s="239"/>
      <c r="X295" s="239"/>
      <c r="Y295" s="240"/>
      <c r="Z295" s="240"/>
      <c r="AA295" s="238"/>
      <c r="AB295" s="239"/>
      <c r="AC295" s="239"/>
      <c r="AD295" s="240"/>
      <c r="AE295" s="240"/>
      <c r="AF295" s="238"/>
      <c r="AG295" s="239"/>
      <c r="AH295" s="239"/>
      <c r="AI295" s="240"/>
      <c r="AK295" s="238"/>
      <c r="AL295" s="239"/>
      <c r="AM295" s="239"/>
      <c r="AN295" s="240"/>
      <c r="AP295" s="238"/>
      <c r="AQ295" s="239"/>
      <c r="AR295" s="239"/>
      <c r="AS295" s="240"/>
      <c r="AU295" s="238"/>
      <c r="AV295" s="239"/>
      <c r="AW295" s="239"/>
      <c r="AX295" s="240"/>
      <c r="AZ295" s="238"/>
      <c r="BA295" s="239"/>
      <c r="BB295" s="239"/>
      <c r="BC295" s="240"/>
      <c r="BE295" s="238"/>
      <c r="BF295" s="239"/>
      <c r="BG295" s="239"/>
      <c r="BH295" s="240"/>
      <c r="BJ295" s="238"/>
      <c r="BK295" s="239"/>
      <c r="BL295" s="239"/>
      <c r="BM295" s="240"/>
      <c r="BO295" s="238"/>
      <c r="BP295" s="239"/>
      <c r="BQ295" s="239"/>
      <c r="BR295" s="240"/>
      <c r="BT295" s="238"/>
      <c r="BU295" s="239"/>
      <c r="BV295" s="239"/>
      <c r="BW295" s="240"/>
      <c r="BY295" s="238"/>
      <c r="BZ295" s="239"/>
      <c r="CA295" s="239"/>
      <c r="CB295" s="240"/>
      <c r="CD295" s="238"/>
      <c r="CE295" s="239"/>
      <c r="CF295" s="239"/>
      <c r="CG295" s="240"/>
      <c r="CI295" s="238"/>
      <c r="CJ295" s="239"/>
      <c r="CK295" s="239"/>
      <c r="CL295" s="240"/>
      <c r="CN295" s="238"/>
      <c r="CO295" s="239"/>
      <c r="CP295" s="239"/>
      <c r="CQ295" s="240"/>
      <c r="CS295" s="238"/>
      <c r="CT295" s="239"/>
      <c r="CU295" s="239"/>
      <c r="CV295" s="240"/>
      <c r="CX295" s="238"/>
      <c r="CY295" s="239"/>
      <c r="CZ295" s="239"/>
      <c r="DA295" s="240"/>
      <c r="DC295" s="238"/>
      <c r="DD295" s="239"/>
      <c r="DE295" s="239"/>
      <c r="DF295" s="240"/>
      <c r="DH295" s="238"/>
      <c r="DI295" s="239"/>
      <c r="DJ295" s="239"/>
      <c r="DK295" s="240"/>
      <c r="DM295" s="238"/>
      <c r="DN295" s="239"/>
      <c r="DO295" s="239"/>
      <c r="DP295" s="240"/>
      <c r="DR295" s="238"/>
      <c r="DS295" s="239"/>
      <c r="DT295" s="239"/>
      <c r="DU295" s="240"/>
      <c r="DW295" s="238"/>
      <c r="DX295" s="239"/>
      <c r="DY295" s="239"/>
      <c r="DZ295" s="240"/>
      <c r="EB295" s="238"/>
      <c r="EC295" s="239"/>
      <c r="ED295" s="239"/>
      <c r="EE295" s="240"/>
      <c r="EG295" s="238"/>
      <c r="EH295" s="239"/>
      <c r="EI295" s="239"/>
      <c r="EJ295" s="240"/>
      <c r="EL295" s="238"/>
      <c r="EM295" s="239"/>
      <c r="EN295" s="239"/>
      <c r="EO295" s="240"/>
      <c r="EQ295" s="238"/>
      <c r="ER295" s="239"/>
      <c r="ES295" s="239"/>
      <c r="ET295" s="240"/>
      <c r="EV295" s="238"/>
      <c r="EW295" s="239"/>
      <c r="EX295" s="239"/>
      <c r="EY295" s="240"/>
      <c r="FA295" s="238"/>
      <c r="FB295" s="239"/>
      <c r="FC295" s="239"/>
      <c r="FD295" s="240"/>
      <c r="FF295" s="238"/>
      <c r="FG295" s="239"/>
      <c r="FH295" s="239"/>
      <c r="FI295" s="240"/>
      <c r="FK295" s="238"/>
      <c r="FL295" s="239"/>
      <c r="FM295" s="239"/>
      <c r="FN295" s="240"/>
      <c r="FP295" s="238"/>
      <c r="FQ295" s="239"/>
      <c r="FR295" s="239"/>
      <c r="FS295" s="240"/>
      <c r="FU295" s="238"/>
      <c r="FV295" s="239"/>
      <c r="FW295" s="239"/>
      <c r="FX295" s="240"/>
      <c r="FZ295" s="238"/>
      <c r="GA295" s="239"/>
      <c r="GB295" s="239"/>
      <c r="GC295" s="240"/>
      <c r="GE295" s="238"/>
      <c r="GF295" s="239"/>
      <c r="GG295" s="239"/>
      <c r="GH295" s="240"/>
      <c r="GJ295" s="1562"/>
      <c r="GK295" s="239"/>
      <c r="GL295" s="239"/>
      <c r="GM295" s="240"/>
      <c r="GO295" s="238"/>
      <c r="GP295" s="239"/>
      <c r="GQ295" s="239"/>
      <c r="GR295" s="240"/>
      <c r="GT295" s="238"/>
      <c r="GU295" s="239"/>
      <c r="GV295" s="239"/>
      <c r="GW295" s="240"/>
      <c r="GY295" s="238"/>
      <c r="GZ295" s="239"/>
      <c r="HA295" s="239"/>
      <c r="HB295" s="240"/>
      <c r="HD295" s="238"/>
      <c r="HE295" s="239"/>
      <c r="HF295" s="239"/>
      <c r="HG295" s="240"/>
      <c r="HI295" s="238"/>
      <c r="HJ295" s="239"/>
      <c r="HK295" s="239"/>
      <c r="HL295" s="240"/>
      <c r="HN295" s="238"/>
      <c r="HO295" s="239"/>
      <c r="HP295" s="239"/>
      <c r="HQ295" s="240"/>
      <c r="HS295" s="238"/>
      <c r="HT295" s="239"/>
      <c r="HU295" s="239"/>
      <c r="HV295" s="240"/>
      <c r="HX295" s="238"/>
      <c r="HY295" s="239"/>
      <c r="HZ295" s="239"/>
      <c r="IA295" s="240"/>
      <c r="IC295" s="238"/>
      <c r="ID295" s="239"/>
      <c r="IE295" s="239"/>
      <c r="IF295" s="240"/>
      <c r="IH295" s="238"/>
      <c r="II295" s="239"/>
      <c r="IJ295" s="239"/>
      <c r="IK295" s="240"/>
      <c r="IM295" s="238"/>
      <c r="IN295" s="239"/>
      <c r="IO295" s="239"/>
      <c r="IP295" s="240"/>
    </row>
    <row r="296" spans="2:251" ht="15" customHeight="1">
      <c r="B296" s="155"/>
      <c r="C296" s="155"/>
      <c r="D296" s="236"/>
      <c r="E296" s="237"/>
      <c r="F296" s="312"/>
      <c r="G296" s="330"/>
      <c r="H296" s="239"/>
      <c r="I296" s="239"/>
      <c r="J296" s="240"/>
      <c r="K296" s="331"/>
      <c r="L296" s="330"/>
      <c r="M296" s="239"/>
      <c r="N296" s="239"/>
      <c r="O296" s="240"/>
      <c r="P296" s="331"/>
      <c r="Q296" s="330"/>
      <c r="R296" s="239"/>
      <c r="S296" s="239"/>
      <c r="T296" s="240"/>
      <c r="U296" s="331"/>
      <c r="V296" s="323"/>
      <c r="W296" s="239"/>
      <c r="X296" s="239"/>
      <c r="Y296" s="240"/>
      <c r="Z296" s="240"/>
      <c r="AA296" s="238"/>
      <c r="AB296" s="239"/>
      <c r="AC296" s="239"/>
      <c r="AD296" s="240"/>
      <c r="AE296" s="240"/>
      <c r="AF296" s="238"/>
      <c r="AG296" s="239"/>
      <c r="AH296" s="239"/>
      <c r="AI296" s="240"/>
      <c r="AK296" s="238"/>
      <c r="AL296" s="239"/>
      <c r="AM296" s="239"/>
      <c r="AN296" s="240"/>
      <c r="AP296" s="238"/>
      <c r="AQ296" s="239"/>
      <c r="AR296" s="239"/>
      <c r="AS296" s="240"/>
      <c r="AU296" s="238"/>
      <c r="AV296" s="239"/>
      <c r="AW296" s="239"/>
      <c r="AX296" s="240"/>
      <c r="AZ296" s="238"/>
      <c r="BA296" s="239"/>
      <c r="BB296" s="239"/>
      <c r="BC296" s="240"/>
      <c r="BE296" s="238"/>
      <c r="BF296" s="239"/>
      <c r="BG296" s="239"/>
      <c r="BH296" s="240"/>
      <c r="BJ296" s="238"/>
      <c r="BK296" s="239"/>
      <c r="BL296" s="239"/>
      <c r="BM296" s="240"/>
      <c r="BO296" s="238"/>
      <c r="BP296" s="239"/>
      <c r="BQ296" s="239"/>
      <c r="BR296" s="240"/>
      <c r="BT296" s="238"/>
      <c r="BU296" s="239"/>
      <c r="BV296" s="239"/>
      <c r="BW296" s="240"/>
      <c r="BY296" s="238"/>
      <c r="BZ296" s="239"/>
      <c r="CA296" s="239"/>
      <c r="CB296" s="240"/>
      <c r="CD296" s="238"/>
      <c r="CE296" s="239"/>
      <c r="CF296" s="239"/>
      <c r="CG296" s="240"/>
      <c r="CI296" s="238"/>
      <c r="CJ296" s="239"/>
      <c r="CK296" s="239"/>
      <c r="CL296" s="240"/>
      <c r="CN296" s="238"/>
      <c r="CO296" s="239"/>
      <c r="CP296" s="239"/>
      <c r="CQ296" s="240"/>
      <c r="CS296" s="238"/>
      <c r="CT296" s="239"/>
      <c r="CU296" s="239"/>
      <c r="CV296" s="240"/>
      <c r="CX296" s="238"/>
      <c r="CY296" s="239"/>
      <c r="CZ296" s="239"/>
      <c r="DA296" s="240"/>
      <c r="DC296" s="238"/>
      <c r="DD296" s="239"/>
      <c r="DE296" s="239"/>
      <c r="DF296" s="240"/>
      <c r="DH296" s="238"/>
      <c r="DI296" s="239"/>
      <c r="DJ296" s="239"/>
      <c r="DK296" s="240"/>
      <c r="DM296" s="238"/>
      <c r="DN296" s="239"/>
      <c r="DO296" s="239"/>
      <c r="DP296" s="240"/>
      <c r="DR296" s="238"/>
      <c r="DS296" s="239"/>
      <c r="DT296" s="239"/>
      <c r="DU296" s="240"/>
      <c r="DW296" s="238"/>
      <c r="DX296" s="239"/>
      <c r="DY296" s="239"/>
      <c r="DZ296" s="240"/>
      <c r="EB296" s="238"/>
      <c r="EC296" s="239"/>
      <c r="ED296" s="239"/>
      <c r="EE296" s="240"/>
      <c r="EG296" s="238"/>
      <c r="EH296" s="239"/>
      <c r="EI296" s="239"/>
      <c r="EJ296" s="240"/>
      <c r="EL296" s="238"/>
      <c r="EM296" s="239"/>
      <c r="EN296" s="239"/>
      <c r="EO296" s="240"/>
      <c r="EQ296" s="238"/>
      <c r="ER296" s="239"/>
      <c r="ES296" s="239"/>
      <c r="ET296" s="240"/>
      <c r="EV296" s="238"/>
      <c r="EW296" s="239"/>
      <c r="EX296" s="239"/>
      <c r="EY296" s="240"/>
      <c r="FA296" s="238"/>
      <c r="FB296" s="239"/>
      <c r="FC296" s="239"/>
      <c r="FD296" s="240"/>
      <c r="FF296" s="238"/>
      <c r="FG296" s="239"/>
      <c r="FH296" s="239"/>
      <c r="FI296" s="240"/>
      <c r="FK296" s="238"/>
      <c r="FL296" s="239"/>
      <c r="FM296" s="239"/>
      <c r="FN296" s="240"/>
      <c r="FP296" s="238"/>
      <c r="FQ296" s="239"/>
      <c r="FR296" s="239"/>
      <c r="FS296" s="240"/>
      <c r="FU296" s="238"/>
      <c r="FV296" s="239"/>
      <c r="FW296" s="239"/>
      <c r="FX296" s="240"/>
      <c r="FZ296" s="238"/>
      <c r="GA296" s="239"/>
      <c r="GB296" s="239"/>
      <c r="GC296" s="240"/>
      <c r="GE296" s="238"/>
      <c r="GF296" s="239"/>
      <c r="GG296" s="239"/>
      <c r="GH296" s="240"/>
      <c r="GJ296" s="1562"/>
      <c r="GK296" s="239"/>
      <c r="GL296" s="239"/>
      <c r="GM296" s="240"/>
      <c r="GO296" s="238"/>
      <c r="GP296" s="239"/>
      <c r="GQ296" s="239"/>
      <c r="GR296" s="240"/>
      <c r="GT296" s="238"/>
      <c r="GU296" s="239"/>
      <c r="GV296" s="239"/>
      <c r="GW296" s="240"/>
      <c r="GY296" s="238"/>
      <c r="GZ296" s="239"/>
      <c r="HA296" s="239"/>
      <c r="HB296" s="240"/>
      <c r="HD296" s="238"/>
      <c r="HE296" s="239"/>
      <c r="HF296" s="239"/>
      <c r="HG296" s="240"/>
      <c r="HI296" s="238"/>
      <c r="HJ296" s="239"/>
      <c r="HK296" s="239"/>
      <c r="HL296" s="240"/>
      <c r="HN296" s="238"/>
      <c r="HO296" s="239"/>
      <c r="HP296" s="239"/>
      <c r="HQ296" s="240"/>
      <c r="HS296" s="238"/>
      <c r="HT296" s="239"/>
      <c r="HU296" s="239"/>
      <c r="HV296" s="240"/>
      <c r="HX296" s="238"/>
      <c r="HY296" s="239"/>
      <c r="HZ296" s="239"/>
      <c r="IA296" s="240"/>
      <c r="IC296" s="238"/>
      <c r="ID296" s="239"/>
      <c r="IE296" s="239"/>
      <c r="IF296" s="240"/>
      <c r="IH296" s="238"/>
      <c r="II296" s="239"/>
      <c r="IJ296" s="239"/>
      <c r="IK296" s="240"/>
      <c r="IM296" s="238"/>
      <c r="IN296" s="239"/>
      <c r="IO296" s="239"/>
      <c r="IP296" s="240"/>
    </row>
    <row r="297" spans="2:251" ht="15" customHeight="1">
      <c r="B297" s="155"/>
      <c r="C297" s="155"/>
      <c r="D297" s="236"/>
      <c r="E297" s="237"/>
      <c r="F297" s="312"/>
      <c r="G297" s="330"/>
      <c r="H297" s="239"/>
      <c r="I297" s="239"/>
      <c r="J297" s="240"/>
      <c r="K297" s="331"/>
      <c r="L297" s="330"/>
      <c r="M297" s="239"/>
      <c r="N297" s="239"/>
      <c r="O297" s="240"/>
      <c r="P297" s="331"/>
      <c r="Q297" s="330"/>
      <c r="R297" s="239"/>
      <c r="S297" s="239"/>
      <c r="T297" s="240"/>
      <c r="U297" s="331"/>
      <c r="V297" s="323"/>
      <c r="W297" s="239"/>
      <c r="X297" s="239"/>
      <c r="Y297" s="240"/>
      <c r="Z297" s="240"/>
      <c r="AA297" s="238"/>
      <c r="AB297" s="239"/>
      <c r="AC297" s="239"/>
      <c r="AD297" s="240"/>
      <c r="AE297" s="240"/>
      <c r="AF297" s="238"/>
      <c r="AG297" s="239"/>
      <c r="AH297" s="239"/>
      <c r="AI297" s="240"/>
      <c r="AK297" s="238"/>
      <c r="AL297" s="239"/>
      <c r="AM297" s="239"/>
      <c r="AN297" s="240"/>
      <c r="AP297" s="238"/>
      <c r="AQ297" s="239"/>
      <c r="AR297" s="239"/>
      <c r="AS297" s="240"/>
      <c r="AU297" s="238"/>
      <c r="AV297" s="239"/>
      <c r="AW297" s="239"/>
      <c r="AX297" s="240"/>
      <c r="AZ297" s="238"/>
      <c r="BA297" s="239"/>
      <c r="BB297" s="239"/>
      <c r="BC297" s="240"/>
      <c r="BE297" s="238"/>
      <c r="BF297" s="239"/>
      <c r="BG297" s="239"/>
      <c r="BH297" s="240"/>
      <c r="BJ297" s="238"/>
      <c r="BK297" s="239"/>
      <c r="BL297" s="239"/>
      <c r="BM297" s="240"/>
      <c r="BO297" s="238"/>
      <c r="BP297" s="239"/>
      <c r="BQ297" s="239"/>
      <c r="BR297" s="240"/>
      <c r="BT297" s="238"/>
      <c r="BU297" s="239"/>
      <c r="BV297" s="239"/>
      <c r="BW297" s="240"/>
      <c r="BY297" s="238"/>
      <c r="BZ297" s="239"/>
      <c r="CA297" s="239"/>
      <c r="CB297" s="240"/>
      <c r="CD297" s="238"/>
      <c r="CE297" s="239"/>
      <c r="CF297" s="239"/>
      <c r="CG297" s="240"/>
      <c r="CI297" s="238"/>
      <c r="CJ297" s="239"/>
      <c r="CK297" s="239"/>
      <c r="CL297" s="240"/>
      <c r="CN297" s="238"/>
      <c r="CO297" s="239"/>
      <c r="CP297" s="239"/>
      <c r="CQ297" s="240"/>
      <c r="CS297" s="238"/>
      <c r="CT297" s="239"/>
      <c r="CU297" s="239"/>
      <c r="CV297" s="240"/>
      <c r="CX297" s="238"/>
      <c r="CY297" s="239"/>
      <c r="CZ297" s="239"/>
      <c r="DA297" s="240"/>
      <c r="DC297" s="238"/>
      <c r="DD297" s="239"/>
      <c r="DE297" s="239"/>
      <c r="DF297" s="240"/>
      <c r="DH297" s="238"/>
      <c r="DI297" s="239"/>
      <c r="DJ297" s="239"/>
      <c r="DK297" s="240"/>
      <c r="DM297" s="238"/>
      <c r="DN297" s="239"/>
      <c r="DO297" s="239"/>
      <c r="DP297" s="240"/>
      <c r="DR297" s="238"/>
      <c r="DS297" s="239"/>
      <c r="DT297" s="239"/>
      <c r="DU297" s="240"/>
      <c r="DW297" s="238"/>
      <c r="DX297" s="239"/>
      <c r="DY297" s="239"/>
      <c r="DZ297" s="240"/>
      <c r="EB297" s="238"/>
      <c r="EC297" s="239"/>
      <c r="ED297" s="239"/>
      <c r="EE297" s="240"/>
      <c r="EG297" s="238"/>
      <c r="EH297" s="239"/>
      <c r="EI297" s="239"/>
      <c r="EJ297" s="240"/>
      <c r="EL297" s="238"/>
      <c r="EM297" s="239"/>
      <c r="EN297" s="239"/>
      <c r="EO297" s="240"/>
      <c r="EQ297" s="238"/>
      <c r="ER297" s="239"/>
      <c r="ES297" s="239"/>
      <c r="ET297" s="240"/>
      <c r="EV297" s="238"/>
      <c r="EW297" s="239"/>
      <c r="EX297" s="239"/>
      <c r="EY297" s="240"/>
      <c r="FA297" s="238"/>
      <c r="FB297" s="239"/>
      <c r="FC297" s="239"/>
      <c r="FD297" s="240"/>
      <c r="FF297" s="238"/>
      <c r="FG297" s="239"/>
      <c r="FH297" s="239"/>
      <c r="FI297" s="240"/>
      <c r="FK297" s="238"/>
      <c r="FL297" s="239"/>
      <c r="FM297" s="239"/>
      <c r="FN297" s="240"/>
      <c r="FP297" s="238"/>
      <c r="FQ297" s="239"/>
      <c r="FR297" s="239"/>
      <c r="FS297" s="240"/>
      <c r="FU297" s="238"/>
      <c r="FV297" s="239"/>
      <c r="FW297" s="239"/>
      <c r="FX297" s="240"/>
      <c r="FZ297" s="238"/>
      <c r="GA297" s="239"/>
      <c r="GB297" s="239"/>
      <c r="GC297" s="240"/>
      <c r="GE297" s="238"/>
      <c r="GF297" s="239"/>
      <c r="GG297" s="239"/>
      <c r="GH297" s="240"/>
      <c r="GJ297" s="1562"/>
      <c r="GK297" s="239"/>
      <c r="GL297" s="239"/>
      <c r="GM297" s="240"/>
      <c r="GO297" s="238"/>
      <c r="GP297" s="239"/>
      <c r="GQ297" s="239"/>
      <c r="GR297" s="240"/>
      <c r="GT297" s="238"/>
      <c r="GU297" s="239"/>
      <c r="GV297" s="239"/>
      <c r="GW297" s="240"/>
      <c r="GY297" s="238"/>
      <c r="GZ297" s="239"/>
      <c r="HA297" s="239"/>
      <c r="HB297" s="240"/>
      <c r="HD297" s="238"/>
      <c r="HE297" s="239"/>
      <c r="HF297" s="239"/>
      <c r="HG297" s="240"/>
      <c r="HI297" s="238"/>
      <c r="HJ297" s="239"/>
      <c r="HK297" s="239"/>
      <c r="HL297" s="240"/>
      <c r="HN297" s="238"/>
      <c r="HO297" s="239"/>
      <c r="HP297" s="239"/>
      <c r="HQ297" s="240"/>
      <c r="HS297" s="238"/>
      <c r="HT297" s="239"/>
      <c r="HU297" s="239"/>
      <c r="HV297" s="240"/>
      <c r="HX297" s="238"/>
      <c r="HY297" s="239"/>
      <c r="HZ297" s="239"/>
      <c r="IA297" s="240"/>
      <c r="IC297" s="238"/>
      <c r="ID297" s="239"/>
      <c r="IE297" s="239"/>
      <c r="IF297" s="240"/>
      <c r="IH297" s="238"/>
      <c r="II297" s="239"/>
      <c r="IJ297" s="239"/>
      <c r="IK297" s="240"/>
      <c r="IM297" s="238"/>
      <c r="IN297" s="239"/>
      <c r="IO297" s="239"/>
      <c r="IP297" s="240"/>
    </row>
    <row r="298" spans="2:251" ht="15" customHeight="1">
      <c r="B298" s="155"/>
      <c r="C298" s="155"/>
      <c r="D298" s="236"/>
      <c r="E298" s="237"/>
      <c r="F298" s="312"/>
      <c r="G298" s="330"/>
      <c r="H298" s="239"/>
      <c r="I298" s="239"/>
      <c r="J298" s="240"/>
      <c r="K298" s="331"/>
      <c r="L298" s="330"/>
      <c r="M298" s="239"/>
      <c r="N298" s="239"/>
      <c r="O298" s="240"/>
      <c r="P298" s="331"/>
      <c r="Q298" s="330"/>
      <c r="R298" s="239"/>
      <c r="S298" s="239"/>
      <c r="T298" s="240"/>
      <c r="U298" s="331"/>
      <c r="V298" s="323"/>
      <c r="W298" s="239"/>
      <c r="X298" s="239"/>
      <c r="Y298" s="240"/>
      <c r="Z298" s="240"/>
      <c r="AA298" s="238"/>
      <c r="AB298" s="239"/>
      <c r="AC298" s="239"/>
      <c r="AD298" s="240"/>
      <c r="AE298" s="240"/>
      <c r="AF298" s="238"/>
      <c r="AG298" s="239"/>
      <c r="AH298" s="239"/>
      <c r="AI298" s="240"/>
      <c r="AK298" s="238"/>
      <c r="AL298" s="239"/>
      <c r="AM298" s="239"/>
      <c r="AN298" s="240"/>
      <c r="AP298" s="238"/>
      <c r="AQ298" s="239"/>
      <c r="AR298" s="239"/>
      <c r="AS298" s="240"/>
      <c r="AU298" s="238"/>
      <c r="AV298" s="239"/>
      <c r="AW298" s="239"/>
      <c r="AX298" s="240"/>
      <c r="AZ298" s="238"/>
      <c r="BA298" s="239"/>
      <c r="BB298" s="239"/>
      <c r="BC298" s="240"/>
      <c r="BE298" s="238"/>
      <c r="BF298" s="239"/>
      <c r="BG298" s="239"/>
      <c r="BH298" s="240"/>
      <c r="BJ298" s="238"/>
      <c r="BK298" s="239"/>
      <c r="BL298" s="239"/>
      <c r="BM298" s="240"/>
      <c r="BO298" s="238"/>
      <c r="BP298" s="239"/>
      <c r="BQ298" s="239"/>
      <c r="BR298" s="240"/>
      <c r="BT298" s="238"/>
      <c r="BU298" s="239"/>
      <c r="BV298" s="239"/>
      <c r="BW298" s="240"/>
      <c r="BY298" s="238"/>
      <c r="BZ298" s="239"/>
      <c r="CA298" s="239"/>
      <c r="CB298" s="240"/>
      <c r="CD298" s="238"/>
      <c r="CE298" s="239"/>
      <c r="CF298" s="239"/>
      <c r="CG298" s="240"/>
      <c r="CI298" s="238"/>
      <c r="CJ298" s="239"/>
      <c r="CK298" s="239"/>
      <c r="CL298" s="240"/>
      <c r="CN298" s="238"/>
      <c r="CO298" s="239"/>
      <c r="CP298" s="239"/>
      <c r="CQ298" s="240"/>
      <c r="CS298" s="238"/>
      <c r="CT298" s="239"/>
      <c r="CU298" s="239"/>
      <c r="CV298" s="240"/>
      <c r="CX298" s="238"/>
      <c r="CY298" s="239"/>
      <c r="CZ298" s="239"/>
      <c r="DA298" s="240"/>
      <c r="DC298" s="238"/>
      <c r="DD298" s="239"/>
      <c r="DE298" s="239"/>
      <c r="DF298" s="240"/>
      <c r="DH298" s="238"/>
      <c r="DI298" s="239"/>
      <c r="DJ298" s="239"/>
      <c r="DK298" s="240"/>
      <c r="DM298" s="238"/>
      <c r="DN298" s="239"/>
      <c r="DO298" s="239"/>
      <c r="DP298" s="240"/>
      <c r="DR298" s="238"/>
      <c r="DS298" s="239"/>
      <c r="DT298" s="239"/>
      <c r="DU298" s="240"/>
      <c r="DW298" s="238"/>
      <c r="DX298" s="239"/>
      <c r="DY298" s="239"/>
      <c r="DZ298" s="240"/>
      <c r="EB298" s="238"/>
      <c r="EC298" s="239"/>
      <c r="ED298" s="239"/>
      <c r="EE298" s="240"/>
      <c r="EG298" s="238"/>
      <c r="EH298" s="239"/>
      <c r="EI298" s="239"/>
      <c r="EJ298" s="240"/>
      <c r="EL298" s="238"/>
      <c r="EM298" s="239"/>
      <c r="EN298" s="239"/>
      <c r="EO298" s="240"/>
      <c r="EQ298" s="238"/>
      <c r="ER298" s="239"/>
      <c r="ES298" s="239"/>
      <c r="ET298" s="240"/>
      <c r="EV298" s="238"/>
      <c r="EW298" s="239"/>
      <c r="EX298" s="239"/>
      <c r="EY298" s="240"/>
      <c r="FA298" s="238"/>
      <c r="FB298" s="239"/>
      <c r="FC298" s="239"/>
      <c r="FD298" s="240"/>
      <c r="FF298" s="238"/>
      <c r="FG298" s="239"/>
      <c r="FH298" s="239"/>
      <c r="FI298" s="240"/>
      <c r="FK298" s="238"/>
      <c r="FL298" s="239"/>
      <c r="FM298" s="239"/>
      <c r="FN298" s="240"/>
      <c r="FP298" s="238"/>
      <c r="FQ298" s="239"/>
      <c r="FR298" s="239"/>
      <c r="FS298" s="240"/>
      <c r="FU298" s="238"/>
      <c r="FV298" s="239"/>
      <c r="FW298" s="239"/>
      <c r="FX298" s="240"/>
      <c r="FZ298" s="238"/>
      <c r="GA298" s="239"/>
      <c r="GB298" s="239"/>
      <c r="GC298" s="240"/>
      <c r="GE298" s="238"/>
      <c r="GF298" s="239"/>
      <c r="GG298" s="239"/>
      <c r="GH298" s="240"/>
      <c r="GJ298" s="1562"/>
      <c r="GK298" s="239"/>
      <c r="GL298" s="239"/>
      <c r="GM298" s="240"/>
      <c r="GO298" s="238"/>
      <c r="GP298" s="239"/>
      <c r="GQ298" s="239"/>
      <c r="GR298" s="240"/>
      <c r="GT298" s="238"/>
      <c r="GU298" s="239"/>
      <c r="GV298" s="239"/>
      <c r="GW298" s="240"/>
      <c r="GY298" s="238"/>
      <c r="GZ298" s="239"/>
      <c r="HA298" s="239"/>
      <c r="HB298" s="240"/>
      <c r="HD298" s="238"/>
      <c r="HE298" s="239"/>
      <c r="HF298" s="239"/>
      <c r="HG298" s="240"/>
      <c r="HI298" s="238"/>
      <c r="HJ298" s="239"/>
      <c r="HK298" s="239"/>
      <c r="HL298" s="240"/>
      <c r="HN298" s="238"/>
      <c r="HO298" s="239"/>
      <c r="HP298" s="239"/>
      <c r="HQ298" s="240"/>
      <c r="HS298" s="238"/>
      <c r="HT298" s="239"/>
      <c r="HU298" s="239"/>
      <c r="HV298" s="240"/>
      <c r="HX298" s="238"/>
      <c r="HY298" s="239"/>
      <c r="HZ298" s="239"/>
      <c r="IA298" s="240"/>
      <c r="IC298" s="238"/>
      <c r="ID298" s="239"/>
      <c r="IE298" s="239"/>
      <c r="IF298" s="240"/>
      <c r="IH298" s="238"/>
      <c r="II298" s="239"/>
      <c r="IJ298" s="239"/>
      <c r="IK298" s="240"/>
      <c r="IM298" s="238"/>
      <c r="IN298" s="239"/>
      <c r="IO298" s="239"/>
      <c r="IP298" s="240"/>
    </row>
    <row r="299" spans="2:251" ht="15" customHeight="1">
      <c r="B299" s="155"/>
      <c r="C299" s="155"/>
      <c r="D299" s="236"/>
      <c r="E299" s="237"/>
      <c r="F299" s="312"/>
      <c r="G299" s="330"/>
      <c r="H299" s="239"/>
      <c r="I299" s="239"/>
      <c r="J299" s="240"/>
      <c r="K299" s="331"/>
      <c r="L299" s="330"/>
      <c r="M299" s="239"/>
      <c r="N299" s="239"/>
      <c r="O299" s="240"/>
      <c r="P299" s="331"/>
      <c r="Q299" s="330"/>
      <c r="R299" s="239"/>
      <c r="S299" s="239"/>
      <c r="T299" s="240"/>
      <c r="U299" s="331"/>
      <c r="V299" s="323"/>
      <c r="W299" s="239"/>
      <c r="X299" s="239"/>
      <c r="Y299" s="240"/>
      <c r="Z299" s="240"/>
      <c r="AA299" s="238"/>
      <c r="AB299" s="239"/>
      <c r="AC299" s="239"/>
      <c r="AD299" s="240"/>
      <c r="AE299" s="240"/>
      <c r="AF299" s="238"/>
      <c r="AG299" s="239"/>
      <c r="AH299" s="239"/>
      <c r="AI299" s="240"/>
      <c r="AK299" s="238"/>
      <c r="AL299" s="239"/>
      <c r="AM299" s="239"/>
      <c r="AN299" s="240"/>
      <c r="AP299" s="238"/>
      <c r="AQ299" s="239"/>
      <c r="AR299" s="239"/>
      <c r="AS299" s="240"/>
      <c r="AU299" s="238"/>
      <c r="AV299" s="239"/>
      <c r="AW299" s="239"/>
      <c r="AX299" s="240"/>
      <c r="AZ299" s="238"/>
      <c r="BA299" s="239"/>
      <c r="BB299" s="239"/>
      <c r="BC299" s="240"/>
      <c r="BE299" s="238"/>
      <c r="BF299" s="239"/>
      <c r="BG299" s="239"/>
      <c r="BH299" s="240"/>
      <c r="BJ299" s="238"/>
      <c r="BK299" s="239"/>
      <c r="BL299" s="239"/>
      <c r="BM299" s="240"/>
      <c r="BO299" s="238"/>
      <c r="BP299" s="239"/>
      <c r="BQ299" s="239"/>
      <c r="BR299" s="240"/>
      <c r="BT299" s="238"/>
      <c r="BU299" s="239"/>
      <c r="BV299" s="239"/>
      <c r="BW299" s="240"/>
      <c r="BY299" s="238"/>
      <c r="BZ299" s="239"/>
      <c r="CA299" s="239"/>
      <c r="CB299" s="240"/>
      <c r="CD299" s="238"/>
      <c r="CE299" s="239"/>
      <c r="CF299" s="239"/>
      <c r="CG299" s="240"/>
      <c r="CI299" s="238"/>
      <c r="CJ299" s="239"/>
      <c r="CK299" s="239"/>
      <c r="CL299" s="240"/>
      <c r="CN299" s="238"/>
      <c r="CO299" s="239"/>
      <c r="CP299" s="239"/>
      <c r="CQ299" s="240"/>
      <c r="CS299" s="238"/>
      <c r="CT299" s="239"/>
      <c r="CU299" s="239"/>
      <c r="CV299" s="240"/>
      <c r="CX299" s="238"/>
      <c r="CY299" s="239"/>
      <c r="CZ299" s="239"/>
      <c r="DA299" s="240"/>
      <c r="DC299" s="238"/>
      <c r="DD299" s="239"/>
      <c r="DE299" s="239"/>
      <c r="DF299" s="240"/>
      <c r="DH299" s="238"/>
      <c r="DI299" s="239"/>
      <c r="DJ299" s="239"/>
      <c r="DK299" s="240"/>
      <c r="DM299" s="238"/>
      <c r="DN299" s="239"/>
      <c r="DO299" s="239"/>
      <c r="DP299" s="240"/>
      <c r="DR299" s="238"/>
      <c r="DS299" s="239"/>
      <c r="DT299" s="239"/>
      <c r="DU299" s="240"/>
      <c r="DW299" s="238"/>
      <c r="DX299" s="239"/>
      <c r="DY299" s="239"/>
      <c r="DZ299" s="240"/>
      <c r="EB299" s="238"/>
      <c r="EC299" s="239"/>
      <c r="ED299" s="239"/>
      <c r="EE299" s="240"/>
      <c r="EG299" s="238"/>
      <c r="EH299" s="239"/>
      <c r="EI299" s="239"/>
      <c r="EJ299" s="240"/>
      <c r="EL299" s="238"/>
      <c r="EM299" s="239"/>
      <c r="EN299" s="239"/>
      <c r="EO299" s="240"/>
      <c r="EQ299" s="238"/>
      <c r="ER299" s="239"/>
      <c r="ES299" s="239"/>
      <c r="ET299" s="240"/>
      <c r="EV299" s="238"/>
      <c r="EW299" s="239"/>
      <c r="EX299" s="239"/>
      <c r="EY299" s="240"/>
      <c r="FA299" s="238"/>
      <c r="FB299" s="239"/>
      <c r="FC299" s="239"/>
      <c r="FD299" s="240"/>
      <c r="FF299" s="238"/>
      <c r="FG299" s="239"/>
      <c r="FH299" s="239"/>
      <c r="FI299" s="240"/>
      <c r="FK299" s="238"/>
      <c r="FL299" s="239"/>
      <c r="FM299" s="239"/>
      <c r="FN299" s="240"/>
      <c r="FP299" s="238"/>
      <c r="FQ299" s="239"/>
      <c r="FR299" s="239"/>
      <c r="FS299" s="240"/>
      <c r="FU299" s="238"/>
      <c r="FV299" s="239"/>
      <c r="FW299" s="239"/>
      <c r="FX299" s="240"/>
      <c r="FZ299" s="238"/>
      <c r="GA299" s="239"/>
      <c r="GB299" s="239"/>
      <c r="GC299" s="240"/>
      <c r="GE299" s="238"/>
      <c r="GF299" s="239"/>
      <c r="GG299" s="239"/>
      <c r="GH299" s="240"/>
      <c r="GJ299" s="1562"/>
      <c r="GK299" s="239"/>
      <c r="GL299" s="239"/>
      <c r="GM299" s="240"/>
      <c r="GO299" s="238"/>
      <c r="GP299" s="239"/>
      <c r="GQ299" s="239"/>
      <c r="GR299" s="240"/>
      <c r="GT299" s="238"/>
      <c r="GU299" s="239"/>
      <c r="GV299" s="239"/>
      <c r="GW299" s="240"/>
      <c r="GY299" s="238"/>
      <c r="GZ299" s="239"/>
      <c r="HA299" s="239"/>
      <c r="HB299" s="240"/>
      <c r="HD299" s="238"/>
      <c r="HE299" s="239"/>
      <c r="HF299" s="239"/>
      <c r="HG299" s="240"/>
      <c r="HI299" s="238"/>
      <c r="HJ299" s="239"/>
      <c r="HK299" s="239"/>
      <c r="HL299" s="240"/>
      <c r="HN299" s="238"/>
      <c r="HO299" s="239"/>
      <c r="HP299" s="239"/>
      <c r="HQ299" s="240"/>
      <c r="HS299" s="238"/>
      <c r="HT299" s="239"/>
      <c r="HU299" s="239"/>
      <c r="HV299" s="240"/>
      <c r="HX299" s="238"/>
      <c r="HY299" s="239"/>
      <c r="HZ299" s="239"/>
      <c r="IA299" s="240"/>
      <c r="IC299" s="238"/>
      <c r="ID299" s="239"/>
      <c r="IE299" s="239"/>
      <c r="IF299" s="240"/>
      <c r="IH299" s="238"/>
      <c r="II299" s="239"/>
      <c r="IJ299" s="239"/>
      <c r="IK299" s="240"/>
      <c r="IM299" s="238"/>
      <c r="IN299" s="239"/>
      <c r="IO299" s="239"/>
      <c r="IP299" s="240"/>
    </row>
    <row r="300" spans="2:251" ht="15" customHeight="1">
      <c r="B300" s="155"/>
      <c r="C300" s="155"/>
      <c r="D300" s="236"/>
      <c r="E300" s="237"/>
      <c r="F300" s="312"/>
      <c r="G300" s="330"/>
      <c r="H300" s="239"/>
      <c r="I300" s="239"/>
      <c r="J300" s="240"/>
      <c r="K300" s="331"/>
      <c r="L300" s="330"/>
      <c r="M300" s="239"/>
      <c r="N300" s="239"/>
      <c r="O300" s="240"/>
      <c r="P300" s="331"/>
      <c r="Q300" s="330"/>
      <c r="R300" s="239"/>
      <c r="S300" s="239"/>
      <c r="T300" s="240"/>
      <c r="U300" s="331"/>
      <c r="V300" s="323"/>
      <c r="W300" s="239"/>
      <c r="X300" s="239"/>
      <c r="Y300" s="240"/>
      <c r="Z300" s="240"/>
      <c r="AA300" s="238"/>
      <c r="AB300" s="239"/>
      <c r="AC300" s="239"/>
      <c r="AD300" s="240"/>
      <c r="AE300" s="240"/>
      <c r="AF300" s="238"/>
      <c r="AG300" s="239"/>
      <c r="AH300" s="239"/>
      <c r="AI300" s="240"/>
      <c r="AK300" s="238"/>
      <c r="AL300" s="239"/>
      <c r="AM300" s="239"/>
      <c r="AN300" s="240"/>
      <c r="AP300" s="238"/>
      <c r="AQ300" s="239"/>
      <c r="AR300" s="239"/>
      <c r="AS300" s="240"/>
      <c r="AU300" s="238"/>
      <c r="AV300" s="239"/>
      <c r="AW300" s="239"/>
      <c r="AX300" s="240"/>
      <c r="AZ300" s="238"/>
      <c r="BA300" s="239"/>
      <c r="BB300" s="239"/>
      <c r="BC300" s="240"/>
      <c r="BE300" s="238"/>
      <c r="BF300" s="239"/>
      <c r="BG300" s="239"/>
      <c r="BH300" s="240"/>
      <c r="BJ300" s="238"/>
      <c r="BK300" s="239"/>
      <c r="BL300" s="239"/>
      <c r="BM300" s="240"/>
      <c r="BO300" s="238"/>
      <c r="BP300" s="239"/>
      <c r="BQ300" s="239"/>
      <c r="BR300" s="240"/>
      <c r="BT300" s="238"/>
      <c r="BU300" s="239"/>
      <c r="BV300" s="239"/>
      <c r="BW300" s="240"/>
      <c r="BY300" s="238"/>
      <c r="BZ300" s="239"/>
      <c r="CA300" s="239"/>
      <c r="CB300" s="240"/>
      <c r="CD300" s="238"/>
      <c r="CE300" s="239"/>
      <c r="CF300" s="239"/>
      <c r="CG300" s="240"/>
      <c r="CI300" s="238"/>
      <c r="CJ300" s="239"/>
      <c r="CK300" s="239"/>
      <c r="CL300" s="240"/>
      <c r="CN300" s="238"/>
      <c r="CO300" s="239"/>
      <c r="CP300" s="239"/>
      <c r="CQ300" s="240"/>
      <c r="CS300" s="238"/>
      <c r="CT300" s="239"/>
      <c r="CU300" s="239"/>
      <c r="CV300" s="240"/>
      <c r="CX300" s="238"/>
      <c r="CY300" s="239"/>
      <c r="CZ300" s="239"/>
      <c r="DA300" s="240"/>
      <c r="DC300" s="238"/>
      <c r="DD300" s="239"/>
      <c r="DE300" s="239"/>
      <c r="DF300" s="240"/>
      <c r="DH300" s="238"/>
      <c r="DI300" s="239"/>
      <c r="DJ300" s="239"/>
      <c r="DK300" s="240"/>
      <c r="DM300" s="238"/>
      <c r="DN300" s="239"/>
      <c r="DO300" s="239"/>
      <c r="DP300" s="240"/>
      <c r="DR300" s="238"/>
      <c r="DS300" s="239"/>
      <c r="DT300" s="239"/>
      <c r="DU300" s="240"/>
      <c r="DW300" s="238"/>
      <c r="DX300" s="239"/>
      <c r="DY300" s="239"/>
      <c r="DZ300" s="240"/>
      <c r="EB300" s="238"/>
      <c r="EC300" s="239"/>
      <c r="ED300" s="239"/>
      <c r="EE300" s="240"/>
      <c r="EG300" s="238"/>
      <c r="EH300" s="239"/>
      <c r="EI300" s="239"/>
      <c r="EJ300" s="240"/>
      <c r="EL300" s="238"/>
      <c r="EM300" s="239"/>
      <c r="EN300" s="239"/>
      <c r="EO300" s="240"/>
      <c r="EQ300" s="238"/>
      <c r="ER300" s="239"/>
      <c r="ES300" s="239"/>
      <c r="ET300" s="240"/>
      <c r="EV300" s="238"/>
      <c r="EW300" s="239"/>
      <c r="EX300" s="239"/>
      <c r="EY300" s="240"/>
      <c r="FA300" s="238"/>
      <c r="FB300" s="239"/>
      <c r="FC300" s="239"/>
      <c r="FD300" s="240"/>
      <c r="FF300" s="238"/>
      <c r="FG300" s="239"/>
      <c r="FH300" s="239"/>
      <c r="FI300" s="240"/>
      <c r="FK300" s="238"/>
      <c r="FL300" s="239"/>
      <c r="FM300" s="239"/>
      <c r="FN300" s="240"/>
      <c r="FP300" s="238"/>
      <c r="FQ300" s="239"/>
      <c r="FR300" s="239"/>
      <c r="FS300" s="240"/>
      <c r="FU300" s="238"/>
      <c r="FV300" s="239"/>
      <c r="FW300" s="239"/>
      <c r="FX300" s="240"/>
      <c r="FZ300" s="238"/>
      <c r="GA300" s="239"/>
      <c r="GB300" s="239"/>
      <c r="GC300" s="240"/>
      <c r="GE300" s="238"/>
      <c r="GF300" s="239"/>
      <c r="GG300" s="239"/>
      <c r="GH300" s="240"/>
      <c r="GJ300" s="1562"/>
      <c r="GK300" s="239"/>
      <c r="GL300" s="239"/>
      <c r="GM300" s="240"/>
      <c r="GO300" s="238"/>
      <c r="GP300" s="239"/>
      <c r="GQ300" s="239"/>
      <c r="GR300" s="240"/>
      <c r="GT300" s="238"/>
      <c r="GU300" s="239"/>
      <c r="GV300" s="239"/>
      <c r="GW300" s="240"/>
      <c r="GY300" s="238"/>
      <c r="GZ300" s="239"/>
      <c r="HA300" s="239"/>
      <c r="HB300" s="240"/>
      <c r="HD300" s="238"/>
      <c r="HE300" s="239"/>
      <c r="HF300" s="239"/>
      <c r="HG300" s="240"/>
      <c r="HI300" s="238"/>
      <c r="HJ300" s="239"/>
      <c r="HK300" s="239"/>
      <c r="HL300" s="240"/>
      <c r="HN300" s="238"/>
      <c r="HO300" s="239"/>
      <c r="HP300" s="239"/>
      <c r="HQ300" s="240"/>
      <c r="HS300" s="238"/>
      <c r="HT300" s="239"/>
      <c r="HU300" s="239"/>
      <c r="HV300" s="240"/>
      <c r="HX300" s="238"/>
      <c r="HY300" s="239"/>
      <c r="HZ300" s="239"/>
      <c r="IA300" s="240"/>
      <c r="IC300" s="238"/>
      <c r="ID300" s="239"/>
      <c r="IE300" s="239"/>
      <c r="IF300" s="240"/>
      <c r="IH300" s="238"/>
      <c r="II300" s="239"/>
      <c r="IJ300" s="239"/>
      <c r="IK300" s="240"/>
      <c r="IM300" s="238"/>
      <c r="IN300" s="239"/>
      <c r="IO300" s="239"/>
      <c r="IP300" s="240"/>
    </row>
    <row r="301" spans="2:251" ht="15" customHeight="1">
      <c r="B301" s="155"/>
      <c r="C301" s="155"/>
      <c r="D301" s="236"/>
      <c r="E301" s="237"/>
      <c r="F301" s="312"/>
      <c r="G301" s="330"/>
      <c r="H301" s="239"/>
      <c r="I301" s="239"/>
      <c r="J301" s="240"/>
      <c r="K301" s="331"/>
      <c r="L301" s="330"/>
      <c r="M301" s="239"/>
      <c r="N301" s="239"/>
      <c r="O301" s="240"/>
      <c r="P301" s="331"/>
      <c r="Q301" s="330"/>
      <c r="R301" s="239"/>
      <c r="S301" s="239"/>
      <c r="T301" s="240"/>
      <c r="U301" s="331"/>
      <c r="V301" s="323"/>
      <c r="W301" s="239"/>
      <c r="X301" s="239"/>
      <c r="Y301" s="240"/>
      <c r="Z301" s="240"/>
      <c r="AA301" s="238"/>
      <c r="AB301" s="239"/>
      <c r="AC301" s="239"/>
      <c r="AD301" s="240"/>
      <c r="AE301" s="240"/>
      <c r="AF301" s="238"/>
      <c r="AG301" s="239"/>
      <c r="AH301" s="239"/>
      <c r="AI301" s="240"/>
      <c r="AK301" s="238"/>
      <c r="AL301" s="239"/>
      <c r="AM301" s="239"/>
      <c r="AN301" s="240"/>
      <c r="AP301" s="238"/>
      <c r="AQ301" s="239"/>
      <c r="AR301" s="239"/>
      <c r="AS301" s="240"/>
      <c r="AU301" s="238"/>
      <c r="AV301" s="239"/>
      <c r="AW301" s="239"/>
      <c r="AX301" s="240"/>
      <c r="AZ301" s="238"/>
      <c r="BA301" s="239"/>
      <c r="BB301" s="239"/>
      <c r="BC301" s="240"/>
      <c r="BE301" s="238"/>
      <c r="BF301" s="239"/>
      <c r="BG301" s="239"/>
      <c r="BH301" s="240"/>
      <c r="BJ301" s="238"/>
      <c r="BK301" s="239"/>
      <c r="BL301" s="239"/>
      <c r="BM301" s="240"/>
      <c r="BO301" s="238"/>
      <c r="BP301" s="239"/>
      <c r="BQ301" s="239"/>
      <c r="BR301" s="240"/>
      <c r="BT301" s="238"/>
      <c r="BU301" s="239"/>
      <c r="BV301" s="239"/>
      <c r="BW301" s="240"/>
      <c r="BY301" s="238"/>
      <c r="BZ301" s="239"/>
      <c r="CA301" s="239"/>
      <c r="CB301" s="240"/>
      <c r="CD301" s="238"/>
      <c r="CE301" s="239"/>
      <c r="CF301" s="239"/>
      <c r="CG301" s="240"/>
      <c r="CI301" s="238"/>
      <c r="CJ301" s="239"/>
      <c r="CK301" s="239"/>
      <c r="CL301" s="240"/>
      <c r="CN301" s="238"/>
      <c r="CO301" s="239"/>
      <c r="CP301" s="239"/>
      <c r="CQ301" s="240"/>
      <c r="CS301" s="238"/>
      <c r="CT301" s="239"/>
      <c r="CU301" s="239"/>
      <c r="CV301" s="240"/>
      <c r="CX301" s="238"/>
      <c r="CY301" s="239"/>
      <c r="CZ301" s="239"/>
      <c r="DA301" s="240"/>
      <c r="DC301" s="238"/>
      <c r="DD301" s="239"/>
      <c r="DE301" s="239"/>
      <c r="DF301" s="240"/>
      <c r="DH301" s="238"/>
      <c r="DI301" s="239"/>
      <c r="DJ301" s="239"/>
      <c r="DK301" s="240"/>
      <c r="DM301" s="238"/>
      <c r="DN301" s="239"/>
      <c r="DO301" s="239"/>
      <c r="DP301" s="240"/>
      <c r="DR301" s="238"/>
      <c r="DS301" s="239"/>
      <c r="DT301" s="239"/>
      <c r="DU301" s="240"/>
      <c r="DW301" s="238"/>
      <c r="DX301" s="239"/>
      <c r="DY301" s="239"/>
      <c r="DZ301" s="240"/>
      <c r="EB301" s="238"/>
      <c r="EC301" s="239"/>
      <c r="ED301" s="239"/>
      <c r="EE301" s="240"/>
      <c r="EG301" s="238"/>
      <c r="EH301" s="239"/>
      <c r="EI301" s="239"/>
      <c r="EJ301" s="240"/>
      <c r="EL301" s="238"/>
      <c r="EM301" s="239"/>
      <c r="EN301" s="239"/>
      <c r="EO301" s="240"/>
      <c r="EQ301" s="238"/>
      <c r="ER301" s="239"/>
      <c r="ES301" s="239"/>
      <c r="ET301" s="240"/>
      <c r="EV301" s="238"/>
      <c r="EW301" s="239"/>
      <c r="EX301" s="239"/>
      <c r="EY301" s="240"/>
      <c r="FA301" s="238"/>
      <c r="FB301" s="239"/>
      <c r="FC301" s="239"/>
      <c r="FD301" s="240"/>
      <c r="FF301" s="238"/>
      <c r="FG301" s="239"/>
      <c r="FH301" s="239"/>
      <c r="FI301" s="240"/>
      <c r="FK301" s="238"/>
      <c r="FL301" s="239"/>
      <c r="FM301" s="239"/>
      <c r="FN301" s="240"/>
      <c r="FP301" s="238"/>
      <c r="FQ301" s="239"/>
      <c r="FR301" s="239"/>
      <c r="FS301" s="240"/>
      <c r="FU301" s="238"/>
      <c r="FV301" s="239"/>
      <c r="FW301" s="239"/>
      <c r="FX301" s="240"/>
      <c r="FZ301" s="238"/>
      <c r="GA301" s="239"/>
      <c r="GB301" s="239"/>
      <c r="GC301" s="240"/>
      <c r="GE301" s="238"/>
      <c r="GF301" s="239"/>
      <c r="GG301" s="239"/>
      <c r="GH301" s="240"/>
      <c r="GJ301" s="1562"/>
      <c r="GK301" s="239"/>
      <c r="GL301" s="239"/>
      <c r="GM301" s="240"/>
      <c r="GO301" s="238"/>
      <c r="GP301" s="239"/>
      <c r="GQ301" s="239"/>
      <c r="GR301" s="240"/>
      <c r="GT301" s="238"/>
      <c r="GU301" s="239"/>
      <c r="GV301" s="239"/>
      <c r="GW301" s="240"/>
      <c r="GY301" s="238"/>
      <c r="GZ301" s="239"/>
      <c r="HA301" s="239"/>
      <c r="HB301" s="240"/>
      <c r="HD301" s="238"/>
      <c r="HE301" s="239"/>
      <c r="HF301" s="239"/>
      <c r="HG301" s="240"/>
      <c r="HI301" s="238"/>
      <c r="HJ301" s="239"/>
      <c r="HK301" s="239"/>
      <c r="HL301" s="240"/>
      <c r="HN301" s="238"/>
      <c r="HO301" s="239"/>
      <c r="HP301" s="239"/>
      <c r="HQ301" s="240"/>
      <c r="HS301" s="238"/>
      <c r="HT301" s="239"/>
      <c r="HU301" s="239"/>
      <c r="HV301" s="240"/>
      <c r="HX301" s="238"/>
      <c r="HY301" s="239"/>
      <c r="HZ301" s="239"/>
      <c r="IA301" s="240"/>
      <c r="IC301" s="238"/>
      <c r="ID301" s="239"/>
      <c r="IE301" s="239"/>
      <c r="IF301" s="240"/>
      <c r="IH301" s="238"/>
      <c r="II301" s="239"/>
      <c r="IJ301" s="239"/>
      <c r="IK301" s="240"/>
      <c r="IM301" s="238"/>
      <c r="IN301" s="239"/>
      <c r="IO301" s="239"/>
      <c r="IP301" s="240"/>
    </row>
    <row r="302" spans="2:251" ht="15" customHeight="1">
      <c r="B302" s="155"/>
      <c r="C302" s="155"/>
      <c r="D302" s="236"/>
      <c r="E302" s="237"/>
      <c r="F302" s="312"/>
      <c r="G302" s="330"/>
      <c r="H302" s="239"/>
      <c r="I302" s="239"/>
      <c r="J302" s="240"/>
      <c r="K302" s="331"/>
      <c r="L302" s="330"/>
      <c r="M302" s="239"/>
      <c r="N302" s="239"/>
      <c r="O302" s="240"/>
      <c r="P302" s="331"/>
      <c r="Q302" s="330"/>
      <c r="R302" s="239"/>
      <c r="S302" s="239"/>
      <c r="T302" s="240"/>
      <c r="U302" s="331"/>
      <c r="V302" s="323"/>
      <c r="W302" s="239"/>
      <c r="X302" s="239"/>
      <c r="Y302" s="240"/>
      <c r="Z302" s="240"/>
      <c r="AA302" s="238"/>
      <c r="AB302" s="239"/>
      <c r="AC302" s="239"/>
      <c r="AD302" s="240"/>
      <c r="AE302" s="240"/>
      <c r="AF302" s="238"/>
      <c r="AG302" s="239"/>
      <c r="AH302" s="239"/>
      <c r="AI302" s="240"/>
      <c r="AK302" s="238"/>
      <c r="AL302" s="239"/>
      <c r="AM302" s="239"/>
      <c r="AN302" s="240"/>
      <c r="AP302" s="238"/>
      <c r="AQ302" s="239"/>
      <c r="AR302" s="239"/>
      <c r="AS302" s="240"/>
      <c r="AU302" s="238"/>
      <c r="AV302" s="239"/>
      <c r="AW302" s="239"/>
      <c r="AX302" s="240"/>
      <c r="AZ302" s="238"/>
      <c r="BA302" s="239"/>
      <c r="BB302" s="239"/>
      <c r="BC302" s="240"/>
      <c r="BE302" s="238"/>
      <c r="BF302" s="239"/>
      <c r="BG302" s="239"/>
      <c r="BH302" s="240"/>
      <c r="BJ302" s="238"/>
      <c r="BK302" s="239"/>
      <c r="BL302" s="239"/>
      <c r="BM302" s="240"/>
      <c r="BO302" s="238"/>
      <c r="BP302" s="239"/>
      <c r="BQ302" s="239"/>
      <c r="BR302" s="240"/>
      <c r="BT302" s="238"/>
      <c r="BU302" s="239"/>
      <c r="BV302" s="239"/>
      <c r="BW302" s="240"/>
      <c r="BY302" s="238"/>
      <c r="BZ302" s="239"/>
      <c r="CA302" s="239"/>
      <c r="CB302" s="240"/>
      <c r="CD302" s="238"/>
      <c r="CE302" s="239"/>
      <c r="CF302" s="239"/>
      <c r="CG302" s="240"/>
      <c r="CI302" s="238"/>
      <c r="CJ302" s="239"/>
      <c r="CK302" s="239"/>
      <c r="CL302" s="240"/>
      <c r="CN302" s="238"/>
      <c r="CO302" s="239"/>
      <c r="CP302" s="239"/>
      <c r="CQ302" s="240"/>
      <c r="CS302" s="238"/>
      <c r="CT302" s="239"/>
      <c r="CU302" s="239"/>
      <c r="CV302" s="240"/>
      <c r="CX302" s="238"/>
      <c r="CY302" s="239"/>
      <c r="CZ302" s="239"/>
      <c r="DA302" s="240"/>
      <c r="DC302" s="238"/>
      <c r="DD302" s="239"/>
      <c r="DE302" s="239"/>
      <c r="DF302" s="240"/>
      <c r="DH302" s="238"/>
      <c r="DI302" s="239"/>
      <c r="DJ302" s="239"/>
      <c r="DK302" s="240"/>
      <c r="DM302" s="238"/>
      <c r="DN302" s="239"/>
      <c r="DO302" s="239"/>
      <c r="DP302" s="240"/>
      <c r="DR302" s="238"/>
      <c r="DS302" s="239"/>
      <c r="DT302" s="239"/>
      <c r="DU302" s="240"/>
      <c r="DW302" s="238"/>
      <c r="DX302" s="239"/>
      <c r="DY302" s="239"/>
      <c r="DZ302" s="240"/>
      <c r="EB302" s="238"/>
      <c r="EC302" s="239"/>
      <c r="ED302" s="239"/>
      <c r="EE302" s="240"/>
      <c r="EG302" s="238"/>
      <c r="EH302" s="239"/>
      <c r="EI302" s="239"/>
      <c r="EJ302" s="240"/>
      <c r="EL302" s="238"/>
      <c r="EM302" s="239"/>
      <c r="EN302" s="239"/>
      <c r="EO302" s="240"/>
      <c r="EQ302" s="238"/>
      <c r="ER302" s="239"/>
      <c r="ES302" s="239"/>
      <c r="ET302" s="240"/>
      <c r="EV302" s="238"/>
      <c r="EW302" s="239"/>
      <c r="EX302" s="239"/>
      <c r="EY302" s="240"/>
      <c r="FA302" s="238"/>
      <c r="FB302" s="239"/>
      <c r="FC302" s="239"/>
      <c r="FD302" s="240"/>
      <c r="FF302" s="238"/>
      <c r="FG302" s="239"/>
      <c r="FH302" s="239"/>
      <c r="FI302" s="240"/>
      <c r="FK302" s="238"/>
      <c r="FL302" s="239"/>
      <c r="FM302" s="239"/>
      <c r="FN302" s="240"/>
      <c r="FP302" s="238"/>
      <c r="FQ302" s="239"/>
      <c r="FR302" s="239"/>
      <c r="FS302" s="240"/>
      <c r="FU302" s="238"/>
      <c r="FV302" s="239"/>
      <c r="FW302" s="239"/>
      <c r="FX302" s="240"/>
      <c r="FZ302" s="238"/>
      <c r="GA302" s="239"/>
      <c r="GB302" s="239"/>
      <c r="GC302" s="240"/>
      <c r="GE302" s="238"/>
      <c r="GF302" s="239"/>
      <c r="GG302" s="239"/>
      <c r="GH302" s="240"/>
      <c r="GJ302" s="1562"/>
      <c r="GK302" s="239"/>
      <c r="GL302" s="239"/>
      <c r="GM302" s="240"/>
      <c r="GO302" s="238"/>
      <c r="GP302" s="239"/>
      <c r="GQ302" s="239"/>
      <c r="GR302" s="240"/>
      <c r="GT302" s="238"/>
      <c r="GU302" s="239"/>
      <c r="GV302" s="239"/>
      <c r="GW302" s="240"/>
      <c r="GY302" s="238"/>
      <c r="GZ302" s="239"/>
      <c r="HA302" s="239"/>
      <c r="HB302" s="240"/>
      <c r="HD302" s="238"/>
      <c r="HE302" s="239"/>
      <c r="HF302" s="239"/>
      <c r="HG302" s="240"/>
      <c r="HI302" s="238"/>
      <c r="HJ302" s="239"/>
      <c r="HK302" s="239"/>
      <c r="HL302" s="240"/>
      <c r="HN302" s="238"/>
      <c r="HO302" s="239"/>
      <c r="HP302" s="239"/>
      <c r="HQ302" s="240"/>
      <c r="HS302" s="238"/>
      <c r="HT302" s="239"/>
      <c r="HU302" s="239"/>
      <c r="HV302" s="240"/>
      <c r="HX302" s="238"/>
      <c r="HY302" s="239"/>
      <c r="HZ302" s="239"/>
      <c r="IA302" s="240"/>
      <c r="IC302" s="238"/>
      <c r="ID302" s="239"/>
      <c r="IE302" s="239"/>
      <c r="IF302" s="240"/>
      <c r="IH302" s="238"/>
      <c r="II302" s="239"/>
      <c r="IJ302" s="239"/>
      <c r="IK302" s="240"/>
      <c r="IM302" s="238"/>
      <c r="IN302" s="239"/>
      <c r="IO302" s="239"/>
      <c r="IP302" s="240"/>
    </row>
    <row r="303" spans="2:251" ht="15" customHeight="1">
      <c r="B303" s="155"/>
      <c r="C303" s="155"/>
      <c r="D303" s="236"/>
      <c r="E303" s="237"/>
      <c r="F303" s="312"/>
      <c r="G303" s="330"/>
      <c r="H303" s="239"/>
      <c r="I303" s="239"/>
      <c r="J303" s="240"/>
      <c r="K303" s="331"/>
      <c r="L303" s="330"/>
      <c r="M303" s="239"/>
      <c r="N303" s="239"/>
      <c r="O303" s="240"/>
      <c r="P303" s="331"/>
      <c r="Q303" s="330"/>
      <c r="R303" s="239"/>
      <c r="S303" s="239"/>
      <c r="T303" s="240"/>
      <c r="U303" s="331"/>
      <c r="V303" s="323"/>
      <c r="W303" s="239"/>
      <c r="X303" s="239"/>
      <c r="Y303" s="240"/>
      <c r="Z303" s="240"/>
      <c r="AA303" s="238"/>
      <c r="AB303" s="239"/>
      <c r="AC303" s="239"/>
      <c r="AD303" s="240"/>
      <c r="AE303" s="240"/>
      <c r="AF303" s="238"/>
      <c r="AG303" s="239"/>
      <c r="AH303" s="239"/>
      <c r="AI303" s="240"/>
      <c r="AK303" s="238"/>
      <c r="AL303" s="239"/>
      <c r="AM303" s="239"/>
      <c r="AN303" s="240"/>
      <c r="AP303" s="238"/>
      <c r="AQ303" s="239"/>
      <c r="AR303" s="239"/>
      <c r="AS303" s="240"/>
      <c r="AU303" s="238"/>
      <c r="AV303" s="239"/>
      <c r="AW303" s="239"/>
      <c r="AX303" s="240"/>
      <c r="AZ303" s="238"/>
      <c r="BA303" s="239"/>
      <c r="BB303" s="239"/>
      <c r="BC303" s="240"/>
      <c r="BE303" s="238"/>
      <c r="BF303" s="239"/>
      <c r="BG303" s="239"/>
      <c r="BH303" s="240"/>
      <c r="BJ303" s="238"/>
      <c r="BK303" s="239"/>
      <c r="BL303" s="239"/>
      <c r="BM303" s="240"/>
      <c r="BO303" s="238"/>
      <c r="BP303" s="239"/>
      <c r="BQ303" s="239"/>
      <c r="BR303" s="240"/>
      <c r="BT303" s="238"/>
      <c r="BU303" s="239"/>
      <c r="BV303" s="239"/>
      <c r="BW303" s="240"/>
      <c r="BY303" s="238"/>
      <c r="BZ303" s="239"/>
      <c r="CA303" s="239"/>
      <c r="CB303" s="240"/>
      <c r="CD303" s="238"/>
      <c r="CE303" s="239"/>
      <c r="CF303" s="239"/>
      <c r="CG303" s="240"/>
      <c r="CI303" s="238"/>
      <c r="CJ303" s="239"/>
      <c r="CK303" s="239"/>
      <c r="CL303" s="240"/>
      <c r="CN303" s="238"/>
      <c r="CO303" s="239"/>
      <c r="CP303" s="239"/>
      <c r="CQ303" s="240"/>
      <c r="CS303" s="238"/>
      <c r="CT303" s="239"/>
      <c r="CU303" s="239"/>
      <c r="CV303" s="240"/>
      <c r="CX303" s="238"/>
      <c r="CY303" s="239"/>
      <c r="CZ303" s="239"/>
      <c r="DA303" s="240"/>
      <c r="DC303" s="238"/>
      <c r="DD303" s="239"/>
      <c r="DE303" s="239"/>
      <c r="DF303" s="240"/>
      <c r="DH303" s="238"/>
      <c r="DI303" s="239"/>
      <c r="DJ303" s="239"/>
      <c r="DK303" s="240"/>
      <c r="DM303" s="238"/>
      <c r="DN303" s="239"/>
      <c r="DO303" s="239"/>
      <c r="DP303" s="240"/>
      <c r="DR303" s="238"/>
      <c r="DS303" s="239"/>
      <c r="DT303" s="239"/>
      <c r="DU303" s="240"/>
      <c r="DW303" s="238"/>
      <c r="DX303" s="239"/>
      <c r="DY303" s="239"/>
      <c r="DZ303" s="240"/>
      <c r="EB303" s="238"/>
      <c r="EC303" s="239"/>
      <c r="ED303" s="239"/>
      <c r="EE303" s="240"/>
      <c r="EG303" s="238"/>
      <c r="EH303" s="239"/>
      <c r="EI303" s="239"/>
      <c r="EJ303" s="240"/>
      <c r="EL303" s="238"/>
      <c r="EM303" s="239"/>
      <c r="EN303" s="239"/>
      <c r="EO303" s="240"/>
      <c r="EQ303" s="238"/>
      <c r="ER303" s="239"/>
      <c r="ES303" s="239"/>
      <c r="ET303" s="240"/>
      <c r="EV303" s="238"/>
      <c r="EW303" s="239"/>
      <c r="EX303" s="239"/>
      <c r="EY303" s="240"/>
      <c r="FA303" s="238"/>
      <c r="FB303" s="239"/>
      <c r="FC303" s="239"/>
      <c r="FD303" s="240"/>
      <c r="FF303" s="238"/>
      <c r="FG303" s="239"/>
      <c r="FH303" s="239"/>
      <c r="FI303" s="240"/>
      <c r="FK303" s="238"/>
      <c r="FL303" s="239"/>
      <c r="FM303" s="239"/>
      <c r="FN303" s="240"/>
      <c r="FP303" s="238"/>
      <c r="FQ303" s="239"/>
      <c r="FR303" s="239"/>
      <c r="FS303" s="240"/>
      <c r="FU303" s="238"/>
      <c r="FV303" s="239"/>
      <c r="FW303" s="239"/>
      <c r="FX303" s="240"/>
      <c r="FZ303" s="238"/>
      <c r="GA303" s="239"/>
      <c r="GB303" s="239"/>
      <c r="GC303" s="240"/>
      <c r="GE303" s="238"/>
      <c r="GF303" s="239"/>
      <c r="GG303" s="239"/>
      <c r="GH303" s="240"/>
      <c r="GJ303" s="1562"/>
      <c r="GK303" s="239"/>
      <c r="GL303" s="239"/>
      <c r="GM303" s="240"/>
      <c r="GO303" s="238"/>
      <c r="GP303" s="239"/>
      <c r="GQ303" s="239"/>
      <c r="GR303" s="240"/>
      <c r="GT303" s="238"/>
      <c r="GU303" s="239"/>
      <c r="GV303" s="239"/>
      <c r="GW303" s="240"/>
      <c r="GY303" s="238"/>
      <c r="GZ303" s="239"/>
      <c r="HA303" s="239"/>
      <c r="HB303" s="240"/>
      <c r="HD303" s="238"/>
      <c r="HE303" s="239"/>
      <c r="HF303" s="239"/>
      <c r="HG303" s="240"/>
      <c r="HI303" s="238"/>
      <c r="HJ303" s="239"/>
      <c r="HK303" s="239"/>
      <c r="HL303" s="240"/>
      <c r="HN303" s="238"/>
      <c r="HO303" s="239"/>
      <c r="HP303" s="239"/>
      <c r="HQ303" s="240"/>
      <c r="HS303" s="238"/>
      <c r="HT303" s="239"/>
      <c r="HU303" s="239"/>
      <c r="HV303" s="240"/>
      <c r="HX303" s="238"/>
      <c r="HY303" s="239"/>
      <c r="HZ303" s="239"/>
      <c r="IA303" s="240"/>
      <c r="IC303" s="238"/>
      <c r="ID303" s="239"/>
      <c r="IE303" s="239"/>
      <c r="IF303" s="240"/>
      <c r="IH303" s="238"/>
      <c r="II303" s="239"/>
      <c r="IJ303" s="239"/>
      <c r="IK303" s="240"/>
      <c r="IM303" s="238"/>
      <c r="IN303" s="239"/>
      <c r="IO303" s="239"/>
      <c r="IP303" s="240"/>
    </row>
    <row r="304" spans="2:251" ht="15" customHeight="1">
      <c r="B304" s="155"/>
      <c r="C304" s="155"/>
      <c r="D304" s="236"/>
      <c r="E304" s="237"/>
      <c r="F304" s="312"/>
      <c r="G304" s="330"/>
      <c r="H304" s="239"/>
      <c r="I304" s="239"/>
      <c r="J304" s="240"/>
      <c r="K304" s="331"/>
      <c r="L304" s="330"/>
      <c r="M304" s="239"/>
      <c r="N304" s="239"/>
      <c r="O304" s="240"/>
      <c r="P304" s="331"/>
      <c r="Q304" s="330"/>
      <c r="R304" s="239"/>
      <c r="S304" s="239"/>
      <c r="T304" s="240"/>
      <c r="U304" s="331"/>
      <c r="V304" s="323"/>
      <c r="W304" s="239"/>
      <c r="X304" s="239"/>
      <c r="Y304" s="240"/>
      <c r="Z304" s="240"/>
      <c r="AA304" s="238"/>
      <c r="AB304" s="239"/>
      <c r="AC304" s="239"/>
      <c r="AD304" s="240"/>
      <c r="AE304" s="240"/>
      <c r="AF304" s="238"/>
      <c r="AG304" s="239"/>
      <c r="AH304" s="239"/>
      <c r="AI304" s="240"/>
      <c r="AK304" s="238"/>
      <c r="AL304" s="239"/>
      <c r="AM304" s="239"/>
      <c r="AN304" s="240"/>
      <c r="AP304" s="238"/>
      <c r="AQ304" s="239"/>
      <c r="AR304" s="239"/>
      <c r="AS304" s="240"/>
      <c r="AU304" s="238"/>
      <c r="AV304" s="239"/>
      <c r="AW304" s="239"/>
      <c r="AX304" s="240"/>
      <c r="AZ304" s="238"/>
      <c r="BA304" s="239"/>
      <c r="BB304" s="239"/>
      <c r="BC304" s="240"/>
      <c r="BE304" s="238"/>
      <c r="BF304" s="239"/>
      <c r="BG304" s="239"/>
      <c r="BH304" s="240"/>
      <c r="BJ304" s="238"/>
      <c r="BK304" s="239"/>
      <c r="BL304" s="239"/>
      <c r="BM304" s="240"/>
      <c r="BO304" s="238"/>
      <c r="BP304" s="239"/>
      <c r="BQ304" s="239"/>
      <c r="BR304" s="240"/>
      <c r="BT304" s="238"/>
      <c r="BU304" s="239"/>
      <c r="BV304" s="239"/>
      <c r="BW304" s="240"/>
      <c r="BY304" s="238"/>
      <c r="BZ304" s="239"/>
      <c r="CA304" s="239"/>
      <c r="CB304" s="240"/>
      <c r="CD304" s="238"/>
      <c r="CE304" s="239"/>
      <c r="CF304" s="239"/>
      <c r="CG304" s="240"/>
      <c r="CI304" s="238"/>
      <c r="CJ304" s="239"/>
      <c r="CK304" s="239"/>
      <c r="CL304" s="240"/>
      <c r="CN304" s="238"/>
      <c r="CO304" s="239"/>
      <c r="CP304" s="239"/>
      <c r="CQ304" s="240"/>
      <c r="CS304" s="238"/>
      <c r="CT304" s="239"/>
      <c r="CU304" s="239"/>
      <c r="CV304" s="240"/>
      <c r="CX304" s="238"/>
      <c r="CY304" s="239"/>
      <c r="CZ304" s="239"/>
      <c r="DA304" s="240"/>
      <c r="DC304" s="238"/>
      <c r="DD304" s="239"/>
      <c r="DE304" s="239"/>
      <c r="DF304" s="240"/>
      <c r="DH304" s="238"/>
      <c r="DI304" s="239"/>
      <c r="DJ304" s="239"/>
      <c r="DK304" s="240"/>
      <c r="DM304" s="238"/>
      <c r="DN304" s="239"/>
      <c r="DO304" s="239"/>
      <c r="DP304" s="240"/>
      <c r="DR304" s="238"/>
      <c r="DS304" s="239"/>
      <c r="DT304" s="239"/>
      <c r="DU304" s="240"/>
      <c r="DW304" s="238"/>
      <c r="DX304" s="239"/>
      <c r="DY304" s="239"/>
      <c r="DZ304" s="240"/>
      <c r="EB304" s="238"/>
      <c r="EC304" s="239"/>
      <c r="ED304" s="239"/>
      <c r="EE304" s="240"/>
      <c r="EG304" s="238"/>
      <c r="EH304" s="239"/>
      <c r="EI304" s="239"/>
      <c r="EJ304" s="240"/>
      <c r="EL304" s="238"/>
      <c r="EM304" s="239"/>
      <c r="EN304" s="239"/>
      <c r="EO304" s="240"/>
      <c r="EQ304" s="238"/>
      <c r="ER304" s="239"/>
      <c r="ES304" s="239"/>
      <c r="ET304" s="240"/>
      <c r="EV304" s="238"/>
      <c r="EW304" s="239"/>
      <c r="EX304" s="239"/>
      <c r="EY304" s="240"/>
      <c r="FA304" s="238"/>
      <c r="FB304" s="239"/>
      <c r="FC304" s="239"/>
      <c r="FD304" s="240"/>
      <c r="FF304" s="238"/>
      <c r="FG304" s="239"/>
      <c r="FH304" s="239"/>
      <c r="FI304" s="240"/>
      <c r="FK304" s="238"/>
      <c r="FL304" s="239"/>
      <c r="FM304" s="239"/>
      <c r="FN304" s="240"/>
      <c r="FP304" s="238"/>
      <c r="FQ304" s="239"/>
      <c r="FR304" s="239"/>
      <c r="FS304" s="240"/>
      <c r="FU304" s="238"/>
      <c r="FV304" s="239"/>
      <c r="FW304" s="239"/>
      <c r="FX304" s="240"/>
      <c r="FZ304" s="238"/>
      <c r="GA304" s="239"/>
      <c r="GB304" s="239"/>
      <c r="GC304" s="240"/>
      <c r="GE304" s="238"/>
      <c r="GF304" s="239"/>
      <c r="GG304" s="239"/>
      <c r="GH304" s="240"/>
      <c r="GJ304" s="1562"/>
      <c r="GK304" s="239"/>
      <c r="GL304" s="239"/>
      <c r="GM304" s="240"/>
      <c r="GO304" s="238"/>
      <c r="GP304" s="239"/>
      <c r="GQ304" s="239"/>
      <c r="GR304" s="240"/>
      <c r="GT304" s="238"/>
      <c r="GU304" s="239"/>
      <c r="GV304" s="239"/>
      <c r="GW304" s="240"/>
      <c r="GY304" s="238"/>
      <c r="GZ304" s="239"/>
      <c r="HA304" s="239"/>
      <c r="HB304" s="240"/>
      <c r="HD304" s="238"/>
      <c r="HE304" s="239"/>
      <c r="HF304" s="239"/>
      <c r="HG304" s="240"/>
      <c r="HI304" s="238"/>
      <c r="HJ304" s="239"/>
      <c r="HK304" s="239"/>
      <c r="HL304" s="240"/>
      <c r="HN304" s="238"/>
      <c r="HO304" s="239"/>
      <c r="HP304" s="239"/>
      <c r="HQ304" s="240"/>
      <c r="HS304" s="238"/>
      <c r="HT304" s="239"/>
      <c r="HU304" s="239"/>
      <c r="HV304" s="240"/>
      <c r="HX304" s="238"/>
      <c r="HY304" s="239"/>
      <c r="HZ304" s="239"/>
      <c r="IA304" s="240"/>
      <c r="IC304" s="238"/>
      <c r="ID304" s="239"/>
      <c r="IE304" s="239"/>
      <c r="IF304" s="240"/>
      <c r="IH304" s="238"/>
      <c r="II304" s="239"/>
      <c r="IJ304" s="239"/>
      <c r="IK304" s="240"/>
      <c r="IM304" s="238"/>
      <c r="IN304" s="239"/>
      <c r="IO304" s="239"/>
      <c r="IP304" s="240"/>
    </row>
    <row r="305" spans="2:250" ht="15" customHeight="1">
      <c r="B305" s="155"/>
      <c r="C305" s="155"/>
      <c r="D305" s="236"/>
      <c r="E305" s="237"/>
      <c r="F305" s="312"/>
      <c r="G305" s="330"/>
      <c r="H305" s="239"/>
      <c r="I305" s="239"/>
      <c r="J305" s="240"/>
      <c r="K305" s="331"/>
      <c r="L305" s="330"/>
      <c r="M305" s="239"/>
      <c r="N305" s="239"/>
      <c r="O305" s="240"/>
      <c r="P305" s="331"/>
      <c r="Q305" s="330"/>
      <c r="R305" s="239"/>
      <c r="S305" s="239"/>
      <c r="T305" s="240"/>
      <c r="U305" s="331"/>
      <c r="V305" s="323"/>
      <c r="W305" s="239"/>
      <c r="X305" s="239"/>
      <c r="Y305" s="240"/>
      <c r="Z305" s="240"/>
      <c r="AA305" s="238"/>
      <c r="AB305" s="239"/>
      <c r="AC305" s="239"/>
      <c r="AD305" s="240"/>
      <c r="AE305" s="240"/>
      <c r="AF305" s="238"/>
      <c r="AG305" s="239"/>
      <c r="AH305" s="239"/>
      <c r="AI305" s="240"/>
      <c r="AK305" s="238"/>
      <c r="AL305" s="239"/>
      <c r="AM305" s="239"/>
      <c r="AN305" s="240"/>
      <c r="AP305" s="238"/>
      <c r="AQ305" s="239"/>
      <c r="AR305" s="239"/>
      <c r="AS305" s="240"/>
      <c r="AU305" s="238"/>
      <c r="AV305" s="239"/>
      <c r="AW305" s="239"/>
      <c r="AX305" s="240"/>
      <c r="AZ305" s="238"/>
      <c r="BA305" s="239"/>
      <c r="BB305" s="239"/>
      <c r="BC305" s="240"/>
      <c r="BE305" s="238"/>
      <c r="BF305" s="239"/>
      <c r="BG305" s="239"/>
      <c r="BH305" s="240"/>
      <c r="BJ305" s="238"/>
      <c r="BK305" s="239"/>
      <c r="BL305" s="239"/>
      <c r="BM305" s="240"/>
      <c r="BO305" s="238"/>
      <c r="BP305" s="239"/>
      <c r="BQ305" s="239"/>
      <c r="BR305" s="240"/>
      <c r="BT305" s="238"/>
      <c r="BU305" s="239"/>
      <c r="BV305" s="239"/>
      <c r="BW305" s="240"/>
      <c r="BY305" s="238"/>
      <c r="BZ305" s="239"/>
      <c r="CA305" s="239"/>
      <c r="CB305" s="240"/>
      <c r="CD305" s="238"/>
      <c r="CE305" s="239"/>
      <c r="CF305" s="239"/>
      <c r="CG305" s="240"/>
      <c r="CI305" s="238"/>
      <c r="CJ305" s="239"/>
      <c r="CK305" s="239"/>
      <c r="CL305" s="240"/>
      <c r="CN305" s="238"/>
      <c r="CO305" s="239"/>
      <c r="CP305" s="239"/>
      <c r="CQ305" s="240"/>
      <c r="CS305" s="238"/>
      <c r="CT305" s="239"/>
      <c r="CU305" s="239"/>
      <c r="CV305" s="240"/>
      <c r="CX305" s="238"/>
      <c r="CY305" s="239"/>
      <c r="CZ305" s="239"/>
      <c r="DA305" s="240"/>
      <c r="DC305" s="238"/>
      <c r="DD305" s="239"/>
      <c r="DE305" s="239"/>
      <c r="DF305" s="240"/>
      <c r="DH305" s="238"/>
      <c r="DI305" s="239"/>
      <c r="DJ305" s="239"/>
      <c r="DK305" s="240"/>
      <c r="DM305" s="238"/>
      <c r="DN305" s="239"/>
      <c r="DO305" s="239"/>
      <c r="DP305" s="240"/>
      <c r="DR305" s="238"/>
      <c r="DS305" s="239"/>
      <c r="DT305" s="239"/>
      <c r="DU305" s="240"/>
      <c r="DW305" s="238"/>
      <c r="DX305" s="239"/>
      <c r="DY305" s="239"/>
      <c r="DZ305" s="240"/>
      <c r="EB305" s="238"/>
      <c r="EC305" s="239"/>
      <c r="ED305" s="239"/>
      <c r="EE305" s="240"/>
      <c r="EG305" s="238"/>
      <c r="EH305" s="239"/>
      <c r="EI305" s="239"/>
      <c r="EJ305" s="240"/>
      <c r="EL305" s="238"/>
      <c r="EM305" s="239"/>
      <c r="EN305" s="239"/>
      <c r="EO305" s="240"/>
      <c r="EQ305" s="238"/>
      <c r="ER305" s="239"/>
      <c r="ES305" s="239"/>
      <c r="ET305" s="240"/>
      <c r="EV305" s="238"/>
      <c r="EW305" s="239"/>
      <c r="EX305" s="239"/>
      <c r="EY305" s="240"/>
      <c r="FA305" s="238"/>
      <c r="FB305" s="239"/>
      <c r="FC305" s="239"/>
      <c r="FD305" s="240"/>
      <c r="FF305" s="238"/>
      <c r="FG305" s="239"/>
      <c r="FH305" s="239"/>
      <c r="FI305" s="240"/>
      <c r="FK305" s="238"/>
      <c r="FL305" s="239"/>
      <c r="FM305" s="239"/>
      <c r="FN305" s="240"/>
      <c r="FP305" s="238"/>
      <c r="FQ305" s="239"/>
      <c r="FR305" s="239"/>
      <c r="FS305" s="240"/>
      <c r="FU305" s="238"/>
      <c r="FV305" s="239"/>
      <c r="FW305" s="239"/>
      <c r="FX305" s="240"/>
      <c r="FZ305" s="238"/>
      <c r="GA305" s="239"/>
      <c r="GB305" s="239"/>
      <c r="GC305" s="240"/>
      <c r="GE305" s="238"/>
      <c r="GF305" s="239"/>
      <c r="GG305" s="239"/>
      <c r="GH305" s="240"/>
      <c r="GJ305" s="1562"/>
      <c r="GK305" s="239"/>
      <c r="GL305" s="239"/>
      <c r="GM305" s="240"/>
      <c r="GO305" s="238"/>
      <c r="GP305" s="239"/>
      <c r="GQ305" s="239"/>
      <c r="GR305" s="240"/>
      <c r="GT305" s="238"/>
      <c r="GU305" s="239"/>
      <c r="GV305" s="239"/>
      <c r="GW305" s="240"/>
      <c r="GY305" s="238"/>
      <c r="GZ305" s="239"/>
      <c r="HA305" s="239"/>
      <c r="HB305" s="240"/>
      <c r="HD305" s="238"/>
      <c r="HE305" s="239"/>
      <c r="HF305" s="239"/>
      <c r="HG305" s="240"/>
      <c r="HI305" s="238"/>
      <c r="HJ305" s="239"/>
      <c r="HK305" s="239"/>
      <c r="HL305" s="240"/>
      <c r="HN305" s="238"/>
      <c r="HO305" s="239"/>
      <c r="HP305" s="239"/>
      <c r="HQ305" s="240"/>
      <c r="HS305" s="238"/>
      <c r="HT305" s="239"/>
      <c r="HU305" s="239"/>
      <c r="HV305" s="240"/>
      <c r="HX305" s="238"/>
      <c r="HY305" s="239"/>
      <c r="HZ305" s="239"/>
      <c r="IA305" s="240"/>
      <c r="IC305" s="238"/>
      <c r="ID305" s="239"/>
      <c r="IE305" s="239"/>
      <c r="IF305" s="240"/>
      <c r="IH305" s="238"/>
      <c r="II305" s="239"/>
      <c r="IJ305" s="239"/>
      <c r="IK305" s="240"/>
      <c r="IM305" s="238"/>
      <c r="IN305" s="239"/>
      <c r="IO305" s="239"/>
      <c r="IP305" s="240"/>
    </row>
    <row r="306" spans="2:250" ht="15" customHeight="1">
      <c r="B306" s="155"/>
      <c r="C306" s="155"/>
      <c r="D306" s="236"/>
      <c r="E306" s="237"/>
      <c r="F306" s="312"/>
      <c r="G306" s="330"/>
      <c r="H306" s="239"/>
      <c r="I306" s="239"/>
      <c r="J306" s="240"/>
      <c r="K306" s="331"/>
      <c r="L306" s="330"/>
      <c r="M306" s="239"/>
      <c r="N306" s="239"/>
      <c r="O306" s="240"/>
      <c r="P306" s="331"/>
      <c r="Q306" s="330"/>
      <c r="R306" s="239"/>
      <c r="S306" s="239"/>
      <c r="T306" s="240"/>
      <c r="U306" s="331"/>
      <c r="V306" s="323"/>
      <c r="W306" s="239"/>
      <c r="X306" s="239"/>
      <c r="Y306" s="240"/>
      <c r="Z306" s="240"/>
      <c r="AA306" s="238"/>
      <c r="AB306" s="239"/>
      <c r="AC306" s="239"/>
      <c r="AD306" s="240"/>
      <c r="AE306" s="240"/>
      <c r="AF306" s="238"/>
      <c r="AG306" s="239"/>
      <c r="AH306" s="239"/>
      <c r="AI306" s="240"/>
      <c r="AK306" s="238"/>
      <c r="AL306" s="239"/>
      <c r="AM306" s="239"/>
      <c r="AN306" s="240"/>
      <c r="AP306" s="238"/>
      <c r="AQ306" s="239"/>
      <c r="AR306" s="239"/>
      <c r="AS306" s="240"/>
      <c r="AU306" s="238"/>
      <c r="AV306" s="239"/>
      <c r="AW306" s="239"/>
      <c r="AX306" s="240"/>
      <c r="AZ306" s="238"/>
      <c r="BA306" s="239"/>
      <c r="BB306" s="239"/>
      <c r="BC306" s="240"/>
      <c r="BE306" s="238"/>
      <c r="BF306" s="239"/>
      <c r="BG306" s="239"/>
      <c r="BH306" s="240"/>
      <c r="BJ306" s="238"/>
      <c r="BK306" s="239"/>
      <c r="BL306" s="239"/>
      <c r="BM306" s="240"/>
      <c r="BO306" s="238"/>
      <c r="BP306" s="239"/>
      <c r="BQ306" s="239"/>
      <c r="BR306" s="240"/>
      <c r="BT306" s="238"/>
      <c r="BU306" s="239"/>
      <c r="BV306" s="239"/>
      <c r="BW306" s="240"/>
      <c r="BY306" s="238"/>
      <c r="BZ306" s="239"/>
      <c r="CA306" s="239"/>
      <c r="CB306" s="240"/>
      <c r="CD306" s="238"/>
      <c r="CE306" s="239"/>
      <c r="CF306" s="239"/>
      <c r="CG306" s="240"/>
      <c r="CI306" s="238"/>
      <c r="CJ306" s="239"/>
      <c r="CK306" s="239"/>
      <c r="CL306" s="240"/>
      <c r="CN306" s="238"/>
      <c r="CO306" s="239"/>
      <c r="CP306" s="239"/>
      <c r="CQ306" s="240"/>
      <c r="CS306" s="238"/>
      <c r="CT306" s="239"/>
      <c r="CU306" s="239"/>
      <c r="CV306" s="240"/>
      <c r="CX306" s="238"/>
      <c r="CY306" s="239"/>
      <c r="CZ306" s="239"/>
      <c r="DA306" s="240"/>
      <c r="DC306" s="238"/>
      <c r="DD306" s="239"/>
      <c r="DE306" s="239"/>
      <c r="DF306" s="240"/>
      <c r="DH306" s="238"/>
      <c r="DI306" s="239"/>
      <c r="DJ306" s="239"/>
      <c r="DK306" s="240"/>
      <c r="DM306" s="238"/>
      <c r="DN306" s="239"/>
      <c r="DO306" s="239"/>
      <c r="DP306" s="240"/>
      <c r="DR306" s="238"/>
      <c r="DS306" s="239"/>
      <c r="DT306" s="239"/>
      <c r="DU306" s="240"/>
      <c r="DW306" s="238"/>
      <c r="DX306" s="239"/>
      <c r="DY306" s="239"/>
      <c r="DZ306" s="240"/>
      <c r="EB306" s="238"/>
      <c r="EC306" s="239"/>
      <c r="ED306" s="239"/>
      <c r="EE306" s="240"/>
      <c r="EG306" s="238"/>
      <c r="EH306" s="239"/>
      <c r="EI306" s="239"/>
      <c r="EJ306" s="240"/>
      <c r="EL306" s="238"/>
      <c r="EM306" s="239"/>
      <c r="EN306" s="239"/>
      <c r="EO306" s="240"/>
      <c r="EQ306" s="238"/>
      <c r="ER306" s="239"/>
      <c r="ES306" s="239"/>
      <c r="ET306" s="240"/>
      <c r="EV306" s="238"/>
      <c r="EW306" s="239"/>
      <c r="EX306" s="239"/>
      <c r="EY306" s="240"/>
      <c r="FA306" s="238"/>
      <c r="FB306" s="239"/>
      <c r="FC306" s="239"/>
      <c r="FD306" s="240"/>
      <c r="FF306" s="238"/>
      <c r="FG306" s="239"/>
      <c r="FH306" s="239"/>
      <c r="FI306" s="240"/>
      <c r="FK306" s="238"/>
      <c r="FL306" s="239"/>
      <c r="FM306" s="239"/>
      <c r="FN306" s="240"/>
      <c r="FP306" s="238"/>
      <c r="FQ306" s="239"/>
      <c r="FR306" s="239"/>
      <c r="FS306" s="240"/>
      <c r="FU306" s="238"/>
      <c r="FV306" s="239"/>
      <c r="FW306" s="239"/>
      <c r="FX306" s="240"/>
      <c r="FZ306" s="238"/>
      <c r="GA306" s="239"/>
      <c r="GB306" s="239"/>
      <c r="GC306" s="240"/>
      <c r="GE306" s="238"/>
      <c r="GF306" s="239"/>
      <c r="GG306" s="239"/>
      <c r="GH306" s="240"/>
      <c r="GJ306" s="1562"/>
      <c r="GK306" s="239"/>
      <c r="GL306" s="239"/>
      <c r="GM306" s="240"/>
      <c r="GO306" s="238"/>
      <c r="GP306" s="239"/>
      <c r="GQ306" s="239"/>
      <c r="GR306" s="240"/>
      <c r="GT306" s="238"/>
      <c r="GU306" s="239"/>
      <c r="GV306" s="239"/>
      <c r="GW306" s="240"/>
      <c r="GY306" s="238"/>
      <c r="GZ306" s="239"/>
      <c r="HA306" s="239"/>
      <c r="HB306" s="240"/>
      <c r="HD306" s="238"/>
      <c r="HE306" s="239"/>
      <c r="HF306" s="239"/>
      <c r="HG306" s="240"/>
      <c r="HI306" s="238"/>
      <c r="HJ306" s="239"/>
      <c r="HK306" s="239"/>
      <c r="HL306" s="240"/>
      <c r="HN306" s="238"/>
      <c r="HO306" s="239"/>
      <c r="HP306" s="239"/>
      <c r="HQ306" s="240"/>
      <c r="HS306" s="238"/>
      <c r="HT306" s="239"/>
      <c r="HU306" s="239"/>
      <c r="HV306" s="240"/>
      <c r="HX306" s="238"/>
      <c r="HY306" s="239"/>
      <c r="HZ306" s="239"/>
      <c r="IA306" s="240"/>
      <c r="IC306" s="238"/>
      <c r="ID306" s="239"/>
      <c r="IE306" s="239"/>
      <c r="IF306" s="240"/>
      <c r="IH306" s="238"/>
      <c r="II306" s="239"/>
      <c r="IJ306" s="239"/>
      <c r="IK306" s="240"/>
      <c r="IM306" s="238"/>
      <c r="IN306" s="239"/>
      <c r="IO306" s="239"/>
      <c r="IP306" s="240"/>
    </row>
    <row r="307" spans="2:250" ht="15" customHeight="1">
      <c r="B307" s="155"/>
      <c r="C307" s="155"/>
      <c r="D307" s="236"/>
      <c r="E307" s="237"/>
      <c r="F307" s="312"/>
      <c r="G307" s="330"/>
      <c r="H307" s="239"/>
      <c r="I307" s="239"/>
      <c r="J307" s="240"/>
      <c r="K307" s="331"/>
      <c r="L307" s="330"/>
      <c r="M307" s="239"/>
      <c r="N307" s="239"/>
      <c r="O307" s="240"/>
      <c r="P307" s="331"/>
      <c r="Q307" s="330"/>
      <c r="R307" s="239"/>
      <c r="S307" s="239"/>
      <c r="T307" s="240"/>
      <c r="U307" s="331"/>
      <c r="V307" s="323"/>
      <c r="W307" s="239"/>
      <c r="X307" s="239"/>
      <c r="Y307" s="240"/>
      <c r="Z307" s="240"/>
      <c r="AA307" s="238"/>
      <c r="AB307" s="239"/>
      <c r="AC307" s="239"/>
      <c r="AD307" s="240"/>
      <c r="AE307" s="240"/>
      <c r="AF307" s="238"/>
      <c r="AG307" s="239"/>
      <c r="AH307" s="239"/>
      <c r="AI307" s="240"/>
      <c r="AK307" s="238"/>
      <c r="AL307" s="239"/>
      <c r="AM307" s="239"/>
      <c r="AN307" s="240"/>
      <c r="AP307" s="238"/>
      <c r="AQ307" s="239"/>
      <c r="AR307" s="239"/>
      <c r="AS307" s="240"/>
      <c r="AU307" s="238"/>
      <c r="AV307" s="239"/>
      <c r="AW307" s="239"/>
      <c r="AX307" s="240"/>
      <c r="AZ307" s="238"/>
      <c r="BA307" s="239"/>
      <c r="BB307" s="239"/>
      <c r="BC307" s="240"/>
      <c r="BE307" s="238"/>
      <c r="BF307" s="239"/>
      <c r="BG307" s="239"/>
      <c r="BH307" s="240"/>
      <c r="BJ307" s="238"/>
      <c r="BK307" s="239"/>
      <c r="BL307" s="239"/>
      <c r="BM307" s="240"/>
      <c r="BO307" s="238"/>
      <c r="BP307" s="239"/>
      <c r="BQ307" s="239"/>
      <c r="BR307" s="240"/>
      <c r="BT307" s="238"/>
      <c r="BU307" s="239"/>
      <c r="BV307" s="239"/>
      <c r="BW307" s="240"/>
      <c r="BY307" s="238"/>
      <c r="BZ307" s="239"/>
      <c r="CA307" s="239"/>
      <c r="CB307" s="240"/>
      <c r="CD307" s="238"/>
      <c r="CE307" s="239"/>
      <c r="CF307" s="239"/>
      <c r="CG307" s="240"/>
      <c r="CI307" s="238"/>
      <c r="CJ307" s="239"/>
      <c r="CK307" s="239"/>
      <c r="CL307" s="240"/>
      <c r="CN307" s="238"/>
      <c r="CO307" s="239"/>
      <c r="CP307" s="239"/>
      <c r="CQ307" s="240"/>
      <c r="CS307" s="238"/>
      <c r="CT307" s="239"/>
      <c r="CU307" s="239"/>
      <c r="CV307" s="240"/>
      <c r="CX307" s="238"/>
      <c r="CY307" s="239"/>
      <c r="CZ307" s="239"/>
      <c r="DA307" s="240"/>
      <c r="DC307" s="238"/>
      <c r="DD307" s="239"/>
      <c r="DE307" s="239"/>
      <c r="DF307" s="240"/>
      <c r="DH307" s="238"/>
      <c r="DI307" s="239"/>
      <c r="DJ307" s="239"/>
      <c r="DK307" s="240"/>
      <c r="DM307" s="238"/>
      <c r="DN307" s="239"/>
      <c r="DO307" s="239"/>
      <c r="DP307" s="240"/>
      <c r="DR307" s="238"/>
      <c r="DS307" s="239"/>
      <c r="DT307" s="239"/>
      <c r="DU307" s="240"/>
      <c r="DW307" s="238"/>
      <c r="DX307" s="239"/>
      <c r="DY307" s="239"/>
      <c r="DZ307" s="240"/>
      <c r="EB307" s="238"/>
      <c r="EC307" s="239"/>
      <c r="ED307" s="239"/>
      <c r="EE307" s="240"/>
      <c r="EG307" s="238"/>
      <c r="EH307" s="239"/>
      <c r="EI307" s="239"/>
      <c r="EJ307" s="240"/>
      <c r="EL307" s="238"/>
      <c r="EM307" s="239"/>
      <c r="EN307" s="239"/>
      <c r="EO307" s="240"/>
      <c r="EQ307" s="238"/>
      <c r="ER307" s="239"/>
      <c r="ES307" s="239"/>
      <c r="ET307" s="240"/>
      <c r="EV307" s="238"/>
      <c r="EW307" s="239"/>
      <c r="EX307" s="239"/>
      <c r="EY307" s="240"/>
      <c r="FA307" s="238"/>
      <c r="FB307" s="239"/>
      <c r="FC307" s="239"/>
      <c r="FD307" s="240"/>
      <c r="FF307" s="238"/>
      <c r="FG307" s="239"/>
      <c r="FH307" s="239"/>
      <c r="FI307" s="240"/>
      <c r="FK307" s="238"/>
      <c r="FL307" s="239"/>
      <c r="FM307" s="239"/>
      <c r="FN307" s="240"/>
      <c r="FP307" s="238"/>
      <c r="FQ307" s="239"/>
      <c r="FR307" s="239"/>
      <c r="FS307" s="240"/>
      <c r="FU307" s="238"/>
      <c r="FV307" s="239"/>
      <c r="FW307" s="239"/>
      <c r="FX307" s="240"/>
      <c r="FZ307" s="238"/>
      <c r="GA307" s="239"/>
      <c r="GB307" s="239"/>
      <c r="GC307" s="240"/>
      <c r="GE307" s="238"/>
      <c r="GF307" s="239"/>
      <c r="GG307" s="239"/>
      <c r="GH307" s="240"/>
      <c r="GJ307" s="1562"/>
      <c r="GK307" s="239"/>
      <c r="GL307" s="239"/>
      <c r="GM307" s="240"/>
      <c r="GO307" s="238"/>
      <c r="GP307" s="239"/>
      <c r="GQ307" s="239"/>
      <c r="GR307" s="240"/>
      <c r="GT307" s="238"/>
      <c r="GU307" s="239"/>
      <c r="GV307" s="239"/>
      <c r="GW307" s="240"/>
      <c r="GY307" s="238"/>
      <c r="GZ307" s="239"/>
      <c r="HA307" s="239"/>
      <c r="HB307" s="240"/>
      <c r="HD307" s="238"/>
      <c r="HE307" s="239"/>
      <c r="HF307" s="239"/>
      <c r="HG307" s="240"/>
      <c r="HI307" s="238"/>
      <c r="HJ307" s="239"/>
      <c r="HK307" s="239"/>
      <c r="HL307" s="240"/>
      <c r="HN307" s="238"/>
      <c r="HO307" s="239"/>
      <c r="HP307" s="239"/>
      <c r="HQ307" s="240"/>
      <c r="HS307" s="238"/>
      <c r="HT307" s="239"/>
      <c r="HU307" s="239"/>
      <c r="HV307" s="240"/>
      <c r="HX307" s="238"/>
      <c r="HY307" s="239"/>
      <c r="HZ307" s="239"/>
      <c r="IA307" s="240"/>
      <c r="IC307" s="238"/>
      <c r="ID307" s="239"/>
      <c r="IE307" s="239"/>
      <c r="IF307" s="240"/>
      <c r="IH307" s="238"/>
      <c r="II307" s="239"/>
      <c r="IJ307" s="239"/>
      <c r="IK307" s="240"/>
      <c r="IM307" s="238"/>
      <c r="IN307" s="239"/>
      <c r="IO307" s="239"/>
      <c r="IP307" s="240"/>
    </row>
    <row r="308" spans="2:250" ht="15" customHeight="1">
      <c r="B308" s="155"/>
      <c r="C308" s="155"/>
      <c r="D308" s="236"/>
      <c r="E308" s="237"/>
      <c r="F308" s="312"/>
      <c r="G308" s="330"/>
      <c r="H308" s="239"/>
      <c r="I308" s="239"/>
      <c r="J308" s="240"/>
      <c r="K308" s="331"/>
      <c r="L308" s="330"/>
      <c r="M308" s="239"/>
      <c r="N308" s="239"/>
      <c r="O308" s="240"/>
      <c r="P308" s="331"/>
      <c r="Q308" s="330"/>
      <c r="R308" s="239"/>
      <c r="S308" s="239"/>
      <c r="T308" s="240"/>
      <c r="U308" s="331"/>
      <c r="V308" s="323"/>
      <c r="W308" s="239"/>
      <c r="X308" s="239"/>
      <c r="Y308" s="240"/>
      <c r="Z308" s="240"/>
      <c r="AA308" s="238"/>
      <c r="AB308" s="239"/>
      <c r="AC308" s="239"/>
      <c r="AD308" s="240"/>
      <c r="AE308" s="240"/>
      <c r="AF308" s="238"/>
      <c r="AG308" s="239"/>
      <c r="AH308" s="239"/>
      <c r="AI308" s="240"/>
      <c r="AK308" s="238"/>
      <c r="AL308" s="239"/>
      <c r="AM308" s="239"/>
      <c r="AN308" s="240"/>
      <c r="AP308" s="238"/>
      <c r="AQ308" s="239"/>
      <c r="AR308" s="239"/>
      <c r="AS308" s="240"/>
      <c r="AU308" s="238"/>
      <c r="AV308" s="239"/>
      <c r="AW308" s="239"/>
      <c r="AX308" s="240"/>
      <c r="AZ308" s="238"/>
      <c r="BA308" s="239"/>
      <c r="BB308" s="239"/>
      <c r="BC308" s="240"/>
      <c r="BE308" s="238"/>
      <c r="BF308" s="239"/>
      <c r="BG308" s="239"/>
      <c r="BH308" s="240"/>
      <c r="BJ308" s="238"/>
      <c r="BK308" s="239"/>
      <c r="BL308" s="239"/>
      <c r="BM308" s="240"/>
      <c r="BO308" s="238"/>
      <c r="BP308" s="239"/>
      <c r="BQ308" s="239"/>
      <c r="BR308" s="240"/>
      <c r="BT308" s="238"/>
      <c r="BU308" s="239"/>
      <c r="BV308" s="239"/>
      <c r="BW308" s="240"/>
      <c r="BY308" s="238"/>
      <c r="BZ308" s="239"/>
      <c r="CA308" s="239"/>
      <c r="CB308" s="240"/>
      <c r="CD308" s="238"/>
      <c r="CE308" s="239"/>
      <c r="CF308" s="239"/>
      <c r="CG308" s="240"/>
      <c r="CI308" s="238"/>
      <c r="CJ308" s="239"/>
      <c r="CK308" s="239"/>
      <c r="CL308" s="240"/>
      <c r="CN308" s="238"/>
      <c r="CO308" s="239"/>
      <c r="CP308" s="239"/>
      <c r="CQ308" s="240"/>
      <c r="CS308" s="238"/>
      <c r="CT308" s="239"/>
      <c r="CU308" s="239"/>
      <c r="CV308" s="240"/>
      <c r="CX308" s="238"/>
      <c r="CY308" s="239"/>
      <c r="CZ308" s="239"/>
      <c r="DA308" s="240"/>
      <c r="DC308" s="238"/>
      <c r="DD308" s="239"/>
      <c r="DE308" s="239"/>
      <c r="DF308" s="240"/>
      <c r="DH308" s="238"/>
      <c r="DI308" s="239"/>
      <c r="DJ308" s="239"/>
      <c r="DK308" s="240"/>
      <c r="DM308" s="238"/>
      <c r="DN308" s="239"/>
      <c r="DO308" s="239"/>
      <c r="DP308" s="240"/>
      <c r="DR308" s="238"/>
      <c r="DS308" s="239"/>
      <c r="DT308" s="239"/>
      <c r="DU308" s="240"/>
      <c r="DW308" s="238"/>
      <c r="DX308" s="239"/>
      <c r="DY308" s="239"/>
      <c r="DZ308" s="240"/>
      <c r="EB308" s="238"/>
      <c r="EC308" s="239"/>
      <c r="ED308" s="239"/>
      <c r="EE308" s="240"/>
      <c r="EG308" s="238"/>
      <c r="EH308" s="239"/>
      <c r="EI308" s="239"/>
      <c r="EJ308" s="240"/>
      <c r="EL308" s="238"/>
      <c r="EM308" s="239"/>
      <c r="EN308" s="239"/>
      <c r="EO308" s="240"/>
      <c r="EQ308" s="238"/>
      <c r="ER308" s="239"/>
      <c r="ES308" s="239"/>
      <c r="ET308" s="240"/>
      <c r="EV308" s="238"/>
      <c r="EW308" s="239"/>
      <c r="EX308" s="239"/>
      <c r="EY308" s="240"/>
      <c r="FA308" s="238"/>
      <c r="FB308" s="239"/>
      <c r="FC308" s="239"/>
      <c r="FD308" s="240"/>
      <c r="FF308" s="238"/>
      <c r="FG308" s="239"/>
      <c r="FH308" s="239"/>
      <c r="FI308" s="240"/>
      <c r="FK308" s="238"/>
      <c r="FL308" s="239"/>
      <c r="FM308" s="239"/>
      <c r="FN308" s="240"/>
      <c r="FP308" s="238"/>
      <c r="FQ308" s="239"/>
      <c r="FR308" s="239"/>
      <c r="FS308" s="240"/>
      <c r="FU308" s="238"/>
      <c r="FV308" s="239"/>
      <c r="FW308" s="239"/>
      <c r="FX308" s="240"/>
      <c r="FZ308" s="238"/>
      <c r="GA308" s="239"/>
      <c r="GB308" s="239"/>
      <c r="GC308" s="240"/>
      <c r="GE308" s="238"/>
      <c r="GF308" s="239"/>
      <c r="GG308" s="239"/>
      <c r="GH308" s="240"/>
      <c r="GJ308" s="1562"/>
      <c r="GK308" s="239"/>
      <c r="GL308" s="239"/>
      <c r="GM308" s="240"/>
      <c r="GO308" s="238"/>
      <c r="GP308" s="239"/>
      <c r="GQ308" s="239"/>
      <c r="GR308" s="240"/>
      <c r="GT308" s="238"/>
      <c r="GU308" s="239"/>
      <c r="GV308" s="239"/>
      <c r="GW308" s="240"/>
      <c r="GY308" s="238"/>
      <c r="GZ308" s="239"/>
      <c r="HA308" s="239"/>
      <c r="HB308" s="240"/>
      <c r="HD308" s="238"/>
      <c r="HE308" s="239"/>
      <c r="HF308" s="239"/>
      <c r="HG308" s="240"/>
      <c r="HI308" s="238"/>
      <c r="HJ308" s="239"/>
      <c r="HK308" s="239"/>
      <c r="HL308" s="240"/>
      <c r="HN308" s="238"/>
      <c r="HO308" s="239"/>
      <c r="HP308" s="239"/>
      <c r="HQ308" s="240"/>
      <c r="HS308" s="238"/>
      <c r="HT308" s="239"/>
      <c r="HU308" s="239"/>
      <c r="HV308" s="240"/>
      <c r="HX308" s="238"/>
      <c r="HY308" s="239"/>
      <c r="HZ308" s="239"/>
      <c r="IA308" s="240"/>
      <c r="IC308" s="238"/>
      <c r="ID308" s="239"/>
      <c r="IE308" s="239"/>
      <c r="IF308" s="240"/>
      <c r="IH308" s="238"/>
      <c r="II308" s="239"/>
      <c r="IJ308" s="239"/>
      <c r="IK308" s="240"/>
      <c r="IM308" s="238"/>
      <c r="IN308" s="239"/>
      <c r="IO308" s="239"/>
      <c r="IP308" s="240"/>
    </row>
    <row r="309" spans="2:250" ht="15" customHeight="1">
      <c r="B309" s="155"/>
      <c r="C309" s="155"/>
      <c r="D309" s="236"/>
      <c r="E309" s="237"/>
      <c r="F309" s="312"/>
      <c r="G309" s="330"/>
      <c r="H309" s="239"/>
      <c r="I309" s="239"/>
      <c r="J309" s="240"/>
      <c r="K309" s="331"/>
      <c r="L309" s="330"/>
      <c r="M309" s="239"/>
      <c r="N309" s="239"/>
      <c r="O309" s="240"/>
      <c r="P309" s="331"/>
      <c r="Q309" s="330"/>
      <c r="R309" s="239"/>
      <c r="S309" s="239"/>
      <c r="T309" s="240"/>
      <c r="U309" s="331"/>
      <c r="V309" s="323"/>
      <c r="W309" s="239"/>
      <c r="X309" s="239"/>
      <c r="Y309" s="240"/>
      <c r="Z309" s="240"/>
      <c r="AA309" s="238"/>
      <c r="AB309" s="239"/>
      <c r="AC309" s="239"/>
      <c r="AD309" s="240"/>
      <c r="AE309" s="240"/>
      <c r="AF309" s="238"/>
      <c r="AG309" s="239"/>
      <c r="AH309" s="239"/>
      <c r="AI309" s="240"/>
      <c r="AK309" s="238"/>
      <c r="AL309" s="239"/>
      <c r="AM309" s="239"/>
      <c r="AN309" s="240"/>
      <c r="AP309" s="238"/>
      <c r="AQ309" s="239"/>
      <c r="AR309" s="239"/>
      <c r="AS309" s="240"/>
      <c r="AU309" s="238"/>
      <c r="AV309" s="239"/>
      <c r="AW309" s="239"/>
      <c r="AX309" s="240"/>
      <c r="AZ309" s="238"/>
      <c r="BA309" s="239"/>
      <c r="BB309" s="239"/>
      <c r="BC309" s="240"/>
      <c r="BE309" s="238"/>
      <c r="BF309" s="239"/>
      <c r="BG309" s="239"/>
      <c r="BH309" s="240"/>
      <c r="BJ309" s="238"/>
      <c r="BK309" s="239"/>
      <c r="BL309" s="239"/>
      <c r="BM309" s="240"/>
      <c r="BO309" s="238"/>
      <c r="BP309" s="239"/>
      <c r="BQ309" s="239"/>
      <c r="BR309" s="240"/>
      <c r="BT309" s="238"/>
      <c r="BU309" s="239"/>
      <c r="BV309" s="239"/>
      <c r="BW309" s="240"/>
      <c r="BY309" s="238"/>
      <c r="BZ309" s="239"/>
      <c r="CA309" s="239"/>
      <c r="CB309" s="240"/>
      <c r="CD309" s="238"/>
      <c r="CE309" s="239"/>
      <c r="CF309" s="239"/>
      <c r="CG309" s="240"/>
      <c r="CI309" s="238"/>
      <c r="CJ309" s="239"/>
      <c r="CK309" s="239"/>
      <c r="CL309" s="240"/>
      <c r="CN309" s="238"/>
      <c r="CO309" s="239"/>
      <c r="CP309" s="239"/>
      <c r="CQ309" s="240"/>
      <c r="CS309" s="238"/>
      <c r="CT309" s="239"/>
      <c r="CU309" s="239"/>
      <c r="CV309" s="240"/>
      <c r="CX309" s="238"/>
      <c r="CY309" s="239"/>
      <c r="CZ309" s="239"/>
      <c r="DA309" s="240"/>
      <c r="DC309" s="238"/>
      <c r="DD309" s="239"/>
      <c r="DE309" s="239"/>
      <c r="DF309" s="240"/>
      <c r="DH309" s="238"/>
      <c r="DI309" s="239"/>
      <c r="DJ309" s="239"/>
      <c r="DK309" s="240"/>
      <c r="DM309" s="238"/>
      <c r="DN309" s="239"/>
      <c r="DO309" s="239"/>
      <c r="DP309" s="240"/>
      <c r="DR309" s="238"/>
      <c r="DS309" s="239"/>
      <c r="DT309" s="239"/>
      <c r="DU309" s="240"/>
      <c r="DW309" s="238"/>
      <c r="DX309" s="239"/>
      <c r="DY309" s="239"/>
      <c r="DZ309" s="240"/>
      <c r="EB309" s="238"/>
      <c r="EC309" s="239"/>
      <c r="ED309" s="239"/>
      <c r="EE309" s="240"/>
      <c r="EG309" s="238"/>
      <c r="EH309" s="239"/>
      <c r="EI309" s="239"/>
      <c r="EJ309" s="240"/>
      <c r="EL309" s="238"/>
      <c r="EM309" s="239"/>
      <c r="EN309" s="239"/>
      <c r="EO309" s="240"/>
      <c r="EQ309" s="238"/>
      <c r="ER309" s="239"/>
      <c r="ES309" s="239"/>
      <c r="ET309" s="240"/>
      <c r="EV309" s="238"/>
      <c r="EW309" s="239"/>
      <c r="EX309" s="239"/>
      <c r="EY309" s="240"/>
      <c r="FA309" s="238"/>
      <c r="FB309" s="239"/>
      <c r="FC309" s="239"/>
      <c r="FD309" s="240"/>
      <c r="FF309" s="238"/>
      <c r="FG309" s="239"/>
      <c r="FH309" s="239"/>
      <c r="FI309" s="240"/>
      <c r="FK309" s="238"/>
      <c r="FL309" s="239"/>
      <c r="FM309" s="239"/>
      <c r="FN309" s="240"/>
      <c r="FP309" s="238"/>
      <c r="FQ309" s="239"/>
      <c r="FR309" s="239"/>
      <c r="FS309" s="240"/>
      <c r="FU309" s="238"/>
      <c r="FV309" s="239"/>
      <c r="FW309" s="239"/>
      <c r="FX309" s="240"/>
      <c r="FZ309" s="238"/>
      <c r="GA309" s="239"/>
      <c r="GB309" s="239"/>
      <c r="GC309" s="240"/>
      <c r="GE309" s="238"/>
      <c r="GF309" s="239"/>
      <c r="GG309" s="239"/>
      <c r="GH309" s="240"/>
      <c r="GJ309" s="1562"/>
      <c r="GK309" s="239"/>
      <c r="GL309" s="239"/>
      <c r="GM309" s="240"/>
      <c r="GO309" s="238"/>
      <c r="GP309" s="239"/>
      <c r="GQ309" s="239"/>
      <c r="GR309" s="240"/>
      <c r="GT309" s="238"/>
      <c r="GU309" s="239"/>
      <c r="GV309" s="239"/>
      <c r="GW309" s="240"/>
      <c r="GY309" s="238"/>
      <c r="GZ309" s="239"/>
      <c r="HA309" s="239"/>
      <c r="HB309" s="240"/>
      <c r="HD309" s="238"/>
      <c r="HE309" s="239"/>
      <c r="HF309" s="239"/>
      <c r="HG309" s="240"/>
      <c r="HI309" s="238"/>
      <c r="HJ309" s="239"/>
      <c r="HK309" s="239"/>
      <c r="HL309" s="240"/>
      <c r="HN309" s="238"/>
      <c r="HO309" s="239"/>
      <c r="HP309" s="239"/>
      <c r="HQ309" s="240"/>
      <c r="HS309" s="238"/>
      <c r="HT309" s="239"/>
      <c r="HU309" s="239"/>
      <c r="HV309" s="240"/>
      <c r="HX309" s="238"/>
      <c r="HY309" s="239"/>
      <c r="HZ309" s="239"/>
      <c r="IA309" s="240"/>
      <c r="IC309" s="238"/>
      <c r="ID309" s="239"/>
      <c r="IE309" s="239"/>
      <c r="IF309" s="240"/>
      <c r="IH309" s="238"/>
      <c r="II309" s="239"/>
      <c r="IJ309" s="239"/>
      <c r="IK309" s="240"/>
      <c r="IM309" s="238"/>
      <c r="IN309" s="239"/>
      <c r="IO309" s="239"/>
      <c r="IP309" s="240"/>
    </row>
    <row r="310" spans="2:250" ht="15" customHeight="1">
      <c r="B310" s="155"/>
      <c r="C310" s="155"/>
      <c r="D310" s="236"/>
      <c r="E310" s="237"/>
      <c r="F310" s="312"/>
      <c r="G310" s="330"/>
      <c r="H310" s="239"/>
      <c r="I310" s="239"/>
      <c r="J310" s="240"/>
      <c r="K310" s="331"/>
      <c r="L310" s="330"/>
      <c r="M310" s="239"/>
      <c r="N310" s="239"/>
      <c r="O310" s="240"/>
      <c r="P310" s="331"/>
      <c r="Q310" s="330"/>
      <c r="R310" s="239"/>
      <c r="S310" s="239"/>
      <c r="T310" s="240"/>
      <c r="U310" s="331"/>
      <c r="V310" s="323"/>
      <c r="W310" s="239"/>
      <c r="X310" s="239"/>
      <c r="Y310" s="240"/>
      <c r="Z310" s="240"/>
      <c r="AA310" s="238"/>
      <c r="AB310" s="239"/>
      <c r="AC310" s="239"/>
      <c r="AD310" s="240"/>
      <c r="AE310" s="240"/>
      <c r="AF310" s="238"/>
      <c r="AG310" s="239"/>
      <c r="AH310" s="239"/>
      <c r="AI310" s="240"/>
      <c r="AK310" s="238"/>
      <c r="AL310" s="239"/>
      <c r="AM310" s="239"/>
      <c r="AN310" s="240"/>
      <c r="AP310" s="238"/>
      <c r="AQ310" s="239"/>
      <c r="AR310" s="239"/>
      <c r="AS310" s="240"/>
      <c r="AU310" s="238"/>
      <c r="AV310" s="239"/>
      <c r="AW310" s="239"/>
      <c r="AX310" s="240"/>
      <c r="AZ310" s="238"/>
      <c r="BA310" s="239"/>
      <c r="BB310" s="239"/>
      <c r="BC310" s="240"/>
      <c r="BE310" s="238"/>
      <c r="BF310" s="239"/>
      <c r="BG310" s="239"/>
      <c r="BH310" s="240"/>
      <c r="BJ310" s="238"/>
      <c r="BK310" s="239"/>
      <c r="BL310" s="239"/>
      <c r="BM310" s="240"/>
      <c r="BO310" s="238"/>
      <c r="BP310" s="239"/>
      <c r="BQ310" s="239"/>
      <c r="BR310" s="240"/>
      <c r="BT310" s="238"/>
      <c r="BU310" s="239"/>
      <c r="BV310" s="239"/>
      <c r="BW310" s="240"/>
      <c r="BY310" s="238"/>
      <c r="BZ310" s="239"/>
      <c r="CA310" s="239"/>
      <c r="CB310" s="240"/>
      <c r="CD310" s="238"/>
      <c r="CE310" s="239"/>
      <c r="CF310" s="239"/>
      <c r="CG310" s="240"/>
      <c r="CI310" s="238"/>
      <c r="CJ310" s="239"/>
      <c r="CK310" s="239"/>
      <c r="CL310" s="240"/>
      <c r="CN310" s="238"/>
      <c r="CO310" s="239"/>
      <c r="CP310" s="239"/>
      <c r="CQ310" s="240"/>
      <c r="CS310" s="238"/>
      <c r="CT310" s="239"/>
      <c r="CU310" s="239"/>
      <c r="CV310" s="240"/>
      <c r="CX310" s="238"/>
      <c r="CY310" s="239"/>
      <c r="CZ310" s="239"/>
      <c r="DA310" s="240"/>
      <c r="DC310" s="238"/>
      <c r="DD310" s="239"/>
      <c r="DE310" s="239"/>
      <c r="DF310" s="240"/>
      <c r="DH310" s="238"/>
      <c r="DI310" s="239"/>
      <c r="DJ310" s="239"/>
      <c r="DK310" s="240"/>
      <c r="DM310" s="238"/>
      <c r="DN310" s="239"/>
      <c r="DO310" s="239"/>
      <c r="DP310" s="240"/>
      <c r="DR310" s="238"/>
      <c r="DS310" s="239"/>
      <c r="DT310" s="239"/>
      <c r="DU310" s="240"/>
      <c r="DW310" s="238"/>
      <c r="DX310" s="239"/>
      <c r="DY310" s="239"/>
      <c r="DZ310" s="240"/>
      <c r="EB310" s="238"/>
      <c r="EC310" s="239"/>
      <c r="ED310" s="239"/>
      <c r="EE310" s="240"/>
      <c r="EG310" s="238"/>
      <c r="EH310" s="239"/>
      <c r="EI310" s="239"/>
      <c r="EJ310" s="240"/>
      <c r="EL310" s="238"/>
      <c r="EM310" s="239"/>
      <c r="EN310" s="239"/>
      <c r="EO310" s="240"/>
      <c r="EQ310" s="238"/>
      <c r="ER310" s="239"/>
      <c r="ES310" s="239"/>
      <c r="ET310" s="240"/>
      <c r="EV310" s="238"/>
      <c r="EW310" s="239"/>
      <c r="EX310" s="239"/>
      <c r="EY310" s="240"/>
      <c r="FA310" s="238"/>
      <c r="FB310" s="239"/>
      <c r="FC310" s="239"/>
      <c r="FD310" s="240"/>
      <c r="FF310" s="238"/>
      <c r="FG310" s="239"/>
      <c r="FH310" s="239"/>
      <c r="FI310" s="240"/>
      <c r="FK310" s="238"/>
      <c r="FL310" s="239"/>
      <c r="FM310" s="239"/>
      <c r="FN310" s="240"/>
      <c r="FP310" s="238"/>
      <c r="FQ310" s="239"/>
      <c r="FR310" s="239"/>
      <c r="FS310" s="240"/>
      <c r="FU310" s="238"/>
      <c r="FV310" s="239"/>
      <c r="FW310" s="239"/>
      <c r="FX310" s="240"/>
      <c r="FZ310" s="238"/>
      <c r="GA310" s="239"/>
      <c r="GB310" s="239"/>
      <c r="GC310" s="240"/>
      <c r="GE310" s="238"/>
      <c r="GF310" s="239"/>
      <c r="GG310" s="239"/>
      <c r="GH310" s="240"/>
      <c r="GJ310" s="1562"/>
      <c r="GK310" s="239"/>
      <c r="GL310" s="239"/>
      <c r="GM310" s="240"/>
      <c r="GO310" s="238"/>
      <c r="GP310" s="239"/>
      <c r="GQ310" s="239"/>
      <c r="GR310" s="240"/>
      <c r="GT310" s="238"/>
      <c r="GU310" s="239"/>
      <c r="GV310" s="239"/>
      <c r="GW310" s="240"/>
      <c r="GY310" s="238"/>
      <c r="GZ310" s="239"/>
      <c r="HA310" s="239"/>
      <c r="HB310" s="240"/>
      <c r="HD310" s="238"/>
      <c r="HE310" s="239"/>
      <c r="HF310" s="239"/>
      <c r="HG310" s="240"/>
      <c r="HI310" s="238"/>
      <c r="HJ310" s="239"/>
      <c r="HK310" s="239"/>
      <c r="HL310" s="240"/>
      <c r="HN310" s="238"/>
      <c r="HO310" s="239"/>
      <c r="HP310" s="239"/>
      <c r="HQ310" s="240"/>
      <c r="HS310" s="238"/>
      <c r="HT310" s="239"/>
      <c r="HU310" s="239"/>
      <c r="HV310" s="240"/>
      <c r="HX310" s="238"/>
      <c r="HY310" s="239"/>
      <c r="HZ310" s="239"/>
      <c r="IA310" s="240"/>
      <c r="IC310" s="238"/>
      <c r="ID310" s="239"/>
      <c r="IE310" s="239"/>
      <c r="IF310" s="240"/>
      <c r="IH310" s="238"/>
      <c r="II310" s="239"/>
      <c r="IJ310" s="239"/>
      <c r="IK310" s="240"/>
      <c r="IM310" s="238"/>
      <c r="IN310" s="239"/>
      <c r="IO310" s="239"/>
      <c r="IP310" s="240"/>
    </row>
    <row r="311" spans="2:250" ht="15" customHeight="1">
      <c r="B311" s="155"/>
      <c r="C311" s="155"/>
      <c r="D311" s="236"/>
      <c r="E311" s="237"/>
      <c r="F311" s="312"/>
      <c r="G311" s="330"/>
      <c r="H311" s="239"/>
      <c r="I311" s="239"/>
      <c r="J311" s="240"/>
      <c r="K311" s="331"/>
      <c r="L311" s="330"/>
      <c r="M311" s="239"/>
      <c r="N311" s="239"/>
      <c r="O311" s="240"/>
      <c r="P311" s="331"/>
      <c r="Q311" s="330"/>
      <c r="R311" s="239"/>
      <c r="S311" s="239"/>
      <c r="T311" s="240"/>
      <c r="U311" s="331"/>
      <c r="V311" s="323"/>
      <c r="W311" s="239"/>
      <c r="X311" s="239"/>
      <c r="Y311" s="240"/>
      <c r="Z311" s="240"/>
      <c r="AA311" s="238"/>
      <c r="AB311" s="239"/>
      <c r="AC311" s="239"/>
      <c r="AD311" s="240"/>
      <c r="AE311" s="240"/>
      <c r="AF311" s="238"/>
      <c r="AG311" s="239"/>
      <c r="AH311" s="239"/>
      <c r="AI311" s="240"/>
      <c r="AK311" s="238"/>
      <c r="AL311" s="239"/>
      <c r="AM311" s="239"/>
      <c r="AN311" s="240"/>
      <c r="AP311" s="238"/>
      <c r="AQ311" s="239"/>
      <c r="AR311" s="239"/>
      <c r="AS311" s="240"/>
      <c r="AU311" s="238"/>
      <c r="AV311" s="239"/>
      <c r="AW311" s="239"/>
      <c r="AX311" s="240"/>
      <c r="AZ311" s="238"/>
      <c r="BA311" s="239"/>
      <c r="BB311" s="239"/>
      <c r="BC311" s="240"/>
      <c r="BE311" s="238"/>
      <c r="BF311" s="239"/>
      <c r="BG311" s="239"/>
      <c r="BH311" s="240"/>
      <c r="BJ311" s="238"/>
      <c r="BK311" s="239"/>
      <c r="BL311" s="239"/>
      <c r="BM311" s="240"/>
      <c r="BO311" s="238"/>
      <c r="BP311" s="239"/>
      <c r="BQ311" s="239"/>
      <c r="BR311" s="240"/>
      <c r="BT311" s="238"/>
      <c r="BU311" s="239"/>
      <c r="BV311" s="239"/>
      <c r="BW311" s="240"/>
      <c r="BY311" s="238"/>
      <c r="BZ311" s="239"/>
      <c r="CA311" s="239"/>
      <c r="CB311" s="240"/>
      <c r="CD311" s="238"/>
      <c r="CE311" s="239"/>
      <c r="CF311" s="239"/>
      <c r="CG311" s="240"/>
      <c r="CI311" s="238"/>
      <c r="CJ311" s="239"/>
      <c r="CK311" s="239"/>
      <c r="CL311" s="240"/>
      <c r="CN311" s="238"/>
      <c r="CO311" s="239"/>
      <c r="CP311" s="239"/>
      <c r="CQ311" s="240"/>
      <c r="CS311" s="238"/>
      <c r="CT311" s="239"/>
      <c r="CU311" s="239"/>
      <c r="CV311" s="240"/>
      <c r="CX311" s="238"/>
      <c r="CY311" s="239"/>
      <c r="CZ311" s="239"/>
      <c r="DA311" s="240"/>
      <c r="DC311" s="238"/>
      <c r="DD311" s="239"/>
      <c r="DE311" s="239"/>
      <c r="DF311" s="240"/>
      <c r="DH311" s="238"/>
      <c r="DI311" s="239"/>
      <c r="DJ311" s="239"/>
      <c r="DK311" s="240"/>
      <c r="DM311" s="238"/>
      <c r="DN311" s="239"/>
      <c r="DO311" s="239"/>
      <c r="DP311" s="240"/>
      <c r="DR311" s="238"/>
      <c r="DS311" s="239"/>
      <c r="DT311" s="239"/>
      <c r="DU311" s="240"/>
      <c r="DW311" s="238"/>
      <c r="DX311" s="239"/>
      <c r="DY311" s="239"/>
      <c r="DZ311" s="240"/>
      <c r="EB311" s="238"/>
      <c r="EC311" s="239"/>
      <c r="ED311" s="239"/>
      <c r="EE311" s="240"/>
      <c r="EG311" s="238"/>
      <c r="EH311" s="239"/>
      <c r="EI311" s="239"/>
      <c r="EJ311" s="240"/>
      <c r="EL311" s="238"/>
      <c r="EM311" s="239"/>
      <c r="EN311" s="239"/>
      <c r="EO311" s="240"/>
      <c r="EQ311" s="238"/>
      <c r="ER311" s="239"/>
      <c r="ES311" s="239"/>
      <c r="ET311" s="240"/>
      <c r="EV311" s="238"/>
      <c r="EW311" s="239"/>
      <c r="EX311" s="239"/>
      <c r="EY311" s="240"/>
      <c r="FA311" s="238"/>
      <c r="FB311" s="239"/>
      <c r="FC311" s="239"/>
      <c r="FD311" s="240"/>
      <c r="FF311" s="238"/>
      <c r="FG311" s="239"/>
      <c r="FH311" s="239"/>
      <c r="FI311" s="240"/>
      <c r="FK311" s="238"/>
      <c r="FL311" s="239"/>
      <c r="FM311" s="239"/>
      <c r="FN311" s="240"/>
      <c r="FP311" s="238"/>
      <c r="FQ311" s="239"/>
      <c r="FR311" s="239"/>
      <c r="FS311" s="240"/>
      <c r="FU311" s="238"/>
      <c r="FV311" s="239"/>
      <c r="FW311" s="239"/>
      <c r="FX311" s="240"/>
      <c r="FZ311" s="238"/>
      <c r="GA311" s="239"/>
      <c r="GB311" s="239"/>
      <c r="GC311" s="240"/>
      <c r="GE311" s="238"/>
      <c r="GF311" s="239"/>
      <c r="GG311" s="239"/>
      <c r="GH311" s="240"/>
      <c r="GJ311" s="1562"/>
      <c r="GK311" s="239"/>
      <c r="GL311" s="239"/>
      <c r="GM311" s="240"/>
      <c r="GO311" s="238"/>
      <c r="GP311" s="239"/>
      <c r="GQ311" s="239"/>
      <c r="GR311" s="240"/>
      <c r="GT311" s="238"/>
      <c r="GU311" s="239"/>
      <c r="GV311" s="239"/>
      <c r="GW311" s="240"/>
      <c r="GY311" s="238"/>
      <c r="GZ311" s="239"/>
      <c r="HA311" s="239"/>
      <c r="HB311" s="240"/>
      <c r="HD311" s="238"/>
      <c r="HE311" s="239"/>
      <c r="HF311" s="239"/>
      <c r="HG311" s="240"/>
      <c r="HI311" s="238"/>
      <c r="HJ311" s="239"/>
      <c r="HK311" s="239"/>
      <c r="HL311" s="240"/>
      <c r="HN311" s="238"/>
      <c r="HO311" s="239"/>
      <c r="HP311" s="239"/>
      <c r="HQ311" s="240"/>
      <c r="HS311" s="238"/>
      <c r="HT311" s="239"/>
      <c r="HU311" s="239"/>
      <c r="HV311" s="240"/>
      <c r="HX311" s="238"/>
      <c r="HY311" s="239"/>
      <c r="HZ311" s="239"/>
      <c r="IA311" s="240"/>
      <c r="IC311" s="238"/>
      <c r="ID311" s="239"/>
      <c r="IE311" s="239"/>
      <c r="IF311" s="240"/>
      <c r="IH311" s="238"/>
      <c r="II311" s="239"/>
      <c r="IJ311" s="239"/>
      <c r="IK311" s="240"/>
      <c r="IM311" s="238"/>
      <c r="IN311" s="239"/>
      <c r="IO311" s="239"/>
      <c r="IP311" s="240"/>
    </row>
    <row r="312" spans="2:250" ht="15" customHeight="1">
      <c r="B312" s="155"/>
      <c r="C312" s="155"/>
      <c r="D312" s="236"/>
      <c r="E312" s="237"/>
      <c r="F312" s="312"/>
      <c r="G312" s="330"/>
      <c r="H312" s="239"/>
      <c r="I312" s="239"/>
      <c r="J312" s="240"/>
      <c r="K312" s="331"/>
      <c r="L312" s="330"/>
      <c r="M312" s="239"/>
      <c r="N312" s="239"/>
      <c r="O312" s="240"/>
      <c r="P312" s="331"/>
      <c r="Q312" s="330"/>
      <c r="R312" s="239"/>
      <c r="S312" s="239"/>
      <c r="T312" s="240"/>
      <c r="U312" s="331"/>
      <c r="V312" s="323"/>
      <c r="W312" s="239"/>
      <c r="X312" s="239"/>
      <c r="Y312" s="240"/>
      <c r="Z312" s="240"/>
      <c r="AA312" s="238"/>
      <c r="AB312" s="239"/>
      <c r="AC312" s="239"/>
      <c r="AD312" s="240"/>
      <c r="AE312" s="240"/>
      <c r="AF312" s="238"/>
      <c r="AG312" s="239"/>
      <c r="AH312" s="239"/>
      <c r="AI312" s="240"/>
      <c r="AK312" s="238"/>
      <c r="AL312" s="239"/>
      <c r="AM312" s="239"/>
      <c r="AN312" s="240"/>
      <c r="AP312" s="238"/>
      <c r="AQ312" s="239"/>
      <c r="AR312" s="239"/>
      <c r="AS312" s="240"/>
      <c r="AU312" s="238"/>
      <c r="AV312" s="239"/>
      <c r="AW312" s="239"/>
      <c r="AX312" s="240"/>
      <c r="AZ312" s="238"/>
      <c r="BA312" s="239"/>
      <c r="BB312" s="239"/>
      <c r="BC312" s="240"/>
      <c r="BE312" s="238"/>
      <c r="BF312" s="239"/>
      <c r="BG312" s="239"/>
      <c r="BH312" s="240"/>
      <c r="BJ312" s="238"/>
      <c r="BK312" s="239"/>
      <c r="BL312" s="239"/>
      <c r="BM312" s="240"/>
      <c r="BO312" s="238"/>
      <c r="BP312" s="239"/>
      <c r="BQ312" s="239"/>
      <c r="BR312" s="240"/>
      <c r="BT312" s="238"/>
      <c r="BU312" s="239"/>
      <c r="BV312" s="239"/>
      <c r="BW312" s="240"/>
      <c r="BY312" s="238"/>
      <c r="BZ312" s="239"/>
      <c r="CA312" s="239"/>
      <c r="CB312" s="240"/>
      <c r="CD312" s="238"/>
      <c r="CE312" s="239"/>
      <c r="CF312" s="239"/>
      <c r="CG312" s="240"/>
      <c r="CI312" s="238"/>
      <c r="CJ312" s="239"/>
      <c r="CK312" s="239"/>
      <c r="CL312" s="240"/>
      <c r="CN312" s="238"/>
      <c r="CO312" s="239"/>
      <c r="CP312" s="239"/>
      <c r="CQ312" s="240"/>
      <c r="CS312" s="238"/>
      <c r="CT312" s="239"/>
      <c r="CU312" s="239"/>
      <c r="CV312" s="240"/>
      <c r="CX312" s="238"/>
      <c r="CY312" s="239"/>
      <c r="CZ312" s="239"/>
      <c r="DA312" s="240"/>
      <c r="DC312" s="238"/>
      <c r="DD312" s="239"/>
      <c r="DE312" s="239"/>
      <c r="DF312" s="240"/>
      <c r="DH312" s="238"/>
      <c r="DI312" s="239"/>
      <c r="DJ312" s="239"/>
      <c r="DK312" s="240"/>
      <c r="DM312" s="238"/>
      <c r="DN312" s="239"/>
      <c r="DO312" s="239"/>
      <c r="DP312" s="240"/>
      <c r="DR312" s="238"/>
      <c r="DS312" s="239"/>
      <c r="DT312" s="239"/>
      <c r="DU312" s="240"/>
      <c r="DW312" s="238"/>
      <c r="DX312" s="239"/>
      <c r="DY312" s="239"/>
      <c r="DZ312" s="240"/>
      <c r="EB312" s="238"/>
      <c r="EC312" s="239"/>
      <c r="ED312" s="239"/>
      <c r="EE312" s="240"/>
      <c r="EG312" s="238"/>
      <c r="EH312" s="239"/>
      <c r="EI312" s="239"/>
      <c r="EJ312" s="240"/>
      <c r="EL312" s="238"/>
      <c r="EM312" s="239"/>
      <c r="EN312" s="239"/>
      <c r="EO312" s="240"/>
      <c r="EQ312" s="238"/>
      <c r="ER312" s="239"/>
      <c r="ES312" s="239"/>
      <c r="ET312" s="240"/>
      <c r="EV312" s="238"/>
      <c r="EW312" s="239"/>
      <c r="EX312" s="239"/>
      <c r="EY312" s="240"/>
      <c r="FA312" s="238"/>
      <c r="FB312" s="239"/>
      <c r="FC312" s="239"/>
      <c r="FD312" s="240"/>
      <c r="FF312" s="238"/>
      <c r="FG312" s="239"/>
      <c r="FH312" s="239"/>
      <c r="FI312" s="240"/>
      <c r="FK312" s="238"/>
      <c r="FL312" s="239"/>
      <c r="FM312" s="239"/>
      <c r="FN312" s="240"/>
      <c r="FP312" s="238"/>
      <c r="FQ312" s="239"/>
      <c r="FR312" s="239"/>
      <c r="FS312" s="240"/>
      <c r="FU312" s="238"/>
      <c r="FV312" s="239"/>
      <c r="FW312" s="239"/>
      <c r="FX312" s="240"/>
      <c r="FZ312" s="238"/>
      <c r="GA312" s="239"/>
      <c r="GB312" s="239"/>
      <c r="GC312" s="240"/>
      <c r="GE312" s="238"/>
      <c r="GF312" s="239"/>
      <c r="GG312" s="239"/>
      <c r="GH312" s="240"/>
      <c r="GJ312" s="1562"/>
      <c r="GK312" s="239"/>
      <c r="GL312" s="239"/>
      <c r="GM312" s="240"/>
      <c r="GO312" s="238"/>
      <c r="GP312" s="239"/>
      <c r="GQ312" s="239"/>
      <c r="GR312" s="240"/>
      <c r="GT312" s="238"/>
      <c r="GU312" s="239"/>
      <c r="GV312" s="239"/>
      <c r="GW312" s="240"/>
      <c r="GY312" s="238"/>
      <c r="GZ312" s="239"/>
      <c r="HA312" s="239"/>
      <c r="HB312" s="240"/>
      <c r="HD312" s="238"/>
      <c r="HE312" s="239"/>
      <c r="HF312" s="239"/>
      <c r="HG312" s="240"/>
      <c r="HI312" s="238"/>
      <c r="HJ312" s="239"/>
      <c r="HK312" s="239"/>
      <c r="HL312" s="240"/>
      <c r="HN312" s="238"/>
      <c r="HO312" s="239"/>
      <c r="HP312" s="239"/>
      <c r="HQ312" s="240"/>
      <c r="HS312" s="238"/>
      <c r="HT312" s="239"/>
      <c r="HU312" s="239"/>
      <c r="HV312" s="240"/>
      <c r="HX312" s="238"/>
      <c r="HY312" s="239"/>
      <c r="HZ312" s="239"/>
      <c r="IA312" s="240"/>
      <c r="IC312" s="238"/>
      <c r="ID312" s="239"/>
      <c r="IE312" s="239"/>
      <c r="IF312" s="240"/>
      <c r="IH312" s="238"/>
      <c r="II312" s="239"/>
      <c r="IJ312" s="239"/>
      <c r="IK312" s="240"/>
      <c r="IM312" s="238"/>
      <c r="IN312" s="239"/>
      <c r="IO312" s="239"/>
      <c r="IP312" s="240"/>
    </row>
    <row r="313" spans="2:250" ht="15" customHeight="1">
      <c r="B313" s="155"/>
      <c r="C313" s="155"/>
      <c r="D313" s="236"/>
      <c r="E313" s="237"/>
      <c r="F313" s="312"/>
      <c r="G313" s="330"/>
      <c r="H313" s="239"/>
      <c r="I313" s="239"/>
      <c r="J313" s="240"/>
      <c r="K313" s="331"/>
      <c r="L313" s="330"/>
      <c r="M313" s="239"/>
      <c r="N313" s="239"/>
      <c r="O313" s="240"/>
      <c r="P313" s="331"/>
      <c r="Q313" s="330"/>
      <c r="R313" s="239"/>
      <c r="S313" s="239"/>
      <c r="T313" s="240"/>
      <c r="U313" s="331"/>
      <c r="V313" s="323"/>
      <c r="W313" s="239"/>
      <c r="X313" s="239"/>
      <c r="Y313" s="240"/>
      <c r="Z313" s="240"/>
      <c r="AA313" s="238"/>
      <c r="AB313" s="239"/>
      <c r="AC313" s="239"/>
      <c r="AD313" s="240"/>
      <c r="AE313" s="240"/>
      <c r="AF313" s="238"/>
      <c r="AG313" s="239"/>
      <c r="AH313" s="239"/>
      <c r="AI313" s="240"/>
      <c r="AK313" s="238"/>
      <c r="AL313" s="239"/>
      <c r="AM313" s="239"/>
      <c r="AN313" s="240"/>
      <c r="AP313" s="238"/>
      <c r="AQ313" s="239"/>
      <c r="AR313" s="239"/>
      <c r="AS313" s="240"/>
      <c r="AU313" s="238"/>
      <c r="AV313" s="239"/>
      <c r="AW313" s="239"/>
      <c r="AX313" s="240"/>
      <c r="AZ313" s="238"/>
      <c r="BA313" s="239"/>
      <c r="BB313" s="239"/>
      <c r="BC313" s="240"/>
      <c r="BE313" s="238"/>
      <c r="BF313" s="239"/>
      <c r="BG313" s="239"/>
      <c r="BH313" s="240"/>
      <c r="BJ313" s="238"/>
      <c r="BK313" s="239"/>
      <c r="BL313" s="239"/>
      <c r="BM313" s="240"/>
      <c r="BO313" s="238"/>
      <c r="BP313" s="239"/>
      <c r="BQ313" s="239"/>
      <c r="BR313" s="240"/>
      <c r="BT313" s="238"/>
      <c r="BU313" s="239"/>
      <c r="BV313" s="239"/>
      <c r="BW313" s="240"/>
      <c r="BY313" s="238"/>
      <c r="BZ313" s="239"/>
      <c r="CA313" s="239"/>
      <c r="CB313" s="240"/>
      <c r="CD313" s="238"/>
      <c r="CE313" s="239"/>
      <c r="CF313" s="239"/>
      <c r="CG313" s="240"/>
      <c r="CI313" s="238"/>
      <c r="CJ313" s="239"/>
      <c r="CK313" s="239"/>
      <c r="CL313" s="240"/>
      <c r="CN313" s="238"/>
      <c r="CO313" s="239"/>
      <c r="CP313" s="239"/>
      <c r="CQ313" s="240"/>
      <c r="CS313" s="238"/>
      <c r="CT313" s="239"/>
      <c r="CU313" s="239"/>
      <c r="CV313" s="240"/>
      <c r="CX313" s="238"/>
      <c r="CY313" s="239"/>
      <c r="CZ313" s="239"/>
      <c r="DA313" s="240"/>
      <c r="DC313" s="238"/>
      <c r="DD313" s="239"/>
      <c r="DE313" s="239"/>
      <c r="DF313" s="240"/>
      <c r="DH313" s="238"/>
      <c r="DI313" s="239"/>
      <c r="DJ313" s="239"/>
      <c r="DK313" s="240"/>
      <c r="DM313" s="238"/>
      <c r="DN313" s="239"/>
      <c r="DO313" s="239"/>
      <c r="DP313" s="240"/>
      <c r="DR313" s="238"/>
      <c r="DS313" s="239"/>
      <c r="DT313" s="239"/>
      <c r="DU313" s="240"/>
      <c r="DW313" s="238"/>
      <c r="DX313" s="239"/>
      <c r="DY313" s="239"/>
      <c r="DZ313" s="240"/>
      <c r="EB313" s="238"/>
      <c r="EC313" s="239"/>
      <c r="ED313" s="239"/>
      <c r="EE313" s="240"/>
      <c r="EG313" s="238"/>
      <c r="EH313" s="239"/>
      <c r="EI313" s="239"/>
      <c r="EJ313" s="240"/>
      <c r="EL313" s="238"/>
      <c r="EM313" s="239"/>
      <c r="EN313" s="239"/>
      <c r="EO313" s="240"/>
      <c r="EQ313" s="238"/>
      <c r="ER313" s="239"/>
      <c r="ES313" s="239"/>
      <c r="ET313" s="240"/>
      <c r="EV313" s="238"/>
      <c r="EW313" s="239"/>
      <c r="EX313" s="239"/>
      <c r="EY313" s="240"/>
      <c r="FA313" s="238"/>
      <c r="FB313" s="239"/>
      <c r="FC313" s="239"/>
      <c r="FD313" s="240"/>
      <c r="FF313" s="238"/>
      <c r="FG313" s="239"/>
      <c r="FH313" s="239"/>
      <c r="FI313" s="240"/>
      <c r="FK313" s="238"/>
      <c r="FL313" s="239"/>
      <c r="FM313" s="239"/>
      <c r="FN313" s="240"/>
      <c r="FP313" s="238"/>
      <c r="FQ313" s="239"/>
      <c r="FR313" s="239"/>
      <c r="FS313" s="240"/>
      <c r="FU313" s="238"/>
      <c r="FV313" s="239"/>
      <c r="FW313" s="239"/>
      <c r="FX313" s="240"/>
      <c r="FZ313" s="238"/>
      <c r="GA313" s="239"/>
      <c r="GB313" s="239"/>
      <c r="GC313" s="240"/>
      <c r="GE313" s="238"/>
      <c r="GF313" s="239"/>
      <c r="GG313" s="239"/>
      <c r="GH313" s="240"/>
      <c r="GJ313" s="1562"/>
      <c r="GK313" s="239"/>
      <c r="GL313" s="239"/>
      <c r="GM313" s="240"/>
      <c r="GO313" s="238"/>
      <c r="GP313" s="239"/>
      <c r="GQ313" s="239"/>
      <c r="GR313" s="240"/>
      <c r="GT313" s="238"/>
      <c r="GU313" s="239"/>
      <c r="GV313" s="239"/>
      <c r="GW313" s="240"/>
      <c r="GY313" s="238"/>
      <c r="GZ313" s="239"/>
      <c r="HA313" s="239"/>
      <c r="HB313" s="240"/>
      <c r="HD313" s="238"/>
      <c r="HE313" s="239"/>
      <c r="HF313" s="239"/>
      <c r="HG313" s="240"/>
      <c r="HI313" s="238"/>
      <c r="HJ313" s="239"/>
      <c r="HK313" s="239"/>
      <c r="HL313" s="240"/>
      <c r="HN313" s="238"/>
      <c r="HO313" s="239"/>
      <c r="HP313" s="239"/>
      <c r="HQ313" s="240"/>
      <c r="HS313" s="238"/>
      <c r="HT313" s="239"/>
      <c r="HU313" s="239"/>
      <c r="HV313" s="240"/>
      <c r="HX313" s="238"/>
      <c r="HY313" s="239"/>
      <c r="HZ313" s="239"/>
      <c r="IA313" s="240"/>
      <c r="IC313" s="238"/>
      <c r="ID313" s="239"/>
      <c r="IE313" s="239"/>
      <c r="IF313" s="240"/>
      <c r="IH313" s="238"/>
      <c r="II313" s="239"/>
      <c r="IJ313" s="239"/>
      <c r="IK313" s="240"/>
      <c r="IM313" s="238"/>
      <c r="IN313" s="239"/>
      <c r="IO313" s="239"/>
      <c r="IP313" s="240"/>
    </row>
    <row r="314" spans="2:250" ht="15" customHeight="1">
      <c r="B314" s="155"/>
      <c r="C314" s="155"/>
      <c r="D314" s="236"/>
      <c r="E314" s="237"/>
      <c r="F314" s="312"/>
      <c r="G314" s="330"/>
      <c r="H314" s="239"/>
      <c r="I314" s="239"/>
      <c r="J314" s="240"/>
      <c r="K314" s="331"/>
      <c r="L314" s="330"/>
      <c r="M314" s="239"/>
      <c r="N314" s="239"/>
      <c r="O314" s="240"/>
      <c r="P314" s="331"/>
      <c r="Q314" s="330"/>
      <c r="R314" s="239"/>
      <c r="S314" s="239"/>
      <c r="T314" s="240"/>
      <c r="U314" s="331"/>
      <c r="V314" s="323"/>
      <c r="W314" s="239"/>
      <c r="X314" s="239"/>
      <c r="Y314" s="240"/>
      <c r="Z314" s="240"/>
      <c r="AA314" s="238"/>
      <c r="AB314" s="239"/>
      <c r="AC314" s="239"/>
      <c r="AD314" s="240"/>
      <c r="AE314" s="240"/>
      <c r="AF314" s="238"/>
      <c r="AG314" s="239"/>
      <c r="AH314" s="239"/>
      <c r="AI314" s="240"/>
      <c r="AK314" s="238"/>
      <c r="AL314" s="239"/>
      <c r="AM314" s="239"/>
      <c r="AN314" s="240"/>
      <c r="AP314" s="238"/>
      <c r="AQ314" s="239"/>
      <c r="AR314" s="239"/>
      <c r="AS314" s="240"/>
      <c r="AU314" s="238"/>
      <c r="AV314" s="239"/>
      <c r="AW314" s="239"/>
      <c r="AX314" s="240"/>
      <c r="AZ314" s="238"/>
      <c r="BA314" s="239"/>
      <c r="BB314" s="239"/>
      <c r="BC314" s="240"/>
      <c r="BE314" s="238"/>
      <c r="BF314" s="239"/>
      <c r="BG314" s="239"/>
      <c r="BH314" s="240"/>
      <c r="BJ314" s="238"/>
      <c r="BK314" s="239"/>
      <c r="BL314" s="239"/>
      <c r="BM314" s="240"/>
      <c r="BO314" s="238"/>
      <c r="BP314" s="239"/>
      <c r="BQ314" s="239"/>
      <c r="BR314" s="240"/>
      <c r="BT314" s="238"/>
      <c r="BU314" s="239"/>
      <c r="BV314" s="239"/>
      <c r="BW314" s="240"/>
      <c r="BY314" s="238"/>
      <c r="BZ314" s="239"/>
      <c r="CA314" s="239"/>
      <c r="CB314" s="240"/>
      <c r="CD314" s="238"/>
      <c r="CE314" s="239"/>
      <c r="CF314" s="239"/>
      <c r="CG314" s="240"/>
      <c r="CI314" s="238"/>
      <c r="CJ314" s="239"/>
      <c r="CK314" s="239"/>
      <c r="CL314" s="240"/>
      <c r="CN314" s="238"/>
      <c r="CO314" s="239"/>
      <c r="CP314" s="239"/>
      <c r="CQ314" s="240"/>
      <c r="CS314" s="238"/>
      <c r="CT314" s="239"/>
      <c r="CU314" s="239"/>
      <c r="CV314" s="240"/>
      <c r="CX314" s="238"/>
      <c r="CY314" s="239"/>
      <c r="CZ314" s="239"/>
      <c r="DA314" s="240"/>
      <c r="DC314" s="238"/>
      <c r="DD314" s="239"/>
      <c r="DE314" s="239"/>
      <c r="DF314" s="240"/>
      <c r="DH314" s="238"/>
      <c r="DI314" s="239"/>
      <c r="DJ314" s="239"/>
      <c r="DK314" s="240"/>
      <c r="DM314" s="238"/>
      <c r="DN314" s="239"/>
      <c r="DO314" s="239"/>
      <c r="DP314" s="240"/>
      <c r="DR314" s="238"/>
      <c r="DS314" s="239"/>
      <c r="DT314" s="239"/>
      <c r="DU314" s="240"/>
      <c r="DW314" s="238"/>
      <c r="DX314" s="239"/>
      <c r="DY314" s="239"/>
      <c r="DZ314" s="240"/>
      <c r="EB314" s="238"/>
      <c r="EC314" s="239"/>
      <c r="ED314" s="239"/>
      <c r="EE314" s="240"/>
      <c r="EG314" s="238"/>
      <c r="EH314" s="239"/>
      <c r="EI314" s="239"/>
      <c r="EJ314" s="240"/>
      <c r="EL314" s="238"/>
      <c r="EM314" s="239"/>
      <c r="EN314" s="239"/>
      <c r="EO314" s="240"/>
      <c r="EQ314" s="238"/>
      <c r="ER314" s="239"/>
      <c r="ES314" s="239"/>
      <c r="ET314" s="240"/>
      <c r="EV314" s="238"/>
      <c r="EW314" s="239"/>
      <c r="EX314" s="239"/>
      <c r="EY314" s="240"/>
      <c r="FA314" s="238"/>
      <c r="FB314" s="239"/>
      <c r="FC314" s="239"/>
      <c r="FD314" s="240"/>
      <c r="FF314" s="238"/>
      <c r="FG314" s="239"/>
      <c r="FH314" s="239"/>
      <c r="FI314" s="240"/>
      <c r="FK314" s="238"/>
      <c r="FL314" s="239"/>
      <c r="FM314" s="239"/>
      <c r="FN314" s="240"/>
      <c r="FP314" s="238"/>
      <c r="FQ314" s="239"/>
      <c r="FR314" s="239"/>
      <c r="FS314" s="240"/>
      <c r="FU314" s="238"/>
      <c r="FV314" s="239"/>
      <c r="FW314" s="239"/>
      <c r="FX314" s="240"/>
      <c r="FZ314" s="238"/>
      <c r="GA314" s="239"/>
      <c r="GB314" s="239"/>
      <c r="GC314" s="240"/>
      <c r="GE314" s="238"/>
      <c r="GF314" s="239"/>
      <c r="GG314" s="239"/>
      <c r="GH314" s="240"/>
      <c r="GJ314" s="1562"/>
      <c r="GK314" s="239"/>
      <c r="GL314" s="239"/>
      <c r="GM314" s="240"/>
      <c r="GO314" s="238"/>
      <c r="GP314" s="239"/>
      <c r="GQ314" s="239"/>
      <c r="GR314" s="240"/>
      <c r="GT314" s="238"/>
      <c r="GU314" s="239"/>
      <c r="GV314" s="239"/>
      <c r="GW314" s="240"/>
      <c r="GY314" s="238"/>
      <c r="GZ314" s="239"/>
      <c r="HA314" s="239"/>
      <c r="HB314" s="240"/>
      <c r="HD314" s="238"/>
      <c r="HE314" s="239"/>
      <c r="HF314" s="239"/>
      <c r="HG314" s="240"/>
      <c r="HI314" s="238"/>
      <c r="HJ314" s="239"/>
      <c r="HK314" s="239"/>
      <c r="HL314" s="240"/>
      <c r="HN314" s="238"/>
      <c r="HO314" s="239"/>
      <c r="HP314" s="239"/>
      <c r="HQ314" s="240"/>
      <c r="HS314" s="238"/>
      <c r="HT314" s="239"/>
      <c r="HU314" s="239"/>
      <c r="HV314" s="240"/>
      <c r="HX314" s="238"/>
      <c r="HY314" s="239"/>
      <c r="HZ314" s="239"/>
      <c r="IA314" s="240"/>
      <c r="IC314" s="238"/>
      <c r="ID314" s="239"/>
      <c r="IE314" s="239"/>
      <c r="IF314" s="240"/>
      <c r="IH314" s="238"/>
      <c r="II314" s="239"/>
      <c r="IJ314" s="239"/>
      <c r="IK314" s="240"/>
      <c r="IM314" s="238"/>
      <c r="IN314" s="239"/>
      <c r="IO314" s="239"/>
      <c r="IP314" s="240"/>
    </row>
    <row r="315" spans="2:250" ht="15" customHeight="1">
      <c r="B315" s="155"/>
      <c r="C315" s="155"/>
      <c r="D315" s="236"/>
      <c r="E315" s="237"/>
      <c r="F315" s="312"/>
      <c r="G315" s="330"/>
      <c r="H315" s="239"/>
      <c r="I315" s="239"/>
      <c r="J315" s="240"/>
      <c r="K315" s="331"/>
      <c r="L315" s="330"/>
      <c r="M315" s="239"/>
      <c r="N315" s="239"/>
      <c r="O315" s="240"/>
      <c r="P315" s="331"/>
      <c r="Q315" s="330"/>
      <c r="R315" s="239"/>
      <c r="S315" s="239"/>
      <c r="T315" s="240"/>
      <c r="U315" s="331"/>
      <c r="V315" s="323"/>
      <c r="W315" s="239"/>
      <c r="X315" s="239"/>
      <c r="Y315" s="240"/>
      <c r="Z315" s="240"/>
      <c r="AA315" s="238"/>
      <c r="AB315" s="239"/>
      <c r="AC315" s="239"/>
      <c r="AD315" s="240"/>
      <c r="AE315" s="240"/>
      <c r="AF315" s="238"/>
      <c r="AG315" s="239"/>
      <c r="AH315" s="239"/>
      <c r="AI315" s="240"/>
      <c r="AK315" s="238"/>
      <c r="AL315" s="239"/>
      <c r="AM315" s="239"/>
      <c r="AN315" s="240"/>
      <c r="AP315" s="238"/>
      <c r="AQ315" s="239"/>
      <c r="AR315" s="239"/>
      <c r="AS315" s="240"/>
      <c r="AU315" s="238"/>
      <c r="AV315" s="239"/>
      <c r="AW315" s="239"/>
      <c r="AX315" s="240"/>
      <c r="AZ315" s="238"/>
      <c r="BA315" s="239"/>
      <c r="BB315" s="239"/>
      <c r="BC315" s="240"/>
      <c r="BE315" s="238"/>
      <c r="BF315" s="239"/>
      <c r="BG315" s="239"/>
      <c r="BH315" s="240"/>
      <c r="BJ315" s="238"/>
      <c r="BK315" s="239"/>
      <c r="BL315" s="239"/>
      <c r="BM315" s="240"/>
      <c r="BO315" s="238"/>
      <c r="BP315" s="239"/>
      <c r="BQ315" s="239"/>
      <c r="BR315" s="240"/>
      <c r="BT315" s="238"/>
      <c r="BU315" s="239"/>
      <c r="BV315" s="239"/>
      <c r="BW315" s="240"/>
      <c r="BY315" s="238"/>
      <c r="BZ315" s="239"/>
      <c r="CA315" s="239"/>
      <c r="CB315" s="240"/>
      <c r="CD315" s="238"/>
      <c r="CE315" s="239"/>
      <c r="CF315" s="239"/>
      <c r="CG315" s="240"/>
      <c r="CI315" s="238"/>
      <c r="CJ315" s="239"/>
      <c r="CK315" s="239"/>
      <c r="CL315" s="240"/>
      <c r="CN315" s="238"/>
      <c r="CO315" s="239"/>
      <c r="CP315" s="239"/>
      <c r="CQ315" s="240"/>
      <c r="CS315" s="238"/>
      <c r="CT315" s="239"/>
      <c r="CU315" s="239"/>
      <c r="CV315" s="240"/>
      <c r="CX315" s="238"/>
      <c r="CY315" s="239"/>
      <c r="CZ315" s="239"/>
      <c r="DA315" s="240"/>
      <c r="DC315" s="238"/>
      <c r="DD315" s="239"/>
      <c r="DE315" s="239"/>
      <c r="DF315" s="240"/>
      <c r="DH315" s="238"/>
      <c r="DI315" s="239"/>
      <c r="DJ315" s="239"/>
      <c r="DK315" s="240"/>
      <c r="DM315" s="238"/>
      <c r="DN315" s="239"/>
      <c r="DO315" s="239"/>
      <c r="DP315" s="240"/>
      <c r="DR315" s="238"/>
      <c r="DS315" s="239"/>
      <c r="DT315" s="239"/>
      <c r="DU315" s="240"/>
      <c r="DW315" s="238"/>
      <c r="DX315" s="239"/>
      <c r="DY315" s="239"/>
      <c r="DZ315" s="240"/>
      <c r="EB315" s="238"/>
      <c r="EC315" s="239"/>
      <c r="ED315" s="239"/>
      <c r="EE315" s="240"/>
      <c r="EG315" s="238"/>
      <c r="EH315" s="239"/>
      <c r="EI315" s="239"/>
      <c r="EJ315" s="240"/>
      <c r="EL315" s="238"/>
      <c r="EM315" s="239"/>
      <c r="EN315" s="239"/>
      <c r="EO315" s="240"/>
      <c r="EQ315" s="238"/>
      <c r="ER315" s="239"/>
      <c r="ES315" s="239"/>
      <c r="ET315" s="240"/>
      <c r="EV315" s="238"/>
      <c r="EW315" s="239"/>
      <c r="EX315" s="239"/>
      <c r="EY315" s="240"/>
      <c r="FA315" s="238"/>
      <c r="FB315" s="239"/>
      <c r="FC315" s="239"/>
      <c r="FD315" s="240"/>
      <c r="FF315" s="238"/>
      <c r="FG315" s="239"/>
      <c r="FH315" s="239"/>
      <c r="FI315" s="240"/>
      <c r="FK315" s="238"/>
      <c r="FL315" s="239"/>
      <c r="FM315" s="239"/>
      <c r="FN315" s="240"/>
      <c r="FP315" s="238"/>
      <c r="FQ315" s="239"/>
      <c r="FR315" s="239"/>
      <c r="FS315" s="240"/>
      <c r="FU315" s="238"/>
      <c r="FV315" s="239"/>
      <c r="FW315" s="239"/>
      <c r="FX315" s="240"/>
      <c r="FZ315" s="238"/>
      <c r="GA315" s="239"/>
      <c r="GB315" s="239"/>
      <c r="GC315" s="240"/>
      <c r="GE315" s="238"/>
      <c r="GF315" s="239"/>
      <c r="GG315" s="239"/>
      <c r="GH315" s="240"/>
      <c r="GJ315" s="1562"/>
      <c r="GK315" s="239"/>
      <c r="GL315" s="239"/>
      <c r="GM315" s="240"/>
      <c r="GO315" s="238"/>
      <c r="GP315" s="239"/>
      <c r="GQ315" s="239"/>
      <c r="GR315" s="240"/>
      <c r="GT315" s="238"/>
      <c r="GU315" s="239"/>
      <c r="GV315" s="239"/>
      <c r="GW315" s="240"/>
      <c r="GY315" s="238"/>
      <c r="GZ315" s="239"/>
      <c r="HA315" s="239"/>
      <c r="HB315" s="240"/>
      <c r="HD315" s="238"/>
      <c r="HE315" s="239"/>
      <c r="HF315" s="239"/>
      <c r="HG315" s="240"/>
      <c r="HI315" s="238"/>
      <c r="HJ315" s="239"/>
      <c r="HK315" s="239"/>
      <c r="HL315" s="240"/>
      <c r="HN315" s="238"/>
      <c r="HO315" s="239"/>
      <c r="HP315" s="239"/>
      <c r="HQ315" s="240"/>
      <c r="HS315" s="238"/>
      <c r="HT315" s="239"/>
      <c r="HU315" s="239"/>
      <c r="HV315" s="240"/>
      <c r="HX315" s="238"/>
      <c r="HY315" s="239"/>
      <c r="HZ315" s="239"/>
      <c r="IA315" s="240"/>
      <c r="IC315" s="238"/>
      <c r="ID315" s="239"/>
      <c r="IE315" s="239"/>
      <c r="IF315" s="240"/>
      <c r="IH315" s="238"/>
      <c r="II315" s="239"/>
      <c r="IJ315" s="239"/>
      <c r="IK315" s="240"/>
      <c r="IM315" s="238"/>
      <c r="IN315" s="239"/>
      <c r="IO315" s="239"/>
      <c r="IP315" s="240"/>
    </row>
    <row r="316" spans="2:250" ht="15" customHeight="1">
      <c r="B316" s="155"/>
      <c r="C316" s="155"/>
      <c r="D316" s="236"/>
      <c r="E316" s="237"/>
      <c r="F316" s="312"/>
      <c r="G316" s="330"/>
      <c r="H316" s="239"/>
      <c r="I316" s="239"/>
      <c r="J316" s="240"/>
      <c r="K316" s="331"/>
      <c r="L316" s="330"/>
      <c r="M316" s="239"/>
      <c r="N316" s="239"/>
      <c r="O316" s="240"/>
      <c r="P316" s="331"/>
      <c r="Q316" s="330"/>
      <c r="R316" s="239"/>
      <c r="S316" s="239"/>
      <c r="T316" s="240"/>
      <c r="U316" s="331"/>
      <c r="V316" s="323"/>
      <c r="W316" s="239"/>
      <c r="X316" s="239"/>
      <c r="Y316" s="240"/>
      <c r="Z316" s="240"/>
      <c r="AA316" s="238"/>
      <c r="AB316" s="239"/>
      <c r="AC316" s="239"/>
      <c r="AD316" s="240"/>
      <c r="AE316" s="240"/>
      <c r="AF316" s="238"/>
      <c r="AG316" s="239"/>
      <c r="AH316" s="239"/>
      <c r="AI316" s="240"/>
      <c r="AK316" s="238"/>
      <c r="AL316" s="239"/>
      <c r="AM316" s="239"/>
      <c r="AN316" s="240"/>
      <c r="AP316" s="238"/>
      <c r="AQ316" s="239"/>
      <c r="AR316" s="239"/>
      <c r="AS316" s="240"/>
      <c r="AU316" s="238"/>
      <c r="AV316" s="239"/>
      <c r="AW316" s="239"/>
      <c r="AX316" s="240"/>
      <c r="AZ316" s="238"/>
      <c r="BA316" s="239"/>
      <c r="BB316" s="239"/>
      <c r="BC316" s="240"/>
      <c r="BE316" s="238"/>
      <c r="BF316" s="239"/>
      <c r="BG316" s="239"/>
      <c r="BH316" s="240"/>
      <c r="BJ316" s="238"/>
      <c r="BK316" s="239"/>
      <c r="BL316" s="239"/>
      <c r="BM316" s="240"/>
      <c r="BO316" s="238"/>
      <c r="BP316" s="239"/>
      <c r="BQ316" s="239"/>
      <c r="BR316" s="240"/>
      <c r="BT316" s="238"/>
      <c r="BU316" s="239"/>
      <c r="BV316" s="239"/>
      <c r="BW316" s="240"/>
      <c r="BY316" s="238"/>
      <c r="BZ316" s="239"/>
      <c r="CA316" s="239"/>
      <c r="CB316" s="240"/>
      <c r="CD316" s="238"/>
      <c r="CE316" s="239"/>
      <c r="CF316" s="239"/>
      <c r="CG316" s="240"/>
      <c r="CI316" s="238"/>
      <c r="CJ316" s="239"/>
      <c r="CK316" s="239"/>
      <c r="CL316" s="240"/>
      <c r="CN316" s="238"/>
      <c r="CO316" s="239"/>
      <c r="CP316" s="239"/>
      <c r="CQ316" s="240"/>
      <c r="CS316" s="238"/>
      <c r="CT316" s="239"/>
      <c r="CU316" s="239"/>
      <c r="CV316" s="240"/>
      <c r="CX316" s="238"/>
      <c r="CY316" s="239"/>
      <c r="CZ316" s="239"/>
      <c r="DA316" s="240"/>
      <c r="DC316" s="238"/>
      <c r="DD316" s="239"/>
      <c r="DE316" s="239"/>
      <c r="DF316" s="240"/>
      <c r="DH316" s="238"/>
      <c r="DI316" s="239"/>
      <c r="DJ316" s="239"/>
      <c r="DK316" s="240"/>
      <c r="DM316" s="238"/>
      <c r="DN316" s="239"/>
      <c r="DO316" s="239"/>
      <c r="DP316" s="240"/>
      <c r="DR316" s="238"/>
      <c r="DS316" s="239"/>
      <c r="DT316" s="239"/>
      <c r="DU316" s="240"/>
      <c r="DW316" s="238"/>
      <c r="DX316" s="239"/>
      <c r="DY316" s="239"/>
      <c r="DZ316" s="240"/>
      <c r="EB316" s="238"/>
      <c r="EC316" s="239"/>
      <c r="ED316" s="239"/>
      <c r="EE316" s="240"/>
      <c r="EG316" s="238"/>
      <c r="EH316" s="239"/>
      <c r="EI316" s="239"/>
      <c r="EJ316" s="240"/>
      <c r="EL316" s="238"/>
      <c r="EM316" s="239"/>
      <c r="EN316" s="239"/>
      <c r="EO316" s="240"/>
      <c r="EQ316" s="238"/>
      <c r="ER316" s="239"/>
      <c r="ES316" s="239"/>
      <c r="ET316" s="240"/>
      <c r="EV316" s="238"/>
      <c r="EW316" s="239"/>
      <c r="EX316" s="239"/>
      <c r="EY316" s="240"/>
      <c r="FA316" s="238"/>
      <c r="FB316" s="239"/>
      <c r="FC316" s="239"/>
      <c r="FD316" s="240"/>
      <c r="FF316" s="238"/>
      <c r="FG316" s="239"/>
      <c r="FH316" s="239"/>
      <c r="FI316" s="240"/>
      <c r="FK316" s="238"/>
      <c r="FL316" s="239"/>
      <c r="FM316" s="239"/>
      <c r="FN316" s="240"/>
      <c r="FP316" s="238"/>
      <c r="FQ316" s="239"/>
      <c r="FR316" s="239"/>
      <c r="FS316" s="240"/>
      <c r="FU316" s="238"/>
      <c r="FV316" s="239"/>
      <c r="FW316" s="239"/>
      <c r="FX316" s="240"/>
      <c r="FZ316" s="238"/>
      <c r="GA316" s="239"/>
      <c r="GB316" s="239"/>
      <c r="GC316" s="240"/>
      <c r="GE316" s="238"/>
      <c r="GF316" s="239"/>
      <c r="GG316" s="239"/>
      <c r="GH316" s="240"/>
      <c r="GJ316" s="1562"/>
      <c r="GK316" s="239"/>
      <c r="GL316" s="239"/>
      <c r="GM316" s="240"/>
      <c r="GO316" s="238"/>
      <c r="GP316" s="239"/>
      <c r="GQ316" s="239"/>
      <c r="GR316" s="240"/>
      <c r="GT316" s="238"/>
      <c r="GU316" s="239"/>
      <c r="GV316" s="239"/>
      <c r="GW316" s="240"/>
      <c r="GY316" s="238"/>
      <c r="GZ316" s="239"/>
      <c r="HA316" s="239"/>
      <c r="HB316" s="240"/>
      <c r="HD316" s="238"/>
      <c r="HE316" s="239"/>
      <c r="HF316" s="239"/>
      <c r="HG316" s="240"/>
      <c r="HI316" s="238"/>
      <c r="HJ316" s="239"/>
      <c r="HK316" s="239"/>
      <c r="HL316" s="240"/>
      <c r="HN316" s="238"/>
      <c r="HO316" s="239"/>
      <c r="HP316" s="239"/>
      <c r="HQ316" s="240"/>
      <c r="HS316" s="238"/>
      <c r="HT316" s="239"/>
      <c r="HU316" s="239"/>
      <c r="HV316" s="240"/>
      <c r="HX316" s="238"/>
      <c r="HY316" s="239"/>
      <c r="HZ316" s="239"/>
      <c r="IA316" s="240"/>
      <c r="IC316" s="238"/>
      <c r="ID316" s="239"/>
      <c r="IE316" s="239"/>
      <c r="IF316" s="240"/>
      <c r="IH316" s="238"/>
      <c r="II316" s="239"/>
      <c r="IJ316" s="239"/>
      <c r="IK316" s="240"/>
      <c r="IM316" s="238"/>
      <c r="IN316" s="239"/>
      <c r="IO316" s="239"/>
      <c r="IP316" s="240"/>
    </row>
    <row r="317" spans="2:250" ht="15" customHeight="1"/>
    <row r="318" spans="2:250" ht="15" customHeight="1"/>
    <row r="319" spans="2:250" ht="15" customHeight="1"/>
    <row r="320" spans="2:25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</sheetData>
  <autoFilter ref="A1:A421"/>
  <mergeCells count="1">
    <mergeCell ref="GG103:GG104"/>
  </mergeCells>
  <pageMargins left="0.70833333333333304" right="0.70833333333333304" top="0.74791666666666701" bottom="0.74791666666666701" header="0.51180555555555496" footer="0.51180555555555496"/>
  <pageSetup paperSize="9" scale="10" firstPageNumber="0" orientation="landscape" verticalDpi="300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6"/>
  <dimension ref="A1:BK50"/>
  <sheetViews>
    <sheetView workbookViewId="0">
      <pane xSplit="8" ySplit="2" topLeftCell="AQ3" activePane="bottomRight" state="frozen"/>
      <selection pane="topRight" activeCell="G1" sqref="G1"/>
      <selection pane="bottomLeft" activeCell="A3" sqref="A3"/>
      <selection pane="bottomRight" sqref="A1:XFD1048576"/>
    </sheetView>
  </sheetViews>
  <sheetFormatPr defaultRowHeight="15"/>
  <cols>
    <col min="1" max="1" width="6.42578125" customWidth="1"/>
    <col min="2" max="2" width="4.140625" customWidth="1"/>
    <col min="4" max="4" width="26.7109375" customWidth="1"/>
    <col min="6" max="8" width="9.140625" customWidth="1"/>
    <col min="9" max="9" width="9.140625" style="496" customWidth="1"/>
    <col min="10" max="10" width="9.140625" style="482" customWidth="1"/>
    <col min="11" max="11" width="9.140625" customWidth="1"/>
    <col min="12" max="12" width="9.140625" style="576" customWidth="1"/>
    <col min="13" max="13" width="9.140625" style="496" customWidth="1"/>
    <col min="14" max="14" width="9.140625" style="482" customWidth="1"/>
    <col min="15" max="15" width="9.140625" customWidth="1"/>
    <col min="16" max="16" width="9.140625" style="12" customWidth="1"/>
    <col min="17" max="17" width="9.140625" style="496" customWidth="1"/>
    <col min="18" max="18" width="9.140625" style="482" customWidth="1"/>
    <col min="19" max="20" width="9.140625" customWidth="1"/>
    <col min="21" max="21" width="9.140625" style="496" customWidth="1"/>
    <col min="22" max="22" width="9.5703125" style="482" customWidth="1"/>
    <col min="23" max="24" width="9.140625" customWidth="1"/>
    <col min="25" max="25" width="9.140625" style="496" customWidth="1"/>
    <col min="26" max="26" width="9.140625" style="482" customWidth="1"/>
    <col min="27" max="28" width="9.140625" customWidth="1"/>
    <col min="29" max="29" width="9.140625" style="496" customWidth="1"/>
    <col min="30" max="30" width="9.140625" style="482" customWidth="1"/>
    <col min="31" max="32" width="9.140625" customWidth="1"/>
    <col min="33" max="33" width="9.140625" style="496" customWidth="1"/>
    <col min="34" max="34" width="9.140625" style="482" customWidth="1"/>
    <col min="35" max="36" width="9.140625" customWidth="1"/>
    <col min="37" max="37" width="9.140625" style="496" customWidth="1"/>
    <col min="38" max="38" width="9.140625" style="482"/>
    <col min="41" max="41" width="9.140625" style="496"/>
    <col min="42" max="42" width="9.140625" style="482"/>
    <col min="45" max="45" width="9.140625" style="496"/>
    <col min="46" max="46" width="9.140625" style="482"/>
    <col min="49" max="49" width="9.140625" style="488"/>
    <col min="50" max="50" width="9.140625" style="496"/>
    <col min="51" max="51" width="9.140625" style="482"/>
    <col min="54" max="54" width="9.140625" style="488"/>
    <col min="55" max="55" width="9.140625" style="496"/>
    <col min="59" max="59" width="13.5703125" customWidth="1"/>
    <col min="60" max="60" width="12.140625" customWidth="1"/>
    <col min="62" max="62" width="10.85546875" customWidth="1"/>
  </cols>
  <sheetData>
    <row r="1" spans="1:60" s="12" customFormat="1"/>
    <row r="2" spans="1:60" ht="84">
      <c r="C2" s="435"/>
      <c r="D2" s="436" t="s">
        <v>116</v>
      </c>
      <c r="E2" s="435" t="s">
        <v>240</v>
      </c>
      <c r="F2" s="435" t="s">
        <v>241</v>
      </c>
      <c r="G2" s="437" t="s">
        <v>242</v>
      </c>
      <c r="H2" s="437" t="s">
        <v>243</v>
      </c>
      <c r="I2" s="497" t="s">
        <v>273</v>
      </c>
      <c r="J2" s="478" t="s">
        <v>244</v>
      </c>
      <c r="K2" s="439" t="s">
        <v>245</v>
      </c>
      <c r="L2" s="572" t="s">
        <v>395</v>
      </c>
      <c r="M2" s="492" t="s">
        <v>274</v>
      </c>
      <c r="N2" s="483" t="s">
        <v>264</v>
      </c>
      <c r="O2" s="439" t="s">
        <v>252</v>
      </c>
      <c r="P2" s="582" t="s">
        <v>396</v>
      </c>
      <c r="Q2" s="492" t="s">
        <v>275</v>
      </c>
      <c r="R2" s="438" t="s">
        <v>246</v>
      </c>
      <c r="S2" s="439" t="s">
        <v>247</v>
      </c>
      <c r="T2" s="582" t="s">
        <v>402</v>
      </c>
      <c r="U2" s="492" t="s">
        <v>276</v>
      </c>
      <c r="V2" s="483" t="s">
        <v>265</v>
      </c>
      <c r="W2" s="439" t="s">
        <v>253</v>
      </c>
      <c r="X2" s="582" t="s">
        <v>403</v>
      </c>
      <c r="Y2" s="492" t="s">
        <v>277</v>
      </c>
      <c r="Z2" s="483" t="s">
        <v>266</v>
      </c>
      <c r="AA2" s="439" t="s">
        <v>254</v>
      </c>
      <c r="AB2" s="582" t="s">
        <v>404</v>
      </c>
      <c r="AC2" s="492" t="s">
        <v>278</v>
      </c>
      <c r="AD2" s="483" t="s">
        <v>267</v>
      </c>
      <c r="AE2" s="439" t="s">
        <v>255</v>
      </c>
      <c r="AF2" s="582" t="s">
        <v>405</v>
      </c>
      <c r="AG2" s="492" t="s">
        <v>279</v>
      </c>
      <c r="AH2" s="483" t="s">
        <v>268</v>
      </c>
      <c r="AI2" s="439" t="s">
        <v>256</v>
      </c>
      <c r="AJ2" s="582" t="s">
        <v>406</v>
      </c>
      <c r="AK2" s="492" t="s">
        <v>270</v>
      </c>
      <c r="AL2" s="483" t="s">
        <v>270</v>
      </c>
      <c r="AM2" s="439" t="s">
        <v>257</v>
      </c>
      <c r="AN2" s="582" t="s">
        <v>407</v>
      </c>
      <c r="AO2" s="492" t="s">
        <v>280</v>
      </c>
      <c r="AP2" s="483" t="s">
        <v>269</v>
      </c>
      <c r="AQ2" s="439" t="s">
        <v>258</v>
      </c>
      <c r="AR2" s="582" t="s">
        <v>408</v>
      </c>
      <c r="AS2" s="492" t="s">
        <v>281</v>
      </c>
      <c r="AT2" s="483" t="s">
        <v>271</v>
      </c>
      <c r="AU2" s="440" t="s">
        <v>259</v>
      </c>
      <c r="AV2" s="587" t="s">
        <v>409</v>
      </c>
      <c r="AW2" s="504" t="s">
        <v>284</v>
      </c>
      <c r="AX2" s="502" t="s">
        <v>282</v>
      </c>
      <c r="AY2" s="487" t="s">
        <v>272</v>
      </c>
      <c r="AZ2" s="440" t="s">
        <v>260</v>
      </c>
      <c r="BA2" s="587" t="s">
        <v>410</v>
      </c>
      <c r="BB2" s="504" t="s">
        <v>285</v>
      </c>
      <c r="BC2" s="503" t="s">
        <v>283</v>
      </c>
      <c r="BD2" s="438" t="s">
        <v>251</v>
      </c>
      <c r="BE2" s="440" t="s">
        <v>261</v>
      </c>
      <c r="BF2" s="587" t="s">
        <v>411</v>
      </c>
      <c r="BG2" s="579"/>
    </row>
    <row r="3" spans="1:60" s="477" customFormat="1">
      <c r="C3" s="472"/>
      <c r="D3" s="473"/>
      <c r="E3" s="15"/>
      <c r="F3" s="15"/>
      <c r="G3" s="474"/>
      <c r="H3" s="474"/>
      <c r="I3" s="498">
        <f>SUM(I4:I47)</f>
        <v>1111653.3500000003</v>
      </c>
      <c r="J3" s="479">
        <f>SUM(J4:J47)</f>
        <v>1163056.2</v>
      </c>
      <c r="K3" s="476">
        <f>SUM(K4:K47)</f>
        <v>727535.82</v>
      </c>
      <c r="L3" s="573"/>
      <c r="M3" s="493">
        <f>SUM(M4:M47)</f>
        <v>982663.40999999968</v>
      </c>
      <c r="N3" s="484">
        <f>SUM(N4:N47)</f>
        <v>188420</v>
      </c>
      <c r="O3" s="476">
        <f>SUM(O4:O47)</f>
        <v>751239.2</v>
      </c>
      <c r="P3" s="583"/>
      <c r="Q3" s="493">
        <f>SUM(Q4:Q47)</f>
        <v>998252.40000000014</v>
      </c>
      <c r="R3" s="484">
        <f>SUM(R4:R47)</f>
        <v>463822.3</v>
      </c>
      <c r="S3" s="476">
        <f>SUM(S4:S47)</f>
        <v>845481.42999999993</v>
      </c>
      <c r="T3" s="583"/>
      <c r="U3" s="493">
        <f>SUM(U4:U47)</f>
        <v>935864.47999999975</v>
      </c>
      <c r="V3" s="484">
        <f>SUM(V4:V47)</f>
        <v>480153.2</v>
      </c>
      <c r="W3" s="476">
        <f>SUM(W4:W47)</f>
        <v>783187.26</v>
      </c>
      <c r="X3" s="583"/>
      <c r="Y3" s="493">
        <f>SUM(Y4:Y47)</f>
        <v>993391.58</v>
      </c>
      <c r="Z3" s="484">
        <f>SUM(Z4:Z47)</f>
        <v>469636.4</v>
      </c>
      <c r="AA3" s="476">
        <f>SUM(AA4:AA47)</f>
        <v>920756.58000000007</v>
      </c>
      <c r="AB3" s="583"/>
      <c r="AC3" s="493">
        <f>SUM(AC4:AC47)</f>
        <v>1054833.5200000003</v>
      </c>
      <c r="AD3" s="484">
        <f>SUM(AD4:AD47)</f>
        <v>668027.6</v>
      </c>
      <c r="AE3" s="476">
        <f>SUM(AE4:AE47)</f>
        <v>989512.10000000009</v>
      </c>
      <c r="AF3" s="583"/>
      <c r="AG3" s="493">
        <f>SUM(AG4:AG47)</f>
        <v>1153416.0099999991</v>
      </c>
      <c r="AH3" s="484">
        <f>SUM(AH4:AH47)</f>
        <v>611181.19999999995</v>
      </c>
      <c r="AI3" s="476">
        <f>SUM(AI4:AI47)</f>
        <v>966894.97</v>
      </c>
      <c r="AJ3" s="583"/>
      <c r="AK3" s="493">
        <f>SUM(AK4:AK47)</f>
        <v>1101707.3999999992</v>
      </c>
      <c r="AL3" s="484">
        <f>SUM(AL4:AL47)</f>
        <v>674756.6</v>
      </c>
      <c r="AM3" s="476">
        <f>SUM(AM4:AM47)</f>
        <v>1070873.3400000001</v>
      </c>
      <c r="AN3" s="583"/>
      <c r="AO3" s="493">
        <f>SUM(AO4:AO47)</f>
        <v>874293</v>
      </c>
      <c r="AP3" s="484">
        <f>SUM(AP4:AP47)</f>
        <v>626402.69999999995</v>
      </c>
      <c r="AQ3" s="476">
        <f>SUM(AQ4:AQ47)</f>
        <v>962678.37</v>
      </c>
      <c r="AR3" s="583"/>
      <c r="AS3" s="493">
        <f>SUM(AS4:AS47)</f>
        <v>1036348</v>
      </c>
      <c r="AT3" s="484">
        <f>SUM(AT4:AT47)</f>
        <v>615412.6</v>
      </c>
      <c r="AU3" s="476">
        <f t="shared" ref="AU3:BD3" si="0">SUM(AU4:AU47)</f>
        <v>843178.96</v>
      </c>
      <c r="AV3" s="583"/>
      <c r="AW3" s="489">
        <f t="shared" si="0"/>
        <v>932007.94999999984</v>
      </c>
      <c r="AX3" s="493">
        <f t="shared" si="0"/>
        <v>1250446.1000000001</v>
      </c>
      <c r="AY3" s="484">
        <f t="shared" si="0"/>
        <v>592650.6</v>
      </c>
      <c r="AZ3" s="476">
        <f t="shared" si="0"/>
        <v>949817.74</v>
      </c>
      <c r="BA3" s="583"/>
      <c r="BB3" s="489">
        <f t="shared" si="0"/>
        <v>1114271.7899999998</v>
      </c>
      <c r="BC3" s="493">
        <f t="shared" si="0"/>
        <v>0</v>
      </c>
      <c r="BD3" s="475">
        <f t="shared" si="0"/>
        <v>610047.15</v>
      </c>
      <c r="BE3" s="476">
        <f>SUM(BE4:BE47)</f>
        <v>1035837.4689999999</v>
      </c>
      <c r="BF3" s="583"/>
      <c r="BG3" s="580"/>
      <c r="BH3" s="580"/>
    </row>
    <row r="4" spans="1:60">
      <c r="B4" s="577" t="s">
        <v>398</v>
      </c>
      <c r="C4" s="13" t="s">
        <v>117</v>
      </c>
      <c r="D4" s="444" t="s">
        <v>118</v>
      </c>
      <c r="E4" s="447" t="s">
        <v>249</v>
      </c>
      <c r="F4" s="15" t="s">
        <v>248</v>
      </c>
      <c r="G4" s="441">
        <v>1550</v>
      </c>
      <c r="H4" s="441">
        <v>785</v>
      </c>
      <c r="I4" s="499"/>
      <c r="J4" s="480">
        <v>0</v>
      </c>
      <c r="K4" s="443">
        <f>'ОПЛАТИ 2023'!L5</f>
        <v>49797</v>
      </c>
      <c r="L4" s="574">
        <f>'ОПЛАТИ 2024-2025-2026 '!BU10</f>
        <v>48971</v>
      </c>
      <c r="M4" s="494"/>
      <c r="N4" s="469">
        <v>0</v>
      </c>
      <c r="O4" s="443">
        <f>'ОПЛАТИ 2023'!Q5</f>
        <v>40623</v>
      </c>
      <c r="P4" s="584"/>
      <c r="Q4" s="494"/>
      <c r="R4" s="469">
        <v>0</v>
      </c>
      <c r="S4" s="443">
        <f>'ОПЛАТИ 2023'!V5</f>
        <v>46075</v>
      </c>
      <c r="T4" s="584"/>
      <c r="U4" s="494"/>
      <c r="V4" s="469">
        <v>0</v>
      </c>
      <c r="W4" s="443">
        <f>'ОПЛАТИ 2023'!AA5</f>
        <v>38871</v>
      </c>
      <c r="X4" s="584"/>
      <c r="Y4" s="494"/>
      <c r="Z4" s="469">
        <v>0</v>
      </c>
      <c r="AA4" s="443">
        <f>'ОПЛАТИ 2023'!AF5</f>
        <v>41718</v>
      </c>
      <c r="AB4" s="584"/>
      <c r="AC4" s="494"/>
      <c r="AD4" s="469">
        <v>0</v>
      </c>
      <c r="AE4" s="443">
        <f>'ОПЛАТИ 2023'!AK5</f>
        <v>41062</v>
      </c>
      <c r="AF4" s="584"/>
      <c r="AG4" s="494"/>
      <c r="AH4" s="469"/>
      <c r="AI4" s="443">
        <f>'ОПЛАТИ 2023'!AP5</f>
        <v>47425</v>
      </c>
      <c r="AJ4" s="584"/>
      <c r="AK4" s="494"/>
      <c r="AL4" s="469"/>
      <c r="AM4" s="443">
        <f>'ОПЛАТИ 2023'!AU5</f>
        <v>45886</v>
      </c>
      <c r="AN4" s="584"/>
      <c r="AO4" s="494"/>
      <c r="AP4" s="469"/>
      <c r="AQ4" s="443">
        <f>'ОПЛАТИ 2023'!AZ5</f>
        <v>43220</v>
      </c>
      <c r="AR4" s="584"/>
      <c r="AS4" s="494"/>
      <c r="AT4" s="469"/>
      <c r="AU4" s="443">
        <f>'ОПЛАТИ 2023'!BE5</f>
        <v>41329</v>
      </c>
      <c r="AV4" s="584"/>
      <c r="AW4" s="490"/>
      <c r="AX4" s="494"/>
      <c r="AY4" s="469"/>
      <c r="AZ4" s="443">
        <f>'ОПЛАТИ 2023'!BJ5</f>
        <v>44771</v>
      </c>
      <c r="BA4" s="584"/>
      <c r="BB4" s="490">
        <v>0</v>
      </c>
      <c r="BC4" s="494"/>
      <c r="BD4" s="442">
        <f>'ОПЛАТИ 2023'!G5</f>
        <v>38462</v>
      </c>
      <c r="BE4" s="443">
        <f>'ОПЛАТИ 2023'!BO5</f>
        <v>51550</v>
      </c>
      <c r="BF4" s="584"/>
    </row>
    <row r="5" spans="1:60">
      <c r="B5" s="577" t="s">
        <v>398</v>
      </c>
      <c r="C5" s="13" t="s">
        <v>120</v>
      </c>
      <c r="D5" s="444" t="s">
        <v>121</v>
      </c>
      <c r="E5" s="15" t="s">
        <v>122</v>
      </c>
      <c r="F5" s="15" t="s">
        <v>248</v>
      </c>
      <c r="G5" s="441">
        <v>520</v>
      </c>
      <c r="H5" s="441">
        <v>201</v>
      </c>
      <c r="I5" s="499">
        <v>12702.799999999988</v>
      </c>
      <c r="J5" s="480">
        <v>9823.2000000000007</v>
      </c>
      <c r="K5" s="443">
        <f>'ОПЛАТИ 2023'!L10</f>
        <v>6837</v>
      </c>
      <c r="L5" s="574">
        <f>'ОПЛАТИ 2024-2025-2026 '!BU15</f>
        <v>2868</v>
      </c>
      <c r="M5" s="494">
        <v>12240.800000000163</v>
      </c>
      <c r="N5" s="469">
        <v>0</v>
      </c>
      <c r="O5" s="443">
        <f>'ОПЛАТИ 2023'!Q10</f>
        <v>6442</v>
      </c>
      <c r="P5" s="584"/>
      <c r="Q5" s="494">
        <v>12240.800000000163</v>
      </c>
      <c r="R5" s="469">
        <v>9279.2999999999993</v>
      </c>
      <c r="S5" s="443">
        <f>'ОПЛАТИ 2023'!V10</f>
        <v>10149</v>
      </c>
      <c r="T5" s="584"/>
      <c r="U5" s="494">
        <v>13649.200000000128</v>
      </c>
      <c r="V5" s="469">
        <v>6880.2</v>
      </c>
      <c r="W5" s="443">
        <f>'ОПЛАТИ 2023'!AA10</f>
        <v>7840</v>
      </c>
      <c r="X5" s="584"/>
      <c r="Y5" s="494">
        <v>13649.200000000128</v>
      </c>
      <c r="Z5" s="469">
        <v>9614.4</v>
      </c>
      <c r="AA5" s="443">
        <f>'ОПЛАТИ 2023'!AF10</f>
        <v>10848</v>
      </c>
      <c r="AB5" s="584"/>
      <c r="AC5" s="494">
        <v>19092.399999999907</v>
      </c>
      <c r="AD5" s="469">
        <v>10137.6</v>
      </c>
      <c r="AE5" s="443">
        <f>'ОПЛАТИ 2023'!AK10</f>
        <v>11942</v>
      </c>
      <c r="AF5" s="584"/>
      <c r="AG5" s="494">
        <v>19092.399999999907</v>
      </c>
      <c r="AH5" s="469">
        <v>10450.200000000001</v>
      </c>
      <c r="AI5" s="443">
        <f>'ОПЛАТИ 2023'!AP10</f>
        <v>13796</v>
      </c>
      <c r="AJ5" s="584"/>
      <c r="AK5" s="494">
        <v>9910.1999999998952</v>
      </c>
      <c r="AL5" s="469">
        <v>13299.6</v>
      </c>
      <c r="AM5" s="443">
        <f>'ОПЛАТИ 2023'!AU10</f>
        <v>14191</v>
      </c>
      <c r="AN5" s="584"/>
      <c r="AO5" s="494">
        <v>9591</v>
      </c>
      <c r="AP5" s="469">
        <v>8138.7</v>
      </c>
      <c r="AQ5" s="443">
        <f>'ОПЛАТИ 2023'!AZ10</f>
        <v>12732</v>
      </c>
      <c r="AR5" s="584"/>
      <c r="AS5" s="494">
        <v>9591</v>
      </c>
      <c r="AT5" s="469">
        <v>8532.6</v>
      </c>
      <c r="AU5" s="443">
        <f>'ОПЛАТИ 2023'!BE10</f>
        <v>8508</v>
      </c>
      <c r="AV5" s="584"/>
      <c r="AW5" s="490">
        <v>11771.600000000035</v>
      </c>
      <c r="AX5" s="494">
        <v>9812.1</v>
      </c>
      <c r="AY5" s="469">
        <v>8532.6</v>
      </c>
      <c r="AZ5" s="443">
        <f>'ОПЛАТИ 2023'!BJ10</f>
        <v>13066</v>
      </c>
      <c r="BA5" s="584"/>
      <c r="BB5" s="490">
        <v>12702.799999999988</v>
      </c>
      <c r="BC5" s="494"/>
      <c r="BD5" s="442">
        <f>'ОПЛАТИ 2023'!G10</f>
        <v>6442</v>
      </c>
      <c r="BE5" s="443">
        <f>'ОПЛАТИ 2023'!BO10</f>
        <v>8964</v>
      </c>
      <c r="BF5" s="584"/>
    </row>
    <row r="6" spans="1:60" ht="18" customHeight="1">
      <c r="A6" t="s">
        <v>426</v>
      </c>
      <c r="B6" s="577" t="s">
        <v>398</v>
      </c>
      <c r="C6" s="445" t="s">
        <v>123</v>
      </c>
      <c r="D6" s="446" t="s">
        <v>21</v>
      </c>
      <c r="E6" s="447" t="s">
        <v>249</v>
      </c>
      <c r="F6" s="447">
        <v>24</v>
      </c>
      <c r="G6" s="441">
        <v>221</v>
      </c>
      <c r="H6" s="441">
        <v>153</v>
      </c>
      <c r="I6" s="499">
        <v>22434.400000000023</v>
      </c>
      <c r="J6" s="480">
        <v>0</v>
      </c>
      <c r="K6" s="443">
        <f>'ОПЛАТИ 2023'!L14</f>
        <v>8176</v>
      </c>
      <c r="L6" s="574">
        <f>'ОПЛАТИ 2024-2025-2026 '!BU19</f>
        <v>15024</v>
      </c>
      <c r="M6" s="494">
        <v>0</v>
      </c>
      <c r="N6" s="469">
        <v>0</v>
      </c>
      <c r="O6" s="443">
        <f>'ОПЛАТИ 2023'!Q14</f>
        <v>8292</v>
      </c>
      <c r="P6" s="584"/>
      <c r="Q6" s="494">
        <v>0</v>
      </c>
      <c r="R6" s="469">
        <v>0</v>
      </c>
      <c r="S6" s="443">
        <f>'ОПЛАТИ 2023'!V14</f>
        <v>11220</v>
      </c>
      <c r="T6" s="584"/>
      <c r="U6" s="494">
        <v>0</v>
      </c>
      <c r="V6" s="469">
        <v>10588</v>
      </c>
      <c r="W6" s="443">
        <f>'ОПЛАТИ 2023'!AA14</f>
        <v>11676</v>
      </c>
      <c r="X6" s="584"/>
      <c r="Y6" s="494">
        <v>0</v>
      </c>
      <c r="Z6" s="469">
        <v>16460</v>
      </c>
      <c r="AA6" s="443">
        <f>'ОПЛАТИ 2023'!AF14</f>
        <v>15136</v>
      </c>
      <c r="AB6" s="584"/>
      <c r="AC6" s="494">
        <v>0</v>
      </c>
      <c r="AD6" s="469">
        <v>35732</v>
      </c>
      <c r="AE6" s="443">
        <f>'ОПЛАТИ 2023'!AK14</f>
        <v>17160</v>
      </c>
      <c r="AF6" s="584"/>
      <c r="AG6" s="494">
        <v>0</v>
      </c>
      <c r="AH6" s="469">
        <v>18800</v>
      </c>
      <c r="AI6" s="443">
        <f>'ОПЛАТИ 2023'!AP14</f>
        <v>19092</v>
      </c>
      <c r="AJ6" s="584"/>
      <c r="AK6" s="494">
        <v>0</v>
      </c>
      <c r="AL6" s="469">
        <v>20060</v>
      </c>
      <c r="AM6" s="443">
        <f>'ОПЛАТИ 2023'!AU14</f>
        <v>19372</v>
      </c>
      <c r="AN6" s="584"/>
      <c r="AO6" s="494">
        <v>0</v>
      </c>
      <c r="AP6" s="469">
        <v>14708</v>
      </c>
      <c r="AQ6" s="443">
        <f>'ОПЛАТИ 2023'!AZ14</f>
        <v>17688</v>
      </c>
      <c r="AR6" s="584"/>
      <c r="AS6" s="494">
        <v>0</v>
      </c>
      <c r="AT6" s="469">
        <v>12508</v>
      </c>
      <c r="AU6" s="443">
        <f>'ОПЛАТИ 2023'!BE14</f>
        <v>15596</v>
      </c>
      <c r="AV6" s="584"/>
      <c r="AW6" s="490">
        <v>22881.199999999953</v>
      </c>
      <c r="AX6" s="494">
        <v>0</v>
      </c>
      <c r="AY6" s="469">
        <v>12508</v>
      </c>
      <c r="AZ6" s="443">
        <f>'ОПЛАТИ 2023'!BJ14</f>
        <v>13676</v>
      </c>
      <c r="BA6" s="584"/>
      <c r="BB6" s="490">
        <v>22881.199999999953</v>
      </c>
      <c r="BC6" s="494"/>
      <c r="BD6" s="442">
        <f>'ОПЛАТИ 2023'!G14</f>
        <v>3964</v>
      </c>
      <c r="BE6" s="443">
        <f>'ОПЛАТИ 2023'!BO14</f>
        <v>14180</v>
      </c>
      <c r="BF6" s="584"/>
    </row>
    <row r="7" spans="1:60" ht="18" customHeight="1">
      <c r="B7" s="577" t="s">
        <v>398</v>
      </c>
      <c r="C7" s="13" t="s">
        <v>124</v>
      </c>
      <c r="D7" s="444" t="s">
        <v>125</v>
      </c>
      <c r="E7" s="15" t="s">
        <v>122</v>
      </c>
      <c r="F7" s="15">
        <v>24</v>
      </c>
      <c r="G7" s="441">
        <v>422</v>
      </c>
      <c r="H7" s="441">
        <v>241</v>
      </c>
      <c r="I7" s="499">
        <v>18992</v>
      </c>
      <c r="J7" s="521">
        <v>21399</v>
      </c>
      <c r="K7" s="443">
        <f>'ОПЛАТИ 2023'!L18</f>
        <v>7766</v>
      </c>
      <c r="L7" s="574">
        <f>'ОПЛАТИ 2024-2025-2026 '!BU23</f>
        <v>14193</v>
      </c>
      <c r="M7" s="494">
        <v>17505</v>
      </c>
      <c r="N7" s="469">
        <v>0</v>
      </c>
      <c r="O7" s="443">
        <f>'ОПЛАТИ 2023'!Q18</f>
        <v>8020</v>
      </c>
      <c r="P7" s="584"/>
      <c r="Q7" s="494">
        <v>19120.400000000023</v>
      </c>
      <c r="R7" s="469">
        <v>4424</v>
      </c>
      <c r="S7" s="443">
        <f>'ОПЛАТИ 2023'!V18</f>
        <v>10679</v>
      </c>
      <c r="T7" s="584"/>
      <c r="U7" s="494">
        <v>18313.900000000023</v>
      </c>
      <c r="V7" s="469">
        <v>6703</v>
      </c>
      <c r="W7" s="443">
        <f>'ОПЛАТИ 2023'!AA18</f>
        <v>13249</v>
      </c>
      <c r="X7" s="584"/>
      <c r="Y7" s="494">
        <v>19517.199999999953</v>
      </c>
      <c r="Z7" s="469">
        <v>12874</v>
      </c>
      <c r="AA7" s="443">
        <f>'ОПЛАТИ 2023'!AF18</f>
        <v>15144</v>
      </c>
      <c r="AB7" s="584"/>
      <c r="AC7" s="494">
        <v>18794.400000000023</v>
      </c>
      <c r="AD7" s="469">
        <v>10628</v>
      </c>
      <c r="AE7" s="443">
        <f>'ОПЛАТИ 2023'!AK18</f>
        <v>15931</v>
      </c>
      <c r="AF7" s="584"/>
      <c r="AG7" s="494">
        <v>21934.099999999977</v>
      </c>
      <c r="AH7" s="469">
        <v>13793</v>
      </c>
      <c r="AI7" s="443">
        <f>'ОПЛАТИ 2023'!AP18</f>
        <v>16981</v>
      </c>
      <c r="AJ7" s="584"/>
      <c r="AK7" s="494">
        <v>19474</v>
      </c>
      <c r="AL7" s="469">
        <v>16154</v>
      </c>
      <c r="AM7" s="443">
        <f>'ОПЛАТИ 2023'!AU18</f>
        <v>18400</v>
      </c>
      <c r="AN7" s="584"/>
      <c r="AO7" s="494">
        <v>18436</v>
      </c>
      <c r="AP7" s="469">
        <v>18989</v>
      </c>
      <c r="AQ7" s="443">
        <f>'ОПЛАТИ 2023'!AZ18</f>
        <v>17081</v>
      </c>
      <c r="AR7" s="584"/>
      <c r="AS7" s="494">
        <v>16968</v>
      </c>
      <c r="AT7" s="469">
        <v>13505</v>
      </c>
      <c r="AU7" s="443">
        <f>'ОПЛАТИ 2023'!BE18</f>
        <v>15358</v>
      </c>
      <c r="AV7" s="584"/>
      <c r="AW7" s="490">
        <v>18719.399999999907</v>
      </c>
      <c r="AX7" s="494">
        <v>16504</v>
      </c>
      <c r="AY7" s="469">
        <v>13505</v>
      </c>
      <c r="AZ7" s="443">
        <f>'ОПЛАТИ 2023'!BJ18</f>
        <v>17017</v>
      </c>
      <c r="BA7" s="584"/>
      <c r="BB7" s="490">
        <v>19047.300000000047</v>
      </c>
      <c r="BC7" s="494"/>
      <c r="BD7" s="442">
        <f>'ОПЛАТИ 2023'!G18</f>
        <v>5291</v>
      </c>
      <c r="BE7" s="443">
        <f>'ОПЛАТИ 2023'!BO18</f>
        <v>14530</v>
      </c>
      <c r="BF7" s="584"/>
    </row>
    <row r="8" spans="1:60" ht="18" customHeight="1">
      <c r="A8" t="s">
        <v>426</v>
      </c>
      <c r="B8" s="577" t="s">
        <v>398</v>
      </c>
      <c r="C8" s="448" t="s">
        <v>126</v>
      </c>
      <c r="D8" s="446" t="s">
        <v>127</v>
      </c>
      <c r="E8" s="447" t="s">
        <v>249</v>
      </c>
      <c r="F8" s="447">
        <v>24</v>
      </c>
      <c r="G8" s="441">
        <v>268</v>
      </c>
      <c r="H8" s="441">
        <v>184</v>
      </c>
      <c r="I8" s="499">
        <v>7073.640000000014</v>
      </c>
      <c r="J8" s="521">
        <v>18339</v>
      </c>
      <c r="K8" s="443">
        <f>'ОПЛАТИ 2023'!L22</f>
        <v>14950</v>
      </c>
      <c r="L8" s="574">
        <f>'ОПЛАТИ 2024-2025-2026 '!BU27</f>
        <v>19110</v>
      </c>
      <c r="M8" s="494">
        <v>47117.859999999986</v>
      </c>
      <c r="N8" s="469">
        <v>0</v>
      </c>
      <c r="O8" s="443">
        <f>'ОПЛАТИ 2023'!Q22</f>
        <v>13452</v>
      </c>
      <c r="P8" s="584"/>
      <c r="Q8" s="494">
        <v>6996.5</v>
      </c>
      <c r="R8" s="469">
        <v>13780</v>
      </c>
      <c r="S8" s="443">
        <f>'ОПЛАТИ 2023'!V22</f>
        <v>16345</v>
      </c>
      <c r="T8" s="584"/>
      <c r="U8" s="494">
        <v>648.57999999999993</v>
      </c>
      <c r="V8" s="469">
        <v>13075</v>
      </c>
      <c r="W8" s="443">
        <f>'ОПЛАТИ 2023'!AA22</f>
        <v>15555</v>
      </c>
      <c r="X8" s="584"/>
      <c r="Y8" s="494">
        <v>648.57999999999993</v>
      </c>
      <c r="Z8" s="469">
        <v>15124</v>
      </c>
      <c r="AA8" s="443">
        <f>'ОПЛАТИ 2023'!AF22</f>
        <v>17766</v>
      </c>
      <c r="AB8" s="584"/>
      <c r="AC8" s="494">
        <v>40314.480000000003</v>
      </c>
      <c r="AD8" s="469">
        <v>33019</v>
      </c>
      <c r="AE8" s="443">
        <f>'ОПЛАТИ 2023'!AK22</f>
        <v>8517</v>
      </c>
      <c r="AF8" s="584"/>
      <c r="AG8" s="494">
        <v>25514.639999999999</v>
      </c>
      <c r="AH8" s="469">
        <v>16963</v>
      </c>
      <c r="AI8" s="443">
        <f>'ОПЛАТИ 2023'!AP22</f>
        <v>33010</v>
      </c>
      <c r="AJ8" s="584"/>
      <c r="AK8" s="494">
        <v>19996.28</v>
      </c>
      <c r="AL8" s="469">
        <v>18574</v>
      </c>
      <c r="AM8" s="443">
        <f>'ОПЛАТИ 2023'!AU22</f>
        <v>22988</v>
      </c>
      <c r="AN8" s="584"/>
      <c r="AO8" s="494">
        <v>18418</v>
      </c>
      <c r="AP8" s="469">
        <v>15611</v>
      </c>
      <c r="AQ8" s="443">
        <f>'ОПЛАТИ 2023'!AZ22</f>
        <v>21303</v>
      </c>
      <c r="AR8" s="584"/>
      <c r="AS8" s="494">
        <v>17323</v>
      </c>
      <c r="AT8" s="469">
        <v>16044</v>
      </c>
      <c r="AU8" s="443">
        <f>'ОПЛАТИ 2023'!BE22</f>
        <v>20210</v>
      </c>
      <c r="AV8" s="584"/>
      <c r="AW8" s="490">
        <v>9787.7800000000279</v>
      </c>
      <c r="AX8" s="494">
        <v>16051</v>
      </c>
      <c r="AY8" s="469">
        <v>16044</v>
      </c>
      <c r="AZ8" s="443">
        <f>'ОПЛАТИ 2023'!BJ22</f>
        <v>18131</v>
      </c>
      <c r="BA8" s="584"/>
      <c r="BB8" s="490">
        <v>27042.809999999939</v>
      </c>
      <c r="BC8" s="494"/>
      <c r="BD8" s="442">
        <f>'ОПЛАТИ 2023'!G22</f>
        <v>13395</v>
      </c>
      <c r="BE8" s="443">
        <f>'ОПЛАТИ 2023'!BO22</f>
        <v>17413</v>
      </c>
      <c r="BF8" s="584"/>
    </row>
    <row r="9" spans="1:60">
      <c r="A9" t="s">
        <v>426</v>
      </c>
      <c r="B9" s="577" t="s">
        <v>398</v>
      </c>
      <c r="C9" s="448" t="s">
        <v>128</v>
      </c>
      <c r="D9" s="446" t="s">
        <v>28</v>
      </c>
      <c r="E9" s="447" t="s">
        <v>249</v>
      </c>
      <c r="F9" s="447">
        <v>24</v>
      </c>
      <c r="G9" s="441">
        <v>1162</v>
      </c>
      <c r="H9" s="441">
        <v>604</v>
      </c>
      <c r="I9" s="499">
        <v>53311.800000000148</v>
      </c>
      <c r="J9" s="521">
        <v>54218</v>
      </c>
      <c r="K9" s="443">
        <f>'ОПЛАТИ 2023'!L28</f>
        <v>35276</v>
      </c>
      <c r="L9" s="574">
        <f>'ОПЛАТИ 2024-2025-2026 '!BU33</f>
        <v>53040</v>
      </c>
      <c r="M9" s="494">
        <v>56162.399999999834</v>
      </c>
      <c r="N9" s="469">
        <v>52535</v>
      </c>
      <c r="O9" s="443">
        <f>'ОПЛАТИ 2023'!Q28</f>
        <v>33553</v>
      </c>
      <c r="P9" s="584"/>
      <c r="Q9" s="494">
        <v>52720.200000000114</v>
      </c>
      <c r="R9" s="469">
        <v>32017</v>
      </c>
      <c r="S9" s="443">
        <f>'ОПЛАТИ 2023'!V28</f>
        <v>41331</v>
      </c>
      <c r="T9" s="584"/>
      <c r="U9" s="494">
        <v>43543.199999999633</v>
      </c>
      <c r="V9" s="469">
        <v>26843</v>
      </c>
      <c r="W9" s="443">
        <f>'ОПЛАТИ 2023'!AA28</f>
        <v>42840</v>
      </c>
      <c r="X9" s="584"/>
      <c r="Y9" s="494">
        <v>48735.000000000218</v>
      </c>
      <c r="Z9" s="469">
        <v>32760</v>
      </c>
      <c r="AA9" s="443">
        <f>'ОПЛАТИ 2023'!AF28</f>
        <v>43525</v>
      </c>
      <c r="AB9" s="584"/>
      <c r="AC9" s="494">
        <v>48093.600000000079</v>
      </c>
      <c r="AD9" s="469">
        <v>42360</v>
      </c>
      <c r="AE9" s="443">
        <f>'ОПЛАТИ 2023'!AK28</f>
        <v>42360</v>
      </c>
      <c r="AF9" s="584"/>
      <c r="AG9" s="494">
        <v>53165.999999999694</v>
      </c>
      <c r="AH9" s="469">
        <v>47517</v>
      </c>
      <c r="AI9" s="443">
        <f>'ОПЛАТИ 2023'!AP28</f>
        <v>52776</v>
      </c>
      <c r="AJ9" s="584"/>
      <c r="AK9" s="494">
        <v>51957.600000000166</v>
      </c>
      <c r="AL9" s="469">
        <v>49273</v>
      </c>
      <c r="AM9" s="443">
        <f>'ОПЛАТИ 2023'!AU28</f>
        <v>50640</v>
      </c>
      <c r="AN9" s="584"/>
      <c r="AO9" s="494">
        <v>44596</v>
      </c>
      <c r="AP9" s="469">
        <v>42336</v>
      </c>
      <c r="AQ9" s="443">
        <f>'ОПЛАТИ 2023'!AZ28</f>
        <v>49132</v>
      </c>
      <c r="AR9" s="584"/>
      <c r="AS9" s="494">
        <v>31212</v>
      </c>
      <c r="AT9" s="469">
        <v>40526</v>
      </c>
      <c r="AU9" s="443">
        <f>'ОПЛАТИ 2023'!BE28</f>
        <v>42815</v>
      </c>
      <c r="AV9" s="584"/>
      <c r="AW9" s="490">
        <v>50274.000000000087</v>
      </c>
      <c r="AX9" s="494">
        <v>46396</v>
      </c>
      <c r="AY9" s="469">
        <v>40526</v>
      </c>
      <c r="AZ9" s="443">
        <f>'ОПЛАТИ 2023'!BJ28</f>
        <v>44605</v>
      </c>
      <c r="BA9" s="584"/>
      <c r="BB9" s="490">
        <v>68142.599999999948</v>
      </c>
      <c r="BC9" s="494"/>
      <c r="BD9" s="442">
        <f>'ОПЛАТИ 2023'!G28</f>
        <v>26880</v>
      </c>
      <c r="BE9" s="443">
        <f>'ОПЛАТИ 2023'!BO28</f>
        <v>45060</v>
      </c>
      <c r="BF9" s="584"/>
    </row>
    <row r="10" spans="1:60">
      <c r="B10" s="577" t="s">
        <v>398</v>
      </c>
      <c r="C10" s="13" t="s">
        <v>129</v>
      </c>
      <c r="D10" s="444" t="s">
        <v>31</v>
      </c>
      <c r="E10" s="15" t="s">
        <v>122</v>
      </c>
      <c r="F10" s="15">
        <v>24</v>
      </c>
      <c r="G10" s="441">
        <v>524</v>
      </c>
      <c r="H10" s="441">
        <v>301</v>
      </c>
      <c r="I10" s="499">
        <v>38396.100000000079</v>
      </c>
      <c r="J10" s="521">
        <v>37520</v>
      </c>
      <c r="K10" s="443">
        <f>'ОПЛАТИ 2023'!L35</f>
        <v>14790</v>
      </c>
      <c r="L10" s="574">
        <f>'ОПЛАТИ 2024-2025-2026 '!BU40</f>
        <v>25050</v>
      </c>
      <c r="M10" s="494">
        <v>39692.400000000052</v>
      </c>
      <c r="N10" s="469">
        <v>39460</v>
      </c>
      <c r="O10" s="443">
        <f>'ОПЛАТИ 2023'!Q35</f>
        <v>18390</v>
      </c>
      <c r="P10" s="584"/>
      <c r="Q10" s="494">
        <v>39627.900000000009</v>
      </c>
      <c r="R10" s="469">
        <v>0</v>
      </c>
      <c r="S10" s="443">
        <f>'ОПЛАТИ 2023'!V35</f>
        <v>18000</v>
      </c>
      <c r="T10" s="584"/>
      <c r="U10" s="494">
        <v>36707.699999999895</v>
      </c>
      <c r="V10" s="469">
        <v>98062</v>
      </c>
      <c r="W10" s="443">
        <f>'ОПЛАТИ 2023'!AA35</f>
        <v>20610</v>
      </c>
      <c r="X10" s="584"/>
      <c r="Y10" s="494">
        <v>42971.399999999921</v>
      </c>
      <c r="Z10" s="469">
        <v>22288</v>
      </c>
      <c r="AA10" s="443">
        <f>'ОПЛАТИ 2023'!AF35</f>
        <v>25110</v>
      </c>
      <c r="AB10" s="584"/>
      <c r="AC10" s="494">
        <v>43264.500000000044</v>
      </c>
      <c r="AD10" s="469">
        <v>33066</v>
      </c>
      <c r="AE10" s="443">
        <f>'ОПЛАТИ 2023'!AK35</f>
        <v>33450</v>
      </c>
      <c r="AF10" s="584"/>
      <c r="AG10" s="494">
        <v>51714.900000000052</v>
      </c>
      <c r="AH10" s="469">
        <v>28205</v>
      </c>
      <c r="AI10" s="443">
        <f>'ОПЛАТИ 2023'!AP35</f>
        <v>31650</v>
      </c>
      <c r="AJ10" s="584"/>
      <c r="AK10" s="494">
        <v>46697.999999999956</v>
      </c>
      <c r="AL10" s="469">
        <v>31980</v>
      </c>
      <c r="AM10" s="443">
        <f>'ОПЛАТИ 2023'!AU35</f>
        <v>39750</v>
      </c>
      <c r="AN10" s="584"/>
      <c r="AO10" s="494">
        <v>39856</v>
      </c>
      <c r="AP10" s="469">
        <v>29864</v>
      </c>
      <c r="AQ10" s="443">
        <f>'ОПЛАТИ 2023'!AZ35</f>
        <v>29370</v>
      </c>
      <c r="AR10" s="584"/>
      <c r="AS10" s="494">
        <v>35856</v>
      </c>
      <c r="AT10" s="469">
        <v>21131</v>
      </c>
      <c r="AU10" s="443">
        <f>'ОПЛАТИ 2023'!BE35</f>
        <v>25830</v>
      </c>
      <c r="AV10" s="584"/>
      <c r="AW10" s="490">
        <v>37184.699999999939</v>
      </c>
      <c r="AX10" s="494">
        <v>29378</v>
      </c>
      <c r="AY10" s="469">
        <v>21131</v>
      </c>
      <c r="AZ10" s="443">
        <f>'ОПЛАТИ 2023'!BJ35</f>
        <v>25680</v>
      </c>
      <c r="BA10" s="584"/>
      <c r="BB10" s="490">
        <v>40415.999999999913</v>
      </c>
      <c r="BC10" s="494"/>
      <c r="BD10" s="442">
        <f>'ОПЛАТИ 2023'!G35</f>
        <v>14970</v>
      </c>
      <c r="BE10" s="443">
        <f>'ОПЛАТИ 2023'!BO35</f>
        <v>25680</v>
      </c>
      <c r="BF10" s="584"/>
    </row>
    <row r="11" spans="1:60">
      <c r="A11" t="s">
        <v>425</v>
      </c>
      <c r="B11" s="577" t="s">
        <v>398</v>
      </c>
      <c r="C11" s="445" t="s">
        <v>130</v>
      </c>
      <c r="D11" s="446" t="s">
        <v>34</v>
      </c>
      <c r="E11" s="447" t="s">
        <v>249</v>
      </c>
      <c r="F11" s="447">
        <v>24</v>
      </c>
      <c r="G11" s="441">
        <v>702</v>
      </c>
      <c r="H11" s="441">
        <v>481</v>
      </c>
      <c r="I11" s="499">
        <v>80119.800000000105</v>
      </c>
      <c r="J11" s="521">
        <v>35099</v>
      </c>
      <c r="K11" s="443">
        <f>'ОПЛАТИ 2023'!L41</f>
        <v>21940</v>
      </c>
      <c r="L11" s="574">
        <f>'ОПЛАТИ 2024-2025-2026 '!BU47</f>
        <v>34788</v>
      </c>
      <c r="M11" s="494">
        <v>40961.999999999825</v>
      </c>
      <c r="N11" s="469">
        <v>0</v>
      </c>
      <c r="O11" s="443">
        <f>'ОПЛАТИ 2023'!Q41</f>
        <v>21598</v>
      </c>
      <c r="P11" s="584"/>
      <c r="Q11" s="494">
        <v>40961.999999999825</v>
      </c>
      <c r="R11" s="469">
        <v>0</v>
      </c>
      <c r="S11" s="443">
        <f>'ОПЛАТИ 2023'!V41</f>
        <v>28737</v>
      </c>
      <c r="T11" s="584"/>
      <c r="U11" s="494">
        <v>39004.199999999983</v>
      </c>
      <c r="V11" s="469">
        <v>0</v>
      </c>
      <c r="W11" s="443">
        <f>'ОПЛАТИ 2023'!AA41</f>
        <v>26894</v>
      </c>
      <c r="X11" s="584"/>
      <c r="Y11" s="494">
        <v>48459.60000000021</v>
      </c>
      <c r="Z11" s="469">
        <v>0</v>
      </c>
      <c r="AA11" s="443">
        <f>'ОПЛАТИ 2023'!AF41</f>
        <v>26475</v>
      </c>
      <c r="AB11" s="584"/>
      <c r="AC11" s="494">
        <v>51088.199999999852</v>
      </c>
      <c r="AD11" s="469">
        <v>0</v>
      </c>
      <c r="AE11" s="443">
        <f>'ОПЛАТИ 2023'!AK41</f>
        <v>26882</v>
      </c>
      <c r="AF11" s="584"/>
      <c r="AG11" s="494">
        <v>50937.000000000153</v>
      </c>
      <c r="AH11" s="469">
        <v>0</v>
      </c>
      <c r="AI11" s="443">
        <f>'ОПЛАТИ 2023'!AP41</f>
        <v>30774</v>
      </c>
      <c r="AJ11" s="584"/>
      <c r="AK11" s="494">
        <v>40426.199999999917</v>
      </c>
      <c r="AL11" s="469">
        <v>0</v>
      </c>
      <c r="AM11" s="443">
        <f>'ОПЛАТИ 2023'!AU41</f>
        <v>32646</v>
      </c>
      <c r="AN11" s="584"/>
      <c r="AO11" s="494">
        <v>33818</v>
      </c>
      <c r="AP11" s="469">
        <v>40076</v>
      </c>
      <c r="AQ11" s="443">
        <f>'ОПЛАТИ 2023'!AZ41</f>
        <v>28922</v>
      </c>
      <c r="AR11" s="584"/>
      <c r="AS11" s="494">
        <v>33818</v>
      </c>
      <c r="AT11" s="469">
        <v>31764</v>
      </c>
      <c r="AU11" s="443">
        <f>'ОПЛАТИ 2023'!BE41</f>
        <v>26581</v>
      </c>
      <c r="AV11" s="584"/>
      <c r="AW11" s="490">
        <v>34400.400000000009</v>
      </c>
      <c r="AX11" s="494">
        <v>37040</v>
      </c>
      <c r="AY11" s="469">
        <v>31764</v>
      </c>
      <c r="AZ11" s="443">
        <f>'ОПЛАТИ 2023'!BJ41</f>
        <v>25728</v>
      </c>
      <c r="BA11" s="584"/>
      <c r="BB11" s="490">
        <v>80119.800000000105</v>
      </c>
      <c r="BC11" s="494"/>
      <c r="BD11" s="442">
        <f>'ОПЛАТИ 2023'!G41</f>
        <v>14641</v>
      </c>
      <c r="BE11" s="443">
        <f>'ОПЛАТИ 2023'!BO41</f>
        <v>32311</v>
      </c>
      <c r="BF11" s="584"/>
    </row>
    <row r="12" spans="1:60">
      <c r="B12" s="577" t="s">
        <v>398</v>
      </c>
      <c r="C12" s="13" t="s">
        <v>131</v>
      </c>
      <c r="D12" s="444" t="s">
        <v>40</v>
      </c>
      <c r="E12" s="15" t="s">
        <v>122</v>
      </c>
      <c r="F12" s="15">
        <v>24</v>
      </c>
      <c r="G12" s="441">
        <v>517</v>
      </c>
      <c r="H12" s="441">
        <v>369</v>
      </c>
      <c r="I12" s="499">
        <v>24117.599999999948</v>
      </c>
      <c r="J12" s="521">
        <v>26640</v>
      </c>
      <c r="K12" s="443">
        <f>'ОПЛАТИ 2023'!L45</f>
        <v>9698.7999999999993</v>
      </c>
      <c r="L12" s="574">
        <f>'ОПЛАТИ 2024-2025-2026 '!BU52</f>
        <v>24874</v>
      </c>
      <c r="M12" s="494">
        <v>23397.600000000093</v>
      </c>
      <c r="N12" s="469">
        <v>0</v>
      </c>
      <c r="O12" s="443">
        <f>'ОПЛАТИ 2023'!Q45</f>
        <v>16540.400000000001</v>
      </c>
      <c r="P12" s="584"/>
      <c r="Q12" s="494">
        <v>23798.000000000029</v>
      </c>
      <c r="R12" s="469">
        <v>26680</v>
      </c>
      <c r="S12" s="443">
        <f>'ОПЛАТИ 2023'!V45</f>
        <v>19140.400000000001</v>
      </c>
      <c r="T12" s="584"/>
      <c r="U12" s="494">
        <v>19493.600000000006</v>
      </c>
      <c r="V12" s="469">
        <v>0</v>
      </c>
      <c r="W12" s="443">
        <f>'ОПЛАТИ 2023'!AA45</f>
        <v>14877.2</v>
      </c>
      <c r="X12" s="584"/>
      <c r="Y12" s="494">
        <v>21996.79999999993</v>
      </c>
      <c r="Z12" s="469">
        <v>12920</v>
      </c>
      <c r="AA12" s="443">
        <f>'ОПЛАТИ 2023'!AF45</f>
        <v>18967</v>
      </c>
      <c r="AB12" s="584"/>
      <c r="AC12" s="494">
        <v>25722.799999999988</v>
      </c>
      <c r="AD12" s="469">
        <v>19200</v>
      </c>
      <c r="AE12" s="443">
        <f>'ОПЛАТИ 2023'!AK45</f>
        <v>19502.400000000001</v>
      </c>
      <c r="AF12" s="584"/>
      <c r="AG12" s="494">
        <v>31087.200000000012</v>
      </c>
      <c r="AH12" s="469">
        <v>14320</v>
      </c>
      <c r="AI12" s="443">
        <f>'ОПЛАТИ 2023'!AP45</f>
        <v>21918.799999999999</v>
      </c>
      <c r="AJ12" s="584"/>
      <c r="AK12" s="494">
        <v>26760</v>
      </c>
      <c r="AL12" s="469">
        <v>23520</v>
      </c>
      <c r="AM12" s="443">
        <f>'ОПЛАТИ 2023'!AU45</f>
        <v>26167.200000000001</v>
      </c>
      <c r="AN12" s="584"/>
      <c r="AO12" s="494">
        <v>20458</v>
      </c>
      <c r="AP12" s="469">
        <v>14720</v>
      </c>
      <c r="AQ12" s="443">
        <f>'ОПЛАТИ 2023'!AZ45</f>
        <v>18237.599999999999</v>
      </c>
      <c r="AR12" s="584"/>
      <c r="AS12" s="494">
        <v>22222</v>
      </c>
      <c r="AT12" s="469">
        <v>14080</v>
      </c>
      <c r="AU12" s="443">
        <f>'ОПЛАТИ 2023'!BE45</f>
        <v>15451.2</v>
      </c>
      <c r="AV12" s="584"/>
      <c r="AW12" s="490">
        <v>21698.000000000029</v>
      </c>
      <c r="AX12" s="494">
        <v>23040</v>
      </c>
      <c r="AY12" s="469">
        <v>12807</v>
      </c>
      <c r="AZ12" s="443">
        <f>'ОПЛАТИ 2023'!BJ45</f>
        <v>18402.400000000001</v>
      </c>
      <c r="BA12" s="584"/>
      <c r="BB12" s="490">
        <v>25048.000000000029</v>
      </c>
      <c r="BC12" s="494"/>
      <c r="BD12" s="442">
        <f>'ОПЛАТИ 2023'!G45</f>
        <v>12980</v>
      </c>
      <c r="BE12" s="443">
        <f>'ОПЛАТИ 2023'!BO45</f>
        <v>16299.6</v>
      </c>
      <c r="BF12" s="584"/>
    </row>
    <row r="13" spans="1:60">
      <c r="A13" t="s">
        <v>426</v>
      </c>
      <c r="B13" s="577" t="s">
        <v>398</v>
      </c>
      <c r="C13" s="448" t="s">
        <v>132</v>
      </c>
      <c r="D13" s="446" t="s">
        <v>42</v>
      </c>
      <c r="E13" s="447" t="s">
        <v>249</v>
      </c>
      <c r="F13" s="447">
        <v>24</v>
      </c>
      <c r="G13" s="441">
        <v>249</v>
      </c>
      <c r="H13" s="441">
        <v>221</v>
      </c>
      <c r="I13" s="499">
        <v>22880.419999999925</v>
      </c>
      <c r="J13" s="521">
        <v>25122</v>
      </c>
      <c r="K13" s="443">
        <f>'ОПЛАТИ 2023'!L50</f>
        <v>13524</v>
      </c>
      <c r="L13" s="574">
        <f>'ОПЛАТИ 2024-2025-2026 '!BU62</f>
        <v>25268</v>
      </c>
      <c r="M13" s="494">
        <v>22334.20000000007</v>
      </c>
      <c r="N13" s="469">
        <v>0</v>
      </c>
      <c r="O13" s="443">
        <f>'ОПЛАТИ 2023'!Q50</f>
        <v>13659</v>
      </c>
      <c r="P13" s="584"/>
      <c r="Q13" s="494">
        <v>19426.269999999902</v>
      </c>
      <c r="R13" s="469">
        <v>27593</v>
      </c>
      <c r="S13" s="443">
        <f>'ОПЛАТИ 2023'!V50</f>
        <v>15754</v>
      </c>
      <c r="T13" s="584"/>
      <c r="U13" s="494">
        <v>14878.920000000042</v>
      </c>
      <c r="V13" s="469">
        <v>8406</v>
      </c>
      <c r="W13" s="443">
        <f>'ОПЛАТИ 2023'!AA50</f>
        <v>12702</v>
      </c>
      <c r="X13" s="584"/>
      <c r="Y13" s="494">
        <v>16427.119999999995</v>
      </c>
      <c r="Z13" s="469">
        <v>11539</v>
      </c>
      <c r="AA13" s="443">
        <f>'ОПЛАТИ 2023'!AF50</f>
        <v>15566</v>
      </c>
      <c r="AB13" s="584"/>
      <c r="AC13" s="494">
        <v>20336.479999999981</v>
      </c>
      <c r="AD13" s="469">
        <v>15661</v>
      </c>
      <c r="AE13" s="443">
        <f>'ОПЛАТИ 2023'!AK50</f>
        <v>6367</v>
      </c>
      <c r="AF13" s="584"/>
      <c r="AG13" s="494">
        <v>23884.580000000075</v>
      </c>
      <c r="AH13" s="469">
        <v>16003</v>
      </c>
      <c r="AI13" s="443">
        <f>'ОПЛАТИ 2023'!AP50</f>
        <v>27384</v>
      </c>
      <c r="AJ13" s="584"/>
      <c r="AK13" s="494">
        <v>20777.959999999963</v>
      </c>
      <c r="AL13" s="469">
        <v>16820</v>
      </c>
      <c r="AM13" s="443">
        <f>'ОПЛАТИ 2023'!AU50</f>
        <v>20276</v>
      </c>
      <c r="AN13" s="584"/>
      <c r="AO13" s="494">
        <v>17419</v>
      </c>
      <c r="AP13" s="469">
        <v>12668</v>
      </c>
      <c r="AQ13" s="443">
        <f>'ОПЛАТИ 2023'!AZ50</f>
        <v>16181</v>
      </c>
      <c r="AR13" s="584"/>
      <c r="AS13" s="494">
        <v>17935</v>
      </c>
      <c r="AT13" s="469">
        <v>13176</v>
      </c>
      <c r="AU13" s="443">
        <f>'ОПЛАТИ 2023'!BE50</f>
        <v>14866</v>
      </c>
      <c r="AV13" s="584"/>
      <c r="AW13" s="490">
        <v>19429.190000000061</v>
      </c>
      <c r="AX13" s="494">
        <v>17661</v>
      </c>
      <c r="AY13" s="469">
        <v>13176</v>
      </c>
      <c r="AZ13" s="443">
        <f>'ОПЛАТИ 2023'!BJ50</f>
        <v>17134</v>
      </c>
      <c r="BA13" s="584"/>
      <c r="BB13" s="490">
        <v>22108.020000000019</v>
      </c>
      <c r="BC13" s="494"/>
      <c r="BD13" s="442">
        <f>'ОПЛАТИ 2023'!G50</f>
        <v>8278</v>
      </c>
      <c r="BE13" s="443">
        <f>'ОПЛАТИ 2023'!BO50</f>
        <v>19118</v>
      </c>
      <c r="BF13" s="584"/>
    </row>
    <row r="14" spans="1:60">
      <c r="A14" t="s">
        <v>426</v>
      </c>
      <c r="B14" s="577" t="s">
        <v>397</v>
      </c>
      <c r="C14" s="599" t="s">
        <v>133</v>
      </c>
      <c r="D14" s="600" t="s">
        <v>412</v>
      </c>
      <c r="E14" s="603" t="s">
        <v>250</v>
      </c>
      <c r="F14" s="15"/>
      <c r="G14" s="441">
        <v>457</v>
      </c>
      <c r="H14" s="441">
        <v>291</v>
      </c>
      <c r="I14" s="499"/>
      <c r="J14" s="480"/>
      <c r="K14" s="443"/>
      <c r="L14" s="574">
        <f>'ОПЛАТИ 2024-2025-2026 '!BU66</f>
        <v>25800</v>
      </c>
      <c r="M14" s="494"/>
      <c r="N14" s="469"/>
      <c r="O14" s="443">
        <f>'ОПЛАТИ 2023'!Q54</f>
        <v>850</v>
      </c>
      <c r="P14" s="584"/>
      <c r="Q14" s="494"/>
      <c r="R14" s="469"/>
      <c r="S14" s="443">
        <f>'ОПЛАТИ 2023'!V54</f>
        <v>5770</v>
      </c>
      <c r="T14" s="584"/>
      <c r="U14" s="494"/>
      <c r="V14" s="469"/>
      <c r="W14" s="443">
        <f>'ОПЛАТИ 2023'!AA54</f>
        <v>14827</v>
      </c>
      <c r="X14" s="584"/>
      <c r="Y14" s="494"/>
      <c r="Z14" s="469"/>
      <c r="AA14" s="471">
        <f>'ОПЛАТИ 2023'!AF54</f>
        <v>32970</v>
      </c>
      <c r="AB14" s="584"/>
      <c r="AC14" s="494"/>
      <c r="AD14" s="469"/>
      <c r="AE14" s="471">
        <f>'ОПЛАТИ 2023'!AK54</f>
        <v>31930</v>
      </c>
      <c r="AF14" s="584"/>
      <c r="AG14" s="494"/>
      <c r="AH14" s="469"/>
      <c r="AI14" s="443">
        <f>'ОПЛАТИ 2023'!AP54</f>
        <v>20000</v>
      </c>
      <c r="AJ14" s="584"/>
      <c r="AK14" s="494"/>
      <c r="AL14" s="469"/>
      <c r="AM14" s="443">
        <f>'ОПЛАТИ 2023'!AU54</f>
        <v>22800</v>
      </c>
      <c r="AN14" s="584"/>
      <c r="AO14" s="494"/>
      <c r="AP14" s="469"/>
      <c r="AQ14" s="443">
        <f>'ОПЛАТИ 2023'!AZ54</f>
        <v>19966</v>
      </c>
      <c r="AR14" s="584"/>
      <c r="AS14" s="494"/>
      <c r="AT14" s="469"/>
      <c r="AU14" s="443">
        <f>'ОПЛАТИ 2023'!BE54</f>
        <v>16351</v>
      </c>
      <c r="AV14" s="584"/>
      <c r="AW14" s="490"/>
      <c r="AX14" s="494"/>
      <c r="AY14" s="469"/>
      <c r="AZ14" s="443">
        <f>'ОПЛАТИ 2023'!BJ54</f>
        <v>15818</v>
      </c>
      <c r="BA14" s="584"/>
      <c r="BB14" s="490"/>
      <c r="BC14" s="494"/>
      <c r="BD14" s="442"/>
      <c r="BE14" s="443">
        <f>'ОПЛАТИ 2023'!BO54</f>
        <v>26302</v>
      </c>
      <c r="BF14" s="584"/>
    </row>
    <row r="15" spans="1:60">
      <c r="A15" t="s">
        <v>426</v>
      </c>
      <c r="B15" s="577" t="s">
        <v>398</v>
      </c>
      <c r="C15" s="598" t="s">
        <v>134</v>
      </c>
      <c r="D15" s="604" t="s">
        <v>44</v>
      </c>
      <c r="E15" s="447" t="s">
        <v>249</v>
      </c>
      <c r="F15" s="15">
        <v>24</v>
      </c>
      <c r="G15" s="441">
        <v>710</v>
      </c>
      <c r="H15" s="441">
        <v>281</v>
      </c>
      <c r="I15" s="499">
        <v>41702.799999999988</v>
      </c>
      <c r="J15" s="521">
        <v>25332</v>
      </c>
      <c r="K15" s="443">
        <f>'ОПЛАТИ 2023'!L62</f>
        <v>26933</v>
      </c>
      <c r="L15" s="574">
        <f>'ОПЛАТИ 2024-2025-2026 '!BU74</f>
        <v>42672</v>
      </c>
      <c r="M15" s="494">
        <v>42852.399999999907</v>
      </c>
      <c r="N15" s="469">
        <v>42888</v>
      </c>
      <c r="O15" s="443">
        <f>'ОПЛАТИ 2023'!Q62</f>
        <v>47754</v>
      </c>
      <c r="P15" s="584"/>
      <c r="Q15" s="494">
        <v>42860.799999999872</v>
      </c>
      <c r="R15" s="469">
        <v>12404</v>
      </c>
      <c r="S15" s="443">
        <f>'ОПЛАТИ 2023'!V62</f>
        <v>30000</v>
      </c>
      <c r="T15" s="584"/>
      <c r="U15" s="494">
        <v>32273.20000000007</v>
      </c>
      <c r="V15" s="469">
        <v>12404</v>
      </c>
      <c r="W15" s="443">
        <f>'ОПЛАТИ 2023'!AA62</f>
        <v>26933</v>
      </c>
      <c r="X15" s="584"/>
      <c r="Y15" s="494">
        <v>33938.399999999965</v>
      </c>
      <c r="Z15" s="469">
        <v>0</v>
      </c>
      <c r="AA15" s="443">
        <f>'ОПЛАТИ 2023'!AF62</f>
        <v>66721</v>
      </c>
      <c r="AB15" s="584"/>
      <c r="AC15" s="494">
        <v>37888.000000000175</v>
      </c>
      <c r="AD15" s="469">
        <v>41341</v>
      </c>
      <c r="AE15" s="443">
        <f>'ОПЛАТИ 2023'!AK62</f>
        <v>64568</v>
      </c>
      <c r="AF15" s="584"/>
      <c r="AG15" s="494">
        <v>42946.399999999849</v>
      </c>
      <c r="AH15" s="469">
        <v>0</v>
      </c>
      <c r="AI15" s="443">
        <f>'ОПЛАТИ 2023'!AP62</f>
        <v>4332</v>
      </c>
      <c r="AJ15" s="584"/>
      <c r="AK15" s="494">
        <v>38476.79999999993</v>
      </c>
      <c r="AL15" s="469">
        <v>24084</v>
      </c>
      <c r="AM15" s="443">
        <f>'ОПЛАТИ 2023'!AU62</f>
        <v>36064</v>
      </c>
      <c r="AN15" s="584"/>
      <c r="AO15" s="494">
        <v>30702</v>
      </c>
      <c r="AP15" s="469">
        <v>10053</v>
      </c>
      <c r="AQ15" s="443">
        <f>'ОПЛАТИ 2023'!AZ62</f>
        <v>31418</v>
      </c>
      <c r="AR15" s="584"/>
      <c r="AS15" s="494">
        <v>39708</v>
      </c>
      <c r="AT15" s="469">
        <v>32422</v>
      </c>
      <c r="AU15" s="443">
        <v>0</v>
      </c>
      <c r="AV15" s="584"/>
      <c r="AW15" s="490">
        <v>36581.200000000244</v>
      </c>
      <c r="AX15" s="494">
        <v>19560</v>
      </c>
      <c r="AY15" s="469">
        <v>32422</v>
      </c>
      <c r="AZ15" s="443">
        <f>'ОПЛАТИ 2023'!BJ62</f>
        <v>63312</v>
      </c>
      <c r="BA15" s="584"/>
      <c r="BB15" s="490">
        <v>50462.799999999988</v>
      </c>
      <c r="BC15" s="494"/>
      <c r="BD15" s="442">
        <f>'ОПЛАТИ 2023'!G62</f>
        <v>24371</v>
      </c>
      <c r="BE15" s="443">
        <f>'ОПЛАТИ 2023'!BO62</f>
        <v>38426</v>
      </c>
      <c r="BF15" s="584"/>
    </row>
    <row r="16" spans="1:60">
      <c r="B16" s="577" t="s">
        <v>397</v>
      </c>
      <c r="C16" s="13" t="s">
        <v>135</v>
      </c>
      <c r="D16" s="14" t="s">
        <v>136</v>
      </c>
      <c r="E16" s="15" t="s">
        <v>122</v>
      </c>
      <c r="F16" s="15" t="s">
        <v>248</v>
      </c>
      <c r="G16" s="441">
        <v>640</v>
      </c>
      <c r="H16" s="441">
        <v>353</v>
      </c>
      <c r="I16" s="499">
        <v>25757.190000000002</v>
      </c>
      <c r="J16" s="521">
        <v>22985</v>
      </c>
      <c r="K16" s="443">
        <f>'ОПЛАТИ 2023'!L66</f>
        <v>12309</v>
      </c>
      <c r="L16" s="574">
        <f>'ОПЛАТИ 2024-2025-2026 '!BU78</f>
        <v>18397</v>
      </c>
      <c r="M16" s="494">
        <v>25903.070000000007</v>
      </c>
      <c r="N16" s="469">
        <v>0</v>
      </c>
      <c r="O16" s="443">
        <f>'ОПЛАТИ 2023'!Q66</f>
        <v>14963</v>
      </c>
      <c r="P16" s="584"/>
      <c r="Q16" s="494">
        <v>25483.159999999974</v>
      </c>
      <c r="R16" s="469">
        <v>27740</v>
      </c>
      <c r="S16" s="443">
        <f>'ОПЛАТИ 2023'!V66</f>
        <v>17706</v>
      </c>
      <c r="T16" s="584"/>
      <c r="U16" s="494">
        <v>21465.049999999988</v>
      </c>
      <c r="V16" s="469">
        <v>6312</v>
      </c>
      <c r="W16" s="443">
        <f>'ОПЛАТИ 2023'!AA66</f>
        <v>16592</v>
      </c>
      <c r="X16" s="584"/>
      <c r="Y16" s="494">
        <v>22173.710000000021</v>
      </c>
      <c r="Z16" s="469">
        <v>12476</v>
      </c>
      <c r="AA16" s="443">
        <f>'ОПЛАТИ 2023'!AF66</f>
        <v>16742</v>
      </c>
      <c r="AB16" s="584"/>
      <c r="AC16" s="494">
        <v>20763.570000000007</v>
      </c>
      <c r="AD16" s="469">
        <v>20878</v>
      </c>
      <c r="AE16" s="443">
        <f>'ОПЛАТИ 2023'!AK66</f>
        <v>17880</v>
      </c>
      <c r="AF16" s="584"/>
      <c r="AG16" s="494">
        <v>23499.760000000009</v>
      </c>
      <c r="AH16" s="469">
        <v>13245</v>
      </c>
      <c r="AI16" s="443">
        <f>'ОПЛАТИ 2023'!AP66</f>
        <v>18588</v>
      </c>
      <c r="AJ16" s="584"/>
      <c r="AK16" s="494">
        <v>20641.489999999991</v>
      </c>
      <c r="AL16" s="469">
        <v>18832</v>
      </c>
      <c r="AM16" s="443">
        <f>'ОПЛАТИ 2023'!AU66</f>
        <v>19177</v>
      </c>
      <c r="AN16" s="584"/>
      <c r="AO16" s="494">
        <v>18636</v>
      </c>
      <c r="AP16" s="469">
        <v>17437</v>
      </c>
      <c r="AQ16" s="443">
        <f>'ОПЛАТИ 2023'!AZ66</f>
        <v>17398</v>
      </c>
      <c r="AR16" s="584"/>
      <c r="AS16" s="494">
        <v>23799</v>
      </c>
      <c r="AT16" s="469">
        <v>20439</v>
      </c>
      <c r="AU16" s="443">
        <f>'ОПЛАТИ 2023'!BE66</f>
        <v>17146</v>
      </c>
      <c r="AV16" s="584"/>
      <c r="AW16" s="490">
        <v>22760.340000000026</v>
      </c>
      <c r="AX16" s="494">
        <v>22565</v>
      </c>
      <c r="AY16" s="469">
        <v>20439</v>
      </c>
      <c r="AZ16" s="443">
        <f>'ОПЛАТИ 2023'!BJ66</f>
        <v>17514</v>
      </c>
      <c r="BA16" s="584"/>
      <c r="BB16" s="490">
        <v>26480.229999999981</v>
      </c>
      <c r="BC16" s="494"/>
      <c r="BD16" s="442">
        <f>'ОПЛАТИ 2023'!G66</f>
        <v>15905</v>
      </c>
      <c r="BE16" s="443">
        <f>'ОПЛАТИ 2023'!BO66</f>
        <v>17231</v>
      </c>
      <c r="BF16" s="584"/>
    </row>
    <row r="17" spans="1:58">
      <c r="B17" s="577" t="s">
        <v>398</v>
      </c>
      <c r="C17" s="13" t="s">
        <v>137</v>
      </c>
      <c r="D17" s="14" t="s">
        <v>51</v>
      </c>
      <c r="E17" s="15" t="s">
        <v>122</v>
      </c>
      <c r="F17" s="15">
        <v>24</v>
      </c>
      <c r="G17" s="452">
        <v>633</v>
      </c>
      <c r="H17" s="441">
        <v>360</v>
      </c>
      <c r="I17" s="499">
        <v>25352.399999999943</v>
      </c>
      <c r="J17" s="521">
        <v>30015</v>
      </c>
      <c r="K17" s="443">
        <f>'ОПЛАТИ 2023'!L71</f>
        <v>14664</v>
      </c>
      <c r="L17" s="574">
        <f>'ОПЛАТИ 2024-2025-2026 '!BU83</f>
        <v>24072</v>
      </c>
      <c r="M17" s="494">
        <v>24288.000000000065</v>
      </c>
      <c r="N17" s="469">
        <v>0</v>
      </c>
      <c r="O17" s="443">
        <f>'ОПЛАТИ 2023'!Q71</f>
        <v>15912</v>
      </c>
      <c r="P17" s="584"/>
      <c r="Q17" s="494">
        <v>25327.799999999952</v>
      </c>
      <c r="R17" s="469">
        <v>28980</v>
      </c>
      <c r="S17" s="443">
        <f>'ОПЛАТИ 2023'!V71</f>
        <v>17358</v>
      </c>
      <c r="T17" s="584"/>
      <c r="U17" s="494">
        <v>22342.800000000061</v>
      </c>
      <c r="V17" s="469">
        <v>10015</v>
      </c>
      <c r="W17" s="443">
        <f>'ОПЛАТИ 2023'!AA71</f>
        <v>18204</v>
      </c>
      <c r="X17" s="584"/>
      <c r="Y17" s="494">
        <v>24892.199999999939</v>
      </c>
      <c r="Z17" s="469">
        <v>13928</v>
      </c>
      <c r="AA17" s="443">
        <f>'ОПЛАТИ 2023'!AF71</f>
        <v>17466</v>
      </c>
      <c r="AB17" s="584"/>
      <c r="AC17" s="494">
        <v>24146.400000000031</v>
      </c>
      <c r="AD17" s="469">
        <v>18264</v>
      </c>
      <c r="AE17" s="443">
        <f>'ОПЛАТИ 2023'!AK71</f>
        <v>18840</v>
      </c>
      <c r="AF17" s="584"/>
      <c r="AG17" s="494">
        <v>27874.799999999996</v>
      </c>
      <c r="AH17" s="469">
        <v>19784</v>
      </c>
      <c r="AI17" s="443">
        <f>'ОПЛАТИ 2023'!AP71</f>
        <v>20466</v>
      </c>
      <c r="AJ17" s="584"/>
      <c r="AK17" s="494">
        <v>25024.199999999983</v>
      </c>
      <c r="AL17" s="469">
        <v>20842</v>
      </c>
      <c r="AM17" s="443">
        <f>'ОПЛАТИ 2023'!AU71</f>
        <v>21384</v>
      </c>
      <c r="AN17" s="584"/>
      <c r="AO17" s="494">
        <v>22789</v>
      </c>
      <c r="AP17" s="469">
        <v>18763</v>
      </c>
      <c r="AQ17" s="443">
        <f>'ОПЛАТИ 2023'!AZ71</f>
        <v>20964</v>
      </c>
      <c r="AR17" s="584"/>
      <c r="AS17" s="494">
        <v>21987</v>
      </c>
      <c r="AT17" s="469">
        <v>18539</v>
      </c>
      <c r="AU17" s="443">
        <f>'ОПЛАТИ 2023'!BE71</f>
        <v>18276</v>
      </c>
      <c r="AV17" s="584"/>
      <c r="AW17" s="490">
        <v>22080.600000000013</v>
      </c>
      <c r="AX17" s="494">
        <v>24119</v>
      </c>
      <c r="AY17" s="469">
        <v>18539</v>
      </c>
      <c r="AZ17" s="443">
        <f>'ОПЛАТИ 2023'!BJ71</f>
        <v>19140</v>
      </c>
      <c r="BA17" s="584"/>
      <c r="BB17" s="490">
        <v>18784.199999999983</v>
      </c>
      <c r="BC17" s="494"/>
      <c r="BD17" s="442">
        <f>'ОПЛАТИ 2023'!G71</f>
        <v>11556</v>
      </c>
      <c r="BE17" s="443">
        <f>'ОПЛАТИ 2023'!BO71</f>
        <v>19962</v>
      </c>
      <c r="BF17" s="584"/>
    </row>
    <row r="18" spans="1:58">
      <c r="A18" t="s">
        <v>426</v>
      </c>
      <c r="B18" s="577" t="s">
        <v>398</v>
      </c>
      <c r="C18" s="451" t="s">
        <v>138</v>
      </c>
      <c r="D18" s="453" t="s">
        <v>139</v>
      </c>
      <c r="E18" s="447" t="s">
        <v>249</v>
      </c>
      <c r="F18" s="447">
        <v>24</v>
      </c>
      <c r="G18" s="441">
        <v>1139</v>
      </c>
      <c r="H18" s="441">
        <v>402</v>
      </c>
      <c r="I18" s="499">
        <v>52870.200000000004</v>
      </c>
      <c r="J18" s="521">
        <v>42524</v>
      </c>
      <c r="K18" s="443">
        <f>'ОПЛАТИ 2023'!L74</f>
        <v>25010</v>
      </c>
      <c r="L18" s="574">
        <f>'ОПЛАТИ 2024-2025-2026 '!BU86</f>
        <v>41909</v>
      </c>
      <c r="M18" s="494">
        <v>52669.799999999996</v>
      </c>
      <c r="N18" s="469">
        <v>0</v>
      </c>
      <c r="O18" s="443">
        <f>'ОПЛАТИ 2023'!Q74</f>
        <v>29958</v>
      </c>
      <c r="P18" s="584"/>
      <c r="Q18" s="494">
        <v>54391.199999999917</v>
      </c>
      <c r="R18" s="469">
        <v>16144</v>
      </c>
      <c r="S18" s="443">
        <f>'ОПЛАТИ 2023'!V74</f>
        <v>35580</v>
      </c>
      <c r="T18" s="584"/>
      <c r="U18" s="494">
        <v>41967.600000000224</v>
      </c>
      <c r="V18" s="469">
        <v>22048</v>
      </c>
      <c r="W18" s="443">
        <f>'ОПЛАТИ 2023'!AA74</f>
        <v>15308</v>
      </c>
      <c r="X18" s="584"/>
      <c r="Y18" s="494">
        <v>41148.599999999802</v>
      </c>
      <c r="Z18" s="469">
        <v>27396</v>
      </c>
      <c r="AA18" s="443">
        <f>'ОПЛАТИ 2023'!AF74</f>
        <v>26842</v>
      </c>
      <c r="AB18" s="584"/>
      <c r="AC18" s="494">
        <v>38845.200000000114</v>
      </c>
      <c r="AD18" s="469">
        <v>30786</v>
      </c>
      <c r="AE18" s="443">
        <f>'ОПЛАТИ 2023'!AK74</f>
        <v>32794</v>
      </c>
      <c r="AF18" s="584"/>
      <c r="AG18" s="494">
        <v>40537.199999999939</v>
      </c>
      <c r="AH18" s="469">
        <v>30815</v>
      </c>
      <c r="AI18" s="443">
        <f>'ОПЛАТИ 2023'!AP74</f>
        <v>34712</v>
      </c>
      <c r="AJ18" s="584"/>
      <c r="AK18" s="494">
        <v>38333.399999999965</v>
      </c>
      <c r="AL18" s="469">
        <v>31111</v>
      </c>
      <c r="AM18" s="443">
        <f>'ОПЛАТИ 2023'!AU74</f>
        <v>36479</v>
      </c>
      <c r="AN18" s="584"/>
      <c r="AO18" s="494">
        <v>33920</v>
      </c>
      <c r="AP18" s="469">
        <v>27901</v>
      </c>
      <c r="AQ18" s="443">
        <f>'ОПЛАТИ 2023'!AZ74</f>
        <v>34060</v>
      </c>
      <c r="AR18" s="584"/>
      <c r="AS18" s="494">
        <v>41755</v>
      </c>
      <c r="AT18" s="469">
        <v>28412</v>
      </c>
      <c r="AU18" s="443">
        <f>'ОПЛАТИ 2023'!BE74</f>
        <v>36670</v>
      </c>
      <c r="AV18" s="584"/>
      <c r="AW18" s="490">
        <v>45483.599999999969</v>
      </c>
      <c r="AX18" s="494">
        <v>38207</v>
      </c>
      <c r="AY18" s="469">
        <v>28412</v>
      </c>
      <c r="AZ18" s="443">
        <f>'ОПЛАТИ 2023'!BJ74</f>
        <v>40123</v>
      </c>
      <c r="BA18" s="584"/>
      <c r="BB18" s="490">
        <v>45694.799999999996</v>
      </c>
      <c r="BC18" s="494"/>
      <c r="BD18" s="442">
        <f>'ОПЛАТИ 2023'!G74</f>
        <v>23162</v>
      </c>
      <c r="BE18" s="443">
        <f>'ОПЛАТИ 2023'!BO74</f>
        <v>44459</v>
      </c>
      <c r="BF18" s="584"/>
    </row>
    <row r="19" spans="1:58">
      <c r="B19" s="577" t="s">
        <v>398</v>
      </c>
      <c r="C19" s="13" t="s">
        <v>112</v>
      </c>
      <c r="D19" s="14" t="s">
        <v>140</v>
      </c>
      <c r="E19" s="15" t="s">
        <v>122</v>
      </c>
      <c r="F19" s="15">
        <v>24</v>
      </c>
      <c r="G19" s="441">
        <v>472</v>
      </c>
      <c r="H19" s="441">
        <v>240</v>
      </c>
      <c r="I19" s="499">
        <v>21716.800000000076</v>
      </c>
      <c r="J19" s="521">
        <v>17714</v>
      </c>
      <c r="K19" s="443">
        <f>'ОПЛАТИ 2023'!L80</f>
        <v>10080</v>
      </c>
      <c r="L19" s="574">
        <f>'ОПЛАТИ 2024-2025-2026 '!BU93</f>
        <v>17180</v>
      </c>
      <c r="M19" s="494">
        <v>22011.199999999953</v>
      </c>
      <c r="N19" s="469">
        <v>16336</v>
      </c>
      <c r="O19" s="443">
        <f>'ОПЛАТИ 2023'!Q80</f>
        <v>10640</v>
      </c>
      <c r="P19" s="584"/>
      <c r="Q19" s="494">
        <v>18325.599999999977</v>
      </c>
      <c r="R19" s="469">
        <v>6430</v>
      </c>
      <c r="S19" s="443">
        <f>'ОПЛАТИ 2023'!V80</f>
        <v>11520</v>
      </c>
      <c r="T19" s="584"/>
      <c r="U19" s="494">
        <v>14761.999999999971</v>
      </c>
      <c r="V19" s="469">
        <v>9207</v>
      </c>
      <c r="W19" s="443">
        <f>'ОПЛАТИ 2023'!AA80</f>
        <v>11576</v>
      </c>
      <c r="X19" s="584"/>
      <c r="Y19" s="494">
        <v>17082.400000000052</v>
      </c>
      <c r="Z19" s="469">
        <v>10850</v>
      </c>
      <c r="AA19" s="443">
        <f>'ОПЛАТИ 2023'!AF80</f>
        <v>12680</v>
      </c>
      <c r="AB19" s="584"/>
      <c r="AC19" s="494">
        <v>16435.200000000041</v>
      </c>
      <c r="AD19" s="469">
        <v>13461</v>
      </c>
      <c r="AE19" s="443">
        <f>'ОПЛАТИ 2023'!AK80</f>
        <v>13720</v>
      </c>
      <c r="AF19" s="584"/>
      <c r="AG19" s="494">
        <v>17654.799999999959</v>
      </c>
      <c r="AH19" s="469">
        <v>13906</v>
      </c>
      <c r="AI19" s="443">
        <f>'ОПЛАТИ 2023'!AP80</f>
        <v>12560</v>
      </c>
      <c r="AJ19" s="584"/>
      <c r="AK19" s="494">
        <v>15365.200000000041</v>
      </c>
      <c r="AL19" s="469">
        <v>14307</v>
      </c>
      <c r="AM19" s="443">
        <f>'ОПЛАТИ 2023'!AU80</f>
        <v>14890</v>
      </c>
      <c r="AN19" s="584"/>
      <c r="AO19" s="494">
        <v>13413</v>
      </c>
      <c r="AP19" s="469">
        <v>10893</v>
      </c>
      <c r="AQ19" s="443">
        <f>'ОПЛАТИ 2023'!AZ80</f>
        <v>14140</v>
      </c>
      <c r="AR19" s="584"/>
      <c r="AS19" s="494">
        <v>15532</v>
      </c>
      <c r="AT19" s="469">
        <v>11103</v>
      </c>
      <c r="AU19" s="443">
        <f>'ОПЛАТИ 2023'!BE80</f>
        <v>13058</v>
      </c>
      <c r="AV19" s="584"/>
      <c r="AW19" s="490">
        <v>18088.000000000029</v>
      </c>
      <c r="AX19" s="494">
        <v>14634</v>
      </c>
      <c r="AY19" s="469">
        <v>11103</v>
      </c>
      <c r="AZ19" s="443">
        <f>'ОПЛАТИ 2023'!BJ80</f>
        <v>13281</v>
      </c>
      <c r="BA19" s="584"/>
      <c r="BB19" s="490">
        <v>21436.79999999993</v>
      </c>
      <c r="BC19" s="494"/>
      <c r="BD19" s="442">
        <f>'ОПЛАТИ 2023'!G80</f>
        <v>7870</v>
      </c>
      <c r="BE19" s="443">
        <f>'ОПЛАТИ 2023'!BO80</f>
        <v>13517</v>
      </c>
      <c r="BF19" s="584"/>
    </row>
    <row r="20" spans="1:58">
      <c r="B20" s="577" t="s">
        <v>398</v>
      </c>
      <c r="C20" s="461" t="s">
        <v>141</v>
      </c>
      <c r="D20" s="462" t="s">
        <v>58</v>
      </c>
      <c r="E20" s="463" t="s">
        <v>122</v>
      </c>
      <c r="F20" s="463" t="s">
        <v>248</v>
      </c>
      <c r="G20" s="449">
        <v>817</v>
      </c>
      <c r="H20" s="449">
        <v>436</v>
      </c>
      <c r="I20" s="499">
        <v>26691.920000000035</v>
      </c>
      <c r="J20" s="521">
        <v>27773</v>
      </c>
      <c r="K20" s="443">
        <f>'ОПЛАТИ 2023'!L84</f>
        <v>17024</v>
      </c>
      <c r="L20" s="574"/>
      <c r="M20" s="494">
        <v>25109.239999999907</v>
      </c>
      <c r="N20" s="469">
        <v>0</v>
      </c>
      <c r="O20" s="443">
        <f>'ОПЛАТИ 2023'!Q84</f>
        <v>20697.599999999999</v>
      </c>
      <c r="P20" s="584"/>
      <c r="Q20" s="494">
        <v>27241.28000000013</v>
      </c>
      <c r="R20" s="469">
        <v>14417</v>
      </c>
      <c r="S20" s="443">
        <f>'ОПЛАТИ 2023'!V84</f>
        <v>22713.599999999999</v>
      </c>
      <c r="T20" s="584"/>
      <c r="U20" s="494">
        <v>24420.359999999939</v>
      </c>
      <c r="V20" s="469">
        <v>16182</v>
      </c>
      <c r="W20" s="443">
        <f>'ОПЛАТИ 2023'!AA84</f>
        <v>20876.8</v>
      </c>
      <c r="X20" s="584"/>
      <c r="Y20" s="494">
        <v>27494.159999999938</v>
      </c>
      <c r="Z20" s="469">
        <v>20742</v>
      </c>
      <c r="AA20" s="443">
        <f>'ОПЛАТИ 2023'!AF84</f>
        <v>24326.400000000001</v>
      </c>
      <c r="AB20" s="584"/>
      <c r="AC20" s="494">
        <v>28671.360000000099</v>
      </c>
      <c r="AD20" s="469">
        <v>24662</v>
      </c>
      <c r="AE20" s="443">
        <f>'ОПЛАТИ 2023'!AK84</f>
        <v>25939.200000000001</v>
      </c>
      <c r="AF20" s="584"/>
      <c r="AG20" s="494">
        <v>33423.759999999937</v>
      </c>
      <c r="AH20" s="469">
        <v>26535</v>
      </c>
      <c r="AI20" s="443">
        <f>'ОПЛАТИ 2023'!AP84</f>
        <v>26566.400000000001</v>
      </c>
      <c r="AJ20" s="584"/>
      <c r="AK20" s="494">
        <v>32185.520000000033</v>
      </c>
      <c r="AL20" s="469">
        <v>27386</v>
      </c>
      <c r="AM20" s="443">
        <f>'ОПЛАТИ 2023'!AU84</f>
        <v>25760</v>
      </c>
      <c r="AN20" s="584"/>
      <c r="AO20" s="494">
        <v>26531</v>
      </c>
      <c r="AP20" s="469">
        <v>22866</v>
      </c>
      <c r="AQ20" s="443">
        <v>0</v>
      </c>
      <c r="AR20" s="584"/>
      <c r="AS20" s="494">
        <v>25105</v>
      </c>
      <c r="AT20" s="469">
        <v>21885</v>
      </c>
      <c r="AU20" s="443">
        <v>0</v>
      </c>
      <c r="AV20" s="584"/>
      <c r="AW20" s="490">
        <v>28065.320000000032</v>
      </c>
      <c r="AX20" s="494">
        <v>24412</v>
      </c>
      <c r="AY20" s="469">
        <v>21885</v>
      </c>
      <c r="AZ20" s="443">
        <v>0</v>
      </c>
      <c r="BA20" s="584"/>
      <c r="BB20" s="490">
        <v>29137.879999999972</v>
      </c>
      <c r="BC20" s="494"/>
      <c r="BD20" s="442">
        <f>'ОПЛАТИ 2023'!G84</f>
        <v>15783.04</v>
      </c>
      <c r="BE20" s="443">
        <v>0</v>
      </c>
      <c r="BF20" s="584"/>
    </row>
    <row r="21" spans="1:58">
      <c r="A21" t="s">
        <v>425</v>
      </c>
      <c r="B21" s="577" t="s">
        <v>398</v>
      </c>
      <c r="C21" s="660" t="s">
        <v>394</v>
      </c>
      <c r="D21" s="661" t="s">
        <v>413</v>
      </c>
      <c r="E21" s="447" t="s">
        <v>249</v>
      </c>
      <c r="F21" s="467"/>
      <c r="G21" s="468">
        <v>410.4</v>
      </c>
      <c r="H21" s="468"/>
      <c r="I21" s="499"/>
      <c r="J21" s="521"/>
      <c r="K21" s="470"/>
      <c r="L21" s="574">
        <f>'ОПЛАТИ 2024-2025-2026 '!BU102</f>
        <v>11612</v>
      </c>
      <c r="M21" s="494"/>
      <c r="N21" s="469"/>
      <c r="O21" s="470"/>
      <c r="P21" s="584"/>
      <c r="Q21" s="494"/>
      <c r="R21" s="469"/>
      <c r="S21" s="470"/>
      <c r="T21" s="584"/>
      <c r="U21" s="494"/>
      <c r="V21" s="469"/>
      <c r="W21" s="470"/>
      <c r="X21" s="584"/>
      <c r="Y21" s="494"/>
      <c r="Z21" s="469"/>
      <c r="AA21" s="470"/>
      <c r="AB21" s="584"/>
      <c r="AC21" s="494"/>
      <c r="AD21" s="469"/>
      <c r="AE21" s="470"/>
      <c r="AF21" s="584"/>
      <c r="AG21" s="494"/>
      <c r="AH21" s="469"/>
      <c r="AI21" s="470"/>
      <c r="AJ21" s="584"/>
      <c r="AK21" s="494"/>
      <c r="AL21" s="469"/>
      <c r="AM21" s="470"/>
      <c r="AN21" s="584"/>
      <c r="AO21" s="494"/>
      <c r="AP21" s="469"/>
      <c r="AQ21" s="470"/>
      <c r="AR21" s="584"/>
      <c r="AS21" s="494"/>
      <c r="AT21" s="469"/>
      <c r="AU21" s="470"/>
      <c r="AV21" s="584"/>
      <c r="AW21" s="490"/>
      <c r="AX21" s="494"/>
      <c r="AY21" s="469"/>
      <c r="AZ21" s="470"/>
      <c r="BA21" s="584"/>
      <c r="BB21" s="490"/>
      <c r="BC21" s="494"/>
      <c r="BD21" s="469"/>
      <c r="BE21" s="470"/>
      <c r="BF21" s="584"/>
    </row>
    <row r="22" spans="1:58">
      <c r="B22" s="577" t="s">
        <v>398</v>
      </c>
      <c r="C22" s="13" t="s">
        <v>142</v>
      </c>
      <c r="D22" s="14" t="s">
        <v>60</v>
      </c>
      <c r="E22" s="15" t="s">
        <v>122</v>
      </c>
      <c r="F22" s="15">
        <v>24</v>
      </c>
      <c r="G22" s="441">
        <v>632</v>
      </c>
      <c r="H22" s="441">
        <v>357</v>
      </c>
      <c r="I22" s="499">
        <v>23427.900000000009</v>
      </c>
      <c r="J22" s="521">
        <v>22819</v>
      </c>
      <c r="K22" s="443">
        <f>'ОПЛАТИ 2023'!L93</f>
        <v>13110</v>
      </c>
      <c r="L22" s="574">
        <f>'ОПЛАТИ 2024-2025-2026 '!BU106</f>
        <v>18870</v>
      </c>
      <c r="M22" s="494">
        <v>22697.700000000004</v>
      </c>
      <c r="N22" s="469">
        <v>0</v>
      </c>
      <c r="O22" s="443">
        <f>'ОПЛАТИ 2023'!Q93</f>
        <v>12900</v>
      </c>
      <c r="P22" s="584"/>
      <c r="Q22" s="494">
        <v>23381.999999999935</v>
      </c>
      <c r="R22" s="469">
        <v>13474</v>
      </c>
      <c r="S22" s="443">
        <f>'ОПЛАТИ 2023'!V93</f>
        <v>18210</v>
      </c>
      <c r="T22" s="584"/>
      <c r="U22" s="494">
        <v>21130.500000000065</v>
      </c>
      <c r="V22" s="469">
        <v>14238</v>
      </c>
      <c r="W22" s="443">
        <f>'ОПЛАТИ 2023'!AA93</f>
        <v>16110</v>
      </c>
      <c r="X22" s="584"/>
      <c r="Y22" s="494">
        <v>23913.900000000031</v>
      </c>
      <c r="Z22" s="469">
        <v>17050</v>
      </c>
      <c r="AA22" s="443">
        <f>'ОПЛАТИ 2023'!AF93</f>
        <v>18390</v>
      </c>
      <c r="AB22" s="584"/>
      <c r="AC22" s="494">
        <v>23446.499999999978</v>
      </c>
      <c r="AD22" s="469">
        <v>20336</v>
      </c>
      <c r="AE22" s="443">
        <f>'ОПЛАТИ 2023'!AK93</f>
        <v>20670</v>
      </c>
      <c r="AF22" s="584"/>
      <c r="AG22" s="494">
        <v>25248.899999999921</v>
      </c>
      <c r="AH22" s="469">
        <v>19612</v>
      </c>
      <c r="AI22" s="443">
        <f>'ОПЛАТИ 2023'!AP93</f>
        <v>19200</v>
      </c>
      <c r="AJ22" s="584"/>
      <c r="AK22" s="494">
        <v>23632.5</v>
      </c>
      <c r="AL22" s="469">
        <v>20113</v>
      </c>
      <c r="AM22" s="443">
        <f>'ОПЛАТИ 2023'!AU93</f>
        <v>21840</v>
      </c>
      <c r="AN22" s="584"/>
      <c r="AO22" s="494">
        <v>20559</v>
      </c>
      <c r="AP22" s="469">
        <v>15691</v>
      </c>
      <c r="AQ22" s="443">
        <f>'ОПЛАТИ 2023'!AZ93</f>
        <v>19560</v>
      </c>
      <c r="AR22" s="584"/>
      <c r="AS22" s="494">
        <v>21856</v>
      </c>
      <c r="AT22" s="469">
        <v>15374</v>
      </c>
      <c r="AU22" s="443">
        <f>'ОПЛАТИ 2023'!BE93</f>
        <v>17310</v>
      </c>
      <c r="AV22" s="584"/>
      <c r="AW22" s="490">
        <v>21924.300000000039</v>
      </c>
      <c r="AX22" s="494">
        <v>19583</v>
      </c>
      <c r="AY22" s="469">
        <v>15374</v>
      </c>
      <c r="AZ22" s="443">
        <f>'ОПЛАТИ 2023'!BJ93</f>
        <v>17640</v>
      </c>
      <c r="BA22" s="584"/>
      <c r="BB22" s="490">
        <v>22475.400000000009</v>
      </c>
      <c r="BC22" s="494"/>
      <c r="BD22" s="442">
        <f>'ОПЛАТИ 2023'!G93</f>
        <v>11070</v>
      </c>
      <c r="BE22" s="443">
        <f>'ОПЛАТИ 2023'!BO93</f>
        <v>17040</v>
      </c>
      <c r="BF22" s="584"/>
    </row>
    <row r="23" spans="1:58" s="12" customFormat="1">
      <c r="B23" s="578"/>
      <c r="C23" s="461" t="s">
        <v>108</v>
      </c>
      <c r="D23" s="462" t="s">
        <v>62</v>
      </c>
      <c r="E23" s="463" t="s">
        <v>122</v>
      </c>
      <c r="F23" s="463">
        <v>24</v>
      </c>
      <c r="G23" s="449">
        <v>812</v>
      </c>
      <c r="H23" s="449">
        <v>481</v>
      </c>
      <c r="I23" s="499">
        <v>0</v>
      </c>
      <c r="J23" s="521">
        <v>29404</v>
      </c>
      <c r="K23" s="450"/>
      <c r="L23" s="574"/>
      <c r="M23" s="494">
        <v>0</v>
      </c>
      <c r="N23" s="469">
        <v>0</v>
      </c>
      <c r="O23" s="450"/>
      <c r="P23" s="584"/>
      <c r="Q23" s="494">
        <v>0</v>
      </c>
      <c r="R23" s="469">
        <v>0</v>
      </c>
      <c r="S23" s="450"/>
      <c r="T23" s="584"/>
      <c r="U23" s="494">
        <v>0</v>
      </c>
      <c r="V23" s="469">
        <v>0</v>
      </c>
      <c r="W23" s="450"/>
      <c r="X23" s="584"/>
      <c r="Y23" s="494">
        <v>0</v>
      </c>
      <c r="Z23" s="469">
        <v>0</v>
      </c>
      <c r="AA23" s="450"/>
      <c r="AB23" s="584"/>
      <c r="AC23" s="494">
        <v>0</v>
      </c>
      <c r="AD23" s="469">
        <v>0</v>
      </c>
      <c r="AE23" s="450"/>
      <c r="AF23" s="584"/>
      <c r="AG23" s="494">
        <v>0</v>
      </c>
      <c r="AH23" s="469">
        <v>0</v>
      </c>
      <c r="AI23" s="450"/>
      <c r="AJ23" s="584"/>
      <c r="AK23" s="494">
        <v>36625</v>
      </c>
      <c r="AL23" s="469">
        <v>0</v>
      </c>
      <c r="AM23" s="450"/>
      <c r="AN23" s="584"/>
      <c r="AO23" s="494">
        <v>36812</v>
      </c>
      <c r="AP23" s="469">
        <v>0</v>
      </c>
      <c r="AQ23" s="450"/>
      <c r="AR23" s="584"/>
      <c r="AS23" s="494">
        <v>18692</v>
      </c>
      <c r="AT23" s="469">
        <v>0</v>
      </c>
      <c r="AU23" s="450"/>
      <c r="AV23" s="584"/>
      <c r="AW23" s="490">
        <v>0</v>
      </c>
      <c r="AX23" s="494">
        <v>25412</v>
      </c>
      <c r="AY23" s="469">
        <v>0</v>
      </c>
      <c r="AZ23" s="450"/>
      <c r="BA23" s="584"/>
      <c r="BB23" s="490">
        <v>0</v>
      </c>
      <c r="BC23" s="494"/>
      <c r="BD23" s="450">
        <v>0</v>
      </c>
      <c r="BE23" s="450"/>
      <c r="BF23" s="584"/>
    </row>
    <row r="24" spans="1:58">
      <c r="A24" t="s">
        <v>426</v>
      </c>
      <c r="B24" s="577" t="s">
        <v>398</v>
      </c>
      <c r="C24" s="445" t="s">
        <v>143</v>
      </c>
      <c r="D24" s="453" t="s">
        <v>65</v>
      </c>
      <c r="E24" s="447" t="s">
        <v>249</v>
      </c>
      <c r="F24" s="447">
        <v>24</v>
      </c>
      <c r="G24" s="441">
        <v>429</v>
      </c>
      <c r="H24" s="441">
        <v>261</v>
      </c>
      <c r="I24" s="499">
        <v>19059.160000000033</v>
      </c>
      <c r="J24" s="521">
        <v>16493</v>
      </c>
      <c r="K24" s="443">
        <f>'ОПЛАТИ 2023'!L102</f>
        <v>10480</v>
      </c>
      <c r="L24" s="574">
        <f>'ОПЛАТИ 2024-2025-2026 '!BU116</f>
        <v>17017</v>
      </c>
      <c r="M24" s="494">
        <v>15329.510000000009</v>
      </c>
      <c r="N24" s="469">
        <v>0</v>
      </c>
      <c r="O24" s="443">
        <f>'ОПЛАТИ 2023'!Q102</f>
        <v>9365</v>
      </c>
      <c r="P24" s="584"/>
      <c r="Q24" s="494">
        <v>17230.159999999916</v>
      </c>
      <c r="R24" s="469">
        <v>11568</v>
      </c>
      <c r="S24" s="443">
        <f>'ОПЛАТИ 2023'!V102</f>
        <v>13307</v>
      </c>
      <c r="T24" s="584"/>
      <c r="U24" s="494">
        <v>13979.739999999991</v>
      </c>
      <c r="V24" s="469">
        <v>7853</v>
      </c>
      <c r="W24" s="443">
        <f>'ОПЛАТИ 2023'!AA102</f>
        <v>10345</v>
      </c>
      <c r="X24" s="584"/>
      <c r="Y24" s="494">
        <v>14638.060000000056</v>
      </c>
      <c r="Z24" s="469">
        <v>9872</v>
      </c>
      <c r="AA24" s="443">
        <f>'ОПЛАТИ 2023'!AF102</f>
        <v>10539</v>
      </c>
      <c r="AB24" s="584"/>
      <c r="AC24" s="494">
        <v>14826.849999999977</v>
      </c>
      <c r="AD24" s="469">
        <v>11511</v>
      </c>
      <c r="AE24" s="443">
        <f>'ОПЛАТИ 2023'!AK102</f>
        <v>11887</v>
      </c>
      <c r="AF24" s="584"/>
      <c r="AG24" s="494">
        <v>17934.979999999981</v>
      </c>
      <c r="AH24" s="469">
        <v>12755</v>
      </c>
      <c r="AI24" s="443">
        <f>'ОПЛАТИ 2023'!AP102</f>
        <v>13447</v>
      </c>
      <c r="AJ24" s="584"/>
      <c r="AK24" s="494">
        <v>15287.630000000005</v>
      </c>
      <c r="AL24" s="469">
        <v>12256</v>
      </c>
      <c r="AM24" s="443">
        <f>'ОПЛАТИ 2023'!AU102</f>
        <v>13825</v>
      </c>
      <c r="AN24" s="584"/>
      <c r="AO24" s="494">
        <v>13859</v>
      </c>
      <c r="AP24" s="469">
        <v>11893</v>
      </c>
      <c r="AQ24" s="443">
        <f>'ОПЛАТИ 2023'!AZ102</f>
        <v>11456</v>
      </c>
      <c r="AR24" s="584"/>
      <c r="AS24" s="494">
        <v>15111</v>
      </c>
      <c r="AT24" s="469">
        <v>11009</v>
      </c>
      <c r="AU24" s="443">
        <f>'ОПЛАТИ 2023'!BE102</f>
        <v>12921</v>
      </c>
      <c r="AV24" s="584"/>
      <c r="AW24" s="490">
        <v>17201.550000000047</v>
      </c>
      <c r="AX24" s="494">
        <v>15470</v>
      </c>
      <c r="AY24" s="469">
        <v>11009</v>
      </c>
      <c r="AZ24" s="443">
        <f>'ОПЛАТИ 2023'!BJ102</f>
        <v>12708</v>
      </c>
      <c r="BA24" s="584"/>
      <c r="BB24" s="490">
        <v>18230.439999999944</v>
      </c>
      <c r="BC24" s="494"/>
      <c r="BD24" s="442">
        <f>'ОПЛАТИ 2023'!G102</f>
        <v>7044</v>
      </c>
      <c r="BE24" s="443">
        <f>'ОПЛАТИ 2023'!BO102</f>
        <v>13496</v>
      </c>
      <c r="BF24" s="584"/>
    </row>
    <row r="25" spans="1:58">
      <c r="A25" t="s">
        <v>425</v>
      </c>
      <c r="B25" s="577" t="s">
        <v>398</v>
      </c>
      <c r="C25" s="598" t="s">
        <v>109</v>
      </c>
      <c r="D25" s="606" t="s">
        <v>67</v>
      </c>
      <c r="E25" s="447" t="s">
        <v>249</v>
      </c>
      <c r="F25" s="605">
        <v>24</v>
      </c>
      <c r="G25" s="441">
        <v>659</v>
      </c>
      <c r="H25" s="441">
        <v>392</v>
      </c>
      <c r="I25" s="499">
        <v>30155.100000000064</v>
      </c>
      <c r="J25" s="521">
        <v>25439</v>
      </c>
      <c r="K25" s="443">
        <f>'ОПЛАТИ 2023'!L107</f>
        <v>14049</v>
      </c>
      <c r="L25" s="574">
        <f>'ОПЛАТИ 2024-2025-2026 '!BU121</f>
        <v>24572</v>
      </c>
      <c r="M25" s="494">
        <v>24750</v>
      </c>
      <c r="N25" s="469">
        <v>0</v>
      </c>
      <c r="O25" s="443">
        <f>'ОПЛАТИ 2023'!Q107</f>
        <v>13220</v>
      </c>
      <c r="P25" s="584"/>
      <c r="Q25" s="494">
        <v>24750</v>
      </c>
      <c r="R25" s="469">
        <v>0</v>
      </c>
      <c r="S25" s="443">
        <f>'ОПЛАТИ 2023'!V107</f>
        <v>14613</v>
      </c>
      <c r="T25" s="584"/>
      <c r="U25" s="494">
        <v>19104.099999999977</v>
      </c>
      <c r="V25" s="469">
        <v>0</v>
      </c>
      <c r="W25" s="443">
        <f>'ОПЛАТИ 2023'!AA107</f>
        <v>15525</v>
      </c>
      <c r="X25" s="584"/>
      <c r="Y25" s="494">
        <v>19104.099999999977</v>
      </c>
      <c r="Z25" s="469">
        <v>5739</v>
      </c>
      <c r="AA25" s="443">
        <f>'ОПЛАТИ 2023'!AF107</f>
        <v>15780</v>
      </c>
      <c r="AB25" s="584"/>
      <c r="AC25" s="494">
        <v>21533.699999999953</v>
      </c>
      <c r="AD25" s="469">
        <v>16551</v>
      </c>
      <c r="AE25" s="443">
        <f>'ОПЛАТИ 2023'!AK107</f>
        <v>16630</v>
      </c>
      <c r="AF25" s="584"/>
      <c r="AG25" s="494">
        <v>25195.400000000023</v>
      </c>
      <c r="AH25" s="469">
        <v>18518</v>
      </c>
      <c r="AI25" s="443">
        <f>'ОПЛАТИ 2023'!AP107</f>
        <v>18782</v>
      </c>
      <c r="AJ25" s="584"/>
      <c r="AK25" s="494">
        <v>19411.499999999971</v>
      </c>
      <c r="AL25" s="469">
        <v>17950</v>
      </c>
      <c r="AM25" s="443">
        <f>'ОПЛАТИ 2023'!AU107</f>
        <v>20340</v>
      </c>
      <c r="AN25" s="584"/>
      <c r="AO25" s="494">
        <v>19807</v>
      </c>
      <c r="AP25" s="469">
        <v>15870</v>
      </c>
      <c r="AQ25" s="443">
        <f>'ОПЛАТИ 2023'!AZ107</f>
        <v>18463</v>
      </c>
      <c r="AR25" s="584"/>
      <c r="AS25" s="494">
        <v>19807</v>
      </c>
      <c r="AT25" s="469">
        <v>14795</v>
      </c>
      <c r="AU25" s="443">
        <f>'ОПЛАТИ 2023'!BE107</f>
        <v>16948</v>
      </c>
      <c r="AV25" s="584"/>
      <c r="AW25" s="490">
        <v>22278.29999999993</v>
      </c>
      <c r="AX25" s="494">
        <v>22817</v>
      </c>
      <c r="AY25" s="469">
        <v>14795</v>
      </c>
      <c r="AZ25" s="443">
        <f>'ОПЛАТИ 2023'!BJ107</f>
        <v>18495</v>
      </c>
      <c r="BA25" s="584"/>
      <c r="BB25" s="490">
        <v>30155.100000000064</v>
      </c>
      <c r="BC25" s="494"/>
      <c r="BD25" s="442">
        <f>'ОПЛАТИ 2023'!G107</f>
        <v>6571</v>
      </c>
      <c r="BE25" s="443">
        <f>'ОПЛАТИ 2023'!BO107</f>
        <v>21832</v>
      </c>
      <c r="BF25" s="584"/>
    </row>
    <row r="26" spans="1:58">
      <c r="A26" t="s">
        <v>426</v>
      </c>
      <c r="B26" s="577" t="s">
        <v>398</v>
      </c>
      <c r="C26" s="448" t="s">
        <v>144</v>
      </c>
      <c r="D26" s="453" t="s">
        <v>70</v>
      </c>
      <c r="E26" s="447" t="s">
        <v>249</v>
      </c>
      <c r="F26" s="447" t="s">
        <v>248</v>
      </c>
      <c r="G26" s="441">
        <v>335</v>
      </c>
      <c r="H26" s="441">
        <v>221</v>
      </c>
      <c r="I26" s="499">
        <v>12467.900000000023</v>
      </c>
      <c r="J26" s="521">
        <v>12212</v>
      </c>
      <c r="K26" s="443">
        <f>'ОПЛАТИ 2023'!L111</f>
        <v>8400</v>
      </c>
      <c r="L26" s="574">
        <f>'ОПЛАТИ 2024-2025-2026 '!BU125</f>
        <v>13021</v>
      </c>
      <c r="M26" s="494">
        <v>12483.010000000009</v>
      </c>
      <c r="N26" s="469">
        <v>12033</v>
      </c>
      <c r="O26" s="443">
        <f>'ОПЛАТИ 2023'!Q111</f>
        <v>9028</v>
      </c>
      <c r="P26" s="584"/>
      <c r="Q26" s="494">
        <v>12348.829999999958</v>
      </c>
      <c r="R26" s="469">
        <v>7912</v>
      </c>
      <c r="S26" s="443">
        <f>'ОПЛАТИ 2023'!V111</f>
        <v>10325</v>
      </c>
      <c r="T26" s="584"/>
      <c r="U26" s="494">
        <v>9100.710000000021</v>
      </c>
      <c r="V26" s="469">
        <v>5976</v>
      </c>
      <c r="W26" s="443">
        <f>'ОПЛАТИ 2023'!AA111</f>
        <v>9799</v>
      </c>
      <c r="X26" s="584"/>
      <c r="Y26" s="494">
        <v>9992.609999999986</v>
      </c>
      <c r="Z26" s="469">
        <v>7660</v>
      </c>
      <c r="AA26" s="443">
        <f>'ОПЛАТИ 2023'!AF111</f>
        <v>10199</v>
      </c>
      <c r="AB26" s="584"/>
      <c r="AC26" s="494">
        <v>10955.260000000009</v>
      </c>
      <c r="AD26" s="469">
        <v>10549</v>
      </c>
      <c r="AE26" s="443">
        <f>'ОПЛАТИ 2023'!AK111</f>
        <v>11494</v>
      </c>
      <c r="AF26" s="584"/>
      <c r="AG26" s="494">
        <v>13508.510000000009</v>
      </c>
      <c r="AH26" s="469">
        <v>10931</v>
      </c>
      <c r="AI26" s="443">
        <f>'ОПЛАТИ 2023'!AP111</f>
        <v>12029</v>
      </c>
      <c r="AJ26" s="584"/>
      <c r="AK26" s="494">
        <v>11009.589999999967</v>
      </c>
      <c r="AL26" s="469">
        <v>10698</v>
      </c>
      <c r="AM26" s="443">
        <f>'ОПЛАТИ 2023'!AU111</f>
        <v>12647</v>
      </c>
      <c r="AN26" s="584"/>
      <c r="AO26" s="494">
        <v>10191</v>
      </c>
      <c r="AP26" s="469">
        <v>8855</v>
      </c>
      <c r="AQ26" s="443">
        <f>'ОПЛАТИ 2023'!AZ111</f>
        <v>11799</v>
      </c>
      <c r="AR26" s="584"/>
      <c r="AS26" s="494">
        <v>9175</v>
      </c>
      <c r="AT26" s="469">
        <v>8663</v>
      </c>
      <c r="AU26" s="443">
        <f>'ОПЛАТИ 2023'!BE111</f>
        <v>9451</v>
      </c>
      <c r="AV26" s="584"/>
      <c r="AW26" s="490">
        <v>11417.399999999965</v>
      </c>
      <c r="AX26" s="494">
        <v>11809</v>
      </c>
      <c r="AY26" s="469">
        <v>8663</v>
      </c>
      <c r="AZ26" s="443">
        <f>'ОПЛАТИ 2023'!BJ111</f>
        <v>10873</v>
      </c>
      <c r="BA26" s="584"/>
      <c r="BB26" s="490">
        <v>13912.900000000023</v>
      </c>
      <c r="BC26" s="494"/>
      <c r="BD26" s="442">
        <f>'ОПЛАТИ 2023'!G111</f>
        <v>5709</v>
      </c>
      <c r="BE26" s="443">
        <f>'ОПЛАТИ 2023'!BO111</f>
        <v>13153</v>
      </c>
      <c r="BF26" s="584"/>
    </row>
    <row r="27" spans="1:58">
      <c r="B27" s="577" t="s">
        <v>398</v>
      </c>
      <c r="C27" s="13" t="s">
        <v>113</v>
      </c>
      <c r="D27" s="14" t="s">
        <v>145</v>
      </c>
      <c r="E27" s="15" t="s">
        <v>122</v>
      </c>
      <c r="F27" s="15">
        <v>24</v>
      </c>
      <c r="G27" s="441">
        <v>2079</v>
      </c>
      <c r="H27" s="441">
        <v>807</v>
      </c>
      <c r="I27" s="499">
        <v>120906.60000000003</v>
      </c>
      <c r="J27" s="521">
        <v>105893</v>
      </c>
      <c r="K27" s="443">
        <f>'ОПЛАТИ 2023'!L116</f>
        <v>86340</v>
      </c>
      <c r="L27" s="574">
        <f>'ОПЛАТИ 2024-2025-2026 '!BU130</f>
        <v>84780</v>
      </c>
      <c r="M27" s="494">
        <v>85181.09999999986</v>
      </c>
      <c r="N27" s="469">
        <v>25168</v>
      </c>
      <c r="O27" s="443">
        <f>'ОПЛАТИ 2023'!Q116</f>
        <v>68241.600000000006</v>
      </c>
      <c r="P27" s="584"/>
      <c r="Q27" s="494">
        <v>102282.3000000001</v>
      </c>
      <c r="R27" s="469">
        <v>25168</v>
      </c>
      <c r="S27" s="443">
        <f>'ОПЛАТИ 2023'!V116</f>
        <v>71794.2</v>
      </c>
      <c r="T27" s="584"/>
      <c r="U27" s="494">
        <v>91259.400000000096</v>
      </c>
      <c r="V27" s="469">
        <v>40830</v>
      </c>
      <c r="W27" s="443">
        <f>'ОПЛАТИ 2023'!AA116</f>
        <v>77919.600000000006</v>
      </c>
      <c r="X27" s="584"/>
      <c r="Y27" s="494">
        <v>115866.89999999988</v>
      </c>
      <c r="Z27" s="469">
        <v>60007</v>
      </c>
      <c r="AA27" s="443">
        <f>'ОПЛАТИ 2023'!AF116</f>
        <v>88483.8</v>
      </c>
      <c r="AB27" s="584"/>
      <c r="AC27" s="494">
        <v>97343.700000000026</v>
      </c>
      <c r="AD27" s="469">
        <v>69549</v>
      </c>
      <c r="AE27" s="443">
        <f>'ОПЛАТИ 2023'!AK116</f>
        <v>79317.600000000006</v>
      </c>
      <c r="AF27" s="584"/>
      <c r="AG27" s="494">
        <v>97343.700000000026</v>
      </c>
      <c r="AH27" s="469">
        <v>78535</v>
      </c>
      <c r="AI27" s="443">
        <f>'ОПЛАТИ 2023'!AP116</f>
        <v>89771.4</v>
      </c>
      <c r="AJ27" s="584"/>
      <c r="AK27" s="494">
        <v>131059.49999999983</v>
      </c>
      <c r="AL27" s="469">
        <v>81842</v>
      </c>
      <c r="AM27" s="443">
        <f>'ОПЛАТИ 2023'!AU116</f>
        <v>97634.4</v>
      </c>
      <c r="AN27" s="584"/>
      <c r="AO27" s="494">
        <v>113165</v>
      </c>
      <c r="AP27" s="469">
        <v>72408</v>
      </c>
      <c r="AQ27" s="443">
        <f>'ОПЛАТИ 2023'!AZ116</f>
        <v>89792.4</v>
      </c>
      <c r="AR27" s="584"/>
      <c r="AS27" s="494">
        <v>93212</v>
      </c>
      <c r="AT27" s="469">
        <v>68631</v>
      </c>
      <c r="AU27" s="443">
        <f>'ОПЛАТИ 2023'!BE116</f>
        <v>75853</v>
      </c>
      <c r="AV27" s="584"/>
      <c r="AW27" s="490">
        <v>131059.49999999983</v>
      </c>
      <c r="AX27" s="494">
        <v>88747</v>
      </c>
      <c r="AY27" s="469">
        <v>47142</v>
      </c>
      <c r="AZ27" s="443">
        <f>'ОПЛАТИ 2023'!BJ116</f>
        <v>78924.600000000006</v>
      </c>
      <c r="BA27" s="584"/>
      <c r="BB27" s="490">
        <v>95790</v>
      </c>
      <c r="BC27" s="494"/>
      <c r="BD27" s="442">
        <f>'ОПЛАТИ 2023'!G116</f>
        <v>63883.5</v>
      </c>
      <c r="BE27" s="443">
        <f>'ОПЛАТИ 2023'!BO116</f>
        <v>74547.600000000006</v>
      </c>
      <c r="BF27" s="584"/>
    </row>
    <row r="28" spans="1:58">
      <c r="A28" t="s">
        <v>425</v>
      </c>
      <c r="B28" s="577" t="s">
        <v>397</v>
      </c>
      <c r="C28" s="598" t="s">
        <v>146</v>
      </c>
      <c r="D28" s="606" t="s">
        <v>147</v>
      </c>
      <c r="E28" s="605" t="s">
        <v>250</v>
      </c>
      <c r="F28" s="15">
        <v>24</v>
      </c>
      <c r="G28" s="441">
        <v>604</v>
      </c>
      <c r="H28" s="441">
        <v>372</v>
      </c>
      <c r="I28" s="499"/>
      <c r="J28" s="521">
        <v>26897</v>
      </c>
      <c r="K28" s="443">
        <f>'ОПЛАТИ 2023'!L120</f>
        <v>13729</v>
      </c>
      <c r="L28" s="574">
        <f>'ОПЛАТИ 2024-2025-2026 '!BU134</f>
        <v>24713</v>
      </c>
      <c r="M28" s="494">
        <v>0</v>
      </c>
      <c r="N28" s="469">
        <v>0</v>
      </c>
      <c r="O28" s="443">
        <f>'ОПЛАТИ 2023'!Q120</f>
        <v>20180</v>
      </c>
      <c r="P28" s="584"/>
      <c r="Q28" s="494">
        <v>0</v>
      </c>
      <c r="R28" s="469">
        <v>6587</v>
      </c>
      <c r="S28" s="443">
        <f>'ОПЛАТИ 2023'!V120</f>
        <v>18502</v>
      </c>
      <c r="T28" s="584"/>
      <c r="U28" s="494">
        <v>0</v>
      </c>
      <c r="V28" s="469">
        <v>8176</v>
      </c>
      <c r="W28" s="443">
        <f>'ОПЛАТИ 2023'!AA120</f>
        <v>16769</v>
      </c>
      <c r="X28" s="584"/>
      <c r="Y28" s="494">
        <v>0</v>
      </c>
      <c r="Z28" s="469">
        <v>13512</v>
      </c>
      <c r="AA28" s="443">
        <f>'ОПЛАТИ 2023'!AF120</f>
        <v>16993</v>
      </c>
      <c r="AB28" s="584"/>
      <c r="AC28" s="494">
        <v>0</v>
      </c>
      <c r="AD28" s="469">
        <v>16751</v>
      </c>
      <c r="AE28" s="443">
        <f>'ОПЛАТИ 2023'!AK120</f>
        <v>19037</v>
      </c>
      <c r="AF28" s="584"/>
      <c r="AG28" s="494">
        <v>0</v>
      </c>
      <c r="AH28" s="469">
        <v>18155</v>
      </c>
      <c r="AI28" s="443">
        <f>'ОПЛАТИ 2023'!AP120</f>
        <v>18421</v>
      </c>
      <c r="AJ28" s="584"/>
      <c r="AK28" s="494">
        <v>0</v>
      </c>
      <c r="AL28" s="469">
        <v>17844</v>
      </c>
      <c r="AM28" s="443">
        <f>'ОПЛАТИ 2023'!AU120</f>
        <v>20154</v>
      </c>
      <c r="AN28" s="584"/>
      <c r="AO28" s="494">
        <v>20180</v>
      </c>
      <c r="AP28" s="469">
        <v>15250</v>
      </c>
      <c r="AQ28" s="443">
        <f>'ОПЛАТИ 2023'!AZ120</f>
        <v>18449</v>
      </c>
      <c r="AR28" s="584"/>
      <c r="AS28" s="494">
        <v>16968</v>
      </c>
      <c r="AT28" s="469">
        <v>15446</v>
      </c>
      <c r="AU28" s="443">
        <f>'ОПЛАТИ 2023'!BE120</f>
        <v>18354</v>
      </c>
      <c r="AV28" s="584"/>
      <c r="AW28" s="490"/>
      <c r="AX28" s="494">
        <v>29951</v>
      </c>
      <c r="AY28" s="469">
        <v>15446</v>
      </c>
      <c r="AZ28" s="443">
        <f>'ОПЛАТИ 2023'!BJ120</f>
        <v>17762</v>
      </c>
      <c r="BA28" s="584"/>
      <c r="BB28" s="490"/>
      <c r="BC28" s="494"/>
      <c r="BD28" s="442">
        <f>'ОПЛАТИ 2023'!G120</f>
        <v>10975</v>
      </c>
      <c r="BE28" s="443">
        <f>'ОПЛАТИ 2023'!BO120</f>
        <v>24713</v>
      </c>
      <c r="BF28" s="584"/>
    </row>
    <row r="29" spans="1:58">
      <c r="B29" s="577" t="s">
        <v>397</v>
      </c>
      <c r="C29" s="13" t="s">
        <v>148</v>
      </c>
      <c r="D29" s="14" t="s">
        <v>149</v>
      </c>
      <c r="E29" s="15" t="s">
        <v>122</v>
      </c>
      <c r="F29" s="15" t="s">
        <v>248</v>
      </c>
      <c r="G29" s="441">
        <v>667</v>
      </c>
      <c r="H29" s="441">
        <v>398</v>
      </c>
      <c r="I29" s="499">
        <v>31428.80000000001</v>
      </c>
      <c r="J29" s="521">
        <v>24440</v>
      </c>
      <c r="K29" s="443">
        <f>'ОПЛАТИ 2023'!L126</f>
        <v>21880</v>
      </c>
      <c r="L29" s="574">
        <f>'ОПЛАТИ 2024-2025-2026 '!BU140</f>
        <v>24680</v>
      </c>
      <c r="M29" s="494">
        <v>30206.800000000003</v>
      </c>
      <c r="N29" s="469">
        <v>0</v>
      </c>
      <c r="O29" s="443">
        <f>'ОПЛАТИ 2023'!Q126</f>
        <v>23800</v>
      </c>
      <c r="P29" s="584"/>
      <c r="Q29" s="494">
        <v>29956.800000000003</v>
      </c>
      <c r="R29" s="469">
        <v>36520</v>
      </c>
      <c r="S29" s="443">
        <f>'ОПЛАТИ 2023'!V126</f>
        <v>27960</v>
      </c>
      <c r="T29" s="584"/>
      <c r="U29" s="494">
        <v>26416.799999999967</v>
      </c>
      <c r="V29" s="469">
        <v>12800</v>
      </c>
      <c r="W29" s="443">
        <f>'ОПЛАТИ 2023'!AA126</f>
        <v>20280</v>
      </c>
      <c r="X29" s="584"/>
      <c r="Y29" s="494">
        <v>26862.000000000007</v>
      </c>
      <c r="Z29" s="469">
        <v>14920</v>
      </c>
      <c r="AA29" s="443">
        <f>'ОПЛАТИ 2023'!AF126</f>
        <v>26440</v>
      </c>
      <c r="AB29" s="584"/>
      <c r="AC29" s="494">
        <v>25293.600000000006</v>
      </c>
      <c r="AD29" s="469">
        <v>18960</v>
      </c>
      <c r="AE29" s="443">
        <f>'ОПЛАТИ 2023'!AK126</f>
        <v>15520</v>
      </c>
      <c r="AF29" s="584"/>
      <c r="AG29" s="494">
        <v>29960.799999999981</v>
      </c>
      <c r="AH29" s="469">
        <v>19720</v>
      </c>
      <c r="AI29" s="443">
        <f>'ОПЛАТИ 2023'!AU126</f>
        <v>16560</v>
      </c>
      <c r="AJ29" s="584"/>
      <c r="AK29" s="494">
        <v>26088.400000000038</v>
      </c>
      <c r="AL29" s="469">
        <v>20360</v>
      </c>
      <c r="AM29" s="443">
        <f>'ОПЛАТИ 2023'!AU126</f>
        <v>16560</v>
      </c>
      <c r="AN29" s="584"/>
      <c r="AO29" s="494">
        <v>24156</v>
      </c>
      <c r="AP29" s="469">
        <v>18720</v>
      </c>
      <c r="AQ29" s="443">
        <f>'ОПЛАТИ 2023'!AZ126</f>
        <v>37920</v>
      </c>
      <c r="AR29" s="584"/>
      <c r="AS29" s="494">
        <v>27550</v>
      </c>
      <c r="AT29" s="469">
        <v>24760</v>
      </c>
      <c r="AU29" s="443">
        <f>'ОПЛАТИ 2023'!BE126</f>
        <v>15600</v>
      </c>
      <c r="AV29" s="584"/>
      <c r="AW29" s="490">
        <v>28343.600000000006</v>
      </c>
      <c r="AX29" s="494">
        <v>225120</v>
      </c>
      <c r="AY29" s="469">
        <v>24760</v>
      </c>
      <c r="AZ29" s="443">
        <f>'ОПЛАТИ 2023'!BJ126</f>
        <v>16880</v>
      </c>
      <c r="BA29" s="584"/>
      <c r="BB29" s="490">
        <v>31777.199999999993</v>
      </c>
      <c r="BC29" s="494"/>
      <c r="BD29" s="442">
        <f>'ОПЛАТИ 2023'!G126</f>
        <v>12560</v>
      </c>
      <c r="BE29" s="443">
        <f>'ОПЛАТИ 2023'!BO126</f>
        <v>34160</v>
      </c>
      <c r="BF29" s="584"/>
    </row>
    <row r="30" spans="1:58">
      <c r="A30" t="s">
        <v>426</v>
      </c>
      <c r="B30" s="577" t="s">
        <v>397</v>
      </c>
      <c r="C30" s="601" t="s">
        <v>110</v>
      </c>
      <c r="D30" s="602" t="s">
        <v>151</v>
      </c>
      <c r="E30" s="603" t="s">
        <v>250</v>
      </c>
      <c r="F30" s="464">
        <v>24</v>
      </c>
      <c r="G30" s="441">
        <v>507</v>
      </c>
      <c r="H30" s="441">
        <v>275</v>
      </c>
      <c r="I30" s="499">
        <v>22051.349999999988</v>
      </c>
      <c r="J30" s="521">
        <v>23726</v>
      </c>
      <c r="K30" s="443">
        <f>'ОПЛАТИ 2023'!L130</f>
        <v>11243</v>
      </c>
      <c r="L30" s="574">
        <f>'ОПЛАТИ 2024-2025-2026 '!BU145</f>
        <v>16456</v>
      </c>
      <c r="M30" s="494">
        <v>22438.889999999967</v>
      </c>
      <c r="N30" s="469">
        <v>0</v>
      </c>
      <c r="O30" s="443">
        <f>'ОПЛАТИ 2023'!Q130</f>
        <v>11197</v>
      </c>
      <c r="P30" s="584"/>
      <c r="Q30" s="494">
        <v>21771.120000000006</v>
      </c>
      <c r="R30" s="469">
        <v>32793</v>
      </c>
      <c r="S30" s="443">
        <f>'ОПЛАТИ 2023'!V130</f>
        <v>12681</v>
      </c>
      <c r="T30" s="584"/>
      <c r="U30" s="494">
        <v>19258.890000000025</v>
      </c>
      <c r="V30" s="469">
        <v>10490</v>
      </c>
      <c r="W30" s="443">
        <f>'ОПЛАТИ 2023'!AA130</f>
        <v>14698</v>
      </c>
      <c r="X30" s="584"/>
      <c r="Y30" s="494">
        <v>21444.459999999974</v>
      </c>
      <c r="Z30" s="469">
        <v>14113</v>
      </c>
      <c r="AA30" s="443">
        <f>'ОПЛАТИ 2023'!AF130</f>
        <v>14944</v>
      </c>
      <c r="AB30" s="584"/>
      <c r="AC30" s="494">
        <v>20898.27000000003</v>
      </c>
      <c r="AD30" s="469">
        <v>16316</v>
      </c>
      <c r="AE30" s="443">
        <f>'ОПЛАТИ 2023'!AK130</f>
        <v>15470</v>
      </c>
      <c r="AF30" s="584"/>
      <c r="AG30" s="494">
        <v>23428.049999999941</v>
      </c>
      <c r="AH30" s="469">
        <v>17625</v>
      </c>
      <c r="AI30" s="443">
        <f>'ОПЛАТИ 2023'!AP130</f>
        <v>16116</v>
      </c>
      <c r="AJ30" s="584"/>
      <c r="AK30" s="494">
        <v>20190.630000000005</v>
      </c>
      <c r="AL30" s="469">
        <v>16984</v>
      </c>
      <c r="AM30" s="443">
        <f>'ОПЛАТИ 2023'!AU130</f>
        <v>18240</v>
      </c>
      <c r="AN30" s="584"/>
      <c r="AO30" s="494">
        <v>18618</v>
      </c>
      <c r="AP30" s="469">
        <v>14033</v>
      </c>
      <c r="AQ30" s="443">
        <v>16935</v>
      </c>
      <c r="AR30" s="584"/>
      <c r="AS30" s="494">
        <v>19336</v>
      </c>
      <c r="AT30" s="469">
        <v>14010</v>
      </c>
      <c r="AU30" s="443">
        <f>'ОПЛАТИ 2023'!BE130</f>
        <v>15669</v>
      </c>
      <c r="AV30" s="584"/>
      <c r="AW30" s="490">
        <v>22176.520000000019</v>
      </c>
      <c r="AX30" s="494">
        <v>20029</v>
      </c>
      <c r="AY30" s="469">
        <v>14010</v>
      </c>
      <c r="AZ30" s="443">
        <f>'ОПЛАТИ 2023'!BJ130</f>
        <v>8896</v>
      </c>
      <c r="BA30" s="584"/>
      <c r="BB30" s="490">
        <v>23477.900000000023</v>
      </c>
      <c r="BC30" s="494"/>
      <c r="BD30" s="442">
        <f>'ОПЛАТИ 2023'!G130</f>
        <v>8252</v>
      </c>
      <c r="BE30" s="443">
        <f>'ОПЛАТИ 2023'!BO130</f>
        <v>21948</v>
      </c>
      <c r="BF30" s="584"/>
    </row>
    <row r="31" spans="1:58">
      <c r="B31" s="577" t="s">
        <v>397</v>
      </c>
      <c r="C31" s="13" t="s">
        <v>152</v>
      </c>
      <c r="D31" s="14" t="s">
        <v>153</v>
      </c>
      <c r="E31" s="15" t="s">
        <v>122</v>
      </c>
      <c r="F31" s="15">
        <v>24</v>
      </c>
      <c r="G31" s="441">
        <v>571</v>
      </c>
      <c r="H31" s="441">
        <v>357</v>
      </c>
      <c r="I31" s="499">
        <v>0</v>
      </c>
      <c r="J31" s="521">
        <v>18578</v>
      </c>
      <c r="K31" s="443">
        <f>'ОПЛАТИ 2023'!L135</f>
        <v>8647</v>
      </c>
      <c r="L31" s="574">
        <f>'ОПЛАТИ 2024-2025-2026 '!BU150</f>
        <v>18141</v>
      </c>
      <c r="M31" s="494">
        <v>0</v>
      </c>
      <c r="N31" s="469">
        <v>0</v>
      </c>
      <c r="O31" s="443">
        <f>'ОПЛАТИ 2023'!Q135</f>
        <v>13135</v>
      </c>
      <c r="P31" s="584"/>
      <c r="Q31" s="494">
        <v>24357</v>
      </c>
      <c r="R31" s="469">
        <v>0</v>
      </c>
      <c r="S31" s="443">
        <f>'ОПЛАТИ 2023'!V135</f>
        <v>12704</v>
      </c>
      <c r="T31" s="584"/>
      <c r="U31" s="494">
        <v>15508</v>
      </c>
      <c r="V31" s="469">
        <v>0</v>
      </c>
      <c r="W31" s="443">
        <f>'ОПЛАТИ 2023'!AA135</f>
        <v>13447</v>
      </c>
      <c r="X31" s="584"/>
      <c r="Y31" s="494">
        <v>19433</v>
      </c>
      <c r="Z31" s="469">
        <v>11708</v>
      </c>
      <c r="AA31" s="443">
        <f>'ОПЛАТИ 2023'!AF135</f>
        <v>15034</v>
      </c>
      <c r="AB31" s="584"/>
      <c r="AC31" s="494">
        <v>17517</v>
      </c>
      <c r="AD31" s="469">
        <v>15162</v>
      </c>
      <c r="AE31" s="443">
        <f>'ОПЛАТИ 2023'!AK130</f>
        <v>15470</v>
      </c>
      <c r="AF31" s="584"/>
      <c r="AG31" s="494">
        <v>21381.9</v>
      </c>
      <c r="AH31" s="469">
        <v>12707</v>
      </c>
      <c r="AI31" s="443">
        <f>'ОПЛАТИ 2023'!AP135</f>
        <v>14999</v>
      </c>
      <c r="AJ31" s="584"/>
      <c r="AK31" s="494">
        <v>14545.099999999999</v>
      </c>
      <c r="AL31" s="469">
        <v>16779</v>
      </c>
      <c r="AM31" s="443">
        <f>'ОПЛАТИ 2023'!AU135</f>
        <v>18093</v>
      </c>
      <c r="AN31" s="584"/>
      <c r="AO31" s="494">
        <v>17080</v>
      </c>
      <c r="AP31" s="469">
        <v>12345</v>
      </c>
      <c r="AQ31" s="443">
        <f>'ОПЛАТИ 2023'!AZ135</f>
        <v>15074</v>
      </c>
      <c r="AR31" s="584"/>
      <c r="AS31" s="494">
        <v>14962</v>
      </c>
      <c r="AT31" s="469">
        <v>11894</v>
      </c>
      <c r="AU31" s="443">
        <f>'ОПЛАТИ 2023'!BE135</f>
        <v>16331</v>
      </c>
      <c r="AV31" s="584"/>
      <c r="AW31" s="490"/>
      <c r="AX31" s="494">
        <v>17067</v>
      </c>
      <c r="AY31" s="469">
        <v>11894</v>
      </c>
      <c r="AZ31" s="443">
        <f>'ОПЛАТИ 2023'!BJ135</f>
        <v>14711</v>
      </c>
      <c r="BA31" s="584"/>
      <c r="BB31" s="490"/>
      <c r="BC31" s="494"/>
      <c r="BD31" s="442">
        <f>'ОПЛАТИ 2023'!G135</f>
        <v>6235</v>
      </c>
      <c r="BE31" s="443">
        <f>'ОПЛАТИ 2023'!BO135</f>
        <v>16049</v>
      </c>
      <c r="BF31" s="584"/>
    </row>
    <row r="32" spans="1:58" s="12" customFormat="1">
      <c r="B32" s="578"/>
      <c r="C32" s="456" t="s">
        <v>154</v>
      </c>
      <c r="D32" s="454" t="s">
        <v>85</v>
      </c>
      <c r="E32" s="455" t="s">
        <v>119</v>
      </c>
      <c r="F32" s="455">
        <v>24</v>
      </c>
      <c r="G32" s="449">
        <v>311</v>
      </c>
      <c r="H32" s="457">
        <v>212</v>
      </c>
      <c r="I32" s="500">
        <v>21160.79999999993</v>
      </c>
      <c r="J32" s="481">
        <v>16354</v>
      </c>
      <c r="K32" s="458"/>
      <c r="L32" s="575"/>
      <c r="M32" s="495">
        <v>18228.5</v>
      </c>
      <c r="N32" s="485">
        <v>0</v>
      </c>
      <c r="O32" s="458"/>
      <c r="P32" s="585"/>
      <c r="Q32" s="495">
        <v>18228.5</v>
      </c>
      <c r="R32" s="485">
        <v>0</v>
      </c>
      <c r="S32" s="458"/>
      <c r="T32" s="585"/>
      <c r="U32" s="495">
        <v>16885.199999999953</v>
      </c>
      <c r="V32" s="485">
        <v>0</v>
      </c>
      <c r="W32" s="458"/>
      <c r="X32" s="585"/>
      <c r="Y32" s="495">
        <v>16885.199999999953</v>
      </c>
      <c r="Z32" s="485">
        <v>0</v>
      </c>
      <c r="AA32" s="458"/>
      <c r="AB32" s="585"/>
      <c r="AC32" s="495">
        <v>19053.300000000047</v>
      </c>
      <c r="AD32" s="485">
        <v>0</v>
      </c>
      <c r="AE32" s="458"/>
      <c r="AF32" s="585"/>
      <c r="AG32" s="495">
        <v>19000</v>
      </c>
      <c r="AH32" s="485">
        <v>0</v>
      </c>
      <c r="AI32" s="458"/>
      <c r="AJ32" s="585"/>
      <c r="AK32" s="495">
        <v>0</v>
      </c>
      <c r="AL32" s="485">
        <v>0</v>
      </c>
      <c r="AM32" s="458"/>
      <c r="AN32" s="585"/>
      <c r="AO32" s="495">
        <v>3324</v>
      </c>
      <c r="AP32" s="485">
        <v>0</v>
      </c>
      <c r="AQ32" s="458"/>
      <c r="AR32" s="585"/>
      <c r="AS32" s="495">
        <v>14707</v>
      </c>
      <c r="AT32" s="485">
        <v>0</v>
      </c>
      <c r="AU32" s="458"/>
      <c r="AV32" s="585"/>
      <c r="AW32" s="491">
        <v>0</v>
      </c>
      <c r="AX32" s="495">
        <v>14769</v>
      </c>
      <c r="AY32" s="485">
        <v>0</v>
      </c>
      <c r="AZ32" s="458"/>
      <c r="BA32" s="585"/>
      <c r="BB32" s="491">
        <v>21160.79999999993</v>
      </c>
      <c r="BC32" s="495"/>
      <c r="BD32" s="458"/>
      <c r="BE32" s="458"/>
      <c r="BF32" s="585"/>
    </row>
    <row r="33" spans="1:63" s="12" customFormat="1">
      <c r="B33" s="578"/>
      <c r="C33" s="461" t="s">
        <v>114</v>
      </c>
      <c r="D33" s="462" t="s">
        <v>87</v>
      </c>
      <c r="E33" s="463" t="s">
        <v>122</v>
      </c>
      <c r="F33" s="463">
        <v>24</v>
      </c>
      <c r="G33" s="449">
        <v>4486</v>
      </c>
      <c r="H33" s="449">
        <v>1853</v>
      </c>
      <c r="I33" s="499">
        <v>138032.40000000005</v>
      </c>
      <c r="J33" s="521">
        <v>160400</v>
      </c>
      <c r="K33" s="450"/>
      <c r="L33" s="574"/>
      <c r="M33" s="494">
        <v>144070.99999999991</v>
      </c>
      <c r="N33" s="469">
        <v>0</v>
      </c>
      <c r="O33" s="450"/>
      <c r="P33" s="584"/>
      <c r="Q33" s="494">
        <v>142163.20000000013</v>
      </c>
      <c r="R33" s="469">
        <v>0</v>
      </c>
      <c r="S33" s="450"/>
      <c r="T33" s="584"/>
      <c r="U33" s="494">
        <v>128479.4</v>
      </c>
      <c r="V33" s="469">
        <v>0</v>
      </c>
      <c r="W33" s="450"/>
      <c r="X33" s="584"/>
      <c r="Y33" s="494">
        <v>134613.99999999994</v>
      </c>
      <c r="Z33" s="469">
        <v>0</v>
      </c>
      <c r="AA33" s="450"/>
      <c r="AB33" s="584"/>
      <c r="AC33" s="494">
        <v>142200</v>
      </c>
      <c r="AD33" s="469">
        <v>0</v>
      </c>
      <c r="AE33" s="450"/>
      <c r="AF33" s="584"/>
      <c r="AG33" s="494">
        <v>158000</v>
      </c>
      <c r="AH33" s="469">
        <v>0</v>
      </c>
      <c r="AI33" s="450"/>
      <c r="AJ33" s="584"/>
      <c r="AK33" s="494">
        <v>134800</v>
      </c>
      <c r="AL33" s="469">
        <v>0</v>
      </c>
      <c r="AM33" s="450"/>
      <c r="AN33" s="584"/>
      <c r="AO33" s="494">
        <v>0</v>
      </c>
      <c r="AP33" s="469">
        <v>0</v>
      </c>
      <c r="AQ33" s="450"/>
      <c r="AR33" s="584"/>
      <c r="AS33" s="494">
        <v>146320</v>
      </c>
      <c r="AT33" s="469">
        <v>0</v>
      </c>
      <c r="AU33" s="450"/>
      <c r="AV33" s="584"/>
      <c r="AW33" s="490">
        <v>149408</v>
      </c>
      <c r="AX33" s="494">
        <v>138400</v>
      </c>
      <c r="AY33" s="469">
        <v>0</v>
      </c>
      <c r="AZ33" s="450"/>
      <c r="BA33" s="584"/>
      <c r="BB33" s="490">
        <v>204723.00000000003</v>
      </c>
      <c r="BC33" s="494"/>
      <c r="BD33" s="450"/>
      <c r="BE33" s="450"/>
      <c r="BF33" s="584"/>
    </row>
    <row r="34" spans="1:63" s="12" customFormat="1">
      <c r="B34" s="578"/>
      <c r="C34" s="461" t="s">
        <v>111</v>
      </c>
      <c r="D34" s="454" t="s">
        <v>155</v>
      </c>
      <c r="E34" s="455" t="s">
        <v>250</v>
      </c>
      <c r="F34" s="455">
        <v>24</v>
      </c>
      <c r="G34" s="449">
        <v>294.39999999999998</v>
      </c>
      <c r="H34" s="449">
        <v>190.5</v>
      </c>
      <c r="I34" s="499">
        <v>16098.36</v>
      </c>
      <c r="J34" s="521">
        <v>19639</v>
      </c>
      <c r="K34" s="450"/>
      <c r="L34" s="574"/>
      <c r="M34" s="494">
        <v>17318.259999999995</v>
      </c>
      <c r="N34" s="469">
        <v>0</v>
      </c>
      <c r="O34" s="450"/>
      <c r="P34" s="584"/>
      <c r="Q34" s="494">
        <v>20464.170000000013</v>
      </c>
      <c r="R34" s="469">
        <v>0</v>
      </c>
      <c r="S34" s="450"/>
      <c r="T34" s="584"/>
      <c r="U34" s="494">
        <v>25516.979999999981</v>
      </c>
      <c r="V34" s="469">
        <v>0</v>
      </c>
      <c r="W34" s="450"/>
      <c r="X34" s="584"/>
      <c r="Y34" s="494">
        <v>11657.190000000002</v>
      </c>
      <c r="Z34" s="469">
        <v>0</v>
      </c>
      <c r="AA34" s="450"/>
      <c r="AB34" s="584"/>
      <c r="AC34" s="494">
        <v>17266.600000000006</v>
      </c>
      <c r="AD34" s="469">
        <v>0</v>
      </c>
      <c r="AE34" s="450"/>
      <c r="AF34" s="584"/>
      <c r="AG34" s="494">
        <v>19402.880000000005</v>
      </c>
      <c r="AH34" s="469">
        <v>0</v>
      </c>
      <c r="AI34" s="450"/>
      <c r="AJ34" s="584"/>
      <c r="AK34" s="494">
        <v>16504.340000000026</v>
      </c>
      <c r="AL34" s="469">
        <v>0</v>
      </c>
      <c r="AM34" s="450"/>
      <c r="AN34" s="584"/>
      <c r="AO34" s="494">
        <v>16761</v>
      </c>
      <c r="AP34" s="469">
        <v>0</v>
      </c>
      <c r="AQ34" s="450"/>
      <c r="AR34" s="584"/>
      <c r="AS34" s="494">
        <v>17575</v>
      </c>
      <c r="AT34" s="469">
        <v>0</v>
      </c>
      <c r="AU34" s="450"/>
      <c r="AV34" s="584"/>
      <c r="AW34" s="490">
        <v>16269.160000000003</v>
      </c>
      <c r="AX34" s="494">
        <v>16504</v>
      </c>
      <c r="AY34" s="469">
        <v>0</v>
      </c>
      <c r="AZ34" s="450"/>
      <c r="BA34" s="584"/>
      <c r="BB34" s="490">
        <v>0</v>
      </c>
      <c r="BC34" s="494"/>
      <c r="BD34" s="450"/>
      <c r="BE34" s="450"/>
      <c r="BF34" s="584"/>
    </row>
    <row r="35" spans="1:63">
      <c r="B35" s="577"/>
      <c r="C35" s="13" t="s">
        <v>156</v>
      </c>
      <c r="D35" s="14"/>
      <c r="E35" s="15"/>
      <c r="F35" s="15"/>
      <c r="G35" s="441"/>
      <c r="H35" s="441"/>
      <c r="I35" s="499"/>
      <c r="J35" s="480"/>
      <c r="K35" s="443"/>
      <c r="L35" s="574"/>
      <c r="M35" s="494"/>
      <c r="N35" s="469"/>
      <c r="O35" s="443"/>
      <c r="P35" s="584"/>
      <c r="Q35" s="494"/>
      <c r="R35" s="469"/>
      <c r="S35" s="443"/>
      <c r="T35" s="584"/>
      <c r="U35" s="494"/>
      <c r="V35" s="469"/>
      <c r="W35" s="443"/>
      <c r="X35" s="584"/>
      <c r="Y35" s="494"/>
      <c r="Z35" s="469"/>
      <c r="AA35" s="443"/>
      <c r="AB35" s="584"/>
      <c r="AC35" s="494"/>
      <c r="AD35" s="469"/>
      <c r="AE35" s="443"/>
      <c r="AF35" s="584"/>
      <c r="AG35" s="494"/>
      <c r="AH35" s="469"/>
      <c r="AI35" s="443"/>
      <c r="AJ35" s="584"/>
      <c r="AK35" s="494"/>
      <c r="AL35" s="469"/>
      <c r="AM35" s="443"/>
      <c r="AN35" s="584"/>
      <c r="AO35" s="494"/>
      <c r="AP35" s="469"/>
      <c r="AQ35" s="443"/>
      <c r="AR35" s="584"/>
      <c r="AS35" s="494"/>
      <c r="AT35" s="469"/>
      <c r="AU35" s="443"/>
      <c r="AV35" s="584"/>
      <c r="AW35" s="490"/>
      <c r="AX35" s="494"/>
      <c r="AY35" s="469"/>
      <c r="AZ35" s="443"/>
      <c r="BA35" s="584"/>
      <c r="BB35" s="490"/>
      <c r="BC35" s="494"/>
      <c r="BD35" s="442"/>
      <c r="BE35" s="443"/>
      <c r="BF35" s="584"/>
    </row>
    <row r="36" spans="1:63">
      <c r="B36" s="577" t="s">
        <v>397</v>
      </c>
      <c r="C36" s="13" t="s">
        <v>157</v>
      </c>
      <c r="D36" s="14" t="s">
        <v>158</v>
      </c>
      <c r="E36" s="15" t="s">
        <v>122</v>
      </c>
      <c r="F36" s="15">
        <v>24</v>
      </c>
      <c r="G36" s="441">
        <v>572</v>
      </c>
      <c r="H36" s="441">
        <v>330</v>
      </c>
      <c r="I36" s="499">
        <v>25944.709999999977</v>
      </c>
      <c r="J36" s="521">
        <v>20781</v>
      </c>
      <c r="K36" s="443">
        <f>'ОПЛАТИ 2023'!L152</f>
        <v>14912</v>
      </c>
      <c r="L36" s="574">
        <f>'ОПЛАТИ 2024-2025-2026 '!BU172</f>
        <v>22903</v>
      </c>
      <c r="M36" s="494">
        <v>20162.570000000022</v>
      </c>
      <c r="N36" s="469">
        <v>0</v>
      </c>
      <c r="O36" s="443">
        <f>'ОПЛАТИ 2023'!Q152</f>
        <v>15822</v>
      </c>
      <c r="P36" s="584"/>
      <c r="Q36" s="494">
        <v>20162.570000000022</v>
      </c>
      <c r="R36" s="469">
        <v>8630</v>
      </c>
      <c r="S36" s="443">
        <f>'ОПЛАТИ 2023'!V152</f>
        <v>18157</v>
      </c>
      <c r="T36" s="584"/>
      <c r="U36" s="494">
        <v>19166.190000000002</v>
      </c>
      <c r="V36" s="469">
        <v>0</v>
      </c>
      <c r="W36" s="443">
        <f>'ОПЛАТИ 2023'!AA152</f>
        <v>14993</v>
      </c>
      <c r="X36" s="584"/>
      <c r="Y36" s="494">
        <v>19166.190000000002</v>
      </c>
      <c r="Z36" s="469">
        <v>11788</v>
      </c>
      <c r="AA36" s="443">
        <f>'ОПЛАТИ 2023'!AF152</f>
        <v>17436</v>
      </c>
      <c r="AB36" s="584"/>
      <c r="AC36" s="494">
        <v>18254.149999999994</v>
      </c>
      <c r="AD36" s="469">
        <v>17179</v>
      </c>
      <c r="AE36" s="443">
        <f>'ОПЛАТИ 2023'!AK152</f>
        <v>15873</v>
      </c>
      <c r="AF36" s="584"/>
      <c r="AG36" s="494">
        <v>18254.149999999994</v>
      </c>
      <c r="AH36" s="469">
        <v>18263</v>
      </c>
      <c r="AI36" s="443">
        <f>'ОПЛАТИ 2023'!AP152</f>
        <v>18535</v>
      </c>
      <c r="AJ36" s="584"/>
      <c r="AK36" s="494">
        <v>39125.900000000009</v>
      </c>
      <c r="AL36" s="469">
        <v>19656</v>
      </c>
      <c r="AM36" s="443">
        <f>'ОПЛАТИ 2023'!AU152</f>
        <v>18377</v>
      </c>
      <c r="AN36" s="584"/>
      <c r="AO36" s="494">
        <v>17666</v>
      </c>
      <c r="AP36" s="469">
        <v>11574</v>
      </c>
      <c r="AQ36" s="443">
        <v>18285</v>
      </c>
      <c r="AR36" s="584"/>
      <c r="AS36" s="494">
        <v>17666</v>
      </c>
      <c r="AT36" s="469">
        <v>13923</v>
      </c>
      <c r="AU36" s="443">
        <f>'ОПЛАТИ 2023'!BE152</f>
        <v>16616</v>
      </c>
      <c r="AV36" s="584"/>
      <c r="AW36" s="490">
        <v>21212.190000000002</v>
      </c>
      <c r="AX36" s="494">
        <v>17983</v>
      </c>
      <c r="AY36" s="469">
        <v>13923</v>
      </c>
      <c r="AZ36" s="443">
        <f>'ОПЛАТИ 2023'!BJ152</f>
        <v>16321</v>
      </c>
      <c r="BA36" s="584"/>
      <c r="BB36" s="490">
        <v>25944.709999999977</v>
      </c>
      <c r="BC36" s="494"/>
      <c r="BD36" s="442">
        <f>'ОПЛАТИ 2023'!G152</f>
        <v>9312</v>
      </c>
      <c r="BE36" s="443">
        <f>'ОПЛАТИ 2023'!BO152</f>
        <v>20010</v>
      </c>
      <c r="BF36" s="584"/>
    </row>
    <row r="37" spans="1:63">
      <c r="B37" s="577" t="s">
        <v>397</v>
      </c>
      <c r="C37" s="13" t="s">
        <v>159</v>
      </c>
      <c r="D37" s="14" t="s">
        <v>160</v>
      </c>
      <c r="E37" s="15" t="s">
        <v>122</v>
      </c>
      <c r="F37" s="15">
        <v>24</v>
      </c>
      <c r="G37" s="441">
        <v>385</v>
      </c>
      <c r="H37" s="441">
        <v>233</v>
      </c>
      <c r="I37" s="499">
        <v>22622.800000000047</v>
      </c>
      <c r="J37" s="521">
        <v>22625</v>
      </c>
      <c r="K37" s="443">
        <f>'ОПЛАТИ 2023'!L156</f>
        <v>8187</v>
      </c>
      <c r="L37" s="574">
        <f>'ОПЛАТИ 2024-2025-2026 '!BU176</f>
        <v>15733</v>
      </c>
      <c r="M37" s="494">
        <v>19134.300000000047</v>
      </c>
      <c r="N37" s="469">
        <v>0</v>
      </c>
      <c r="O37" s="443">
        <f>'ОПЛАТИ 2023'!Q156</f>
        <v>10449</v>
      </c>
      <c r="P37" s="584"/>
      <c r="Q37" s="494">
        <v>19308.29999999993</v>
      </c>
      <c r="R37" s="469">
        <v>7158</v>
      </c>
      <c r="S37" s="443">
        <f>'ОПЛАТИ 2023'!V156</f>
        <v>11639</v>
      </c>
      <c r="T37" s="584"/>
      <c r="U37" s="494">
        <v>14657</v>
      </c>
      <c r="V37" s="469">
        <v>6645</v>
      </c>
      <c r="W37" s="443">
        <f>'ОПЛАТИ 2023'!AA156</f>
        <v>12579</v>
      </c>
      <c r="X37" s="584"/>
      <c r="Y37" s="494">
        <v>15744.20000000007</v>
      </c>
      <c r="Z37" s="469">
        <v>12473</v>
      </c>
      <c r="AA37" s="443">
        <f>'ОПЛАТИ 2023'!AF156</f>
        <v>13835</v>
      </c>
      <c r="AB37" s="584"/>
      <c r="AC37" s="494">
        <v>17145.199999999953</v>
      </c>
      <c r="AD37" s="469">
        <v>14524</v>
      </c>
      <c r="AE37" s="443">
        <f>'ОПЛАТИ 2023'!AK156</f>
        <v>13507</v>
      </c>
      <c r="AF37" s="584"/>
      <c r="AG37" s="494">
        <v>21264.400000000023</v>
      </c>
      <c r="AH37" s="469">
        <v>14970</v>
      </c>
      <c r="AI37" s="443">
        <f>'ОПЛАТИ 2023'!AP156</f>
        <v>14811</v>
      </c>
      <c r="AJ37" s="584"/>
      <c r="AK37" s="494">
        <v>15845</v>
      </c>
      <c r="AL37" s="469">
        <v>14426</v>
      </c>
      <c r="AM37" s="443">
        <f>'ОПЛАТИ 2023'!AU156</f>
        <v>14798</v>
      </c>
      <c r="AN37" s="584"/>
      <c r="AO37" s="494">
        <v>15000</v>
      </c>
      <c r="AP37" s="469">
        <v>12250</v>
      </c>
      <c r="AQ37" s="443">
        <f>'ОПЛАТИ 2023'!AZ156</f>
        <v>13498</v>
      </c>
      <c r="AR37" s="584"/>
      <c r="AS37" s="494">
        <v>15713</v>
      </c>
      <c r="AT37" s="469">
        <v>11366</v>
      </c>
      <c r="AU37" s="443">
        <f>'ОПЛАТИ 2023'!BE156</f>
        <v>12199</v>
      </c>
      <c r="AV37" s="584"/>
      <c r="AW37" s="490">
        <v>16927.29999999993</v>
      </c>
      <c r="AX37" s="494">
        <v>15845</v>
      </c>
      <c r="AY37" s="469">
        <v>11366</v>
      </c>
      <c r="AZ37" s="443">
        <f>'ОПЛАТИ 2023'!BJ156</f>
        <v>11569</v>
      </c>
      <c r="BA37" s="584"/>
      <c r="BB37" s="490">
        <v>20224.5</v>
      </c>
      <c r="BC37" s="494"/>
      <c r="BD37" s="442">
        <f>'ОПЛАТИ 2023'!G156</f>
        <v>7152</v>
      </c>
      <c r="BE37" s="443">
        <f>'ОПЛАТИ 2023'!BO156</f>
        <v>13850</v>
      </c>
      <c r="BF37" s="584"/>
    </row>
    <row r="38" spans="1:63">
      <c r="A38" t="s">
        <v>425</v>
      </c>
      <c r="B38" s="577" t="s">
        <v>398</v>
      </c>
      <c r="C38" s="598" t="s">
        <v>161</v>
      </c>
      <c r="D38" s="606" t="s">
        <v>162</v>
      </c>
      <c r="E38" s="447" t="s">
        <v>249</v>
      </c>
      <c r="F38" s="607" t="s">
        <v>432</v>
      </c>
      <c r="G38" s="441">
        <v>1206</v>
      </c>
      <c r="H38" s="441">
        <v>725</v>
      </c>
      <c r="I38" s="499">
        <v>0</v>
      </c>
      <c r="J38" s="480">
        <v>0</v>
      </c>
      <c r="K38" s="443">
        <v>0</v>
      </c>
      <c r="L38" s="574">
        <f>'ОПЛАТИ 2024-2025-2026 '!BU182</f>
        <v>26572</v>
      </c>
      <c r="M38" s="494">
        <v>0</v>
      </c>
      <c r="N38" s="469"/>
      <c r="O38" s="443">
        <v>0</v>
      </c>
      <c r="P38" s="584"/>
      <c r="Q38" s="494">
        <v>0</v>
      </c>
      <c r="R38" s="469"/>
      <c r="S38" s="443">
        <v>0</v>
      </c>
      <c r="T38" s="584"/>
      <c r="U38" s="494">
        <v>0</v>
      </c>
      <c r="V38" s="469"/>
      <c r="W38" s="443">
        <v>0</v>
      </c>
      <c r="X38" s="584"/>
      <c r="Y38" s="494">
        <v>0</v>
      </c>
      <c r="Z38" s="469"/>
      <c r="AA38" s="443">
        <v>0</v>
      </c>
      <c r="AB38" s="584"/>
      <c r="AC38" s="494"/>
      <c r="AD38" s="469"/>
      <c r="AE38" s="443">
        <f>'ОПЛАТИ 2023'!AK162</f>
        <v>0</v>
      </c>
      <c r="AF38" s="584"/>
      <c r="AG38" s="494">
        <v>0</v>
      </c>
      <c r="AH38" s="469"/>
      <c r="AI38" s="443">
        <f>'ОПЛАТИ 2023'!AP162</f>
        <v>0</v>
      </c>
      <c r="AJ38" s="584"/>
      <c r="AK38" s="494"/>
      <c r="AL38" s="469"/>
      <c r="AM38" s="443">
        <f>'ОПЛАТИ 2023'!AU162</f>
        <v>0</v>
      </c>
      <c r="AN38" s="584"/>
      <c r="AO38" s="494">
        <v>0</v>
      </c>
      <c r="AP38" s="469"/>
      <c r="AQ38" s="443">
        <f>'ОПЛАТИ 2023'!AZ162</f>
        <v>0</v>
      </c>
      <c r="AR38" s="584"/>
      <c r="AS38" s="494"/>
      <c r="AT38" s="469"/>
      <c r="AU38" s="443">
        <f>'ОПЛАТИ 2023'!BE162</f>
        <v>2770</v>
      </c>
      <c r="AV38" s="584"/>
      <c r="AW38" s="490"/>
      <c r="AX38" s="494"/>
      <c r="AY38" s="469"/>
      <c r="AZ38" s="443">
        <f>'ОПЛАТИ 2023'!BJ162</f>
        <v>15324</v>
      </c>
      <c r="BA38" s="584"/>
      <c r="BB38" s="490">
        <v>0</v>
      </c>
      <c r="BC38" s="494"/>
      <c r="BD38" s="442">
        <v>0</v>
      </c>
      <c r="BE38" s="443">
        <f>'ОПЛАТИ 2023'!BO162</f>
        <v>19575</v>
      </c>
      <c r="BF38" s="584"/>
    </row>
    <row r="39" spans="1:63">
      <c r="B39" s="577" t="s">
        <v>397</v>
      </c>
      <c r="C39" s="13" t="s">
        <v>163</v>
      </c>
      <c r="D39" s="14" t="s">
        <v>95</v>
      </c>
      <c r="E39" s="15" t="s">
        <v>122</v>
      </c>
      <c r="F39" s="15">
        <v>24</v>
      </c>
      <c r="G39" s="441">
        <v>841</v>
      </c>
      <c r="H39" s="441">
        <v>530</v>
      </c>
      <c r="I39" s="499">
        <v>64843</v>
      </c>
      <c r="J39" s="480">
        <v>0</v>
      </c>
      <c r="K39" s="443">
        <f>'ОПЛАТИ 2023'!L167</f>
        <v>24482.62</v>
      </c>
      <c r="L39" s="574">
        <f>'ОПЛАТИ 2024-2025-2026 '!BU187</f>
        <v>35189.86</v>
      </c>
      <c r="M39" s="494">
        <v>0</v>
      </c>
      <c r="N39" s="469"/>
      <c r="O39" s="443">
        <f>'ОПЛАТИ 2023'!Q167</f>
        <v>27441</v>
      </c>
      <c r="P39" s="584"/>
      <c r="Q39" s="494">
        <v>0</v>
      </c>
      <c r="R39" s="469"/>
      <c r="S39" s="443">
        <f>'ОПЛАТИ 2023'!V167</f>
        <v>28694.63</v>
      </c>
      <c r="T39" s="584"/>
      <c r="U39" s="494">
        <v>0</v>
      </c>
      <c r="V39" s="469"/>
      <c r="W39" s="443">
        <f>'ОПЛАТИ 2023'!AA167</f>
        <v>29189.86</v>
      </c>
      <c r="X39" s="584"/>
      <c r="Y39" s="494">
        <v>0</v>
      </c>
      <c r="Z39" s="469"/>
      <c r="AA39" s="443">
        <f>'ОПЛАТИ 2023'!AF167</f>
        <v>32848.980000000003</v>
      </c>
      <c r="AB39" s="584"/>
      <c r="AC39" s="494">
        <v>0</v>
      </c>
      <c r="AD39" s="469"/>
      <c r="AE39" s="443">
        <f>'ОПЛАТИ 2023'!AK167</f>
        <v>31782.1</v>
      </c>
      <c r="AF39" s="584"/>
      <c r="AG39" s="494">
        <v>0</v>
      </c>
      <c r="AH39" s="469"/>
      <c r="AI39" s="459">
        <f>'ОПЛАТИ 2023'!AP167</f>
        <v>33909.17</v>
      </c>
      <c r="AJ39" s="586"/>
      <c r="AK39" s="501">
        <v>0</v>
      </c>
      <c r="AL39" s="486"/>
      <c r="AM39" s="459">
        <f>'ОПЛАТИ 2023'!AU167</f>
        <v>36102.94</v>
      </c>
      <c r="AN39" s="586"/>
      <c r="AO39" s="501">
        <v>0</v>
      </c>
      <c r="AP39" s="486"/>
      <c r="AQ39" s="443">
        <f>'ОПЛАТИ 2023'!AZ167</f>
        <v>33541.17</v>
      </c>
      <c r="AR39" s="584"/>
      <c r="AS39" s="494">
        <v>29035</v>
      </c>
      <c r="AT39" s="469"/>
      <c r="AU39" s="443">
        <f>'ОПЛАТИ 2023'!BE167</f>
        <v>32016.16</v>
      </c>
      <c r="AV39" s="584"/>
      <c r="AW39" s="490">
        <v>0</v>
      </c>
      <c r="AX39" s="494">
        <v>40006</v>
      </c>
      <c r="AY39" s="469"/>
      <c r="AZ39" s="459">
        <f>'ОПЛАТИ 2023'!BJ167</f>
        <v>33677.74</v>
      </c>
      <c r="BA39" s="586"/>
      <c r="BB39" s="505">
        <v>0</v>
      </c>
      <c r="BC39" s="501"/>
      <c r="BD39" s="442">
        <f>'ОПЛАТИ 2023'!G167</f>
        <v>20406.21</v>
      </c>
      <c r="BE39" s="459">
        <f>'ОПЛАТИ 2023'!BO167</f>
        <v>37035.269</v>
      </c>
      <c r="BF39" s="586"/>
    </row>
    <row r="40" spans="1:63">
      <c r="B40" s="577" t="s">
        <v>397</v>
      </c>
      <c r="C40" s="13" t="s">
        <v>164</v>
      </c>
      <c r="D40" s="14" t="s">
        <v>165</v>
      </c>
      <c r="E40" s="15" t="s">
        <v>122</v>
      </c>
      <c r="F40" s="15" t="s">
        <v>248</v>
      </c>
      <c r="G40" s="441">
        <v>1008</v>
      </c>
      <c r="H40" s="441">
        <v>568</v>
      </c>
      <c r="I40" s="499">
        <v>22599.000000000007</v>
      </c>
      <c r="J40" s="521">
        <v>37360</v>
      </c>
      <c r="K40" s="443">
        <f>'ОПЛАТИ 2023'!L172</f>
        <v>14080</v>
      </c>
      <c r="L40" s="574">
        <f>'ОПЛАТИ 2024-2025-2026 '!BU192</f>
        <v>35680</v>
      </c>
      <c r="M40" s="494">
        <v>22955.999999999993</v>
      </c>
      <c r="N40" s="469">
        <v>0</v>
      </c>
      <c r="O40" s="443">
        <f>'ОПЛАТИ 2023'!Q172</f>
        <v>19560</v>
      </c>
      <c r="P40" s="584"/>
      <c r="Q40" s="494">
        <v>24812.999999999985</v>
      </c>
      <c r="R40" s="469">
        <v>0</v>
      </c>
      <c r="S40" s="443">
        <f>'ОПЛАТИ 2023'!V172</f>
        <v>31720</v>
      </c>
      <c r="T40" s="584"/>
      <c r="U40" s="494">
        <v>22002.000000000044</v>
      </c>
      <c r="V40" s="469">
        <v>0</v>
      </c>
      <c r="W40" s="443">
        <f>'ОПЛАТИ 2023'!AA172</f>
        <v>25240</v>
      </c>
      <c r="X40" s="584"/>
      <c r="Y40" s="494">
        <v>27788.999999999978</v>
      </c>
      <c r="Z40" s="469">
        <v>0</v>
      </c>
      <c r="AA40" s="443">
        <f>'ОПЛАТИ 2023'!AF172</f>
        <v>30920</v>
      </c>
      <c r="AB40" s="584"/>
      <c r="AC40" s="494">
        <v>28391.999999999989</v>
      </c>
      <c r="AD40" s="469">
        <v>0</v>
      </c>
      <c r="AE40" s="443">
        <f>'ОПЛАТИ 2023'!AK172</f>
        <v>34160</v>
      </c>
      <c r="AF40" s="584"/>
      <c r="AG40" s="494">
        <v>30881.999999999989</v>
      </c>
      <c r="AH40" s="469">
        <v>0</v>
      </c>
      <c r="AI40" s="443">
        <f>'ОПЛАТИ 2023'!AP172</f>
        <v>38120</v>
      </c>
      <c r="AJ40" s="584"/>
      <c r="AK40" s="494">
        <v>35880</v>
      </c>
      <c r="AL40" s="469">
        <v>0</v>
      </c>
      <c r="AM40" s="443">
        <f>'ОПЛАТИ 2023'!AU172</f>
        <v>35640</v>
      </c>
      <c r="AN40" s="584"/>
      <c r="AO40" s="494">
        <v>33888</v>
      </c>
      <c r="AP40" s="469">
        <v>23936</v>
      </c>
      <c r="AQ40" s="443">
        <f>'ОПЛАТИ 2023'!AZ172</f>
        <v>35960</v>
      </c>
      <c r="AR40" s="584"/>
      <c r="AS40" s="494">
        <v>33632</v>
      </c>
      <c r="AT40" s="469">
        <v>0</v>
      </c>
      <c r="AU40" s="443">
        <f>'ОПЛАТИ 2023'!BE172</f>
        <v>33200</v>
      </c>
      <c r="AV40" s="584"/>
      <c r="AW40" s="490">
        <v>20229.000000000007</v>
      </c>
      <c r="AX40" s="494">
        <v>35880</v>
      </c>
      <c r="AY40" s="469">
        <v>0</v>
      </c>
      <c r="AZ40" s="443">
        <f>'ОПЛАТИ 2023'!BJ172</f>
        <v>30760</v>
      </c>
      <c r="BA40" s="584"/>
      <c r="BB40" s="490">
        <v>25841.999999999989</v>
      </c>
      <c r="BC40" s="494"/>
      <c r="BD40" s="442">
        <f>'ОПЛАТИ 2023'!G172</f>
        <v>18680</v>
      </c>
      <c r="BE40" s="443">
        <f>'ОПЛАТИ 2023'!BO172</f>
        <v>27000</v>
      </c>
      <c r="BF40" s="584"/>
    </row>
    <row r="41" spans="1:63">
      <c r="A41" t="s">
        <v>426</v>
      </c>
      <c r="B41" s="577" t="s">
        <v>398</v>
      </c>
      <c r="C41" s="445" t="s">
        <v>166</v>
      </c>
      <c r="D41" s="453" t="s">
        <v>167</v>
      </c>
      <c r="E41" s="447" t="s">
        <v>249</v>
      </c>
      <c r="F41" s="447">
        <v>24</v>
      </c>
      <c r="G41" s="441">
        <v>1006</v>
      </c>
      <c r="H41" s="441">
        <v>485</v>
      </c>
      <c r="I41" s="499">
        <v>66735.599999999904</v>
      </c>
      <c r="J41" s="521">
        <v>69227</v>
      </c>
      <c r="K41" s="443">
        <f>'ОПЛАТИ 2023'!L175</f>
        <v>54176</v>
      </c>
      <c r="L41" s="574">
        <f>'ОПЛАТИ 2024-2025-2026 '!BU196</f>
        <v>59721</v>
      </c>
      <c r="M41" s="494">
        <v>68456.999999999825</v>
      </c>
      <c r="N41" s="469">
        <v>0</v>
      </c>
      <c r="O41" s="443">
        <f>'ОПЛАТИ 2023'!Q175</f>
        <v>46635</v>
      </c>
      <c r="P41" s="584"/>
      <c r="Q41" s="494">
        <v>65857.740000000267</v>
      </c>
      <c r="R41" s="469">
        <v>94124</v>
      </c>
      <c r="S41" s="443">
        <f>'ОПЛАТИ 2023'!V175</f>
        <v>50251</v>
      </c>
      <c r="T41" s="584"/>
      <c r="U41" s="494">
        <v>48092.459999999846</v>
      </c>
      <c r="V41" s="469">
        <v>30526</v>
      </c>
      <c r="W41" s="443">
        <f>'ОПЛАТИ 2023'!AA175</f>
        <v>42920</v>
      </c>
      <c r="X41" s="584"/>
      <c r="Y41" s="494">
        <v>50278.800000000192</v>
      </c>
      <c r="Z41" s="469">
        <v>38540</v>
      </c>
      <c r="AA41" s="443">
        <f>'ОПЛАТИ 2023'!AF175</f>
        <v>41203</v>
      </c>
      <c r="AB41" s="584"/>
      <c r="AC41" s="494">
        <v>47782.799999999843</v>
      </c>
      <c r="AD41" s="469">
        <v>40735</v>
      </c>
      <c r="AE41" s="443">
        <f>'ОПЛАТИ 2023'!AK175</f>
        <v>55304</v>
      </c>
      <c r="AF41" s="584"/>
      <c r="AG41" s="494">
        <v>47782.799999999843</v>
      </c>
      <c r="AH41" s="469">
        <v>44488</v>
      </c>
      <c r="AI41" s="443">
        <f>'ОПЛАТИ 2023'!AP175</f>
        <v>43649</v>
      </c>
      <c r="AJ41" s="584"/>
      <c r="AK41" s="494">
        <v>56587.859999999637</v>
      </c>
      <c r="AL41" s="469">
        <v>44659</v>
      </c>
      <c r="AM41" s="443">
        <f>'ОПЛАТИ 2023'!AU175</f>
        <v>61971</v>
      </c>
      <c r="AN41" s="584"/>
      <c r="AO41" s="494">
        <v>50686</v>
      </c>
      <c r="AP41" s="469">
        <v>41472</v>
      </c>
      <c r="AQ41" s="443">
        <f>'ОПЛАТИ 2023'!AZ175</f>
        <v>41189</v>
      </c>
      <c r="AR41" s="584"/>
      <c r="AS41" s="494">
        <v>52349</v>
      </c>
      <c r="AT41" s="469">
        <v>46369</v>
      </c>
      <c r="AU41" s="443">
        <f>'ОПЛАТИ 2023'!BE175</f>
        <v>41363</v>
      </c>
      <c r="AV41" s="584"/>
      <c r="AW41" s="490">
        <v>54355.799999999799</v>
      </c>
      <c r="AX41" s="494">
        <v>56588</v>
      </c>
      <c r="AY41" s="469">
        <v>46369</v>
      </c>
      <c r="AZ41" s="443">
        <f>'ОПЛАТИ 2023'!BJ175</f>
        <v>47258</v>
      </c>
      <c r="BA41" s="584"/>
      <c r="BB41" s="490">
        <v>71052.600000000166</v>
      </c>
      <c r="BC41" s="494"/>
      <c r="BD41" s="442">
        <f>'ОПЛАТИ 2023'!G175</f>
        <v>44800</v>
      </c>
      <c r="BE41" s="443">
        <f>'ОПЛАТИ 2023'!BO175</f>
        <v>56906</v>
      </c>
      <c r="BF41" s="584"/>
      <c r="BH41" t="s">
        <v>456</v>
      </c>
    </row>
    <row r="42" spans="1:63">
      <c r="B42" s="577" t="s">
        <v>397</v>
      </c>
      <c r="C42" s="13" t="s">
        <v>115</v>
      </c>
      <c r="D42" s="14" t="s">
        <v>100</v>
      </c>
      <c r="E42" s="15" t="s">
        <v>122</v>
      </c>
      <c r="F42" s="15" t="s">
        <v>248</v>
      </c>
      <c r="G42" s="441">
        <v>2077</v>
      </c>
      <c r="H42" s="441">
        <v>1190</v>
      </c>
      <c r="I42" s="499">
        <v>0</v>
      </c>
      <c r="J42" s="521">
        <v>89426</v>
      </c>
      <c r="K42" s="443">
        <f>'ОПЛАТИ 2023'!L179</f>
        <v>66356</v>
      </c>
      <c r="L42" s="574">
        <f>'ОПЛАТИ 2024-2025-2026 '!BU200</f>
        <v>68344</v>
      </c>
      <c r="M42" s="494">
        <v>0</v>
      </c>
      <c r="N42" s="469">
        <v>0</v>
      </c>
      <c r="O42" s="443">
        <f>'ОПЛАТИ 2023'!Q179</f>
        <v>53539</v>
      </c>
      <c r="P42" s="584"/>
      <c r="Q42" s="494">
        <v>0</v>
      </c>
      <c r="R42" s="469">
        <v>0</v>
      </c>
      <c r="S42" s="443">
        <f>'ОПЛАТИ 2023'!V179</f>
        <v>56225</v>
      </c>
      <c r="T42" s="584"/>
      <c r="U42" s="494">
        <v>80633.599999999991</v>
      </c>
      <c r="V42" s="469">
        <v>95894</v>
      </c>
      <c r="W42" s="443">
        <f>'ОПЛАТИ 2023'!AA179</f>
        <v>47730</v>
      </c>
      <c r="X42" s="584"/>
      <c r="Y42" s="494">
        <v>63035.999999999993</v>
      </c>
      <c r="Z42" s="469">
        <v>33283</v>
      </c>
      <c r="AA42" s="443">
        <f>'ОПЛАТИ 2023'!AF179</f>
        <v>53775</v>
      </c>
      <c r="AB42" s="584"/>
      <c r="AC42" s="494">
        <v>74092.800000000017</v>
      </c>
      <c r="AD42" s="469">
        <v>50709</v>
      </c>
      <c r="AE42" s="443">
        <f>'ОПЛАТИ 2023'!AK179</f>
        <v>56594</v>
      </c>
      <c r="AF42" s="584"/>
      <c r="AG42" s="494">
        <v>92173.599999999977</v>
      </c>
      <c r="AH42" s="469">
        <v>54566</v>
      </c>
      <c r="AI42" s="443">
        <f>'ОПЛАТИ 2023'!AP179</f>
        <v>60270</v>
      </c>
      <c r="AJ42" s="584"/>
      <c r="AK42" s="494">
        <v>77058.399999999965</v>
      </c>
      <c r="AL42" s="469">
        <v>54947</v>
      </c>
      <c r="AM42" s="443">
        <f>'ОПЛАТИ 2023'!AU179</f>
        <v>64231</v>
      </c>
      <c r="AN42" s="584"/>
      <c r="AO42" s="494">
        <v>72441</v>
      </c>
      <c r="AP42" s="469">
        <v>47082</v>
      </c>
      <c r="AQ42" s="443">
        <f>'ОПЛАТИ 2023'!AZ179</f>
        <v>55524</v>
      </c>
      <c r="AR42" s="584"/>
      <c r="AS42" s="494">
        <v>78135</v>
      </c>
      <c r="AT42" s="469">
        <v>55106</v>
      </c>
      <c r="AU42" s="443">
        <f>'ОПЛАТИ 2023'!BE179</f>
        <v>55816</v>
      </c>
      <c r="AV42" s="584"/>
      <c r="AW42" s="490"/>
      <c r="AX42" s="494">
        <v>77058</v>
      </c>
      <c r="AY42" s="469">
        <v>55106</v>
      </c>
      <c r="AZ42" s="443">
        <f>'ОПЛАТИ 2023'!BJ179</f>
        <v>58191</v>
      </c>
      <c r="BA42" s="584"/>
      <c r="BB42" s="490">
        <v>0</v>
      </c>
      <c r="BC42" s="494"/>
      <c r="BD42" s="442">
        <f>'ОПЛАТИ 2023'!G179</f>
        <v>66567</v>
      </c>
      <c r="BE42" s="443">
        <f>'ОПЛАТИ 2023'!BO179</f>
        <v>70110</v>
      </c>
      <c r="BF42" s="584"/>
    </row>
    <row r="43" spans="1:63">
      <c r="B43" s="577"/>
      <c r="C43" s="461" t="s">
        <v>168</v>
      </c>
      <c r="D43" s="462" t="s">
        <v>103</v>
      </c>
      <c r="E43" s="463" t="s">
        <v>122</v>
      </c>
      <c r="F43" s="463">
        <v>24</v>
      </c>
      <c r="G43" s="449">
        <v>820</v>
      </c>
      <c r="H43" s="449">
        <v>447</v>
      </c>
      <c r="I43" s="499">
        <v>0</v>
      </c>
      <c r="J43" s="521">
        <v>26840</v>
      </c>
      <c r="K43" s="450"/>
      <c r="L43" s="574"/>
      <c r="M43" s="494">
        <v>7002.7999999999993</v>
      </c>
      <c r="N43" s="469">
        <v>0</v>
      </c>
      <c r="O43" s="450"/>
      <c r="P43" s="584"/>
      <c r="Q43" s="494">
        <v>22654.799999999999</v>
      </c>
      <c r="R43" s="469">
        <v>0</v>
      </c>
      <c r="S43" s="450"/>
      <c r="T43" s="584"/>
      <c r="U43" s="494">
        <v>21203.199999999997</v>
      </c>
      <c r="V43" s="469">
        <v>0</v>
      </c>
      <c r="W43" s="450"/>
      <c r="X43" s="584"/>
      <c r="Y43" s="494">
        <v>23831.600000000006</v>
      </c>
      <c r="Z43" s="469">
        <v>0</v>
      </c>
      <c r="AA43" s="450"/>
      <c r="AB43" s="584"/>
      <c r="AC43" s="494">
        <v>25375.199999999997</v>
      </c>
      <c r="AD43" s="469">
        <v>0</v>
      </c>
      <c r="AE43" s="450"/>
      <c r="AF43" s="584"/>
      <c r="AG43" s="494">
        <v>29386.399999999994</v>
      </c>
      <c r="AH43" s="469">
        <v>0</v>
      </c>
      <c r="AI43" s="450"/>
      <c r="AJ43" s="584"/>
      <c r="AK43" s="494">
        <v>22029.200000000019</v>
      </c>
      <c r="AL43" s="469">
        <v>0</v>
      </c>
      <c r="AM43" s="450"/>
      <c r="AN43" s="584"/>
      <c r="AO43" s="494">
        <v>21517</v>
      </c>
      <c r="AP43" s="469">
        <v>0</v>
      </c>
      <c r="AQ43" s="450"/>
      <c r="AR43" s="584"/>
      <c r="AS43" s="494">
        <v>21736</v>
      </c>
      <c r="AT43" s="469">
        <v>0</v>
      </c>
      <c r="AU43" s="450"/>
      <c r="AV43" s="584"/>
      <c r="AW43" s="490"/>
      <c r="AX43" s="494">
        <v>22029</v>
      </c>
      <c r="AY43" s="469">
        <v>0</v>
      </c>
      <c r="AZ43" s="450"/>
      <c r="BA43" s="584"/>
      <c r="BB43" s="490">
        <v>0</v>
      </c>
      <c r="BC43" s="494"/>
      <c r="BD43" s="450">
        <v>0</v>
      </c>
      <c r="BE43" s="450"/>
      <c r="BF43" s="584"/>
    </row>
    <row r="44" spans="1:63">
      <c r="A44" t="s">
        <v>425</v>
      </c>
      <c r="B44" s="577" t="s">
        <v>397</v>
      </c>
      <c r="C44" s="598" t="s">
        <v>169</v>
      </c>
      <c r="D44" s="606" t="s">
        <v>105</v>
      </c>
      <c r="E44" s="605" t="s">
        <v>119</v>
      </c>
      <c r="F44" s="15">
        <v>24</v>
      </c>
      <c r="G44" s="441">
        <v>1898</v>
      </c>
      <c r="H44" s="441">
        <v>609</v>
      </c>
      <c r="I44" s="499"/>
      <c r="J44" s="480">
        <v>0</v>
      </c>
      <c r="K44" s="443">
        <f>'ОПЛАТИ 2023'!L189</f>
        <v>34522</v>
      </c>
      <c r="L44" s="574">
        <f>'ОПЛАТИ 2024-2025-2026 '!BU211</f>
        <v>62060</v>
      </c>
      <c r="M44" s="494">
        <v>0</v>
      </c>
      <c r="N44" s="469"/>
      <c r="O44" s="443">
        <f>'ОПЛАТИ 2023'!Q189</f>
        <v>39238</v>
      </c>
      <c r="P44" s="584"/>
      <c r="Q44" s="494">
        <v>0</v>
      </c>
      <c r="R44" s="469"/>
      <c r="S44" s="443">
        <f>'ОПЛАТИ 2023'!V189</f>
        <v>46150</v>
      </c>
      <c r="T44" s="584"/>
      <c r="U44" s="494">
        <v>0</v>
      </c>
      <c r="V44" s="469"/>
      <c r="W44" s="443">
        <f>'ОПЛАТИ 2023'!AA189</f>
        <v>42736</v>
      </c>
      <c r="X44" s="584"/>
      <c r="Y44" s="494">
        <v>0</v>
      </c>
      <c r="Z44" s="469"/>
      <c r="AA44" s="443">
        <f>'ОПЛАТИ 2023'!AF189</f>
        <v>37913</v>
      </c>
      <c r="AB44" s="584"/>
      <c r="AC44" s="494"/>
      <c r="AD44" s="469"/>
      <c r="AE44" s="443">
        <f>'ОПЛАТИ 2023'!AK189</f>
        <v>49743</v>
      </c>
      <c r="AF44" s="584"/>
      <c r="AG44" s="494">
        <v>0</v>
      </c>
      <c r="AH44" s="469"/>
      <c r="AI44" s="443">
        <f>'ОПЛАТИ 2023'!AP189</f>
        <v>51860</v>
      </c>
      <c r="AJ44" s="584"/>
      <c r="AK44" s="494"/>
      <c r="AL44" s="469"/>
      <c r="AM44" s="443">
        <f>'ОПЛАТИ 2023'!AU189</f>
        <v>55512</v>
      </c>
      <c r="AN44" s="584"/>
      <c r="AO44" s="494"/>
      <c r="AP44" s="469"/>
      <c r="AQ44" s="443">
        <f>'ОПЛАТИ 2023'!AZ189</f>
        <v>49654</v>
      </c>
      <c r="AR44" s="584"/>
      <c r="AS44" s="494"/>
      <c r="AT44" s="469"/>
      <c r="AU44" s="443">
        <f>'ОПЛАТИ 2023'!BE189</f>
        <v>48047</v>
      </c>
      <c r="AV44" s="584"/>
      <c r="AW44" s="490"/>
      <c r="AX44" s="494"/>
      <c r="AY44" s="469"/>
      <c r="AZ44" s="443">
        <f>'ОПЛАТИ 2023'!BJ191</f>
        <v>51737</v>
      </c>
      <c r="BA44" s="584"/>
      <c r="BB44" s="490">
        <v>0</v>
      </c>
      <c r="BC44" s="494"/>
      <c r="BD44" s="442">
        <f>'ОПЛАТИ 2023'!G189</f>
        <v>37913</v>
      </c>
      <c r="BE44" s="443">
        <f>'ОПЛАТИ 2023'!BO189</f>
        <v>61717</v>
      </c>
      <c r="BF44" s="584"/>
    </row>
    <row r="45" spans="1:63">
      <c r="A45" t="s">
        <v>425</v>
      </c>
      <c r="B45" s="577" t="s">
        <v>397</v>
      </c>
      <c r="C45" s="465" t="s">
        <v>263</v>
      </c>
      <c r="D45" s="466" t="s">
        <v>262</v>
      </c>
      <c r="E45" s="15" t="s">
        <v>119</v>
      </c>
      <c r="F45" s="467"/>
      <c r="G45" s="468">
        <v>1388</v>
      </c>
      <c r="H45" s="468">
        <v>517</v>
      </c>
      <c r="I45" s="499"/>
      <c r="J45" s="480">
        <v>0</v>
      </c>
      <c r="K45" s="470"/>
      <c r="L45" s="574">
        <f>'ОПЛАТИ 2024-2025-2026 '!BU219</f>
        <v>39900</v>
      </c>
      <c r="M45" s="494"/>
      <c r="N45" s="469"/>
      <c r="O45" s="470"/>
      <c r="P45" s="584"/>
      <c r="Q45" s="494"/>
      <c r="R45" s="469"/>
      <c r="S45" s="470"/>
      <c r="T45" s="584"/>
      <c r="U45" s="494"/>
      <c r="V45" s="469"/>
      <c r="W45" s="470"/>
      <c r="X45" s="584"/>
      <c r="Y45" s="494"/>
      <c r="Z45" s="469"/>
      <c r="AA45" s="470"/>
      <c r="AB45" s="584"/>
      <c r="AC45" s="494"/>
      <c r="AD45" s="469"/>
      <c r="AE45" s="470">
        <f>'ОПЛАТИ 2023'!AK194</f>
        <v>50157</v>
      </c>
      <c r="AF45" s="584"/>
      <c r="AG45" s="494"/>
      <c r="AH45" s="469"/>
      <c r="AI45" s="470">
        <f>'ОПЛАТИ 2023'!AP194</f>
        <v>2858</v>
      </c>
      <c r="AJ45" s="584"/>
      <c r="AK45" s="494"/>
      <c r="AL45" s="469"/>
      <c r="AM45" s="470">
        <f>'ОПЛАТИ 2023'!AU194</f>
        <v>24610</v>
      </c>
      <c r="AN45" s="584"/>
      <c r="AO45" s="494"/>
      <c r="AP45" s="469"/>
      <c r="AQ45" s="470">
        <f>'ОПЛАТИ 2023'!AZ196</f>
        <v>30921</v>
      </c>
      <c r="AR45" s="584"/>
      <c r="AS45" s="494"/>
      <c r="AT45" s="469"/>
      <c r="AU45" s="470">
        <f>'ОПЛАТИ 2023'!BE196</f>
        <v>27776</v>
      </c>
      <c r="AV45" s="584"/>
      <c r="AW45" s="490"/>
      <c r="AX45" s="494"/>
      <c r="AY45" s="469"/>
      <c r="AZ45" s="470">
        <f>'ОПЛАТИ 2023'!BJ194</f>
        <v>27465</v>
      </c>
      <c r="BA45" s="584"/>
      <c r="BB45" s="490"/>
      <c r="BC45" s="494"/>
      <c r="BD45" s="469"/>
      <c r="BE45" s="470">
        <f>'ОПЛАТИ 2023'!BO194</f>
        <v>35964</v>
      </c>
      <c r="BF45" s="584"/>
      <c r="BG45" t="s">
        <v>399</v>
      </c>
    </row>
    <row r="46" spans="1:63">
      <c r="B46" s="577" t="s">
        <v>398</v>
      </c>
      <c r="C46" s="13" t="s">
        <v>175</v>
      </c>
      <c r="D46" s="14" t="s">
        <v>106</v>
      </c>
      <c r="E46" s="15" t="s">
        <v>122</v>
      </c>
      <c r="F46" s="15">
        <v>24</v>
      </c>
      <c r="G46" s="460">
        <v>1152</v>
      </c>
      <c r="H46" s="441">
        <v>704</v>
      </c>
      <c r="I46" s="499"/>
      <c r="J46" s="480">
        <v>0</v>
      </c>
      <c r="K46" s="443">
        <f>'ОПЛАТИ 2023'!L199</f>
        <v>17306.400000000001</v>
      </c>
      <c r="L46" s="574">
        <f>'ОПЛАТИ 2024-2025-2026 '!BU222</f>
        <v>30191.599999999999</v>
      </c>
      <c r="M46" s="494"/>
      <c r="N46" s="469"/>
      <c r="O46" s="443">
        <f>'ОПЛАТИ 2023'!Q199</f>
        <v>19845.599999999999</v>
      </c>
      <c r="P46" s="584"/>
      <c r="Q46" s="494"/>
      <c r="R46" s="469"/>
      <c r="S46" s="443">
        <f>'ОПЛАТИ 2023'!V199</f>
        <v>26519.599999999999</v>
      </c>
      <c r="T46" s="584"/>
      <c r="U46" s="494"/>
      <c r="V46" s="469"/>
      <c r="W46" s="443">
        <f>'ОПЛАТИ 2023'!AA199</f>
        <v>26074.799999999999</v>
      </c>
      <c r="X46" s="584"/>
      <c r="Y46" s="494"/>
      <c r="Z46" s="469"/>
      <c r="AA46" s="443">
        <f>'ОПЛАТИ 2023'!AF199</f>
        <v>32318.400000000001</v>
      </c>
      <c r="AB46" s="584"/>
      <c r="AC46" s="494"/>
      <c r="AD46" s="469"/>
      <c r="AE46" s="443">
        <f>'ОПЛАТИ 2023'!AK199</f>
        <v>31488.799999999999</v>
      </c>
      <c r="AF46" s="584"/>
      <c r="AG46" s="494"/>
      <c r="AH46" s="469"/>
      <c r="AI46" s="443">
        <f>'ОПЛАТИ 2023'!AP199</f>
        <v>32955.199999999997</v>
      </c>
      <c r="AJ46" s="584"/>
      <c r="AK46" s="494"/>
      <c r="AL46" s="469"/>
      <c r="AM46" s="443">
        <f>'ОПЛАТИ 2023'!AU199</f>
        <v>34680.800000000003</v>
      </c>
      <c r="AN46" s="584"/>
      <c r="AO46" s="494"/>
      <c r="AP46" s="469"/>
      <c r="AQ46" s="443">
        <f>'ОПЛАТИ 2023'!AZ199</f>
        <v>30803.200000000001</v>
      </c>
      <c r="AR46" s="584"/>
      <c r="AS46" s="494"/>
      <c r="AT46" s="469"/>
      <c r="AU46" s="443">
        <f>'ОПЛАТИ 2023'!BE199</f>
        <v>33077.599999999999</v>
      </c>
      <c r="AV46" s="584"/>
      <c r="AW46" s="490"/>
      <c r="AX46" s="494"/>
      <c r="AY46" s="469"/>
      <c r="AZ46" s="443">
        <f>'ОПЛАТИ 2023'!BJ199</f>
        <v>31922</v>
      </c>
      <c r="BA46" s="584"/>
      <c r="BB46" s="490"/>
      <c r="BC46" s="494"/>
      <c r="BD46" s="442">
        <f>'ОПЛАТИ 2023'!G199</f>
        <v>14846.4</v>
      </c>
      <c r="BE46" s="443">
        <f>'ОПЛАТИ 2023'!BO199</f>
        <v>31922</v>
      </c>
      <c r="BF46" s="584"/>
    </row>
    <row r="47" spans="1:63">
      <c r="B47" s="577" t="s">
        <v>398</v>
      </c>
      <c r="C47" s="13" t="s">
        <v>172</v>
      </c>
      <c r="D47" s="14" t="s">
        <v>173</v>
      </c>
      <c r="E47" s="15" t="s">
        <v>122</v>
      </c>
      <c r="F47" s="15"/>
      <c r="G47" s="460">
        <v>445</v>
      </c>
      <c r="H47" s="441">
        <v>304</v>
      </c>
      <c r="I47" s="499"/>
      <c r="J47" s="480">
        <v>0</v>
      </c>
      <c r="K47" s="443">
        <f>'ОПЛАТИ 2023'!L204</f>
        <v>16861</v>
      </c>
      <c r="L47" s="574">
        <f>'ОПЛАТИ 2024-2025-2026 '!BU228</f>
        <v>20952</v>
      </c>
      <c r="M47" s="494"/>
      <c r="N47" s="469"/>
      <c r="O47" s="443">
        <f>'ОПЛАТИ 2023'!Q204</f>
        <v>16299</v>
      </c>
      <c r="P47" s="584"/>
      <c r="Q47" s="494"/>
      <c r="R47" s="469"/>
      <c r="S47" s="443">
        <f>'ОПЛАТИ 2023'!V204</f>
        <v>17951</v>
      </c>
      <c r="T47" s="584"/>
      <c r="U47" s="494"/>
      <c r="V47" s="469"/>
      <c r="W47" s="443">
        <f>'ОПЛАТИ 2023'!AA204</f>
        <v>17401</v>
      </c>
      <c r="X47" s="584"/>
      <c r="Y47" s="494"/>
      <c r="Z47" s="469"/>
      <c r="AA47" s="443">
        <f>'ОПЛАТИ 2023'!AF204</f>
        <v>15702</v>
      </c>
      <c r="AB47" s="584"/>
      <c r="AC47" s="494"/>
      <c r="AD47" s="469"/>
      <c r="AE47" s="443">
        <f>'ОПЛАТИ 2023'!AK204</f>
        <v>16563</v>
      </c>
      <c r="AF47" s="584"/>
      <c r="AG47" s="494"/>
      <c r="AH47" s="469"/>
      <c r="AI47" s="443">
        <f>'ОПЛАТИ 2023'!AP204</f>
        <v>18571</v>
      </c>
      <c r="AJ47" s="584"/>
      <c r="AK47" s="494"/>
      <c r="AL47" s="469"/>
      <c r="AM47" s="443">
        <f>'ОПЛАТИ 2023'!AU204</f>
        <v>18747</v>
      </c>
      <c r="AN47" s="584"/>
      <c r="AO47" s="494"/>
      <c r="AP47" s="469"/>
      <c r="AQ47" s="443">
        <f>'ОПЛАТИ 2023'!AZ204</f>
        <v>22042</v>
      </c>
      <c r="AR47" s="584"/>
      <c r="AS47" s="494"/>
      <c r="AT47" s="469"/>
      <c r="AU47" s="443">
        <f>'ОПЛАТИ 2023'!BE204</f>
        <v>13816</v>
      </c>
      <c r="AV47" s="584"/>
      <c r="AW47" s="490"/>
      <c r="AX47" s="494"/>
      <c r="AY47" s="469"/>
      <c r="AZ47" s="443">
        <f>'ОПЛАТИ 2023'!BJ204</f>
        <v>21305</v>
      </c>
      <c r="BA47" s="584"/>
      <c r="BB47" s="490"/>
      <c r="BC47" s="494"/>
      <c r="BD47" s="442">
        <f>'ОПЛАТИ 2023'!G204</f>
        <v>14121</v>
      </c>
      <c r="BE47" s="443">
        <f>'ОПЛАТИ 2023'!BO204</f>
        <v>19807</v>
      </c>
      <c r="BF47" s="584"/>
      <c r="BI47" s="1923" t="s">
        <v>401</v>
      </c>
      <c r="BJ47" s="1923"/>
      <c r="BK47" s="1923"/>
    </row>
    <row r="48" spans="1:63">
      <c r="I48" t="s">
        <v>399</v>
      </c>
      <c r="K48">
        <f>SUBTOTAL(9,K14:K46)</f>
        <v>527920.02</v>
      </c>
      <c r="O48">
        <f>SUBTOTAL(9,O14:O46)</f>
        <v>554370.79999999993</v>
      </c>
      <c r="S48">
        <f>SUBTOTAL(9,S14:S46)</f>
        <v>610100.02999999991</v>
      </c>
      <c r="W48">
        <f>SUBTOTAL(9,W14:W46)</f>
        <v>560672.06000000006</v>
      </c>
      <c r="AA48">
        <f>SUBTOTAL(9,AA14:AA46)</f>
        <v>674799.58</v>
      </c>
      <c r="AE48">
        <f>SUBTOTAL(9,AE14:AE47)</f>
        <v>766338.70000000007</v>
      </c>
      <c r="AI48">
        <f>SUBTOTAL(9,AI14:AI45)</f>
        <v>620561.97</v>
      </c>
      <c r="AM48">
        <f>SUBTOTAL(9,AM14:AM47)</f>
        <v>780557.14000000013</v>
      </c>
      <c r="AQ48">
        <f>SUBTOTAL(9,AQ14:AQ47)</f>
        <v>708811.77</v>
      </c>
      <c r="AU48">
        <f>SUBTOTAL(9,AU14:AU47)</f>
        <v>616634.75999999989</v>
      </c>
      <c r="AZ48">
        <f>SUBTOTAL(9,AZ14:AZ47)</f>
        <v>711607.34</v>
      </c>
      <c r="BE48">
        <f>SUBTOTAL(9,BE14:BE47)</f>
        <v>790731.86899999995</v>
      </c>
      <c r="BG48" s="580"/>
      <c r="BI48">
        <v>4103641.4</v>
      </c>
      <c r="BJ48" t="s">
        <v>399</v>
      </c>
    </row>
    <row r="49" spans="9:62">
      <c r="I49" t="s">
        <v>400</v>
      </c>
      <c r="K49" s="581">
        <f>SUBTOTAL(9,K4:K47)</f>
        <v>727535.82</v>
      </c>
      <c r="O49" s="581">
        <f>SUBTOTAL(9,O4:O47)</f>
        <v>751239.2</v>
      </c>
      <c r="S49" s="581">
        <f>SUBTOTAL(9,S4:S47)</f>
        <v>845481.42999999993</v>
      </c>
      <c r="T49" s="581"/>
      <c r="W49" s="581">
        <f>SUBTOTAL(9,W4:W47)</f>
        <v>783187.26</v>
      </c>
      <c r="X49" s="581"/>
      <c r="AA49" s="581">
        <f>SUBTOTAL(9,AA4:AA47)</f>
        <v>920756.58000000007</v>
      </c>
      <c r="AB49" s="581"/>
      <c r="AE49" s="581">
        <f>SUBTOTAL(9,AE4:AE47)</f>
        <v>989512.10000000009</v>
      </c>
      <c r="AF49" s="581"/>
      <c r="AI49" s="581">
        <f>SUBTOTAL(9,AI4:AI47)</f>
        <v>966894.97</v>
      </c>
      <c r="AJ49" s="581"/>
      <c r="AM49" s="581">
        <f>SUBTOTAL(9,AM4:AM47)</f>
        <v>1070873.3400000001</v>
      </c>
      <c r="AN49" s="581"/>
      <c r="AQ49" s="581">
        <f>SUBTOTAL(9,AQ4:AQ47)</f>
        <v>962678.37</v>
      </c>
      <c r="AR49" s="581"/>
      <c r="AU49" s="581">
        <f>SUBTOTAL(9,AU4:AU47)</f>
        <v>843178.96</v>
      </c>
      <c r="AV49" s="581"/>
      <c r="AZ49" s="581">
        <f>SUBTOTAL(9,AZ4:AZ47)</f>
        <v>949817.74</v>
      </c>
      <c r="BA49" s="581"/>
      <c r="BE49" s="581">
        <f>SUBTOTAL(9,BE4:BE47)</f>
        <v>1035837.4689999999</v>
      </c>
      <c r="BF49" s="581"/>
      <c r="BG49" s="580">
        <f>K49+O49+S49+W49+AA49+AE49+AI49+AM49+AQ49+AU49+AZ49+BE49</f>
        <v>10846993.239000002</v>
      </c>
      <c r="BH49" s="518">
        <v>3895763</v>
      </c>
      <c r="BI49">
        <v>7027528.5999999996</v>
      </c>
      <c r="BJ49" t="s">
        <v>400</v>
      </c>
    </row>
    <row r="50" spans="9:62">
      <c r="BH50">
        <v>1141011</v>
      </c>
    </row>
  </sheetData>
  <autoFilter ref="A4:BK50"/>
  <mergeCells count="1">
    <mergeCell ref="BI47:BK47"/>
  </mergeCells>
  <conditionalFormatting sqref="AU2:BF2">
    <cfRule type="cellIs" dxfId="0" priority="1" operator="less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Договора</vt:lpstr>
      <vt:lpstr>Потужнісьть</vt:lpstr>
      <vt:lpstr>ОПЛАТИ 2023</vt:lpstr>
      <vt:lpstr>ОПЛАТИ 2024-2025-2026 </vt:lpstr>
      <vt:lpstr>Споживання кВт</vt:lpstr>
      <vt:lpstr>Договора!Область_печати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Віницький Володимир Борисович</dc:creator>
  <dc:description/>
  <cp:lastModifiedBy>Кавакін Анатолій Ігорович</cp:lastModifiedBy>
  <cp:revision>140</cp:revision>
  <cp:lastPrinted>2024-04-17T12:04:20Z</cp:lastPrinted>
  <dcterms:created xsi:type="dcterms:W3CDTF">2021-08-20T12:30:00Z</dcterms:created>
  <dcterms:modified xsi:type="dcterms:W3CDTF">2026-06-25T13:29:31Z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