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Лист3" sheetId="1" r:id="rId4"/>
    <sheet state="hidden" name="Показатели продаж " sheetId="2" r:id="rId5"/>
    <sheet state="hidden" name="Гипотезы" sheetId="3" r:id="rId6"/>
    <sheet state="hidden" name="расходы" sheetId="4" r:id="rId7"/>
    <sheet state="hidden" name="когорты" sheetId="5" r:id="rId8"/>
    <sheet state="visible" name="unit - экономика" sheetId="6" r:id="rId9"/>
    <sheet state="visible" name="услуги" sheetId="7" r:id="rId10"/>
    <sheet state="visible" name="Дашборд" sheetId="8" r:id="rId11"/>
  </sheets>
  <definedNames>
    <definedName name="Виды">'Лист3'!$A:$A</definedName>
    <definedName name="тип">'Лист3'!$A:$A</definedName>
    <definedName hidden="1" localSheetId="3" name="_xlnm._FilterDatabase">'расходы'!$A$1:$D$127</definedName>
    <definedName hidden="1" localSheetId="6" name="_xlnm._FilterDatabase">'услуги'!$A$1:$O$31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Илья: Конечно в воронке всегда больше шагов, но важна именно С1 — покупатели / пользователей.
Обратите внимание, мы делим и считаем от пользователей: не на регистрации или лидов, а от приземления пользователей из рекламных кампаний.
Конечно часто добавляют больше шагов воронки — в данном случае это пример</t>
      </text>
    </comment>
    <comment authorId="0" ref="F3">
      <text>
        <t xml:space="preserve">Илья: Конечно, тут обычно больше шагов для воронки, но это пример и шаблон</t>
      </text>
    </comment>
    <comment authorId="0" ref="AB3">
      <text>
        <t xml:space="preserve">Это не точная метрика с точки зрения финансов: Прибыль с потока пользователей когортная, с учётом будущих платежей, а фикс расходы текущего месяца. Но даёт понимание примерного вклада команды в прибыль.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Илья: Конечно в воронке всегда больше шагов, но важна именно С1 — покупатели / пользователей.
Обратите внимание, мы делим и считаем от пользователей: не на регистрации или лидов, а от приземления пользователей из рекламных кампаний.
Конечно часто добавляют больше шагов воронки — в данном случае это пример</t>
      </text>
    </comment>
    <comment authorId="0" ref="F1">
      <text>
        <t xml:space="preserve">Илья: Конечно, тут обычно больше шагов для воронки, но это пример и шаблон</t>
      </text>
    </comment>
    <comment authorId="0" ref="Y1">
      <text>
        <t xml:space="preserve">Это не точная метрика с точки зрения финансов: Прибыль с потока пользователей когортная, с учётом будущих платежей, а фикс расходы текущего месяца. Но даёт понимание примерного вклада команды в прибыль.</t>
      </text>
    </comment>
  </commentList>
</comments>
</file>

<file path=xl/sharedStrings.xml><?xml version="1.0" encoding="utf-8"?>
<sst xmlns="http://schemas.openxmlformats.org/spreadsheetml/2006/main" count="727" uniqueCount="270">
  <si>
    <t>Выбрать вид деятельности</t>
  </si>
  <si>
    <t xml:space="preserve">Торговля </t>
  </si>
  <si>
    <t>Услуги</t>
  </si>
  <si>
    <t>Показатели продаж</t>
  </si>
  <si>
    <t>Запланировано</t>
  </si>
  <si>
    <t>Выполнено</t>
  </si>
  <si>
    <t>% Выполнения</t>
  </si>
  <si>
    <t>Поптенциальный лид</t>
  </si>
  <si>
    <t>СПЗ</t>
  </si>
  <si>
    <t>Лид</t>
  </si>
  <si>
    <t>Звонки</t>
  </si>
  <si>
    <t>Думает</t>
  </si>
  <si>
    <t>Карточки</t>
  </si>
  <si>
    <t>Пациент</t>
  </si>
  <si>
    <t>СПП</t>
  </si>
  <si>
    <t>ЛИД сделки </t>
  </si>
  <si>
    <t>Передано ЛИДов</t>
  </si>
  <si>
    <t>СПС </t>
  </si>
  <si>
    <t>Договоры</t>
  </si>
  <si>
    <t>Пациенты</t>
  </si>
  <si>
    <t>Кол-во сотрудников</t>
  </si>
  <si>
    <t>СПЗ </t>
  </si>
  <si>
    <t>Наименование</t>
  </si>
  <si>
    <t>Количество сотрудников</t>
  </si>
  <si>
    <t>Генерация  гипотез </t>
  </si>
  <si>
    <t>Тестирование гипотез</t>
  </si>
  <si>
    <t>Количество успешных </t>
  </si>
  <si>
    <t xml:space="preserve">Количество внедренных </t>
  </si>
  <si>
    <t>Учереждение</t>
  </si>
  <si>
    <t>Вид расходов</t>
  </si>
  <si>
    <t>Сумма</t>
  </si>
  <si>
    <t>Метрика</t>
  </si>
  <si>
    <t>МЦ 1</t>
  </si>
  <si>
    <t>Аренда</t>
  </si>
  <si>
    <t>OPEX</t>
  </si>
  <si>
    <t>Аренда Офис</t>
  </si>
  <si>
    <t>Медицинское оборудование</t>
  </si>
  <si>
    <t>Прочее оборудование</t>
  </si>
  <si>
    <t>Мед. Оборудование</t>
  </si>
  <si>
    <t>Покупка оргтехники</t>
  </si>
  <si>
    <t>Заработная плата  офис</t>
  </si>
  <si>
    <t>Налоги взносы</t>
  </si>
  <si>
    <t>OTHER</t>
  </si>
  <si>
    <t>Заработная плата персонал</t>
  </si>
  <si>
    <t>COGS</t>
  </si>
  <si>
    <t>Лаб. Диагностика</t>
  </si>
  <si>
    <t xml:space="preserve">Расходники </t>
  </si>
  <si>
    <t xml:space="preserve">Подрядчики </t>
  </si>
  <si>
    <t>Дератизация и дезинсекция</t>
  </si>
  <si>
    <t>Коммунальные расходы</t>
  </si>
  <si>
    <t>Обслуживание помещений</t>
  </si>
  <si>
    <t>Охрана</t>
  </si>
  <si>
    <t>Уборка</t>
  </si>
  <si>
    <t>Прочие расходы</t>
  </si>
  <si>
    <t>1С обслуживание</t>
  </si>
  <si>
    <t>ККТ и ОФД</t>
  </si>
  <si>
    <t>Комиссии банка</t>
  </si>
  <si>
    <t>Интернет (Уфанет и ЭР Телеком)</t>
  </si>
  <si>
    <t>Связь</t>
  </si>
  <si>
    <t>ЭЦП</t>
  </si>
  <si>
    <t>Электронный документооборот</t>
  </si>
  <si>
    <t>Лицензия</t>
  </si>
  <si>
    <t>Битрикс</t>
  </si>
  <si>
    <t>Листоход</t>
  </si>
  <si>
    <t>Облачное хранилище</t>
  </si>
  <si>
    <t>Хайперскрипт</t>
  </si>
  <si>
    <t>ZOOM</t>
  </si>
  <si>
    <t>Русский Робот</t>
  </si>
  <si>
    <t>СДО</t>
  </si>
  <si>
    <t>Талантикс</t>
  </si>
  <si>
    <t>Фокус</t>
  </si>
  <si>
    <t>Эльба</t>
  </si>
  <si>
    <t>Лицензия ЭВМ iSpring Learn</t>
  </si>
  <si>
    <t>Маркетинг</t>
  </si>
  <si>
    <t>CAC</t>
  </si>
  <si>
    <t>Хэдхантер</t>
  </si>
  <si>
    <t>Заработная плата Департамента продаж</t>
  </si>
  <si>
    <t>МЦ 2</t>
  </si>
  <si>
    <t xml:space="preserve">Дополнительные расходы </t>
  </si>
  <si>
    <t>Здравпункт</t>
  </si>
  <si>
    <t xml:space="preserve">Аренда </t>
  </si>
  <si>
    <t>Оснащение здравпунктов</t>
  </si>
  <si>
    <t>Заработная плата Персонал</t>
  </si>
  <si>
    <t>Транспортные услуги</t>
  </si>
  <si>
    <t>ПТЦ</t>
  </si>
  <si>
    <t>Заработная плата  персонал</t>
  </si>
  <si>
    <t>Контрагент</t>
  </si>
  <si>
    <t>Итого</t>
  </si>
  <si>
    <t>постоянные клиенты</t>
  </si>
  <si>
    <t>retention rate</t>
  </si>
  <si>
    <t>Всего клиентов</t>
  </si>
  <si>
    <t>Компания № 1</t>
  </si>
  <si>
    <t>Компания № 2</t>
  </si>
  <si>
    <t>Компания № 3</t>
  </si>
  <si>
    <t>Компания № 4</t>
  </si>
  <si>
    <t>Компания № 5</t>
  </si>
  <si>
    <t>Компания № 6</t>
  </si>
  <si>
    <t>Компания № 7</t>
  </si>
  <si>
    <t>Компания № 8</t>
  </si>
  <si>
    <t>Компания № 9</t>
  </si>
  <si>
    <t>Компания № 10</t>
  </si>
  <si>
    <t>Компания № 11</t>
  </si>
  <si>
    <t>Компания № 12</t>
  </si>
  <si>
    <t>Компания № 13</t>
  </si>
  <si>
    <t>Компания № 14</t>
  </si>
  <si>
    <t>Компания № 15</t>
  </si>
  <si>
    <t>Компания № 16</t>
  </si>
  <si>
    <t>Компания № 17</t>
  </si>
  <si>
    <t>Компания № 18</t>
  </si>
  <si>
    <t>Компания № 19</t>
  </si>
  <si>
    <t>Компания № 20</t>
  </si>
  <si>
    <t>Компания № 21</t>
  </si>
  <si>
    <t>Компания № 22</t>
  </si>
  <si>
    <t>Компания № 23</t>
  </si>
  <si>
    <t>Компания № 24</t>
  </si>
  <si>
    <t>Компания № 25</t>
  </si>
  <si>
    <t>Компания № 26</t>
  </si>
  <si>
    <t>Компания № 27</t>
  </si>
  <si>
    <t>Компания № 28</t>
  </si>
  <si>
    <t>Компания № 29</t>
  </si>
  <si>
    <t>Компания № 30</t>
  </si>
  <si>
    <t>Компания № 31</t>
  </si>
  <si>
    <t>Компания № 32</t>
  </si>
  <si>
    <t>Компания № 33</t>
  </si>
  <si>
    <t>Компания № 34</t>
  </si>
  <si>
    <t>Компания № 35</t>
  </si>
  <si>
    <t>Компания № 36</t>
  </si>
  <si>
    <t>Компания № 37</t>
  </si>
  <si>
    <t>Компания № 38</t>
  </si>
  <si>
    <t>Компания № 39</t>
  </si>
  <si>
    <t>Компания № 40</t>
  </si>
  <si>
    <t>Компания № 41</t>
  </si>
  <si>
    <t>Компания № 42</t>
  </si>
  <si>
    <t>Компания № 43</t>
  </si>
  <si>
    <t>Компания № 44</t>
  </si>
  <si>
    <t>доход на 1-го платящего</t>
  </si>
  <si>
    <t>на 1-го привлеченного</t>
  </si>
  <si>
    <t>Шаблон расчёта юнит-экономики</t>
  </si>
  <si>
    <t>поток пользователей или потенц. клиентов</t>
  </si>
  <si>
    <t>конверсия 
в регистрацию
или в лида</t>
  </si>
  <si>
    <t>конверсия 
в 1-ю покупку</t>
  </si>
  <si>
    <t>число платящих</t>
  </si>
  <si>
    <t>оплаченные заказы
или платежи</t>
  </si>
  <si>
    <t>доход на 1-го платящего,
Average Revenue Per Paying User</t>
  </si>
  <si>
    <t>в среднем клиент платит</t>
  </si>
  <si>
    <t>Маржинальность с оплаты</t>
  </si>
  <si>
    <t>издержки на каждой продаже или комиссия</t>
  </si>
  <si>
    <t>издержка на 1-й продаже</t>
  </si>
  <si>
    <t>число покупок на 1-го платящего</t>
  </si>
  <si>
    <t>стоимость привлечения платящего</t>
  </si>
  <si>
    <r>
      <rPr>
        <rFont val="&quot;Trebuchet MS&quot;"/>
        <color theme="1"/>
        <sz val="7.0"/>
      </rPr>
      <t xml:space="preserve">стоимость привлечения
пользователя
</t>
    </r>
    <r>
      <rPr>
        <rFont val="&quot;Trebuchet MS&quot;"/>
        <b/>
        <color theme="1"/>
        <sz val="7.0"/>
      </rPr>
      <t>CPInstall, иногда CPLead</t>
    </r>
  </si>
  <si>
    <t>маржа на 1-го привлеченного
Average Revenue Per User</t>
  </si>
  <si>
    <t>прибыль
на потоке пользователей</t>
  </si>
  <si>
    <t>Возрат на инветиции в привлеч. пользов.</t>
  </si>
  <si>
    <t>Прибыль с потока пользователей</t>
  </si>
  <si>
    <t>Выручка с потока пользователей</t>
  </si>
  <si>
    <t>Маржа с потока пользователей</t>
  </si>
  <si>
    <t>Расходы на привлечение
 пользователей
в том числе зп продажников</t>
  </si>
  <si>
    <t>Ограниченные сверху расходы в месяц на зарплаты, аренду офиса, сервера</t>
  </si>
  <si>
    <t>Прибыль после фикс расходов</t>
  </si>
  <si>
    <t>User or Lead Acqusition</t>
  </si>
  <si>
    <r>
      <rPr>
        <rFont val="&quot;Trebuchet MS&quot;"/>
        <b/>
        <color theme="1"/>
        <sz val="8.0"/>
      </rPr>
      <t xml:space="preserve">conv 
</t>
    </r>
    <r>
      <rPr>
        <rFont val="&quot;Trebuchet MS&quot;"/>
        <b val="0"/>
        <i/>
        <color theme="1"/>
        <sz val="8.0"/>
      </rPr>
      <t>to regs 
or lead</t>
    </r>
  </si>
  <si>
    <t>С1</t>
  </si>
  <si>
    <t>Buyers</t>
  </si>
  <si>
    <t>Payments</t>
  </si>
  <si>
    <r>
      <rPr>
        <rFont val="&quot;Trebuchet MS&quot;"/>
        <b/>
        <color theme="1"/>
        <sz val="8.0"/>
      </rPr>
      <t xml:space="preserve">AMPPU,
ARPPU, 
</t>
    </r>
    <r>
      <rPr>
        <rFont val="&quot;Trebuchet MS&quot;"/>
        <b val="0"/>
        <i/>
        <color theme="1"/>
        <sz val="8.0"/>
      </rPr>
      <t xml:space="preserve">or </t>
    </r>
    <r>
      <rPr>
        <rFont val="&quot;Trebuchet MS&quot;"/>
        <b/>
        <color theme="1"/>
        <sz val="8.0"/>
      </rPr>
      <t>CLTV</t>
    </r>
  </si>
  <si>
    <t>Av. Price</t>
  </si>
  <si>
    <t>Margin</t>
  </si>
  <si>
    <t xml:space="preserve">COGS </t>
  </si>
  <si>
    <t>Скидка</t>
  </si>
  <si>
    <t>1st sale COGS</t>
  </si>
  <si>
    <t>Av Payment Count
or LifeTime</t>
  </si>
  <si>
    <t>CAC, Customer Acquisition Costs</t>
  </si>
  <si>
    <r>
      <rPr>
        <rFont val="&quot;Trebuchet MS&quot;"/>
        <b/>
        <color theme="1"/>
        <sz val="8.0"/>
      </rPr>
      <t xml:space="preserve">Cost Per Acqusition </t>
    </r>
    <r>
      <rPr>
        <rFont val="&quot;Trebuchet MS&quot;"/>
        <b val="0"/>
        <i/>
        <color theme="1"/>
        <sz val="8.0"/>
      </rPr>
      <t>or</t>
    </r>
    <r>
      <rPr>
        <rFont val="&quot;Trebuchet MS&quot;"/>
        <b/>
        <color theme="1"/>
        <sz val="8.0"/>
      </rPr>
      <t xml:space="preserve"> CPUser</t>
    </r>
  </si>
  <si>
    <t>AMPU 
or LTV</t>
  </si>
  <si>
    <t>AMPU−
CPUser</t>
  </si>
  <si>
    <t>ROI</t>
  </si>
  <si>
    <t>Profit</t>
  </si>
  <si>
    <t>Revenue</t>
  </si>
  <si>
    <t>Gross Profit</t>
  </si>
  <si>
    <r>
      <rPr>
        <rFont val="&quot;Trebuchet MS&quot;"/>
        <b/>
        <color theme="1"/>
        <sz val="9.0"/>
      </rPr>
      <t xml:space="preserve">COGS
</t>
    </r>
    <r>
      <rPr>
        <rFont val="&quot;Trebuchet MS&quot;"/>
        <b val="0"/>
        <i/>
        <color theme="1"/>
        <sz val="9.0"/>
      </rPr>
      <t>издержки после продажи</t>
    </r>
  </si>
  <si>
    <r>
      <rPr>
        <rFont val="&quot;Trebuchet MS&quot;"/>
        <b/>
        <color theme="1"/>
        <sz val="9.0"/>
      </rPr>
      <t xml:space="preserve">Acq Costs
</t>
    </r>
    <r>
      <rPr>
        <rFont val="&quot;Trebuchet MS&quot;"/>
        <b val="0"/>
        <i/>
        <color theme="1"/>
        <sz val="9.0"/>
      </rPr>
      <t>расходы на привлечение и продажи до продажи</t>
    </r>
  </si>
  <si>
    <t>Fix Costs 
в месяц</t>
  </si>
  <si>
    <t>Total</t>
  </si>
  <si>
    <t xml:space="preserve">    ЮЛ</t>
  </si>
  <si>
    <t xml:space="preserve">          ПМО</t>
  </si>
  <si>
    <t xml:space="preserve">          ПСО</t>
  </si>
  <si>
    <t xml:space="preserve">          ПГПА</t>
  </si>
  <si>
    <t xml:space="preserve">         Справки</t>
  </si>
  <si>
    <t xml:space="preserve">         Приемы врачей</t>
  </si>
  <si>
    <t xml:space="preserve">        УЗИ, ЭКГ, ЭЭГ, ФГДС</t>
  </si>
  <si>
    <t xml:space="preserve">        Прочее</t>
  </si>
  <si>
    <t xml:space="preserve">    ФЛ</t>
  </si>
  <si>
    <t xml:space="preserve">         ПМО</t>
  </si>
  <si>
    <t xml:space="preserve">         ПСО</t>
  </si>
  <si>
    <t xml:space="preserve">         ПГПА</t>
  </si>
  <si>
    <t xml:space="preserve">        Справки</t>
  </si>
  <si>
    <t xml:space="preserve">        Приемы врачей</t>
  </si>
  <si>
    <t xml:space="preserve">        ПМО</t>
  </si>
  <si>
    <t xml:space="preserve">        ПСО</t>
  </si>
  <si>
    <t xml:space="preserve">        ПГПА</t>
  </si>
  <si>
    <t xml:space="preserve">    Здравпункты</t>
  </si>
  <si>
    <t xml:space="preserve">    Предрейсовые</t>
  </si>
  <si>
    <t>Тест Основа</t>
  </si>
  <si>
    <t>Тест 1</t>
  </si>
  <si>
    <t>Увеличение конверсии 0.2%</t>
  </si>
  <si>
    <t>Увеличение ценности на 10%</t>
  </si>
  <si>
    <t>Увеличение частоты покупок</t>
  </si>
  <si>
    <t>на 0,2</t>
  </si>
  <si>
    <t>Услуга</t>
  </si>
  <si>
    <t>Type buyers</t>
  </si>
  <si>
    <t>Доля услуги</t>
  </si>
  <si>
    <t>AvPrice</t>
  </si>
  <si>
    <t>AvCOGS</t>
  </si>
  <si>
    <t>AvOPEX</t>
  </si>
  <si>
    <t>AvCAC</t>
  </si>
  <si>
    <t>Profit per User</t>
  </si>
  <si>
    <t>ПМО</t>
  </si>
  <si>
    <t>ЮЛ</t>
  </si>
  <si>
    <t>ПСО</t>
  </si>
  <si>
    <t>ПГПА</t>
  </si>
  <si>
    <t>Справки</t>
  </si>
  <si>
    <t>Приемы врачей</t>
  </si>
  <si>
    <t>УЗИ, ЭКГ, ЭЭГ, ФГДС</t>
  </si>
  <si>
    <t>Прочее</t>
  </si>
  <si>
    <t>ФЗ</t>
  </si>
  <si>
    <t>Здравпункты</t>
  </si>
  <si>
    <t>Предрейсовые</t>
  </si>
  <si>
    <r>
      <rPr>
        <rFont val="&quot;Trebuchet MS&quot;"/>
        <b/>
        <color theme="1"/>
        <sz val="8.0"/>
      </rPr>
      <t xml:space="preserve">conv 
</t>
    </r>
    <r>
      <rPr>
        <rFont val="&quot;Trebuchet MS&quot;"/>
        <b val="0"/>
        <i/>
        <color theme="1"/>
        <sz val="8.0"/>
      </rPr>
      <t>to regs 
or lead</t>
    </r>
  </si>
  <si>
    <t xml:space="preserve">
ARPPU </t>
  </si>
  <si>
    <t>Av Payment Count</t>
  </si>
  <si>
    <t xml:space="preserve"> CPUser</t>
  </si>
  <si>
    <t xml:space="preserve">ARPU </t>
  </si>
  <si>
    <t>ARPU−
CPUser</t>
  </si>
  <si>
    <t xml:space="preserve">COGS
</t>
  </si>
  <si>
    <t>Acq Costs</t>
  </si>
  <si>
    <t xml:space="preserve">Fix Costs </t>
  </si>
  <si>
    <t>Net profit</t>
  </si>
  <si>
    <t xml:space="preserve">    ЮЛ 1</t>
  </si>
  <si>
    <t xml:space="preserve">          ПМО 1 ЮЛ</t>
  </si>
  <si>
    <t xml:space="preserve">          ПСО 1 ЮЛ</t>
  </si>
  <si>
    <t xml:space="preserve">          ПГПА 1 ЮЛ</t>
  </si>
  <si>
    <t xml:space="preserve">         Справки 1 ЮЛ</t>
  </si>
  <si>
    <t xml:space="preserve">         Приемы врачей 1 ЮЛ</t>
  </si>
  <si>
    <t xml:space="preserve">        УЗИ, ЭКГ, ЭЭГ, ФГДС 1 ЮЛ</t>
  </si>
  <si>
    <t xml:space="preserve">        Прочее 1 ЮЛ</t>
  </si>
  <si>
    <t xml:space="preserve">    ФЛ 1</t>
  </si>
  <si>
    <t xml:space="preserve">         ПМО 1 ФЛ</t>
  </si>
  <si>
    <t xml:space="preserve">         ПСО 1 ФЛ</t>
  </si>
  <si>
    <t xml:space="preserve">         ПГПА 1 ФЛ</t>
  </si>
  <si>
    <t xml:space="preserve">        Справки 1 ФЛ</t>
  </si>
  <si>
    <t xml:space="preserve">        Приемы врачей 1 ФЛ</t>
  </si>
  <si>
    <t xml:space="preserve">        УЗИ, ЭКГ, ЭЭГ, ФГДС 1 ФЛ</t>
  </si>
  <si>
    <t xml:space="preserve">        Прочее 1 ФЛ</t>
  </si>
  <si>
    <t xml:space="preserve">    ЮЛ 2</t>
  </si>
  <si>
    <t xml:space="preserve">        ПМО 2 ЮЛ</t>
  </si>
  <si>
    <t xml:space="preserve">        ПСО 2 ЮЛ</t>
  </si>
  <si>
    <t xml:space="preserve">        ПГПА 2 ЮЛ</t>
  </si>
  <si>
    <t xml:space="preserve">        Справки 2 ЮЛ</t>
  </si>
  <si>
    <t xml:space="preserve">        Приемы врачей 2 ЮЛ</t>
  </si>
  <si>
    <t xml:space="preserve">        УЗИ, ЭКГ, ЭЭГ, ФГДС 2 ЮЛ</t>
  </si>
  <si>
    <t xml:space="preserve">        Прочее 2 ЮЛ</t>
  </si>
  <si>
    <t xml:space="preserve">    ФЛ 2</t>
  </si>
  <si>
    <t xml:space="preserve">        ПМО 2 ФЛ</t>
  </si>
  <si>
    <t xml:space="preserve">        ПСО 2 ФЛ</t>
  </si>
  <si>
    <t xml:space="preserve">        ПГПА 2 ФЛ</t>
  </si>
  <si>
    <t xml:space="preserve">        Справки 2 ФЛ</t>
  </si>
  <si>
    <t xml:space="preserve">        Приемы врачей 2 ФЛ</t>
  </si>
  <si>
    <t xml:space="preserve">        УЗИ, ЭКГ, ЭЭГ, ФГДС 2 ФЛ</t>
  </si>
  <si>
    <t xml:space="preserve">        Прочее 2 ФЛ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</si>
</sst>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-* #,##0.00_-;\-* #,##0.00_-;_-* &quot;-&quot;??_-;_-@"/>
    <numFmt numFmtId="165" formatCode="_-* #,##0.00\ &quot;₽&quot;_-;\-* #,##0.00\ &quot;₽&quot;_-;_-* &quot;-&quot;??\ &quot;₽&quot;_-;_-@"/>
    <numFmt numFmtId="166" formatCode="#,##0.00[$р.]"/>
    <numFmt numFmtId="167" formatCode="dd.MM.yyyy"/>
    <numFmt numFmtId="168" formatCode="dd.mm.yyyy"/>
    <numFmt numFmtId="169" formatCode="0.0%"/>
    <numFmt numFmtId="170" formatCode="# ### ##0 [$р.]"/>
    <numFmt numFmtId="171" formatCode="[$р.-419]#,##0"/>
    <numFmt numFmtId="172" formatCode="# ### ##0.0 [$р.]"/>
    <numFmt numFmtId="173" formatCode="#,##0.0"/>
    <numFmt numFmtId="174" formatCode="# ### ##0.00 [$р.]"/>
  </numFmts>
  <fonts count="22">
    <font>
      <sz val="11.0"/>
      <color theme="1"/>
      <name val="Calibri"/>
      <scheme val="minor"/>
    </font>
    <font>
      <color theme="1"/>
      <name val="Calibri"/>
    </font>
    <font>
      <sz val="12.0"/>
      <color rgb="FF000000"/>
      <name val="Calibri"/>
    </font>
    <font/>
    <font>
      <sz val="12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b/>
      <sz val="11.0"/>
      <color theme="1"/>
      <name val="Arial"/>
    </font>
    <font>
      <b/>
      <sz val="10.0"/>
      <color rgb="FFFFFFFF"/>
      <name val="Arial"/>
    </font>
    <font>
      <sz val="8.0"/>
      <color theme="1"/>
      <name val="Arial"/>
    </font>
    <font>
      <color theme="1"/>
      <name val="Arial"/>
    </font>
    <font>
      <sz val="8.0"/>
      <color theme="1"/>
      <name val="&quot;Trebuchet MS&quot;"/>
    </font>
    <font>
      <sz val="7.0"/>
      <color theme="1"/>
      <name val="&quot;Trebuchet MS&quot;"/>
    </font>
    <font>
      <b/>
      <sz val="8.0"/>
      <color theme="1"/>
      <name val="&quot;Trebuchet MS&quot;"/>
    </font>
    <font>
      <b/>
      <sz val="9.0"/>
      <color theme="1"/>
      <name val="&quot;Trebuchet MS&quot;"/>
    </font>
    <font>
      <b/>
      <sz val="9.0"/>
      <color theme="1"/>
      <name val="Arial"/>
    </font>
    <font>
      <sz val="9.0"/>
      <color theme="1"/>
      <name val="&quot;Trebuchet MS&quot;"/>
    </font>
    <font>
      <sz val="9.0"/>
      <color theme="1"/>
      <name val="Arial"/>
    </font>
    <font>
      <sz val="9.0"/>
      <color theme="1"/>
      <name val="Calibri"/>
    </font>
    <font>
      <b/>
      <sz val="9.0"/>
      <color theme="1"/>
      <name val="Calibri"/>
    </font>
    <font>
      <sz val="9.0"/>
      <color theme="1"/>
      <name val="Calibri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4574A0"/>
        <bgColor rgb="FF4574A0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6E6E6"/>
      </left>
      <top style="thin">
        <color rgb="FFE6E6E6"/>
      </top>
    </border>
    <border>
      <top style="thin">
        <color rgb="FFE6E6E6"/>
      </top>
    </border>
    <border>
      <right style="thin">
        <color rgb="FFE6E6E6"/>
      </right>
      <top style="thin">
        <color rgb="FFE6E6E6"/>
      </top>
    </border>
    <border>
      <right style="thin">
        <color rgb="FFBDC7EB"/>
      </right>
      <top style="thin">
        <color rgb="FFBDC7EB"/>
      </top>
      <bottom style="thin">
        <color rgb="FFBDC7EB"/>
      </bottom>
    </border>
    <border>
      <left style="thin">
        <color rgb="FFBDC7EB"/>
      </left>
      <right style="thin">
        <color rgb="FFBDC7EB"/>
      </right>
      <top style="thin">
        <color rgb="FFBDC7EB"/>
      </top>
      <bottom style="thin">
        <color rgb="FFBDC7EB"/>
      </bottom>
    </border>
    <border>
      <left style="thin">
        <color rgb="FFE6E6E6"/>
      </left>
      <top style="thin">
        <color rgb="FFE6E6E6"/>
      </top>
      <bottom style="thin">
        <color rgb="FFE6E6E6"/>
      </bottom>
    </border>
    <border>
      <top style="thin">
        <color rgb="FFE6E6E6"/>
      </top>
      <bottom style="thin">
        <color rgb="FFE6E6E6"/>
      </bottom>
    </border>
    <border>
      <right style="thin">
        <color rgb="FFE6E6E6"/>
      </right>
      <top style="thin">
        <color rgb="FFE6E6E6"/>
      </top>
      <bottom style="thin">
        <color rgb="FFE6E6E6"/>
      </bottom>
    </border>
    <border>
      <left style="thin">
        <color rgb="FF7D8AB9"/>
      </left>
      <right style="thin">
        <color rgb="FF7D8AB9"/>
      </right>
      <top style="thin">
        <color rgb="FF7D8AB9"/>
      </top>
      <bottom style="thin">
        <color rgb="FF7D8AB9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bottom style="thin">
        <color rgb="FFCFE2F3"/>
      </bottom>
    </border>
    <border>
      <left style="thin">
        <color rgb="FFCFE2F3"/>
      </left>
      <right style="thin">
        <color rgb="FFCFE2F3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4" fillId="3" fontId="4" numFmtId="0" xfId="0" applyAlignment="1" applyBorder="1" applyFill="1" applyFont="1">
      <alignment vertical="center"/>
    </xf>
    <xf borderId="4" fillId="3" fontId="4" numFmtId="0" xfId="0" applyAlignment="1" applyBorder="1" applyFont="1">
      <alignment horizontal="center" vertical="center"/>
    </xf>
    <xf borderId="4" fillId="3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10" xfId="0" applyAlignment="1" applyFont="1" applyNumberFormat="1">
      <alignment vertical="center"/>
    </xf>
    <xf borderId="1" fillId="3" fontId="4" numFmtId="0" xfId="0" applyAlignment="1" applyBorder="1" applyFont="1">
      <alignment horizontal="center" vertical="center"/>
    </xf>
    <xf borderId="4" fillId="0" fontId="2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4" numFmtId="10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shrinkToFit="0" vertical="center" wrapText="1"/>
    </xf>
    <xf borderId="4" fillId="0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164" xfId="0" applyAlignment="1" applyFont="1" applyNumberFormat="1">
      <alignment vertical="center"/>
    </xf>
    <xf borderId="1" fillId="4" fontId="2" numFmtId="0" xfId="0" applyAlignment="1" applyBorder="1" applyFill="1" applyFont="1">
      <alignment horizontal="center" shrinkToFit="0" vertical="center" wrapText="1"/>
    </xf>
    <xf borderId="0" fillId="0" fontId="4" numFmtId="9" xfId="0" applyAlignment="1" applyFont="1" applyNumberFormat="1">
      <alignment vertical="center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165" xfId="0" applyFont="1" applyNumberFormat="1"/>
    <xf borderId="0" fillId="0" fontId="7" numFmtId="0" xfId="0" applyFont="1"/>
    <xf borderId="0" fillId="0" fontId="1" numFmtId="0" xfId="0" applyAlignment="1" applyFont="1">
      <alignment readingOrder="0"/>
    </xf>
    <xf borderId="0" fillId="0" fontId="5" numFmtId="166" xfId="0" applyFont="1" applyNumberFormat="1"/>
    <xf borderId="5" fillId="0" fontId="8" numFmtId="0" xfId="0" applyAlignment="1" applyBorder="1" applyFont="1">
      <alignment horizontal="left" shrinkToFit="0" vertical="top" wrapText="1"/>
    </xf>
    <xf borderId="6" fillId="0" fontId="3" numFmtId="0" xfId="0" applyBorder="1" applyFont="1"/>
    <xf borderId="7" fillId="0" fontId="3" numFmtId="0" xfId="0" applyBorder="1" applyFont="1"/>
    <xf borderId="8" fillId="5" fontId="9" numFmtId="167" xfId="0" applyAlignment="1" applyBorder="1" applyFill="1" applyFont="1" applyNumberFormat="1">
      <alignment horizontal="left" readingOrder="0" shrinkToFit="0" vertical="top" wrapText="1"/>
    </xf>
    <xf borderId="9" fillId="5" fontId="9" numFmtId="168" xfId="0" applyAlignment="1" applyBorder="1" applyFont="1" applyNumberFormat="1">
      <alignment horizontal="left" readingOrder="0" shrinkToFit="0" vertical="top" wrapText="1"/>
    </xf>
    <xf borderId="9" fillId="5" fontId="9" numFmtId="167" xfId="0" applyAlignment="1" applyBorder="1" applyFont="1" applyNumberFormat="1">
      <alignment horizontal="left" readingOrder="0" shrinkToFit="0" vertical="top" wrapText="1"/>
    </xf>
    <xf borderId="9" fillId="5" fontId="9" numFmtId="0" xfId="0" applyAlignment="1" applyBorder="1" applyFont="1">
      <alignment horizontal="left" readingOrder="0" shrinkToFit="0" vertical="top" wrapText="1"/>
    </xf>
    <xf borderId="0" fillId="5" fontId="9" numFmtId="0" xfId="0" applyAlignment="1" applyFont="1">
      <alignment horizontal="left" readingOrder="0" shrinkToFit="0" vertical="top" wrapText="1"/>
    </xf>
    <xf borderId="10" fillId="0" fontId="10" numFmtId="0" xfId="0" applyAlignment="1" applyBorder="1" applyFont="1">
      <alignment horizontal="left" readingOrder="0" shrinkToFit="0" vertical="top" wrapText="1"/>
    </xf>
    <xf borderId="11" fillId="0" fontId="3" numFmtId="0" xfId="0" applyBorder="1" applyFont="1"/>
    <xf borderId="12" fillId="0" fontId="3" numFmtId="0" xfId="0" applyBorder="1" applyFont="1"/>
    <xf borderId="13" fillId="0" fontId="10" numFmtId="3" xfId="0" applyAlignment="1" applyBorder="1" applyFont="1" applyNumberFormat="1">
      <alignment horizontal="right" vertical="top"/>
    </xf>
    <xf borderId="13" fillId="0" fontId="10" numFmtId="1" xfId="0" applyAlignment="1" applyBorder="1" applyFont="1" applyNumberFormat="1">
      <alignment horizontal="right" vertical="top"/>
    </xf>
    <xf borderId="0" fillId="0" fontId="10" numFmtId="3" xfId="0" applyAlignment="1" applyFont="1" applyNumberFormat="1">
      <alignment horizontal="right" vertical="top"/>
    </xf>
    <xf borderId="0" fillId="0" fontId="10" numFmtId="10" xfId="0" applyAlignment="1" applyFont="1" applyNumberFormat="1">
      <alignment horizontal="right" vertical="top"/>
    </xf>
    <xf borderId="10" fillId="0" fontId="10" numFmtId="0" xfId="0" applyAlignment="1" applyBorder="1" applyFont="1">
      <alignment horizontal="left" shrinkToFit="0" vertical="top" wrapText="1"/>
    </xf>
    <xf borderId="13" fillId="0" fontId="10" numFmtId="0" xfId="0" applyAlignment="1" applyBorder="1" applyFont="1">
      <alignment horizontal="right" vertical="top"/>
    </xf>
    <xf borderId="0" fillId="0" fontId="10" numFmtId="0" xfId="0" applyAlignment="1" applyFont="1">
      <alignment horizontal="left"/>
    </xf>
    <xf borderId="0" fillId="0" fontId="10" numFmtId="3" xfId="0" applyAlignment="1" applyFont="1" applyNumberFormat="1">
      <alignment horizontal="left"/>
    </xf>
    <xf borderId="0" fillId="0" fontId="10" numFmtId="1" xfId="0" applyAlignment="1" applyFont="1" applyNumberFormat="1">
      <alignment horizontal="left"/>
    </xf>
    <xf borderId="14" fillId="6" fontId="11" numFmtId="0" xfId="0" applyBorder="1" applyFill="1" applyFont="1"/>
    <xf borderId="0" fillId="7" fontId="11" numFmtId="0" xfId="0" applyFill="1" applyFont="1"/>
    <xf borderId="0" fillId="8" fontId="12" numFmtId="0" xfId="0" applyAlignment="1" applyFill="1" applyFont="1">
      <alignment horizontal="center"/>
    </xf>
    <xf borderId="0" fillId="9" fontId="11" numFmtId="0" xfId="0" applyFill="1" applyFont="1"/>
    <xf borderId="0" fillId="10" fontId="12" numFmtId="0" xfId="0" applyAlignment="1" applyFill="1" applyFont="1">
      <alignment horizontal="center"/>
    </xf>
    <xf borderId="0" fillId="0" fontId="11" numFmtId="0" xfId="0" applyFont="1"/>
    <xf borderId="15" fillId="6" fontId="8" numFmtId="0" xfId="0" applyAlignment="1" applyBorder="1" applyFont="1">
      <alignment shrinkToFit="0" wrapText="1"/>
    </xf>
    <xf borderId="0" fillId="7" fontId="12" numFmtId="0" xfId="0" applyAlignment="1" applyFont="1">
      <alignment horizontal="right" shrinkToFit="0" wrapText="1"/>
    </xf>
    <xf borderId="0" fillId="8" fontId="12" numFmtId="0" xfId="0" applyAlignment="1" applyFont="1">
      <alignment horizontal="right" shrinkToFit="0" wrapText="1"/>
    </xf>
    <xf borderId="0" fillId="8" fontId="12" numFmtId="0" xfId="0" applyAlignment="1" applyFont="1">
      <alignment horizontal="right" readingOrder="0" shrinkToFit="0" wrapText="1"/>
    </xf>
    <xf borderId="0" fillId="9" fontId="13" numFmtId="0" xfId="0" applyAlignment="1" applyFont="1">
      <alignment horizontal="right" shrinkToFit="0" wrapText="1"/>
    </xf>
    <xf borderId="0" fillId="10" fontId="13" numFmtId="0" xfId="0" applyAlignment="1" applyFont="1">
      <alignment horizontal="right" shrinkToFit="0" wrapText="1"/>
    </xf>
    <xf borderId="0" fillId="0" fontId="13" numFmtId="0" xfId="0" applyAlignment="1" applyFont="1">
      <alignment horizontal="right" shrinkToFit="0" wrapText="1"/>
    </xf>
    <xf borderId="0" fillId="0" fontId="10" numFmtId="0" xfId="0" applyAlignment="1" applyFont="1">
      <alignment horizontal="right" shrinkToFit="0" wrapText="1"/>
    </xf>
    <xf borderId="16" fillId="6" fontId="11" numFmtId="0" xfId="0" applyAlignment="1" applyBorder="1" applyFont="1">
      <alignment vertical="top"/>
    </xf>
    <xf borderId="17" fillId="7" fontId="14" numFmtId="0" xfId="0" applyAlignment="1" applyBorder="1" applyFont="1">
      <alignment horizontal="right" shrinkToFit="0" vertical="center" wrapText="1"/>
    </xf>
    <xf borderId="17" fillId="0" fontId="3" numFmtId="0" xfId="0" applyBorder="1" applyFont="1"/>
    <xf borderId="17" fillId="8" fontId="14" numFmtId="0" xfId="0" applyAlignment="1" applyBorder="1" applyFont="1">
      <alignment horizontal="right" shrinkToFit="0" vertical="center" wrapText="1"/>
    </xf>
    <xf borderId="17" fillId="8" fontId="14" numFmtId="0" xfId="0" applyAlignment="1" applyBorder="1" applyFont="1">
      <alignment horizontal="right" readingOrder="0" shrinkToFit="0" vertical="center" wrapText="1"/>
    </xf>
    <xf borderId="17" fillId="9" fontId="14" numFmtId="0" xfId="0" applyAlignment="1" applyBorder="1" applyFont="1">
      <alignment horizontal="right" shrinkToFit="0" vertical="center" wrapText="1"/>
    </xf>
    <xf borderId="17" fillId="10" fontId="14" numFmtId="0" xfId="0" applyAlignment="1" applyBorder="1" applyFont="1">
      <alignment horizontal="right" shrinkToFit="0" vertical="center" wrapText="1"/>
    </xf>
    <xf borderId="17" fillId="0" fontId="14" numFmtId="0" xfId="0" applyAlignment="1" applyBorder="1" applyFont="1">
      <alignment horizontal="right" shrinkToFit="0" vertical="center" wrapText="1"/>
    </xf>
    <xf borderId="17" fillId="0" fontId="15" numFmtId="0" xfId="0" applyAlignment="1" applyBorder="1" applyFont="1">
      <alignment horizontal="right" shrinkToFit="0" vertical="top" wrapText="1"/>
    </xf>
    <xf borderId="17" fillId="8" fontId="15" numFmtId="0" xfId="0" applyAlignment="1" applyBorder="1" applyFont="1">
      <alignment horizontal="right" shrinkToFit="0" vertical="top" wrapText="1"/>
    </xf>
    <xf borderId="0" fillId="0" fontId="11" numFmtId="3" xfId="0" applyFont="1" applyNumberFormat="1"/>
    <xf borderId="0" fillId="0" fontId="11" numFmtId="169" xfId="0" applyFont="1" applyNumberFormat="1"/>
    <xf borderId="0" fillId="0" fontId="11" numFmtId="1" xfId="0" applyFont="1" applyNumberFormat="1"/>
    <xf borderId="0" fillId="0" fontId="11" numFmtId="170" xfId="0" applyFont="1" applyNumberFormat="1"/>
    <xf borderId="0" fillId="0" fontId="11" numFmtId="170" xfId="0" applyFont="1" applyNumberFormat="1"/>
    <xf borderId="0" fillId="0" fontId="11" numFmtId="9" xfId="0" applyFont="1" applyNumberFormat="1"/>
    <xf borderId="0" fillId="0" fontId="11" numFmtId="171" xfId="0" applyFont="1" applyNumberFormat="1"/>
    <xf borderId="0" fillId="0" fontId="11" numFmtId="172" xfId="0" applyFont="1" applyNumberFormat="1"/>
    <xf borderId="0" fillId="0" fontId="11" numFmtId="10" xfId="0" applyFont="1" applyNumberFormat="1"/>
    <xf borderId="0" fillId="11" fontId="16" numFmtId="3" xfId="0" applyAlignment="1" applyFill="1" applyFont="1" applyNumberFormat="1">
      <alignment readingOrder="0"/>
    </xf>
    <xf borderId="0" fillId="11" fontId="17" numFmtId="3" xfId="0" applyAlignment="1" applyFont="1" applyNumberFormat="1">
      <alignment horizontal="right"/>
    </xf>
    <xf borderId="0" fillId="11" fontId="18" numFmtId="10" xfId="0" applyAlignment="1" applyFont="1" applyNumberFormat="1">
      <alignment readingOrder="0"/>
    </xf>
    <xf borderId="0" fillId="11" fontId="18" numFmtId="3" xfId="0" applyFont="1" applyNumberFormat="1"/>
    <xf borderId="0" fillId="11" fontId="17" numFmtId="170" xfId="0" applyAlignment="1" applyFont="1" applyNumberFormat="1">
      <alignment horizontal="right"/>
    </xf>
    <xf borderId="0" fillId="11" fontId="18" numFmtId="10" xfId="0" applyFont="1" applyNumberFormat="1"/>
    <xf borderId="0" fillId="11" fontId="18" numFmtId="173" xfId="0" applyFont="1" applyNumberFormat="1"/>
    <xf borderId="0" fillId="11" fontId="17" numFmtId="174" xfId="0" applyAlignment="1" applyFont="1" applyNumberFormat="1">
      <alignment horizontal="right"/>
    </xf>
    <xf borderId="0" fillId="11" fontId="17" numFmtId="170" xfId="0" applyAlignment="1" applyFont="1" applyNumberFormat="1">
      <alignment horizontal="right"/>
    </xf>
    <xf borderId="0" fillId="0" fontId="18" numFmtId="3" xfId="0" applyFont="1" applyNumberFormat="1"/>
    <xf borderId="0" fillId="0" fontId="18" numFmtId="169" xfId="0" applyFont="1" applyNumberFormat="1"/>
    <xf borderId="0" fillId="0" fontId="18" numFmtId="10" xfId="0" applyAlignment="1" applyFont="1" applyNumberFormat="1">
      <alignment readingOrder="0"/>
    </xf>
    <xf borderId="0" fillId="0" fontId="18" numFmtId="1" xfId="0" applyFont="1" applyNumberFormat="1"/>
    <xf borderId="0" fillId="0" fontId="18" numFmtId="170" xfId="0" applyFont="1" applyNumberFormat="1"/>
    <xf borderId="0" fillId="0" fontId="18" numFmtId="170" xfId="0" applyFont="1" applyNumberFormat="1"/>
    <xf borderId="0" fillId="0" fontId="18" numFmtId="9" xfId="0" applyFont="1" applyNumberFormat="1"/>
    <xf borderId="0" fillId="0" fontId="18" numFmtId="171" xfId="0" applyFont="1" applyNumberFormat="1"/>
    <xf borderId="0" fillId="0" fontId="18" numFmtId="172" xfId="0" applyFont="1" applyNumberFormat="1"/>
    <xf borderId="0" fillId="0" fontId="18" numFmtId="10" xfId="0" applyFont="1" applyNumberFormat="1"/>
    <xf borderId="0" fillId="0" fontId="18" numFmtId="0" xfId="0" applyFont="1"/>
    <xf borderId="0" fillId="12" fontId="15" numFmtId="3" xfId="0" applyFill="1" applyFont="1" applyNumberFormat="1"/>
    <xf borderId="0" fillId="12" fontId="17" numFmtId="3" xfId="0" applyAlignment="1" applyFont="1" applyNumberFormat="1">
      <alignment horizontal="right" readingOrder="0"/>
    </xf>
    <xf borderId="0" fillId="12" fontId="18" numFmtId="10" xfId="0" applyAlignment="1" applyFont="1" applyNumberFormat="1">
      <alignment readingOrder="0"/>
    </xf>
    <xf borderId="0" fillId="12" fontId="18" numFmtId="3" xfId="0" applyFont="1" applyNumberFormat="1"/>
    <xf borderId="0" fillId="12" fontId="17" numFmtId="170" xfId="0" applyAlignment="1" applyFont="1" applyNumberFormat="1">
      <alignment horizontal="right"/>
    </xf>
    <xf borderId="0" fillId="12" fontId="17" numFmtId="10" xfId="0" applyAlignment="1" applyFont="1" applyNumberFormat="1">
      <alignment horizontal="right"/>
    </xf>
    <xf borderId="0" fillId="12" fontId="18" numFmtId="9" xfId="0" applyFont="1" applyNumberFormat="1"/>
    <xf borderId="0" fillId="12" fontId="17" numFmtId="173" xfId="0" applyAlignment="1" applyFont="1" applyNumberFormat="1">
      <alignment horizontal="right"/>
    </xf>
    <xf borderId="0" fillId="12" fontId="17" numFmtId="174" xfId="0" applyAlignment="1" applyFont="1" applyNumberFormat="1">
      <alignment horizontal="right"/>
    </xf>
    <xf borderId="0" fillId="12" fontId="18" numFmtId="170" xfId="0" applyFont="1" applyNumberFormat="1"/>
    <xf borderId="0" fillId="12" fontId="17" numFmtId="170" xfId="0" applyAlignment="1" applyFont="1" applyNumberFormat="1">
      <alignment horizontal="right"/>
    </xf>
    <xf borderId="0" fillId="12" fontId="18" numFmtId="10" xfId="0" applyFont="1" applyNumberFormat="1"/>
    <xf borderId="0" fillId="12" fontId="18" numFmtId="170" xfId="0" applyFont="1" applyNumberFormat="1"/>
    <xf borderId="0" fillId="7" fontId="15" numFmtId="3" xfId="0" applyAlignment="1" applyFont="1" applyNumberFormat="1">
      <alignment readingOrder="0"/>
    </xf>
    <xf borderId="0" fillId="7" fontId="17" numFmtId="3" xfId="0" applyAlignment="1" applyFont="1" applyNumberFormat="1">
      <alignment horizontal="right" readingOrder="0"/>
    </xf>
    <xf borderId="0" fillId="7" fontId="18" numFmtId="10" xfId="0" applyAlignment="1" applyFont="1" applyNumberFormat="1">
      <alignment readingOrder="0"/>
    </xf>
    <xf borderId="0" fillId="7" fontId="18" numFmtId="3" xfId="0" applyFont="1" applyNumberFormat="1"/>
    <xf borderId="0" fillId="7" fontId="17" numFmtId="170" xfId="0" applyAlignment="1" applyFont="1" applyNumberFormat="1">
      <alignment horizontal="right"/>
    </xf>
    <xf borderId="0" fillId="7" fontId="17" numFmtId="10" xfId="0" applyAlignment="1" applyFont="1" applyNumberFormat="1">
      <alignment horizontal="right"/>
    </xf>
    <xf borderId="0" fillId="7" fontId="18" numFmtId="9" xfId="0" applyFont="1" applyNumberFormat="1"/>
    <xf borderId="0" fillId="7" fontId="17" numFmtId="170" xfId="0" applyAlignment="1" applyFont="1" applyNumberFormat="1">
      <alignment horizontal="right" readingOrder="0"/>
    </xf>
    <xf borderId="0" fillId="7" fontId="17" numFmtId="173" xfId="0" applyAlignment="1" applyFont="1" applyNumberFormat="1">
      <alignment horizontal="right"/>
    </xf>
    <xf borderId="0" fillId="7" fontId="17" numFmtId="174" xfId="0" applyAlignment="1" applyFont="1" applyNumberFormat="1">
      <alignment horizontal="right"/>
    </xf>
    <xf borderId="0" fillId="7" fontId="18" numFmtId="170" xfId="0" applyFont="1" applyNumberFormat="1"/>
    <xf borderId="0" fillId="7" fontId="17" numFmtId="170" xfId="0" applyAlignment="1" applyFont="1" applyNumberFormat="1">
      <alignment horizontal="right"/>
    </xf>
    <xf borderId="0" fillId="7" fontId="18" numFmtId="10" xfId="0" applyFont="1" applyNumberFormat="1"/>
    <xf borderId="0" fillId="7" fontId="18" numFmtId="170" xfId="0" applyFont="1" applyNumberFormat="1"/>
    <xf borderId="0" fillId="0" fontId="19" numFmtId="0" xfId="0" applyAlignment="1" applyFont="1">
      <alignment horizontal="left" readingOrder="0" vertical="center"/>
    </xf>
    <xf borderId="0" fillId="0" fontId="17" numFmtId="3" xfId="0" applyAlignment="1" applyFont="1" applyNumberFormat="1">
      <alignment horizontal="right" readingOrder="0"/>
    </xf>
    <xf borderId="0" fillId="0" fontId="17" numFmtId="170" xfId="0" applyAlignment="1" applyFont="1" applyNumberFormat="1">
      <alignment horizontal="right"/>
    </xf>
    <xf borderId="0" fillId="0" fontId="17" numFmtId="10" xfId="0" applyAlignment="1" applyFont="1" applyNumberFormat="1">
      <alignment horizontal="right"/>
    </xf>
    <xf borderId="0" fillId="13" fontId="17" numFmtId="170" xfId="0" applyAlignment="1" applyFill="1" applyFont="1" applyNumberFormat="1">
      <alignment horizontal="right" readingOrder="0"/>
    </xf>
    <xf borderId="0" fillId="0" fontId="17" numFmtId="173" xfId="0" applyAlignment="1" applyFont="1" applyNumberFormat="1">
      <alignment horizontal="right"/>
    </xf>
    <xf borderId="0" fillId="0" fontId="17" numFmtId="174" xfId="0" applyAlignment="1" applyFont="1" applyNumberFormat="1">
      <alignment horizontal="right"/>
    </xf>
    <xf borderId="0" fillId="0" fontId="17" numFmtId="170" xfId="0" applyAlignment="1" applyFont="1" applyNumberFormat="1">
      <alignment horizontal="right"/>
    </xf>
    <xf borderId="0" fillId="0" fontId="17" numFmtId="172" xfId="0" applyAlignment="1" applyFont="1" applyNumberFormat="1">
      <alignment horizontal="right"/>
    </xf>
    <xf borderId="0" fillId="0" fontId="17" numFmtId="9" xfId="0" applyAlignment="1" applyFont="1" applyNumberFormat="1">
      <alignment horizontal="right"/>
    </xf>
    <xf borderId="0" fillId="0" fontId="17" numFmtId="3" xfId="0" applyAlignment="1" applyFont="1" applyNumberFormat="1">
      <alignment horizontal="right"/>
    </xf>
    <xf borderId="0" fillId="14" fontId="17" numFmtId="170" xfId="0" applyAlignment="1" applyFill="1" applyFont="1" applyNumberFormat="1">
      <alignment horizontal="right"/>
    </xf>
    <xf borderId="0" fillId="14" fontId="17" numFmtId="10" xfId="0" applyAlignment="1" applyFont="1" applyNumberFormat="1">
      <alignment horizontal="right"/>
    </xf>
    <xf borderId="0" fillId="10" fontId="17" numFmtId="170" xfId="0" applyAlignment="1" applyFont="1" applyNumberFormat="1">
      <alignment horizontal="right"/>
    </xf>
    <xf borderId="0" fillId="10" fontId="17" numFmtId="10" xfId="0" applyAlignment="1" applyFont="1" applyNumberFormat="1">
      <alignment horizontal="right"/>
    </xf>
    <xf borderId="0" fillId="15" fontId="17" numFmtId="174" xfId="0" applyAlignment="1" applyFill="1" applyFont="1" applyNumberFormat="1">
      <alignment horizontal="right"/>
    </xf>
    <xf borderId="0" fillId="0" fontId="17" numFmtId="173" xfId="0" applyAlignment="1" applyFont="1" applyNumberFormat="1">
      <alignment horizontal="right" readingOrder="0"/>
    </xf>
    <xf borderId="0" fillId="7" fontId="20" numFmtId="0" xfId="0" applyAlignment="1" applyFont="1">
      <alignment horizontal="left" readingOrder="0" vertical="center"/>
    </xf>
    <xf borderId="0" fillId="0" fontId="17" numFmtId="1" xfId="0" applyAlignment="1" applyFont="1" applyNumberFormat="1">
      <alignment horizontal="right"/>
    </xf>
    <xf borderId="0" fillId="12" fontId="15" numFmtId="3" xfId="0" applyAlignment="1" applyFont="1" applyNumberFormat="1">
      <alignment readingOrder="0"/>
    </xf>
    <xf borderId="0" fillId="12" fontId="17" numFmtId="1" xfId="0" applyAlignment="1" applyFont="1" applyNumberFormat="1">
      <alignment horizontal="right"/>
    </xf>
    <xf borderId="0" fillId="7" fontId="17" numFmtId="1" xfId="0" applyAlignment="1" applyFont="1" applyNumberFormat="1">
      <alignment horizontal="right"/>
    </xf>
    <xf borderId="0" fillId="0" fontId="21" numFmtId="0" xfId="0" applyFont="1"/>
    <xf borderId="0" fillId="7" fontId="21" numFmtId="3" xfId="0" applyFont="1" applyNumberFormat="1"/>
    <xf borderId="0" fillId="7" fontId="21" numFmtId="0" xfId="0" applyFont="1"/>
    <xf borderId="0" fillId="7" fontId="21" numFmtId="173" xfId="0" applyFont="1" applyNumberFormat="1"/>
    <xf borderId="0" fillId="0" fontId="17" numFmtId="10" xfId="0" applyAlignment="1" applyFont="1" applyNumberFormat="1">
      <alignment horizontal="right" readingOrder="0"/>
    </xf>
    <xf borderId="0" fillId="13" fontId="5" numFmtId="0" xfId="0" applyFont="1"/>
    <xf borderId="0" fillId="13" fontId="17" numFmtId="1" xfId="0" applyAlignment="1" applyFont="1" applyNumberFormat="1">
      <alignment horizontal="right"/>
    </xf>
    <xf borderId="0" fillId="0" fontId="7" numFmtId="170" xfId="0" applyAlignment="1" applyFont="1" applyNumberFormat="1">
      <alignment readingOrder="0"/>
    </xf>
    <xf borderId="0" fillId="13" fontId="17" numFmtId="9" xfId="0" applyAlignment="1" applyFont="1" applyNumberFormat="1">
      <alignment horizontal="right" readingOrder="0"/>
    </xf>
    <xf borderId="0" fillId="0" fontId="17" numFmtId="170" xfId="0" applyAlignment="1" applyFont="1" applyNumberFormat="1">
      <alignment horizontal="right" readingOrder="0"/>
    </xf>
    <xf borderId="0" fillId="0" fontId="18" numFmtId="170" xfId="0" applyAlignment="1" applyFont="1" applyNumberFormat="1">
      <alignment readingOrder="0"/>
    </xf>
    <xf borderId="0" fillId="16" fontId="17" numFmtId="10" xfId="0" applyAlignment="1" applyFill="1" applyFont="1" applyNumberFormat="1">
      <alignment horizontal="right" readingOrder="0"/>
    </xf>
    <xf borderId="0" fillId="15" fontId="5" numFmtId="173" xfId="0" applyFont="1" applyNumberFormat="1"/>
    <xf borderId="0" fillId="16" fontId="17" numFmtId="170" xfId="0" applyAlignment="1" applyFont="1" applyNumberFormat="1">
      <alignment horizontal="right" readingOrder="0"/>
    </xf>
    <xf borderId="0" fillId="9" fontId="5" numFmtId="0" xfId="0" applyFont="1"/>
    <xf borderId="0" fillId="9" fontId="17" numFmtId="173" xfId="0" applyAlignment="1" applyFont="1" applyNumberFormat="1">
      <alignment horizontal="right" readingOrder="0"/>
    </xf>
    <xf borderId="0" fillId="0" fontId="1" numFmtId="0" xfId="0" applyAlignment="1" applyFont="1">
      <alignment horizontal="center" vertical="center"/>
    </xf>
    <xf borderId="0" fillId="9" fontId="1" numFmtId="0" xfId="0" applyAlignment="1" applyFont="1">
      <alignment horizontal="center" readingOrder="0" vertical="center"/>
    </xf>
    <xf borderId="0" fillId="17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17" fontId="5" numFmtId="0" xfId="0" applyAlignment="1" applyFont="1">
      <alignment horizontal="center" readingOrder="0"/>
    </xf>
    <xf borderId="0" fillId="14" fontId="5" numFmtId="0" xfId="0" applyAlignment="1" applyFont="1">
      <alignment horizontal="center" readingOrder="0" vertical="center"/>
    </xf>
    <xf borderId="0" fillId="10" fontId="5" numFmtId="0" xfId="0" applyAlignment="1" applyFont="1">
      <alignment horizontal="center" readingOrder="0" vertical="center"/>
    </xf>
    <xf borderId="0" fillId="9" fontId="1" numFmtId="0" xfId="0" applyAlignment="1" applyFont="1">
      <alignment horizontal="center" vertical="center"/>
    </xf>
    <xf borderId="0" fillId="17" fontId="6" numFmtId="165" xfId="0" applyAlignment="1" applyFont="1" applyNumberFormat="1">
      <alignment horizontal="center" vertical="center"/>
    </xf>
    <xf borderId="0" fillId="0" fontId="5" numFmtId="10" xfId="0" applyAlignment="1" applyFont="1" applyNumberFormat="1">
      <alignment horizontal="center" vertical="center"/>
    </xf>
    <xf borderId="0" fillId="14" fontId="6" numFmtId="165" xfId="0" applyAlignment="1" applyFont="1" applyNumberFormat="1">
      <alignment horizontal="center" vertical="center"/>
    </xf>
    <xf borderId="0" fillId="10" fontId="6" numFmtId="165" xfId="0" applyAlignment="1" applyFont="1" applyNumberFormat="1">
      <alignment horizontal="center" vertical="center"/>
    </xf>
    <xf borderId="0" fillId="17" fontId="5" numFmtId="4" xfId="0" applyFont="1" applyNumberFormat="1"/>
    <xf borderId="0" fillId="17" fontId="5" numFmtId="10" xfId="0" applyFont="1" applyNumberFormat="1"/>
    <xf borderId="17" fillId="0" fontId="1" numFmtId="0" xfId="0" applyAlignment="1" applyBorder="1" applyFont="1">
      <alignment horizontal="center" vertical="center"/>
    </xf>
    <xf borderId="17" fillId="9" fontId="1" numFmtId="0" xfId="0" applyAlignment="1" applyBorder="1" applyFont="1">
      <alignment horizontal="center" vertical="center"/>
    </xf>
    <xf borderId="17" fillId="17" fontId="6" numFmtId="165" xfId="0" applyAlignment="1" applyBorder="1" applyFont="1" applyNumberFormat="1">
      <alignment horizontal="center" vertical="center"/>
    </xf>
    <xf borderId="17" fillId="0" fontId="5" numFmtId="10" xfId="0" applyAlignment="1" applyBorder="1" applyFont="1" applyNumberFormat="1">
      <alignment horizontal="center" vertical="center"/>
    </xf>
    <xf borderId="17" fillId="14" fontId="6" numFmtId="165" xfId="0" applyAlignment="1" applyBorder="1" applyFont="1" applyNumberFormat="1">
      <alignment horizontal="center" vertical="center"/>
    </xf>
    <xf borderId="17" fillId="10" fontId="6" numFmtId="165" xfId="0" applyAlignment="1" applyBorder="1" applyFont="1" applyNumberFormat="1">
      <alignment horizontal="center" vertical="center"/>
    </xf>
    <xf borderId="17" fillId="17" fontId="5" numFmtId="10" xfId="0" applyBorder="1" applyFont="1" applyNumberFormat="1"/>
    <xf borderId="17" fillId="17" fontId="5" numFmtId="4" xfId="0" applyBorder="1" applyFont="1" applyNumberFormat="1"/>
    <xf borderId="16" fillId="6" fontId="11" numFmtId="0" xfId="0" applyAlignment="1" applyBorder="1" applyFont="1">
      <alignment readingOrder="0" vertical="top"/>
    </xf>
    <xf borderId="17" fillId="9" fontId="14" numFmtId="0" xfId="0" applyAlignment="1" applyBorder="1" applyFont="1">
      <alignment horizontal="right" readingOrder="0" shrinkToFit="0" vertical="center" wrapText="1"/>
    </xf>
    <xf borderId="17" fillId="10" fontId="14" numFmtId="0" xfId="0" applyAlignment="1" applyBorder="1" applyFont="1">
      <alignment horizontal="right" readingOrder="0" shrinkToFit="0" vertical="center" wrapText="1"/>
    </xf>
    <xf borderId="17" fillId="8" fontId="15" numFmtId="0" xfId="0" applyAlignment="1" applyBorder="1" applyFont="1">
      <alignment horizontal="right" readingOrder="0" shrinkToFit="0" vertical="top" wrapText="1"/>
    </xf>
    <xf borderId="17" fillId="0" fontId="15" numFmtId="0" xfId="0" applyAlignment="1" applyBorder="1" applyFon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6" width="8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56.14"/>
    <col customWidth="1" min="3" max="3" width="13.29"/>
    <col customWidth="1" min="4" max="4" width="17.29"/>
    <col customWidth="1" min="5" max="5" width="20.14"/>
    <col customWidth="1" min="6" max="6" width="24.14"/>
    <col customWidth="1" min="7" max="7" width="14.86"/>
    <col customWidth="1" min="8" max="8" width="12.14"/>
    <col customWidth="1" min="9" max="25" width="9.14"/>
  </cols>
  <sheetData>
    <row r="1" ht="15.75" customHeight="1">
      <c r="A1" s="2" t="s">
        <v>3</v>
      </c>
      <c r="B1" s="3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/>
      <c r="B2" s="7" t="s">
        <v>4</v>
      </c>
      <c r="C2" s="7" t="s">
        <v>5</v>
      </c>
      <c r="D2" s="8" t="s">
        <v>6</v>
      </c>
      <c r="E2" s="5"/>
      <c r="F2" s="9" t="s">
        <v>7</v>
      </c>
      <c r="G2" s="5">
        <f>C4+C4</f>
        <v>5754</v>
      </c>
      <c r="H2" s="10">
        <f t="shared" ref="H2:H5" si="1">G2/$G$2</f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11" t="s">
        <v>8</v>
      </c>
      <c r="B3" s="3"/>
      <c r="C3" s="3"/>
      <c r="D3" s="4"/>
      <c r="E3" s="5"/>
      <c r="F3" s="9" t="s">
        <v>9</v>
      </c>
      <c r="G3" s="5">
        <f>C8+C12</f>
        <v>310</v>
      </c>
      <c r="H3" s="10">
        <f t="shared" si="1"/>
        <v>0.05387556482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12" t="s">
        <v>10</v>
      </c>
      <c r="B4" s="13">
        <v>3360.0</v>
      </c>
      <c r="C4" s="13">
        <v>2877.0</v>
      </c>
      <c r="D4" s="14">
        <f t="shared" ref="D4:D5" si="2">C4/B4</f>
        <v>0.85625</v>
      </c>
      <c r="E4" s="5"/>
      <c r="F4" s="9" t="s">
        <v>11</v>
      </c>
      <c r="G4" s="5">
        <f>C9</f>
        <v>92</v>
      </c>
      <c r="H4" s="10">
        <f t="shared" si="1"/>
        <v>0.0159888773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15" t="s">
        <v>12</v>
      </c>
      <c r="B5" s="13">
        <v>3360.0</v>
      </c>
      <c r="C5" s="13">
        <v>3504.0</v>
      </c>
      <c r="D5" s="14">
        <f t="shared" si="2"/>
        <v>1.042857143</v>
      </c>
      <c r="E5" s="5"/>
      <c r="F5" s="9" t="s">
        <v>13</v>
      </c>
      <c r="G5" s="9">
        <f>C13</f>
        <v>59</v>
      </c>
      <c r="H5" s="10">
        <f t="shared" si="1"/>
        <v>0.01025373653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11" t="s">
        <v>14</v>
      </c>
      <c r="B6" s="3"/>
      <c r="C6" s="3"/>
      <c r="D6" s="4"/>
      <c r="E6" s="5"/>
      <c r="F6" s="9"/>
      <c r="G6" s="9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12" t="s">
        <v>10</v>
      </c>
      <c r="B7" s="13">
        <v>980.0</v>
      </c>
      <c r="C7" s="13">
        <v>1260.0</v>
      </c>
      <c r="D7" s="16">
        <v>128.57142857142858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12" t="s">
        <v>15</v>
      </c>
      <c r="B8" s="13">
        <v>294.0</v>
      </c>
      <c r="C8" s="13">
        <v>274.0</v>
      </c>
      <c r="D8" s="16">
        <v>93.19727891156462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12" t="s">
        <v>16</v>
      </c>
      <c r="B9" s="13">
        <v>98.0</v>
      </c>
      <c r="C9" s="13">
        <v>92.0</v>
      </c>
      <c r="D9" s="16">
        <v>93.87755102040816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11" t="s">
        <v>17</v>
      </c>
      <c r="B10" s="3"/>
      <c r="C10" s="3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12" t="s">
        <v>10</v>
      </c>
      <c r="B11" s="13">
        <v>900.0</v>
      </c>
      <c r="C11" s="13">
        <v>955.0</v>
      </c>
      <c r="D11" s="16">
        <v>106.11111111111111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12" t="s">
        <v>15</v>
      </c>
      <c r="B12" s="13">
        <v>39.0</v>
      </c>
      <c r="C12" s="13">
        <v>36.0</v>
      </c>
      <c r="D12" s="16">
        <v>92.3076923076923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12" t="s">
        <v>18</v>
      </c>
      <c r="B13" s="13">
        <v>48.0</v>
      </c>
      <c r="C13" s="13">
        <v>59.0</v>
      </c>
      <c r="D13" s="16">
        <v>122.91666666666667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15" t="s">
        <v>19</v>
      </c>
      <c r="B14" s="13">
        <v>1000.0</v>
      </c>
      <c r="C14" s="13">
        <v>973.0</v>
      </c>
      <c r="D14" s="16">
        <v>97.3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17"/>
      <c r="B15" s="5"/>
      <c r="C15" s="5"/>
      <c r="D15" s="1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19" t="s">
        <v>20</v>
      </c>
      <c r="B16" s="3"/>
      <c r="C16" s="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12" t="s">
        <v>21</v>
      </c>
      <c r="B17" s="13">
        <v>11.0</v>
      </c>
      <c r="C17" s="13">
        <v>8.0</v>
      </c>
      <c r="D17" s="16">
        <v>72.72727272727273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12" t="s">
        <v>14</v>
      </c>
      <c r="B18" s="13">
        <v>4.0</v>
      </c>
      <c r="C18" s="13">
        <v>3.0</v>
      </c>
      <c r="D18" s="16">
        <v>75.0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12" t="s">
        <v>17</v>
      </c>
      <c r="B19" s="13">
        <v>10.0</v>
      </c>
      <c r="C19" s="13">
        <v>3.0</v>
      </c>
      <c r="D19" s="16">
        <v>30.0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17"/>
      <c r="B20" s="5"/>
      <c r="C20" s="5"/>
      <c r="D20" s="1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5"/>
      <c r="B21" s="5"/>
      <c r="C21" s="5"/>
      <c r="D21" s="5"/>
      <c r="E21" s="18"/>
      <c r="F21" s="2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5"/>
      <c r="B22" s="5"/>
      <c r="C22" s="5"/>
      <c r="D22" s="5"/>
      <c r="E22" s="18"/>
      <c r="F22" s="2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5"/>
      <c r="B23" s="5"/>
      <c r="C23" s="5"/>
      <c r="D23" s="5"/>
      <c r="E23" s="18"/>
      <c r="F23" s="2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5"/>
      <c r="B24" s="5"/>
      <c r="C24" s="5"/>
      <c r="D24" s="5"/>
      <c r="E24" s="18"/>
      <c r="F24" s="2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5"/>
      <c r="B25" s="5"/>
      <c r="C25" s="5"/>
      <c r="D25" s="5"/>
      <c r="E25" s="18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5"/>
      <c r="B26" s="5"/>
      <c r="C26" s="5"/>
      <c r="D26" s="5"/>
      <c r="E26" s="1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5"/>
      <c r="B27" s="5"/>
      <c r="C27" s="5"/>
      <c r="D27" s="5"/>
      <c r="E27" s="1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"/>
      <c r="B28" s="5"/>
      <c r="C28" s="5"/>
      <c r="D28" s="5"/>
      <c r="E28" s="1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"/>
      <c r="B29" s="5"/>
      <c r="C29" s="5"/>
      <c r="D29" s="5"/>
      <c r="E29" s="1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5"/>
      <c r="B30" s="5"/>
      <c r="C30" s="5"/>
      <c r="D30" s="5"/>
      <c r="E30" s="1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"/>
      <c r="B31" s="5"/>
      <c r="C31" s="5"/>
      <c r="D31" s="5"/>
      <c r="E31" s="1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5"/>
      <c r="B32" s="5"/>
      <c r="C32" s="5"/>
      <c r="D32" s="5"/>
      <c r="E32" s="1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5"/>
      <c r="B33" s="5"/>
      <c r="C33" s="5"/>
      <c r="D33" s="5"/>
      <c r="E33" s="1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5"/>
      <c r="B34" s="5"/>
      <c r="C34" s="5"/>
      <c r="D34" s="5"/>
      <c r="E34" s="1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5"/>
      <c r="B35" s="5"/>
      <c r="C35" s="5"/>
      <c r="D35" s="5"/>
      <c r="E35" s="1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/>
      <c r="B36" s="5"/>
      <c r="C36" s="5"/>
      <c r="D36" s="5"/>
      <c r="E36" s="1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/>
      <c r="B37" s="5"/>
      <c r="C37" s="5"/>
      <c r="D37" s="5"/>
      <c r="E37" s="1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/>
      <c r="B38" s="5"/>
      <c r="C38" s="5"/>
      <c r="D38" s="5"/>
      <c r="E38" s="1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/>
      <c r="B39" s="5"/>
      <c r="C39" s="5"/>
      <c r="D39" s="5"/>
      <c r="E39" s="1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/>
      <c r="B40" s="5"/>
      <c r="C40" s="5"/>
      <c r="D40" s="5"/>
      <c r="E40" s="1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/>
      <c r="B41" s="5"/>
      <c r="C41" s="5"/>
      <c r="D41" s="5"/>
      <c r="E41" s="1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/>
      <c r="B42" s="5"/>
      <c r="C42" s="5"/>
      <c r="D42" s="5"/>
      <c r="E42" s="1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/>
      <c r="B43" s="5"/>
      <c r="C43" s="5"/>
      <c r="D43" s="5"/>
      <c r="E43" s="1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/>
      <c r="B44" s="5"/>
      <c r="C44" s="5"/>
      <c r="D44" s="5"/>
      <c r="E44" s="1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/>
      <c r="B45" s="5"/>
      <c r="C45" s="5"/>
      <c r="D45" s="5"/>
      <c r="E45" s="1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/>
      <c r="B46" s="5"/>
      <c r="C46" s="5"/>
      <c r="D46" s="5"/>
      <c r="E46" s="1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/>
      <c r="B47" s="5"/>
      <c r="C47" s="5"/>
      <c r="D47" s="5"/>
      <c r="E47" s="1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/>
      <c r="B48" s="5"/>
      <c r="C48" s="5"/>
      <c r="D48" s="5"/>
      <c r="E48" s="1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/>
      <c r="B49" s="5"/>
      <c r="C49" s="5"/>
      <c r="D49" s="5"/>
      <c r="E49" s="1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/>
      <c r="B50" s="5"/>
      <c r="C50" s="5"/>
      <c r="D50" s="5"/>
      <c r="E50" s="1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/>
      <c r="B51" s="5"/>
      <c r="C51" s="5"/>
      <c r="D51" s="5"/>
      <c r="E51" s="1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/>
      <c r="B52" s="5"/>
      <c r="C52" s="5"/>
      <c r="D52" s="5"/>
      <c r="E52" s="1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/>
      <c r="B53" s="5"/>
      <c r="C53" s="5"/>
      <c r="D53" s="5"/>
      <c r="E53" s="1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/>
      <c r="B54" s="5"/>
      <c r="C54" s="5"/>
      <c r="D54" s="5"/>
      <c r="E54" s="1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/>
      <c r="B55" s="5"/>
      <c r="C55" s="5"/>
      <c r="D55" s="5"/>
      <c r="E55" s="1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/>
      <c r="B56" s="5"/>
      <c r="C56" s="5"/>
      <c r="D56" s="5"/>
      <c r="E56" s="1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/>
      <c r="B57" s="5"/>
      <c r="C57" s="5"/>
      <c r="D57" s="5"/>
      <c r="E57" s="1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/>
      <c r="B58" s="5"/>
      <c r="C58" s="5"/>
      <c r="D58" s="5"/>
      <c r="E58" s="1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/>
      <c r="B59" s="5"/>
      <c r="C59" s="5"/>
      <c r="D59" s="5"/>
      <c r="E59" s="1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/>
      <c r="B60" s="5"/>
      <c r="C60" s="5"/>
      <c r="D60" s="5"/>
      <c r="E60" s="1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/>
      <c r="B61" s="5"/>
      <c r="C61" s="5"/>
      <c r="D61" s="5"/>
      <c r="E61" s="1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/>
      <c r="B62" s="5"/>
      <c r="C62" s="5"/>
      <c r="D62" s="5"/>
      <c r="E62" s="1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/>
      <c r="B63" s="5"/>
      <c r="C63" s="5"/>
      <c r="D63" s="5"/>
      <c r="E63" s="1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/>
      <c r="B64" s="5"/>
      <c r="C64" s="5"/>
      <c r="D64" s="5"/>
      <c r="E64" s="1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5"/>
      <c r="C65" s="5"/>
      <c r="D65" s="5"/>
      <c r="E65" s="1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5"/>
      <c r="C66" s="5"/>
      <c r="D66" s="5"/>
      <c r="E66" s="1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5"/>
      <c r="E67" s="1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1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1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1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1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1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1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1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1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1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1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1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1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1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1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1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1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1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1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1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1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1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1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1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1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1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1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1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1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1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1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1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1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1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1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1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1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1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1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1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1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1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1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1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1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1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1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1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1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1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1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1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1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1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1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1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1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1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1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1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1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1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1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1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1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1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1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1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1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1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1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1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1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1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1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1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1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1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1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1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1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1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1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1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1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1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1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1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1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1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1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1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1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1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1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1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1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1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1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1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1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1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1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1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1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1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1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1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1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1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1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1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1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1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1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1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1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1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1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1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1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1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1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1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1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1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1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1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1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1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1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1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1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1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1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1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1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1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1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1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1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1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1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1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1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1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1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1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1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1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1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1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1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1:D1"/>
    <mergeCell ref="A3:D3"/>
    <mergeCell ref="A6:D6"/>
    <mergeCell ref="A10:D10"/>
    <mergeCell ref="A16:D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18.0"/>
    <col customWidth="1" min="3" max="3" width="13.29"/>
    <col customWidth="1" min="4" max="4" width="17.29"/>
    <col customWidth="1" min="5" max="6" width="10.71"/>
  </cols>
  <sheetData>
    <row r="1">
      <c r="A1" s="21" t="s">
        <v>22</v>
      </c>
      <c r="B1" s="22" t="s">
        <v>4</v>
      </c>
      <c r="C1" s="22" t="s">
        <v>5</v>
      </c>
      <c r="D1" s="22" t="s">
        <v>6</v>
      </c>
    </row>
    <row r="2" ht="17.25" customHeight="1">
      <c r="A2" s="22" t="s">
        <v>23</v>
      </c>
      <c r="B2" s="22">
        <v>5.0</v>
      </c>
    </row>
    <row r="3">
      <c r="A3" s="22" t="s">
        <v>24</v>
      </c>
      <c r="B3" s="22">
        <v>12.0</v>
      </c>
      <c r="C3" s="22">
        <v>11.0</v>
      </c>
      <c r="D3" s="22">
        <v>91.66666666666666</v>
      </c>
    </row>
    <row r="4">
      <c r="A4" s="22" t="s">
        <v>25</v>
      </c>
      <c r="B4" s="22">
        <v>11.0</v>
      </c>
      <c r="C4" s="22">
        <v>10.0</v>
      </c>
      <c r="D4" s="22">
        <v>90.9090909090909</v>
      </c>
    </row>
    <row r="5">
      <c r="A5" s="22" t="s">
        <v>26</v>
      </c>
      <c r="B5" s="22">
        <v>10.0</v>
      </c>
      <c r="C5" s="22">
        <v>5.0</v>
      </c>
      <c r="D5" s="22">
        <v>50.0</v>
      </c>
    </row>
    <row r="6">
      <c r="A6" s="22" t="s">
        <v>27</v>
      </c>
      <c r="B6" s="22">
        <v>5.0</v>
      </c>
      <c r="C6" s="22">
        <v>5.0</v>
      </c>
      <c r="D6" s="22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47.0"/>
    <col customWidth="1" min="3" max="3" width="15.29"/>
    <col customWidth="1" min="4" max="4" width="17.43"/>
    <col customWidth="1" min="5" max="6" width="10.71"/>
  </cols>
  <sheetData>
    <row r="1">
      <c r="A1" s="1" t="s">
        <v>28</v>
      </c>
      <c r="B1" s="1" t="s">
        <v>29</v>
      </c>
      <c r="C1" s="1" t="s">
        <v>30</v>
      </c>
      <c r="D1" s="21" t="s">
        <v>31</v>
      </c>
    </row>
    <row r="2">
      <c r="A2" s="1" t="s">
        <v>32</v>
      </c>
      <c r="B2" s="1" t="s">
        <v>33</v>
      </c>
      <c r="C2" s="23">
        <v>168850.0</v>
      </c>
      <c r="D2" s="21" t="s">
        <v>34</v>
      </c>
    </row>
    <row r="3">
      <c r="A3" s="1" t="s">
        <v>32</v>
      </c>
      <c r="B3" s="1" t="s">
        <v>35</v>
      </c>
      <c r="C3" s="23">
        <v>90200.0</v>
      </c>
      <c r="D3" s="21" t="s">
        <v>34</v>
      </c>
    </row>
    <row r="4">
      <c r="A4" s="1" t="s">
        <v>32</v>
      </c>
      <c r="B4" s="1" t="s">
        <v>36</v>
      </c>
      <c r="C4" s="23">
        <v>3408.93</v>
      </c>
      <c r="D4" s="21" t="s">
        <v>34</v>
      </c>
    </row>
    <row r="5">
      <c r="A5" s="1" t="s">
        <v>32</v>
      </c>
      <c r="B5" s="1" t="s">
        <v>37</v>
      </c>
      <c r="C5" s="23">
        <v>27697.55</v>
      </c>
      <c r="D5" s="21" t="s">
        <v>34</v>
      </c>
    </row>
    <row r="6">
      <c r="A6" s="1" t="s">
        <v>32</v>
      </c>
      <c r="B6" s="1" t="s">
        <v>38</v>
      </c>
      <c r="C6" s="23">
        <v>61499.99999999999</v>
      </c>
      <c r="D6" s="21" t="s">
        <v>34</v>
      </c>
    </row>
    <row r="7">
      <c r="A7" s="1" t="s">
        <v>32</v>
      </c>
      <c r="B7" s="1" t="s">
        <v>39</v>
      </c>
      <c r="C7" s="23">
        <v>49200.0</v>
      </c>
      <c r="D7" s="21" t="s">
        <v>34</v>
      </c>
    </row>
    <row r="8">
      <c r="A8" s="1" t="s">
        <v>32</v>
      </c>
      <c r="B8" s="1" t="s">
        <v>40</v>
      </c>
      <c r="C8" s="23">
        <v>1250500.0</v>
      </c>
      <c r="D8" s="21" t="s">
        <v>34</v>
      </c>
    </row>
    <row r="9">
      <c r="A9" s="1" t="s">
        <v>32</v>
      </c>
      <c r="B9" s="1" t="s">
        <v>41</v>
      </c>
      <c r="C9" s="23">
        <v>1230.0</v>
      </c>
      <c r="D9" s="21" t="s">
        <v>42</v>
      </c>
    </row>
    <row r="10">
      <c r="A10" s="1" t="s">
        <v>32</v>
      </c>
      <c r="B10" s="1" t="s">
        <v>43</v>
      </c>
      <c r="C10" s="23">
        <v>1130000.0</v>
      </c>
      <c r="D10" s="21" t="s">
        <v>44</v>
      </c>
    </row>
    <row r="11">
      <c r="A11" s="1" t="s">
        <v>32</v>
      </c>
      <c r="B11" s="1" t="s">
        <v>41</v>
      </c>
      <c r="C11" s="23">
        <v>9000.0</v>
      </c>
      <c r="D11" s="21" t="s">
        <v>42</v>
      </c>
    </row>
    <row r="12">
      <c r="A12" s="1" t="s">
        <v>32</v>
      </c>
      <c r="B12" s="1" t="s">
        <v>45</v>
      </c>
      <c r="C12" s="23">
        <v>14048.65</v>
      </c>
      <c r="D12" s="21" t="s">
        <v>44</v>
      </c>
    </row>
    <row r="13">
      <c r="A13" s="1" t="s">
        <v>32</v>
      </c>
      <c r="B13" s="1" t="s">
        <v>46</v>
      </c>
      <c r="C13" s="23">
        <v>350000.0</v>
      </c>
      <c r="D13" s="21" t="s">
        <v>44</v>
      </c>
    </row>
    <row r="14">
      <c r="A14" s="1" t="s">
        <v>32</v>
      </c>
      <c r="B14" s="1" t="s">
        <v>47</v>
      </c>
      <c r="C14" s="23">
        <v>823992.71</v>
      </c>
      <c r="D14" s="21" t="s">
        <v>44</v>
      </c>
    </row>
    <row r="15">
      <c r="A15" s="1" t="s">
        <v>32</v>
      </c>
      <c r="B15" s="1" t="s">
        <v>48</v>
      </c>
      <c r="C15" s="23">
        <v>1170.0</v>
      </c>
      <c r="D15" s="21" t="s">
        <v>44</v>
      </c>
    </row>
    <row r="16">
      <c r="A16" s="1" t="s">
        <v>32</v>
      </c>
      <c r="B16" s="1" t="s">
        <v>49</v>
      </c>
      <c r="C16" s="23">
        <v>20183.4021</v>
      </c>
      <c r="D16" s="21" t="s">
        <v>44</v>
      </c>
    </row>
    <row r="17">
      <c r="A17" s="1" t="s">
        <v>32</v>
      </c>
      <c r="B17" s="1" t="s">
        <v>50</v>
      </c>
      <c r="C17" s="23">
        <v>12300.0</v>
      </c>
      <c r="D17" s="21" t="s">
        <v>44</v>
      </c>
    </row>
    <row r="18">
      <c r="A18" s="1" t="s">
        <v>32</v>
      </c>
      <c r="B18" s="1" t="s">
        <v>51</v>
      </c>
      <c r="C18" s="23">
        <v>8046.66</v>
      </c>
      <c r="D18" s="21" t="s">
        <v>44</v>
      </c>
    </row>
    <row r="19">
      <c r="A19" s="1" t="s">
        <v>32</v>
      </c>
      <c r="B19" s="1" t="s">
        <v>52</v>
      </c>
      <c r="C19" s="23">
        <v>44906.465430201926</v>
      </c>
      <c r="D19" s="21" t="s">
        <v>44</v>
      </c>
    </row>
    <row r="20">
      <c r="A20" s="1" t="s">
        <v>32</v>
      </c>
      <c r="B20" s="1" t="s">
        <v>53</v>
      </c>
      <c r="C20" s="23">
        <v>9020.0</v>
      </c>
      <c r="D20" s="21" t="s">
        <v>44</v>
      </c>
    </row>
    <row r="21" ht="15.75" customHeight="1">
      <c r="A21" s="1" t="s">
        <v>32</v>
      </c>
      <c r="B21" s="1" t="s">
        <v>54</v>
      </c>
      <c r="C21" s="23">
        <v>2050.0</v>
      </c>
      <c r="D21" s="21" t="s">
        <v>44</v>
      </c>
    </row>
    <row r="22" ht="15.75" customHeight="1">
      <c r="A22" s="1" t="s">
        <v>32</v>
      </c>
      <c r="B22" s="1" t="s">
        <v>55</v>
      </c>
      <c r="C22" s="23">
        <v>1776.2839999999997</v>
      </c>
      <c r="D22" s="21" t="s">
        <v>44</v>
      </c>
    </row>
    <row r="23" ht="15.75" customHeight="1">
      <c r="A23" s="1" t="s">
        <v>32</v>
      </c>
      <c r="B23" s="1" t="s">
        <v>56</v>
      </c>
      <c r="C23" s="23">
        <v>8268.4413</v>
      </c>
      <c r="D23" s="21" t="s">
        <v>44</v>
      </c>
    </row>
    <row r="24" ht="15.75" customHeight="1">
      <c r="A24" s="1" t="s">
        <v>32</v>
      </c>
      <c r="B24" s="1" t="s">
        <v>57</v>
      </c>
      <c r="C24" s="23">
        <v>20994.615799999996</v>
      </c>
      <c r="D24" s="21" t="s">
        <v>34</v>
      </c>
    </row>
    <row r="25" ht="15.75" customHeight="1">
      <c r="A25" s="1" t="s">
        <v>32</v>
      </c>
      <c r="B25" s="1" t="s">
        <v>58</v>
      </c>
      <c r="C25" s="23">
        <v>75850.0</v>
      </c>
      <c r="D25" s="21" t="s">
        <v>34</v>
      </c>
    </row>
    <row r="26" ht="15.75" customHeight="1">
      <c r="A26" s="1" t="s">
        <v>32</v>
      </c>
      <c r="B26" s="1" t="s">
        <v>59</v>
      </c>
      <c r="C26" s="23">
        <v>6560.0</v>
      </c>
      <c r="D26" s="21" t="s">
        <v>34</v>
      </c>
    </row>
    <row r="27" ht="15.75" customHeight="1">
      <c r="A27" s="1" t="s">
        <v>32</v>
      </c>
      <c r="B27" s="1" t="s">
        <v>60</v>
      </c>
      <c r="C27" s="23">
        <v>11521.0</v>
      </c>
      <c r="D27" s="21" t="s">
        <v>34</v>
      </c>
    </row>
    <row r="28" ht="15.75" customHeight="1">
      <c r="A28" s="1" t="s">
        <v>32</v>
      </c>
      <c r="B28" s="1" t="s">
        <v>61</v>
      </c>
      <c r="C28" s="23">
        <v>28700.0</v>
      </c>
      <c r="D28" s="21" t="s">
        <v>34</v>
      </c>
    </row>
    <row r="29" ht="15.75" customHeight="1">
      <c r="A29" s="1" t="s">
        <v>32</v>
      </c>
      <c r="B29" s="1" t="s">
        <v>62</v>
      </c>
      <c r="C29" s="23">
        <v>24600.0</v>
      </c>
      <c r="D29" s="21" t="s">
        <v>34</v>
      </c>
    </row>
    <row r="30" ht="15.75" customHeight="1">
      <c r="A30" s="1" t="s">
        <v>32</v>
      </c>
      <c r="B30" s="1" t="s">
        <v>63</v>
      </c>
      <c r="C30" s="23">
        <v>9020.0</v>
      </c>
      <c r="D30" s="21" t="s">
        <v>34</v>
      </c>
    </row>
    <row r="31" ht="15.75" customHeight="1">
      <c r="A31" s="1" t="s">
        <v>32</v>
      </c>
      <c r="B31" s="1" t="s">
        <v>64</v>
      </c>
      <c r="C31" s="23">
        <v>8200.0</v>
      </c>
      <c r="D31" s="21" t="s">
        <v>34</v>
      </c>
    </row>
    <row r="32" ht="15.75" customHeight="1">
      <c r="A32" s="1" t="s">
        <v>32</v>
      </c>
      <c r="B32" s="1" t="s">
        <v>65</v>
      </c>
      <c r="C32" s="23">
        <v>3690.0</v>
      </c>
      <c r="D32" s="21" t="s">
        <v>34</v>
      </c>
    </row>
    <row r="33" ht="15.75" customHeight="1">
      <c r="A33" s="1" t="s">
        <v>32</v>
      </c>
      <c r="B33" s="1" t="s">
        <v>66</v>
      </c>
      <c r="C33" s="23">
        <v>4510.0</v>
      </c>
      <c r="D33" s="21" t="s">
        <v>34</v>
      </c>
    </row>
    <row r="34" ht="15.75" customHeight="1">
      <c r="A34" s="1" t="s">
        <v>32</v>
      </c>
      <c r="B34" s="1" t="s">
        <v>67</v>
      </c>
      <c r="C34" s="23">
        <v>25420.0</v>
      </c>
      <c r="D34" s="21" t="s">
        <v>34</v>
      </c>
    </row>
    <row r="35" ht="15.75" customHeight="1">
      <c r="A35" s="1" t="s">
        <v>32</v>
      </c>
      <c r="B35" s="1" t="s">
        <v>68</v>
      </c>
      <c r="C35" s="23">
        <v>22140.0</v>
      </c>
      <c r="D35" s="21" t="s">
        <v>34</v>
      </c>
    </row>
    <row r="36" ht="15.75" customHeight="1">
      <c r="A36" s="1" t="s">
        <v>32</v>
      </c>
      <c r="B36" s="1" t="s">
        <v>69</v>
      </c>
      <c r="C36" s="23">
        <v>17220.0</v>
      </c>
      <c r="D36" s="21" t="s">
        <v>34</v>
      </c>
    </row>
    <row r="37" ht="15.75" customHeight="1">
      <c r="A37" s="1" t="s">
        <v>32</v>
      </c>
      <c r="B37" s="1" t="s">
        <v>70</v>
      </c>
      <c r="C37" s="23">
        <v>6970.0</v>
      </c>
      <c r="D37" s="21" t="s">
        <v>34</v>
      </c>
    </row>
    <row r="38" ht="15.75" customHeight="1">
      <c r="A38" s="1" t="s">
        <v>32</v>
      </c>
      <c r="B38" s="1" t="s">
        <v>71</v>
      </c>
      <c r="C38" s="23">
        <v>1230.0</v>
      </c>
      <c r="D38" s="21" t="s">
        <v>34</v>
      </c>
    </row>
    <row r="39" ht="15.75" customHeight="1">
      <c r="A39" s="1" t="s">
        <v>32</v>
      </c>
      <c r="B39" s="1" t="s">
        <v>60</v>
      </c>
      <c r="C39" s="23">
        <v>14350.0</v>
      </c>
      <c r="D39" s="21" t="s">
        <v>34</v>
      </c>
    </row>
    <row r="40" ht="15.75" customHeight="1">
      <c r="A40" s="1" t="s">
        <v>32</v>
      </c>
      <c r="B40" s="1" t="s">
        <v>72</v>
      </c>
      <c r="C40" s="23">
        <v>14350.0</v>
      </c>
      <c r="D40" s="21" t="s">
        <v>34</v>
      </c>
    </row>
    <row r="41" ht="15.75" customHeight="1">
      <c r="A41" s="1" t="s">
        <v>32</v>
      </c>
      <c r="B41" s="1" t="s">
        <v>73</v>
      </c>
      <c r="C41" s="23">
        <v>29110.0</v>
      </c>
      <c r="D41" s="21" t="s">
        <v>74</v>
      </c>
    </row>
    <row r="42" ht="15.75" customHeight="1">
      <c r="A42" s="1" t="s">
        <v>32</v>
      </c>
      <c r="B42" s="1" t="s">
        <v>75</v>
      </c>
      <c r="C42" s="23">
        <v>6970.0</v>
      </c>
      <c r="D42" s="21" t="s">
        <v>42</v>
      </c>
    </row>
    <row r="43" ht="15.75" customHeight="1">
      <c r="A43" s="1" t="s">
        <v>32</v>
      </c>
      <c r="B43" s="1" t="s">
        <v>76</v>
      </c>
      <c r="C43" s="23">
        <v>349577.86539999995</v>
      </c>
      <c r="D43" s="21" t="s">
        <v>74</v>
      </c>
    </row>
    <row r="44" ht="15.75" customHeight="1">
      <c r="A44" s="1" t="s">
        <v>77</v>
      </c>
      <c r="B44" s="1" t="s">
        <v>33</v>
      </c>
      <c r="C44" s="23">
        <v>344100.0</v>
      </c>
      <c r="D44" s="21" t="s">
        <v>34</v>
      </c>
    </row>
    <row r="45" ht="15.75" customHeight="1">
      <c r="A45" s="1" t="s">
        <v>77</v>
      </c>
      <c r="B45" s="1" t="s">
        <v>35</v>
      </c>
      <c r="C45" s="23">
        <v>90200.0</v>
      </c>
      <c r="D45" s="21" t="s">
        <v>34</v>
      </c>
    </row>
    <row r="46" ht="15.75" customHeight="1">
      <c r="A46" s="1" t="s">
        <v>77</v>
      </c>
      <c r="B46" s="1" t="s">
        <v>37</v>
      </c>
      <c r="C46" s="23">
        <v>27697.55</v>
      </c>
      <c r="D46" s="21" t="s">
        <v>34</v>
      </c>
    </row>
    <row r="47" ht="15.75" customHeight="1">
      <c r="A47" s="1" t="s">
        <v>77</v>
      </c>
      <c r="B47" s="1" t="s">
        <v>38</v>
      </c>
      <c r="C47" s="23">
        <v>61499.99999999999</v>
      </c>
      <c r="D47" s="21" t="s">
        <v>34</v>
      </c>
    </row>
    <row r="48" ht="15.75" customHeight="1">
      <c r="A48" s="1" t="s">
        <v>77</v>
      </c>
      <c r="B48" s="1" t="s">
        <v>39</v>
      </c>
      <c r="C48" s="23">
        <v>49200.0</v>
      </c>
      <c r="D48" s="21" t="s">
        <v>34</v>
      </c>
    </row>
    <row r="49" ht="15.75" customHeight="1">
      <c r="A49" s="1" t="s">
        <v>77</v>
      </c>
      <c r="B49" s="1" t="s">
        <v>40</v>
      </c>
      <c r="C49" s="23">
        <v>1250500.0</v>
      </c>
      <c r="D49" s="21" t="s">
        <v>34</v>
      </c>
    </row>
    <row r="50" ht="15.75" customHeight="1">
      <c r="A50" s="1" t="s">
        <v>77</v>
      </c>
      <c r="B50" s="1" t="s">
        <v>41</v>
      </c>
      <c r="C50" s="23">
        <v>1230.0</v>
      </c>
      <c r="D50" s="21" t="s">
        <v>42</v>
      </c>
    </row>
    <row r="51" ht="15.75" customHeight="1">
      <c r="A51" s="1" t="s">
        <v>77</v>
      </c>
      <c r="B51" s="1" t="s">
        <v>43</v>
      </c>
      <c r="C51" s="23">
        <v>1400000.0</v>
      </c>
      <c r="D51" s="21" t="s">
        <v>44</v>
      </c>
    </row>
    <row r="52" ht="15.75" customHeight="1">
      <c r="A52" s="1" t="s">
        <v>77</v>
      </c>
      <c r="B52" s="1" t="s">
        <v>41</v>
      </c>
      <c r="C52" s="23">
        <v>190000.0</v>
      </c>
      <c r="D52" s="21" t="s">
        <v>42</v>
      </c>
    </row>
    <row r="53" ht="15.75" customHeight="1">
      <c r="A53" s="1" t="s">
        <v>77</v>
      </c>
      <c r="B53" s="1" t="s">
        <v>45</v>
      </c>
      <c r="C53" s="23">
        <v>20216.35</v>
      </c>
      <c r="D53" s="21" t="s">
        <v>44</v>
      </c>
    </row>
    <row r="54" ht="15.75" customHeight="1">
      <c r="A54" s="1" t="s">
        <v>77</v>
      </c>
      <c r="B54" s="1" t="s">
        <v>46</v>
      </c>
      <c r="C54" s="23">
        <v>250000.0</v>
      </c>
      <c r="D54" s="21" t="s">
        <v>44</v>
      </c>
    </row>
    <row r="55" ht="15.75" customHeight="1">
      <c r="A55" s="1" t="s">
        <v>77</v>
      </c>
      <c r="B55" s="1" t="s">
        <v>47</v>
      </c>
      <c r="C55" s="23">
        <v>546328.48</v>
      </c>
      <c r="D55" s="21" t="s">
        <v>44</v>
      </c>
    </row>
    <row r="56" ht="15.75" customHeight="1">
      <c r="A56" s="1" t="s">
        <v>77</v>
      </c>
      <c r="B56" s="1" t="s">
        <v>78</v>
      </c>
      <c r="C56" s="23">
        <v>10650.0</v>
      </c>
      <c r="D56" s="21" t="s">
        <v>44</v>
      </c>
    </row>
    <row r="57" ht="15.75" customHeight="1">
      <c r="A57" s="1" t="s">
        <v>77</v>
      </c>
      <c r="B57" s="1" t="s">
        <v>48</v>
      </c>
      <c r="C57" s="23">
        <v>1342.0</v>
      </c>
      <c r="D57" s="21" t="s">
        <v>44</v>
      </c>
    </row>
    <row r="58" ht="15.75" customHeight="1">
      <c r="A58" s="1" t="s">
        <v>77</v>
      </c>
      <c r="B58" s="1" t="s">
        <v>49</v>
      </c>
      <c r="C58" s="23">
        <v>20183.4021</v>
      </c>
      <c r="D58" s="21" t="s">
        <v>44</v>
      </c>
    </row>
    <row r="59" ht="15.75" customHeight="1">
      <c r="A59" s="1" t="s">
        <v>77</v>
      </c>
      <c r="B59" s="1" t="s">
        <v>50</v>
      </c>
      <c r="C59" s="23">
        <v>12300.0</v>
      </c>
      <c r="D59" s="21" t="s">
        <v>44</v>
      </c>
    </row>
    <row r="60" ht="15.75" customHeight="1">
      <c r="A60" s="1" t="s">
        <v>77</v>
      </c>
      <c r="B60" s="1" t="s">
        <v>51</v>
      </c>
      <c r="C60" s="23">
        <v>8046.66</v>
      </c>
      <c r="D60" s="21" t="s">
        <v>44</v>
      </c>
    </row>
    <row r="61" ht="15.75" customHeight="1">
      <c r="A61" s="1" t="s">
        <v>77</v>
      </c>
      <c r="B61" s="1" t="s">
        <v>52</v>
      </c>
      <c r="C61" s="23">
        <v>76262.53456979807</v>
      </c>
      <c r="D61" s="21" t="s">
        <v>44</v>
      </c>
    </row>
    <row r="62" ht="15.75" customHeight="1">
      <c r="A62" s="1" t="s">
        <v>77</v>
      </c>
      <c r="B62" s="1" t="s">
        <v>53</v>
      </c>
      <c r="C62" s="23">
        <v>9020.0</v>
      </c>
      <c r="D62" s="21" t="s">
        <v>44</v>
      </c>
    </row>
    <row r="63" ht="15.75" customHeight="1">
      <c r="A63" s="1" t="s">
        <v>77</v>
      </c>
      <c r="B63" s="1" t="s">
        <v>54</v>
      </c>
      <c r="C63" s="23">
        <v>2050.0</v>
      </c>
      <c r="D63" s="21" t="s">
        <v>44</v>
      </c>
    </row>
    <row r="64" ht="15.75" customHeight="1">
      <c r="A64" s="1" t="s">
        <v>77</v>
      </c>
      <c r="B64" s="1" t="s">
        <v>55</v>
      </c>
      <c r="C64" s="23">
        <v>1776.2839999999997</v>
      </c>
      <c r="D64" s="21" t="s">
        <v>44</v>
      </c>
    </row>
    <row r="65" ht="15.75" customHeight="1">
      <c r="A65" s="1" t="s">
        <v>77</v>
      </c>
      <c r="B65" s="1" t="s">
        <v>56</v>
      </c>
      <c r="C65" s="23">
        <v>8268.4413</v>
      </c>
      <c r="D65" s="21" t="s">
        <v>44</v>
      </c>
    </row>
    <row r="66" ht="15.75" customHeight="1">
      <c r="A66" s="1" t="s">
        <v>77</v>
      </c>
      <c r="B66" s="1" t="s">
        <v>57</v>
      </c>
      <c r="C66" s="23">
        <v>20994.615799999996</v>
      </c>
      <c r="D66" s="21" t="s">
        <v>34</v>
      </c>
    </row>
    <row r="67" ht="15.75" customHeight="1">
      <c r="A67" s="1" t="s">
        <v>77</v>
      </c>
      <c r="B67" s="1" t="s">
        <v>58</v>
      </c>
      <c r="C67" s="23">
        <v>75850.0</v>
      </c>
      <c r="D67" s="21" t="s">
        <v>34</v>
      </c>
    </row>
    <row r="68" ht="15.75" customHeight="1">
      <c r="A68" s="1" t="s">
        <v>77</v>
      </c>
      <c r="B68" s="1" t="s">
        <v>59</v>
      </c>
      <c r="C68" s="23">
        <v>6560.0</v>
      </c>
      <c r="D68" s="21" t="s">
        <v>34</v>
      </c>
    </row>
    <row r="69" ht="15.75" customHeight="1">
      <c r="A69" s="1" t="s">
        <v>77</v>
      </c>
      <c r="B69" s="1" t="s">
        <v>60</v>
      </c>
      <c r="C69" s="23">
        <v>11521.0</v>
      </c>
      <c r="D69" s="21" t="s">
        <v>34</v>
      </c>
    </row>
    <row r="70" ht="15.75" customHeight="1">
      <c r="A70" s="1" t="s">
        <v>77</v>
      </c>
      <c r="B70" s="1" t="s">
        <v>61</v>
      </c>
      <c r="C70" s="23">
        <v>28700.0</v>
      </c>
      <c r="D70" s="21" t="s">
        <v>34</v>
      </c>
    </row>
    <row r="71" ht="15.75" customHeight="1">
      <c r="A71" s="1" t="s">
        <v>77</v>
      </c>
      <c r="B71" s="1" t="s">
        <v>62</v>
      </c>
      <c r="C71" s="23">
        <v>24600.0</v>
      </c>
      <c r="D71" s="21" t="s">
        <v>34</v>
      </c>
    </row>
    <row r="72" ht="15.75" customHeight="1">
      <c r="A72" s="1" t="s">
        <v>77</v>
      </c>
      <c r="B72" s="1" t="s">
        <v>63</v>
      </c>
      <c r="C72" s="23">
        <v>9020.0</v>
      </c>
      <c r="D72" s="21" t="s">
        <v>34</v>
      </c>
    </row>
    <row r="73" ht="15.75" customHeight="1">
      <c r="A73" s="1" t="s">
        <v>77</v>
      </c>
      <c r="B73" s="1" t="s">
        <v>64</v>
      </c>
      <c r="C73" s="23">
        <v>8200.0</v>
      </c>
      <c r="D73" s="21" t="s">
        <v>34</v>
      </c>
    </row>
    <row r="74" ht="15.75" customHeight="1">
      <c r="A74" s="1" t="s">
        <v>77</v>
      </c>
      <c r="B74" s="1" t="s">
        <v>65</v>
      </c>
      <c r="C74" s="23">
        <v>3690.0</v>
      </c>
      <c r="D74" s="21" t="s">
        <v>34</v>
      </c>
    </row>
    <row r="75" ht="15.75" customHeight="1">
      <c r="A75" s="1" t="s">
        <v>77</v>
      </c>
      <c r="B75" s="1" t="s">
        <v>66</v>
      </c>
      <c r="C75" s="23">
        <v>4510.0</v>
      </c>
      <c r="D75" s="21" t="s">
        <v>34</v>
      </c>
    </row>
    <row r="76" ht="15.75" customHeight="1">
      <c r="A76" s="1" t="s">
        <v>77</v>
      </c>
      <c r="B76" s="1" t="s">
        <v>67</v>
      </c>
      <c r="C76" s="23">
        <v>25420.0</v>
      </c>
      <c r="D76" s="21" t="s">
        <v>34</v>
      </c>
    </row>
    <row r="77" ht="15.75" customHeight="1">
      <c r="A77" s="1" t="s">
        <v>77</v>
      </c>
      <c r="B77" s="1" t="s">
        <v>68</v>
      </c>
      <c r="C77" s="23">
        <v>22140.0</v>
      </c>
      <c r="D77" s="21" t="s">
        <v>34</v>
      </c>
    </row>
    <row r="78" ht="15.75" customHeight="1">
      <c r="A78" s="1" t="s">
        <v>77</v>
      </c>
      <c r="B78" s="1" t="s">
        <v>69</v>
      </c>
      <c r="C78" s="23">
        <v>17220.0</v>
      </c>
      <c r="D78" s="21" t="s">
        <v>34</v>
      </c>
    </row>
    <row r="79" ht="15.75" customHeight="1">
      <c r="A79" s="1" t="s">
        <v>77</v>
      </c>
      <c r="B79" s="1" t="s">
        <v>70</v>
      </c>
      <c r="C79" s="23">
        <v>6970.0</v>
      </c>
      <c r="D79" s="21" t="s">
        <v>34</v>
      </c>
    </row>
    <row r="80" ht="15.75" customHeight="1">
      <c r="A80" s="1" t="s">
        <v>77</v>
      </c>
      <c r="B80" s="1" t="s">
        <v>71</v>
      </c>
      <c r="C80" s="23">
        <v>1230.0</v>
      </c>
      <c r="D80" s="21" t="s">
        <v>34</v>
      </c>
    </row>
    <row r="81" ht="15.75" customHeight="1">
      <c r="A81" s="1" t="s">
        <v>77</v>
      </c>
      <c r="B81" s="1" t="s">
        <v>60</v>
      </c>
      <c r="C81" s="23">
        <v>14350.0</v>
      </c>
      <c r="D81" s="21" t="s">
        <v>34</v>
      </c>
    </row>
    <row r="82" ht="15.75" customHeight="1">
      <c r="A82" s="1" t="s">
        <v>77</v>
      </c>
      <c r="B82" s="1" t="s">
        <v>72</v>
      </c>
      <c r="C82" s="23">
        <v>14350.0</v>
      </c>
      <c r="D82" s="21" t="s">
        <v>34</v>
      </c>
    </row>
    <row r="83" ht="15.75" customHeight="1">
      <c r="A83" s="1" t="s">
        <v>77</v>
      </c>
      <c r="B83" s="1" t="s">
        <v>73</v>
      </c>
      <c r="C83" s="23">
        <v>29110.0</v>
      </c>
      <c r="D83" s="21" t="s">
        <v>74</v>
      </c>
    </row>
    <row r="84" ht="15.75" customHeight="1">
      <c r="A84" s="1" t="s">
        <v>77</v>
      </c>
      <c r="B84" s="1" t="s">
        <v>75</v>
      </c>
      <c r="C84" s="23">
        <v>6970.0</v>
      </c>
      <c r="D84" s="21" t="s">
        <v>42</v>
      </c>
    </row>
    <row r="85" ht="15.75" customHeight="1">
      <c r="A85" s="1" t="s">
        <v>77</v>
      </c>
      <c r="B85" s="1" t="s">
        <v>76</v>
      </c>
      <c r="C85" s="23">
        <v>349577.86539999995</v>
      </c>
      <c r="D85" s="21" t="s">
        <v>74</v>
      </c>
    </row>
    <row r="86" ht="15.75" customHeight="1">
      <c r="A86" s="1" t="s">
        <v>79</v>
      </c>
      <c r="B86" s="1" t="s">
        <v>35</v>
      </c>
      <c r="C86" s="23">
        <v>39600.0</v>
      </c>
      <c r="D86" s="21" t="s">
        <v>34</v>
      </c>
    </row>
    <row r="87" ht="15.75" customHeight="1">
      <c r="A87" s="1" t="s">
        <v>79</v>
      </c>
      <c r="B87" s="1" t="s">
        <v>80</v>
      </c>
      <c r="C87" s="23">
        <v>39803.39</v>
      </c>
      <c r="D87" s="21" t="s">
        <v>34</v>
      </c>
    </row>
    <row r="88" ht="15.75" customHeight="1">
      <c r="A88" s="1" t="s">
        <v>79</v>
      </c>
      <c r="B88" s="1" t="s">
        <v>81</v>
      </c>
      <c r="C88" s="23">
        <v>180000.0</v>
      </c>
      <c r="D88" s="21" t="s">
        <v>34</v>
      </c>
    </row>
    <row r="89" ht="15.75" customHeight="1">
      <c r="A89" s="1" t="s">
        <v>79</v>
      </c>
      <c r="B89" s="1" t="s">
        <v>37</v>
      </c>
      <c r="C89" s="23">
        <v>12159.9</v>
      </c>
      <c r="D89" s="21" t="s">
        <v>34</v>
      </c>
      <c r="G89" s="24"/>
    </row>
    <row r="90" ht="15.75" customHeight="1">
      <c r="A90" s="1" t="s">
        <v>79</v>
      </c>
      <c r="B90" s="1" t="s">
        <v>38</v>
      </c>
      <c r="C90" s="23">
        <v>27000.0</v>
      </c>
      <c r="D90" s="21" t="s">
        <v>34</v>
      </c>
    </row>
    <row r="91" ht="15.75" customHeight="1">
      <c r="A91" s="1" t="s">
        <v>79</v>
      </c>
      <c r="B91" s="1" t="s">
        <v>39</v>
      </c>
      <c r="C91" s="23">
        <v>21600.0</v>
      </c>
      <c r="D91" s="21" t="s">
        <v>34</v>
      </c>
    </row>
    <row r="92" ht="15.75" customHeight="1">
      <c r="A92" s="1" t="s">
        <v>79</v>
      </c>
      <c r="B92" s="1" t="s">
        <v>40</v>
      </c>
      <c r="C92" s="23">
        <v>549000.0</v>
      </c>
      <c r="D92" s="21" t="s">
        <v>34</v>
      </c>
    </row>
    <row r="93" ht="15.75" customHeight="1">
      <c r="A93" s="1" t="s">
        <v>79</v>
      </c>
      <c r="B93" s="1" t="s">
        <v>41</v>
      </c>
      <c r="C93" s="23">
        <v>540.0</v>
      </c>
      <c r="D93" s="21" t="s">
        <v>42</v>
      </c>
    </row>
    <row r="94" ht="15.75" customHeight="1">
      <c r="A94" s="1" t="s">
        <v>79</v>
      </c>
      <c r="B94" s="1" t="s">
        <v>82</v>
      </c>
      <c r="C94" s="23">
        <v>550000.0</v>
      </c>
      <c r="D94" s="21" t="s">
        <v>44</v>
      </c>
    </row>
    <row r="95" ht="15.75" customHeight="1">
      <c r="A95" s="1" t="s">
        <v>79</v>
      </c>
      <c r="B95" s="1" t="s">
        <v>41</v>
      </c>
      <c r="C95" s="23">
        <v>37000.0</v>
      </c>
      <c r="D95" s="21" t="s">
        <v>42</v>
      </c>
    </row>
    <row r="96" ht="15.75" customHeight="1">
      <c r="A96" s="1" t="s">
        <v>79</v>
      </c>
      <c r="B96" s="1" t="s">
        <v>46</v>
      </c>
      <c r="C96" s="23">
        <v>100000.0</v>
      </c>
      <c r="D96" s="21" t="s">
        <v>44</v>
      </c>
    </row>
    <row r="97" ht="15.75" customHeight="1">
      <c r="A97" s="1" t="s">
        <v>79</v>
      </c>
      <c r="B97" s="1" t="s">
        <v>47</v>
      </c>
      <c r="C97" s="23">
        <v>7700.0</v>
      </c>
      <c r="D97" s="21" t="s">
        <v>44</v>
      </c>
    </row>
    <row r="98" ht="15.75" customHeight="1">
      <c r="A98" s="1" t="s">
        <v>79</v>
      </c>
      <c r="B98" s="1" t="s">
        <v>83</v>
      </c>
      <c r="C98" s="23">
        <v>10095.0</v>
      </c>
      <c r="D98" s="21" t="s">
        <v>44</v>
      </c>
    </row>
    <row r="99" ht="15.75" customHeight="1">
      <c r="A99" s="1" t="s">
        <v>79</v>
      </c>
      <c r="B99" s="1" t="s">
        <v>49</v>
      </c>
      <c r="C99" s="23">
        <v>8861.005799999999</v>
      </c>
      <c r="D99" s="21" t="s">
        <v>44</v>
      </c>
    </row>
    <row r="100" ht="15.75" customHeight="1">
      <c r="A100" s="1" t="s">
        <v>79</v>
      </c>
      <c r="B100" s="1" t="s">
        <v>50</v>
      </c>
      <c r="C100" s="23">
        <v>5400.0</v>
      </c>
      <c r="D100" s="21" t="s">
        <v>44</v>
      </c>
    </row>
    <row r="101" ht="15.75" customHeight="1">
      <c r="A101" s="1" t="s">
        <v>79</v>
      </c>
      <c r="B101" s="1" t="s">
        <v>51</v>
      </c>
      <c r="C101" s="23">
        <v>3532.68</v>
      </c>
      <c r="D101" s="21" t="s">
        <v>44</v>
      </c>
    </row>
    <row r="102" ht="15.75" customHeight="1">
      <c r="A102" s="1" t="s">
        <v>79</v>
      </c>
      <c r="B102" s="1" t="s">
        <v>53</v>
      </c>
      <c r="C102" s="23">
        <v>3960.0</v>
      </c>
      <c r="D102" s="21" t="s">
        <v>44</v>
      </c>
    </row>
    <row r="103" ht="15.75" customHeight="1">
      <c r="A103" s="1" t="s">
        <v>79</v>
      </c>
      <c r="B103" s="1" t="s">
        <v>54</v>
      </c>
      <c r="C103" s="23">
        <v>900.0</v>
      </c>
      <c r="D103" s="21" t="s">
        <v>44</v>
      </c>
    </row>
    <row r="104" ht="15.75" customHeight="1">
      <c r="A104" s="1" t="s">
        <v>79</v>
      </c>
      <c r="B104" s="1" t="s">
        <v>55</v>
      </c>
      <c r="C104" s="23">
        <v>779.8319999999999</v>
      </c>
      <c r="D104" s="21" t="s">
        <v>44</v>
      </c>
    </row>
    <row r="105" ht="15.75" customHeight="1">
      <c r="A105" s="1" t="s">
        <v>79</v>
      </c>
      <c r="B105" s="1" t="s">
        <v>56</v>
      </c>
      <c r="C105" s="23">
        <v>3630.0474</v>
      </c>
      <c r="D105" s="21" t="s">
        <v>44</v>
      </c>
    </row>
    <row r="106" ht="15.75" customHeight="1">
      <c r="A106" s="1" t="s">
        <v>79</v>
      </c>
      <c r="B106" s="1" t="s">
        <v>57</v>
      </c>
      <c r="C106" s="23">
        <v>9217.1484</v>
      </c>
      <c r="D106" s="21" t="s">
        <v>34</v>
      </c>
    </row>
    <row r="107" ht="15.75" customHeight="1">
      <c r="A107" s="1" t="s">
        <v>79</v>
      </c>
      <c r="B107" s="1" t="s">
        <v>58</v>
      </c>
      <c r="C107" s="23">
        <v>33300.0</v>
      </c>
      <c r="D107" s="21" t="s">
        <v>34</v>
      </c>
    </row>
    <row r="108" ht="15.75" customHeight="1">
      <c r="A108" s="1" t="s">
        <v>79</v>
      </c>
      <c r="B108" s="1" t="s">
        <v>59</v>
      </c>
      <c r="C108" s="23">
        <v>2880.0</v>
      </c>
      <c r="D108" s="21" t="s">
        <v>34</v>
      </c>
    </row>
    <row r="109" ht="15.75" customHeight="1">
      <c r="A109" s="1" t="s">
        <v>79</v>
      </c>
      <c r="B109" s="1" t="s">
        <v>60</v>
      </c>
      <c r="C109" s="23">
        <v>5058.0</v>
      </c>
      <c r="D109" s="21" t="s">
        <v>34</v>
      </c>
    </row>
    <row r="110" ht="15.75" customHeight="1">
      <c r="A110" s="1" t="s">
        <v>79</v>
      </c>
      <c r="B110" s="1" t="s">
        <v>61</v>
      </c>
      <c r="C110" s="23">
        <v>12600.0</v>
      </c>
      <c r="D110" s="21" t="s">
        <v>34</v>
      </c>
    </row>
    <row r="111" ht="15.75" customHeight="1">
      <c r="A111" s="1" t="s">
        <v>79</v>
      </c>
      <c r="B111" s="1" t="s">
        <v>62</v>
      </c>
      <c r="C111" s="23">
        <v>10800.0</v>
      </c>
      <c r="D111" s="21" t="s">
        <v>34</v>
      </c>
    </row>
    <row r="112" ht="15.75" customHeight="1">
      <c r="A112" s="1" t="s">
        <v>79</v>
      </c>
      <c r="B112" s="1" t="s">
        <v>63</v>
      </c>
      <c r="C112" s="23">
        <v>3960.0</v>
      </c>
      <c r="D112" s="21" t="s">
        <v>34</v>
      </c>
    </row>
    <row r="113" ht="15.75" customHeight="1">
      <c r="A113" s="1" t="s">
        <v>79</v>
      </c>
      <c r="B113" s="1" t="s">
        <v>64</v>
      </c>
      <c r="C113" s="23">
        <v>3600.0</v>
      </c>
      <c r="D113" s="21" t="s">
        <v>34</v>
      </c>
    </row>
    <row r="114" ht="15.75" customHeight="1">
      <c r="A114" s="1" t="s">
        <v>79</v>
      </c>
      <c r="B114" s="1" t="s">
        <v>65</v>
      </c>
      <c r="C114" s="23">
        <v>1620.0</v>
      </c>
      <c r="D114" s="21" t="s">
        <v>34</v>
      </c>
    </row>
    <row r="115" ht="15.75" customHeight="1">
      <c r="A115" s="1" t="s">
        <v>79</v>
      </c>
      <c r="B115" s="1" t="s">
        <v>66</v>
      </c>
      <c r="C115" s="23">
        <v>1980.0</v>
      </c>
      <c r="D115" s="21" t="s">
        <v>34</v>
      </c>
    </row>
    <row r="116" ht="15.75" customHeight="1">
      <c r="A116" s="1" t="s">
        <v>79</v>
      </c>
      <c r="B116" s="1" t="s">
        <v>67</v>
      </c>
      <c r="C116" s="23">
        <v>11160.0</v>
      </c>
      <c r="D116" s="21" t="s">
        <v>34</v>
      </c>
    </row>
    <row r="117" ht="15.75" customHeight="1">
      <c r="A117" s="1" t="s">
        <v>79</v>
      </c>
      <c r="B117" s="1" t="s">
        <v>68</v>
      </c>
      <c r="C117" s="23">
        <v>9720.0</v>
      </c>
      <c r="D117" s="21" t="s">
        <v>34</v>
      </c>
    </row>
    <row r="118" ht="15.75" customHeight="1">
      <c r="A118" s="1" t="s">
        <v>79</v>
      </c>
      <c r="B118" s="1" t="s">
        <v>69</v>
      </c>
      <c r="C118" s="23">
        <v>7560.0</v>
      </c>
      <c r="D118" s="21" t="s">
        <v>34</v>
      </c>
    </row>
    <row r="119" ht="15.75" customHeight="1">
      <c r="A119" s="1" t="s">
        <v>79</v>
      </c>
      <c r="B119" s="1" t="s">
        <v>70</v>
      </c>
      <c r="C119" s="23">
        <v>3060.0</v>
      </c>
      <c r="D119" s="21" t="s">
        <v>34</v>
      </c>
    </row>
    <row r="120" ht="15.75" customHeight="1">
      <c r="A120" s="1" t="s">
        <v>79</v>
      </c>
      <c r="B120" s="1" t="s">
        <v>71</v>
      </c>
      <c r="C120" s="23">
        <v>540.0</v>
      </c>
      <c r="D120" s="21" t="s">
        <v>34</v>
      </c>
    </row>
    <row r="121" ht="15.75" customHeight="1">
      <c r="A121" s="1" t="s">
        <v>79</v>
      </c>
      <c r="B121" s="1" t="s">
        <v>60</v>
      </c>
      <c r="C121" s="23">
        <v>6300.0</v>
      </c>
      <c r="D121" s="21" t="s">
        <v>34</v>
      </c>
    </row>
    <row r="122" ht="15.75" customHeight="1">
      <c r="A122" s="1" t="s">
        <v>79</v>
      </c>
      <c r="B122" s="1" t="s">
        <v>72</v>
      </c>
      <c r="C122" s="23">
        <v>6300.0</v>
      </c>
      <c r="D122" s="21" t="s">
        <v>34</v>
      </c>
    </row>
    <row r="123" ht="15.75" customHeight="1">
      <c r="A123" s="1" t="s">
        <v>79</v>
      </c>
      <c r="B123" s="1" t="s">
        <v>73</v>
      </c>
      <c r="C123" s="23">
        <v>12780.0</v>
      </c>
      <c r="D123" s="21" t="s">
        <v>74</v>
      </c>
    </row>
    <row r="124" ht="15.75" customHeight="1">
      <c r="A124" s="1" t="s">
        <v>79</v>
      </c>
      <c r="B124" s="1" t="s">
        <v>75</v>
      </c>
      <c r="C124" s="23">
        <v>3060.0</v>
      </c>
      <c r="D124" s="21" t="s">
        <v>42</v>
      </c>
    </row>
    <row r="125" ht="15.75" customHeight="1">
      <c r="A125" s="1" t="s">
        <v>79</v>
      </c>
      <c r="B125" s="1" t="s">
        <v>76</v>
      </c>
      <c r="C125" s="23">
        <v>153473.20919999998</v>
      </c>
      <c r="D125" s="21" t="s">
        <v>74</v>
      </c>
    </row>
    <row r="126" ht="15.75" customHeight="1">
      <c r="A126" s="1" t="s">
        <v>84</v>
      </c>
      <c r="B126" s="25" t="s">
        <v>85</v>
      </c>
      <c r="C126" s="23">
        <v>380000.0</v>
      </c>
      <c r="D126" s="21" t="s">
        <v>44</v>
      </c>
    </row>
    <row r="127" ht="15.75" customHeight="1">
      <c r="A127" s="1" t="s">
        <v>84</v>
      </c>
      <c r="B127" s="1" t="s">
        <v>41</v>
      </c>
      <c r="C127" s="23">
        <v>33000.0</v>
      </c>
      <c r="D127" s="21" t="s">
        <v>42</v>
      </c>
    </row>
    <row r="128" ht="15.75" customHeight="1">
      <c r="C128" s="23"/>
    </row>
    <row r="129" ht="15.75" customHeight="1"/>
    <row r="130" ht="15.75" customHeight="1"/>
    <row r="131" ht="15.75" customHeight="1">
      <c r="H131" s="26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A$1:$D$12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9.0"/>
    <col customWidth="1" min="3" max="3" width="44.43"/>
    <col customWidth="1" min="4" max="4" width="18.29"/>
    <col customWidth="1" min="5" max="5" width="17.29"/>
    <col customWidth="1" min="6" max="6" width="15.71"/>
    <col customWidth="1" min="7" max="7" width="11.29"/>
    <col customWidth="1" min="8" max="8" width="14.0"/>
    <col customWidth="1" min="9" max="9" width="10.43"/>
    <col customWidth="1" min="10" max="11" width="11.71"/>
    <col customWidth="1" min="12" max="12" width="12.71"/>
    <col customWidth="1" min="13" max="13" width="16.29"/>
    <col customWidth="1" min="14" max="14" width="14.71"/>
    <col customWidth="1" min="15" max="15" width="14.0"/>
    <col customWidth="1" min="16" max="16" width="15.29"/>
    <col customWidth="1" min="17" max="17" width="14.0"/>
    <col customWidth="1" min="18" max="18" width="15.71"/>
    <col customWidth="1" min="19" max="19" width="11.29"/>
    <col customWidth="1" min="20" max="20" width="14.0"/>
    <col customWidth="1" min="21" max="21" width="10.43"/>
    <col customWidth="1" min="22" max="23" width="11.71"/>
    <col customWidth="1" min="24" max="24" width="12.71"/>
    <col customWidth="1" min="25" max="25" width="16.29"/>
    <col customWidth="1" min="26" max="26" width="14.71"/>
    <col customWidth="1" min="27" max="27" width="14.0"/>
    <col customWidth="1" min="28" max="28" width="15.29"/>
    <col customWidth="1" min="29" max="29" width="14.0"/>
    <col customWidth="1" min="30" max="30" width="15.71"/>
    <col customWidth="1" min="31" max="31" width="11.29"/>
    <col customWidth="1" min="32" max="32" width="14.0"/>
    <col customWidth="1" min="33" max="33" width="10.43"/>
    <col customWidth="1" min="34" max="34" width="11.71"/>
    <col customWidth="1" min="35" max="35" width="10.43"/>
    <col customWidth="1" min="36" max="37" width="25.86"/>
  </cols>
  <sheetData>
    <row r="1" ht="12.75" customHeight="1">
      <c r="A1" s="27" t="s">
        <v>86</v>
      </c>
      <c r="B1" s="28"/>
      <c r="C1" s="28"/>
      <c r="D1" s="29"/>
      <c r="E1" s="30">
        <v>44197.0</v>
      </c>
      <c r="F1" s="31">
        <v>44228.0</v>
      </c>
      <c r="G1" s="32">
        <v>44256.0</v>
      </c>
      <c r="H1" s="31">
        <v>44287.0</v>
      </c>
      <c r="I1" s="32">
        <v>44317.0</v>
      </c>
      <c r="J1" s="32">
        <v>44348.0</v>
      </c>
      <c r="K1" s="31">
        <v>44378.0</v>
      </c>
      <c r="L1" s="32">
        <v>44409.0</v>
      </c>
      <c r="M1" s="32">
        <v>44440.0</v>
      </c>
      <c r="N1" s="31">
        <v>44470.0</v>
      </c>
      <c r="O1" s="32">
        <v>44501.0</v>
      </c>
      <c r="P1" s="31">
        <v>44531.0</v>
      </c>
      <c r="Q1" s="32">
        <v>44562.0</v>
      </c>
      <c r="R1" s="32">
        <v>44593.0</v>
      </c>
      <c r="S1" s="31">
        <v>44621.0</v>
      </c>
      <c r="T1" s="32">
        <v>44652.0</v>
      </c>
      <c r="U1" s="32">
        <v>44682.0</v>
      </c>
      <c r="V1" s="31">
        <v>44713.0</v>
      </c>
      <c r="W1" s="32">
        <v>44743.0</v>
      </c>
      <c r="X1" s="31">
        <v>44774.0</v>
      </c>
      <c r="Y1" s="32">
        <v>44805.0</v>
      </c>
      <c r="Z1" s="32">
        <v>44835.0</v>
      </c>
      <c r="AA1" s="31">
        <v>44866.0</v>
      </c>
      <c r="AB1" s="32">
        <v>44896.0</v>
      </c>
      <c r="AC1" s="31">
        <v>44927.0</v>
      </c>
      <c r="AD1" s="32">
        <v>44958.0</v>
      </c>
      <c r="AE1" s="32">
        <v>44986.0</v>
      </c>
      <c r="AF1" s="31">
        <v>45017.0</v>
      </c>
      <c r="AG1" s="32">
        <v>45047.0</v>
      </c>
      <c r="AH1" s="31">
        <v>45078.0</v>
      </c>
      <c r="AI1" s="33" t="s">
        <v>87</v>
      </c>
      <c r="AJ1" s="34" t="s">
        <v>88</v>
      </c>
      <c r="AK1" s="34" t="s">
        <v>89</v>
      </c>
    </row>
    <row r="2" ht="10.5" customHeight="1">
      <c r="A2" s="35" t="s">
        <v>90</v>
      </c>
      <c r="B2" s="36"/>
      <c r="C2" s="36"/>
      <c r="D2" s="37"/>
      <c r="E2" s="38">
        <v>1072.0</v>
      </c>
      <c r="F2" s="38">
        <v>1417.0</v>
      </c>
      <c r="G2" s="38">
        <v>1867.0</v>
      </c>
      <c r="H2" s="38">
        <v>1591.0</v>
      </c>
      <c r="I2" s="38">
        <v>1203.0</v>
      </c>
      <c r="J2" s="38">
        <v>1696.0</v>
      </c>
      <c r="K2" s="38">
        <v>1503.0</v>
      </c>
      <c r="L2" s="38">
        <v>1555.0</v>
      </c>
      <c r="M2" s="38">
        <v>1408.0</v>
      </c>
      <c r="N2" s="38">
        <v>1224.0</v>
      </c>
      <c r="O2" s="38">
        <v>1069.0</v>
      </c>
      <c r="P2" s="38">
        <v>1008.0</v>
      </c>
      <c r="Q2" s="39">
        <v>855.0</v>
      </c>
      <c r="R2" s="38">
        <v>1084.0</v>
      </c>
      <c r="S2" s="38">
        <v>1159.0</v>
      </c>
      <c r="T2" s="38">
        <v>1195.0</v>
      </c>
      <c r="U2" s="38">
        <v>1040.0</v>
      </c>
      <c r="V2" s="38">
        <v>1125.0</v>
      </c>
      <c r="W2" s="38">
        <v>1110.0</v>
      </c>
      <c r="X2" s="38">
        <v>1422.0</v>
      </c>
      <c r="Y2" s="38">
        <v>1191.0</v>
      </c>
      <c r="Z2" s="38">
        <v>1100.0</v>
      </c>
      <c r="AA2" s="39">
        <v>968.0</v>
      </c>
      <c r="AB2" s="39">
        <v>889.0</v>
      </c>
      <c r="AC2" s="39">
        <v>947.0</v>
      </c>
      <c r="AD2" s="38">
        <v>1021.0</v>
      </c>
      <c r="AE2" s="38">
        <v>1158.0</v>
      </c>
      <c r="AF2" s="39">
        <v>927.0</v>
      </c>
      <c r="AG2" s="38">
        <v>1077.0</v>
      </c>
      <c r="AH2" s="39">
        <v>325.0</v>
      </c>
      <c r="AI2" s="38">
        <v>30341.0</v>
      </c>
      <c r="AJ2" s="40">
        <f t="shared" ref="AJ2:AJ46" si="1">SUM(E2:AH2) - AI2</f>
        <v>4865</v>
      </c>
      <c r="AK2" s="41">
        <f t="shared" ref="AK2:AK46" si="2">AJ2/AI2</f>
        <v>0.1603440889</v>
      </c>
    </row>
    <row r="3" ht="10.5" customHeight="1">
      <c r="A3" s="42" t="s">
        <v>91</v>
      </c>
      <c r="B3" s="36"/>
      <c r="C3" s="36"/>
      <c r="D3" s="37"/>
      <c r="E3" s="39">
        <v>1.0</v>
      </c>
      <c r="F3" s="43"/>
      <c r="G3" s="39">
        <v>1.0</v>
      </c>
      <c r="H3" s="43"/>
      <c r="I3" s="39">
        <v>1.0</v>
      </c>
      <c r="J3" s="39">
        <v>8.0</v>
      </c>
      <c r="K3" s="39">
        <v>1.0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39">
        <v>12.0</v>
      </c>
      <c r="AJ3" s="40">
        <f t="shared" si="1"/>
        <v>0</v>
      </c>
      <c r="AK3" s="41">
        <f t="shared" si="2"/>
        <v>0</v>
      </c>
    </row>
    <row r="4" ht="10.5" customHeight="1">
      <c r="A4" s="42" t="s">
        <v>92</v>
      </c>
      <c r="B4" s="36"/>
      <c r="C4" s="36"/>
      <c r="D4" s="37"/>
      <c r="E4" s="39">
        <v>1.0</v>
      </c>
      <c r="F4" s="39">
        <v>1.0</v>
      </c>
      <c r="G4" s="39">
        <v>1.0</v>
      </c>
      <c r="H4" s="43"/>
      <c r="I4" s="43"/>
      <c r="J4" s="43"/>
      <c r="K4" s="43"/>
      <c r="L4" s="39">
        <v>1.0</v>
      </c>
      <c r="M4" s="43"/>
      <c r="N4" s="43"/>
      <c r="O4" s="43"/>
      <c r="P4" s="43"/>
      <c r="Q4" s="39">
        <v>1.0</v>
      </c>
      <c r="R4" s="43"/>
      <c r="S4" s="39">
        <v>1.0</v>
      </c>
      <c r="T4" s="39">
        <v>1.0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39">
        <v>1.0</v>
      </c>
      <c r="AG4" s="43"/>
      <c r="AH4" s="43"/>
      <c r="AI4" s="39">
        <v>6.0</v>
      </c>
      <c r="AJ4" s="40">
        <f t="shared" si="1"/>
        <v>2</v>
      </c>
      <c r="AK4" s="41">
        <f t="shared" si="2"/>
        <v>0.3333333333</v>
      </c>
    </row>
    <row r="5" ht="10.5" customHeight="1">
      <c r="A5" s="42" t="s">
        <v>93</v>
      </c>
      <c r="B5" s="36"/>
      <c r="C5" s="36"/>
      <c r="D5" s="37"/>
      <c r="E5" s="39">
        <v>2.0</v>
      </c>
      <c r="F5" s="39">
        <v>1.0</v>
      </c>
      <c r="G5" s="39">
        <v>2.0</v>
      </c>
      <c r="H5" s="39">
        <v>2.0</v>
      </c>
      <c r="I5" s="39">
        <v>1.0</v>
      </c>
      <c r="J5" s="39">
        <v>1.0</v>
      </c>
      <c r="K5" s="39">
        <v>1.0</v>
      </c>
      <c r="L5" s="43"/>
      <c r="M5" s="43"/>
      <c r="N5" s="43"/>
      <c r="O5" s="39">
        <v>2.0</v>
      </c>
      <c r="P5" s="39">
        <v>1.0</v>
      </c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39">
        <v>12.0</v>
      </c>
      <c r="AJ5" s="40">
        <f t="shared" si="1"/>
        <v>1</v>
      </c>
      <c r="AK5" s="41">
        <f t="shared" si="2"/>
        <v>0.08333333333</v>
      </c>
    </row>
    <row r="6" ht="10.5" customHeight="1">
      <c r="A6" s="42" t="s">
        <v>94</v>
      </c>
      <c r="B6" s="36"/>
      <c r="C6" s="36"/>
      <c r="D6" s="37"/>
      <c r="E6" s="43"/>
      <c r="F6" s="43"/>
      <c r="G6" s="43"/>
      <c r="H6" s="43"/>
      <c r="I6" s="39">
        <v>6.0</v>
      </c>
      <c r="J6" s="39">
        <v>4.0</v>
      </c>
      <c r="K6" s="39">
        <v>9.0</v>
      </c>
      <c r="L6" s="39">
        <v>17.0</v>
      </c>
      <c r="M6" s="39">
        <v>9.0</v>
      </c>
      <c r="N6" s="39">
        <v>55.0</v>
      </c>
      <c r="O6" s="39">
        <v>7.0</v>
      </c>
      <c r="P6" s="39">
        <v>11.0</v>
      </c>
      <c r="Q6" s="39">
        <v>3.0</v>
      </c>
      <c r="R6" s="39">
        <v>4.0</v>
      </c>
      <c r="S6" s="39">
        <v>8.0</v>
      </c>
      <c r="T6" s="39">
        <v>7.0</v>
      </c>
      <c r="U6" s="39">
        <v>1.0</v>
      </c>
      <c r="V6" s="39">
        <v>4.0</v>
      </c>
      <c r="W6" s="39">
        <v>2.0</v>
      </c>
      <c r="X6" s="39">
        <v>8.0</v>
      </c>
      <c r="Y6" s="39">
        <v>17.0</v>
      </c>
      <c r="Z6" s="39">
        <v>2.0</v>
      </c>
      <c r="AA6" s="39">
        <v>50.0</v>
      </c>
      <c r="AB6" s="39">
        <v>4.0</v>
      </c>
      <c r="AC6" s="39">
        <v>6.0</v>
      </c>
      <c r="AD6" s="39">
        <v>3.0</v>
      </c>
      <c r="AE6" s="39">
        <v>24.0</v>
      </c>
      <c r="AF6" s="39">
        <v>10.0</v>
      </c>
      <c r="AG6" s="39">
        <v>18.0</v>
      </c>
      <c r="AH6" s="39">
        <v>3.0</v>
      </c>
      <c r="AI6" s="39">
        <v>236.0</v>
      </c>
      <c r="AJ6" s="40">
        <f t="shared" si="1"/>
        <v>56</v>
      </c>
      <c r="AK6" s="41">
        <f t="shared" si="2"/>
        <v>0.2372881356</v>
      </c>
    </row>
    <row r="7" ht="10.5" customHeight="1">
      <c r="A7" s="42" t="s">
        <v>95</v>
      </c>
      <c r="B7" s="36"/>
      <c r="C7" s="36"/>
      <c r="D7" s="37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39">
        <v>1.0</v>
      </c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39">
        <v>1.0</v>
      </c>
      <c r="AJ7" s="40">
        <f t="shared" si="1"/>
        <v>0</v>
      </c>
      <c r="AK7" s="41">
        <f t="shared" si="2"/>
        <v>0</v>
      </c>
    </row>
    <row r="8" ht="10.5" customHeight="1">
      <c r="A8" s="42" t="s">
        <v>96</v>
      </c>
      <c r="B8" s="36"/>
      <c r="C8" s="36"/>
      <c r="D8" s="37"/>
      <c r="E8" s="43"/>
      <c r="F8" s="43"/>
      <c r="G8" s="43"/>
      <c r="H8" s="43"/>
      <c r="I8" s="43"/>
      <c r="J8" s="43"/>
      <c r="K8" s="43"/>
      <c r="L8" s="39">
        <v>6.0</v>
      </c>
      <c r="M8" s="39">
        <v>89.0</v>
      </c>
      <c r="N8" s="39">
        <v>13.0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39">
        <v>108.0</v>
      </c>
      <c r="AJ8" s="40">
        <f t="shared" si="1"/>
        <v>0</v>
      </c>
      <c r="AK8" s="41">
        <f t="shared" si="2"/>
        <v>0</v>
      </c>
    </row>
    <row r="9" ht="10.5" customHeight="1">
      <c r="A9" s="42" t="s">
        <v>97</v>
      </c>
      <c r="B9" s="36"/>
      <c r="C9" s="36"/>
      <c r="D9" s="37"/>
      <c r="E9" s="43"/>
      <c r="F9" s="43"/>
      <c r="G9" s="43"/>
      <c r="H9" s="43"/>
      <c r="I9" s="43"/>
      <c r="J9" s="43"/>
      <c r="K9" s="43"/>
      <c r="L9" s="39">
        <v>53.0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39">
        <v>49.0</v>
      </c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39">
        <v>58.0</v>
      </c>
      <c r="AJ9" s="40">
        <f t="shared" si="1"/>
        <v>44</v>
      </c>
      <c r="AK9" s="41">
        <f t="shared" si="2"/>
        <v>0.7586206897</v>
      </c>
    </row>
    <row r="10" ht="10.5" customHeight="1">
      <c r="A10" s="42" t="s">
        <v>98</v>
      </c>
      <c r="B10" s="36"/>
      <c r="C10" s="36"/>
      <c r="D10" s="37"/>
      <c r="E10" s="43"/>
      <c r="F10" s="43"/>
      <c r="G10" s="39">
        <v>53.0</v>
      </c>
      <c r="H10" s="39">
        <v>10.0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39">
        <v>60.0</v>
      </c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39">
        <v>63.0</v>
      </c>
      <c r="AF10" s="39">
        <v>4.0</v>
      </c>
      <c r="AG10" s="43"/>
      <c r="AH10" s="43"/>
      <c r="AI10" s="39">
        <v>85.0</v>
      </c>
      <c r="AJ10" s="40">
        <f t="shared" si="1"/>
        <v>105</v>
      </c>
      <c r="AK10" s="41">
        <f t="shared" si="2"/>
        <v>1.235294118</v>
      </c>
    </row>
    <row r="11" ht="10.5" customHeight="1">
      <c r="A11" s="42" t="s">
        <v>99</v>
      </c>
      <c r="B11" s="36"/>
      <c r="C11" s="36"/>
      <c r="D11" s="37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39">
        <v>9.0</v>
      </c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39">
        <v>9.0</v>
      </c>
      <c r="AJ11" s="40">
        <f t="shared" si="1"/>
        <v>0</v>
      </c>
      <c r="AK11" s="41">
        <f t="shared" si="2"/>
        <v>0</v>
      </c>
    </row>
    <row r="12" ht="10.5" customHeight="1">
      <c r="A12" s="42" t="s">
        <v>100</v>
      </c>
      <c r="B12" s="36"/>
      <c r="C12" s="36"/>
      <c r="D12" s="37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39">
        <v>14.0</v>
      </c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39">
        <v>14.0</v>
      </c>
      <c r="AJ12" s="40">
        <f t="shared" si="1"/>
        <v>0</v>
      </c>
      <c r="AK12" s="41">
        <f t="shared" si="2"/>
        <v>0</v>
      </c>
    </row>
    <row r="13" ht="10.5" customHeight="1">
      <c r="A13" s="42" t="s">
        <v>101</v>
      </c>
      <c r="B13" s="36"/>
      <c r="C13" s="36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39">
        <v>1.0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39">
        <v>1.0</v>
      </c>
      <c r="AJ13" s="40">
        <f t="shared" si="1"/>
        <v>0</v>
      </c>
      <c r="AK13" s="41">
        <f t="shared" si="2"/>
        <v>0</v>
      </c>
    </row>
    <row r="14" ht="10.5" customHeight="1">
      <c r="A14" s="42" t="s">
        <v>102</v>
      </c>
      <c r="B14" s="36"/>
      <c r="C14" s="36"/>
      <c r="D14" s="37"/>
      <c r="E14" s="39">
        <v>36.0</v>
      </c>
      <c r="F14" s="39">
        <v>28.0</v>
      </c>
      <c r="G14" s="39">
        <v>129.0</v>
      </c>
      <c r="H14" s="39">
        <v>68.0</v>
      </c>
      <c r="I14" s="39">
        <v>215.0</v>
      </c>
      <c r="J14" s="39">
        <v>124.0</v>
      </c>
      <c r="K14" s="39">
        <v>80.0</v>
      </c>
      <c r="L14" s="39">
        <v>40.0</v>
      </c>
      <c r="M14" s="39">
        <v>44.0</v>
      </c>
      <c r="N14" s="39">
        <v>48.0</v>
      </c>
      <c r="O14" s="39">
        <v>479.0</v>
      </c>
      <c r="P14" s="39">
        <v>43.0</v>
      </c>
      <c r="Q14" s="39">
        <v>62.0</v>
      </c>
      <c r="R14" s="39">
        <v>40.0</v>
      </c>
      <c r="S14" s="39">
        <v>1.0</v>
      </c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38">
        <v>1328.0</v>
      </c>
      <c r="AJ14" s="40">
        <f t="shared" si="1"/>
        <v>109</v>
      </c>
      <c r="AK14" s="41">
        <f t="shared" si="2"/>
        <v>0.08207831325</v>
      </c>
    </row>
    <row r="15" ht="10.5" customHeight="1">
      <c r="A15" s="42" t="s">
        <v>103</v>
      </c>
      <c r="B15" s="36"/>
      <c r="C15" s="36"/>
      <c r="D15" s="37"/>
      <c r="E15" s="43"/>
      <c r="F15" s="39">
        <v>5.0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39">
        <v>5.0</v>
      </c>
      <c r="AJ15" s="40">
        <f t="shared" si="1"/>
        <v>0</v>
      </c>
      <c r="AK15" s="41">
        <f t="shared" si="2"/>
        <v>0</v>
      </c>
    </row>
    <row r="16" ht="10.5" customHeight="1">
      <c r="A16" s="42" t="s">
        <v>104</v>
      </c>
      <c r="B16" s="36"/>
      <c r="C16" s="36"/>
      <c r="D16" s="37"/>
      <c r="E16" s="43"/>
      <c r="F16" s="43"/>
      <c r="G16" s="39">
        <v>9.0</v>
      </c>
      <c r="H16" s="39">
        <v>1.0</v>
      </c>
      <c r="I16" s="43"/>
      <c r="J16" s="39">
        <v>1.0</v>
      </c>
      <c r="K16" s="43"/>
      <c r="L16" s="43"/>
      <c r="M16" s="43"/>
      <c r="N16" s="43"/>
      <c r="O16" s="43"/>
      <c r="P16" s="39">
        <v>24.0</v>
      </c>
      <c r="Q16" s="43"/>
      <c r="R16" s="43"/>
      <c r="S16" s="39">
        <v>9.0</v>
      </c>
      <c r="T16" s="39">
        <v>2.0</v>
      </c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39">
        <v>39.0</v>
      </c>
      <c r="AJ16" s="40">
        <f t="shared" si="1"/>
        <v>7</v>
      </c>
      <c r="AK16" s="41">
        <f t="shared" si="2"/>
        <v>0.1794871795</v>
      </c>
    </row>
    <row r="17" ht="10.5" customHeight="1">
      <c r="A17" s="42" t="s">
        <v>105</v>
      </c>
      <c r="B17" s="36"/>
      <c r="C17" s="36"/>
      <c r="D17" s="37"/>
      <c r="E17" s="43"/>
      <c r="F17" s="43"/>
      <c r="G17" s="43"/>
      <c r="H17" s="43"/>
      <c r="I17" s="43"/>
      <c r="J17" s="43"/>
      <c r="K17" s="43"/>
      <c r="L17" s="43"/>
      <c r="M17" s="43"/>
      <c r="N17" s="39">
        <v>11.0</v>
      </c>
      <c r="O17" s="39">
        <v>36.0</v>
      </c>
      <c r="P17" s="39">
        <v>2.0</v>
      </c>
      <c r="Q17" s="43"/>
      <c r="R17" s="43"/>
      <c r="S17" s="43"/>
      <c r="T17" s="39">
        <v>2.0</v>
      </c>
      <c r="U17" s="39">
        <v>1.0</v>
      </c>
      <c r="V17" s="39">
        <v>3.0</v>
      </c>
      <c r="W17" s="39">
        <v>2.0</v>
      </c>
      <c r="X17" s="39">
        <v>1.0</v>
      </c>
      <c r="Y17" s="43"/>
      <c r="Z17" s="39">
        <v>1.0</v>
      </c>
      <c r="AA17" s="39">
        <v>6.0</v>
      </c>
      <c r="AB17" s="39">
        <v>1.0</v>
      </c>
      <c r="AC17" s="43"/>
      <c r="AD17" s="43"/>
      <c r="AE17" s="43"/>
      <c r="AF17" s="43"/>
      <c r="AG17" s="43"/>
      <c r="AH17" s="39">
        <v>1.0</v>
      </c>
      <c r="AI17" s="39">
        <v>66.0</v>
      </c>
      <c r="AJ17" s="40">
        <f t="shared" si="1"/>
        <v>1</v>
      </c>
      <c r="AK17" s="41">
        <f t="shared" si="2"/>
        <v>0.01515151515</v>
      </c>
    </row>
    <row r="18" ht="10.5" customHeight="1">
      <c r="A18" s="42" t="s">
        <v>106</v>
      </c>
      <c r="B18" s="36"/>
      <c r="C18" s="36"/>
      <c r="D18" s="37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39">
        <v>28.0</v>
      </c>
      <c r="P18" s="39">
        <v>3.0</v>
      </c>
      <c r="Q18" s="39">
        <v>1.0</v>
      </c>
      <c r="R18" s="43"/>
      <c r="S18" s="43"/>
      <c r="T18" s="43"/>
      <c r="U18" s="43"/>
      <c r="V18" s="43"/>
      <c r="W18" s="43"/>
      <c r="X18" s="43"/>
      <c r="Y18" s="43"/>
      <c r="Z18" s="43"/>
      <c r="AA18" s="39">
        <v>27.0</v>
      </c>
      <c r="AB18" s="43"/>
      <c r="AC18" s="43"/>
      <c r="AD18" s="43"/>
      <c r="AE18" s="43"/>
      <c r="AF18" s="43"/>
      <c r="AG18" s="43"/>
      <c r="AH18" s="43"/>
      <c r="AI18" s="39">
        <v>39.0</v>
      </c>
      <c r="AJ18" s="40">
        <f t="shared" si="1"/>
        <v>20</v>
      </c>
      <c r="AK18" s="41">
        <f t="shared" si="2"/>
        <v>0.5128205128</v>
      </c>
    </row>
    <row r="19" ht="10.5" customHeight="1">
      <c r="A19" s="42" t="s">
        <v>107</v>
      </c>
      <c r="B19" s="36"/>
      <c r="C19" s="36"/>
      <c r="D19" s="37"/>
      <c r="E19" s="39">
        <v>8.0</v>
      </c>
      <c r="F19" s="39">
        <v>3.0</v>
      </c>
      <c r="G19" s="39">
        <v>2.0</v>
      </c>
      <c r="H19" s="39">
        <v>4.0</v>
      </c>
      <c r="I19" s="39">
        <v>4.0</v>
      </c>
      <c r="J19" s="39">
        <v>4.0</v>
      </c>
      <c r="K19" s="39">
        <v>4.0</v>
      </c>
      <c r="L19" s="39">
        <v>4.0</v>
      </c>
      <c r="M19" s="39">
        <v>2.0</v>
      </c>
      <c r="N19" s="39">
        <v>3.0</v>
      </c>
      <c r="O19" s="39">
        <v>4.0</v>
      </c>
      <c r="P19" s="39">
        <v>13.0</v>
      </c>
      <c r="Q19" s="39">
        <v>7.0</v>
      </c>
      <c r="R19" s="39">
        <v>6.0</v>
      </c>
      <c r="S19" s="39">
        <v>4.0</v>
      </c>
      <c r="T19" s="39">
        <v>4.0</v>
      </c>
      <c r="U19" s="39">
        <v>3.0</v>
      </c>
      <c r="V19" s="39">
        <v>2.0</v>
      </c>
      <c r="W19" s="39">
        <v>6.0</v>
      </c>
      <c r="X19" s="39">
        <v>4.0</v>
      </c>
      <c r="Y19" s="39">
        <v>1.0</v>
      </c>
      <c r="Z19" s="39">
        <v>3.0</v>
      </c>
      <c r="AA19" s="39">
        <v>4.0</v>
      </c>
      <c r="AB19" s="39">
        <v>8.0</v>
      </c>
      <c r="AC19" s="39">
        <v>6.0</v>
      </c>
      <c r="AD19" s="39">
        <v>3.0</v>
      </c>
      <c r="AE19" s="39">
        <v>2.0</v>
      </c>
      <c r="AF19" s="39">
        <v>3.0</v>
      </c>
      <c r="AG19" s="39">
        <v>4.0</v>
      </c>
      <c r="AH19" s="39">
        <v>1.0</v>
      </c>
      <c r="AI19" s="39">
        <v>67.0</v>
      </c>
      <c r="AJ19" s="40">
        <f t="shared" si="1"/>
        <v>59</v>
      </c>
      <c r="AK19" s="41">
        <f t="shared" si="2"/>
        <v>0.8805970149</v>
      </c>
    </row>
    <row r="20" ht="10.5" customHeight="1">
      <c r="A20" s="42" t="s">
        <v>108</v>
      </c>
      <c r="B20" s="36"/>
      <c r="C20" s="36"/>
      <c r="D20" s="37"/>
      <c r="E20" s="43"/>
      <c r="F20" s="43"/>
      <c r="G20" s="43"/>
      <c r="H20" s="43"/>
      <c r="I20" s="39">
        <v>6.0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9">
        <v>6.0</v>
      </c>
      <c r="AJ20" s="40">
        <f t="shared" si="1"/>
        <v>0</v>
      </c>
      <c r="AK20" s="41">
        <f t="shared" si="2"/>
        <v>0</v>
      </c>
    </row>
    <row r="21" ht="10.5" customHeight="1">
      <c r="A21" s="42" t="s">
        <v>109</v>
      </c>
      <c r="B21" s="36"/>
      <c r="C21" s="36"/>
      <c r="D21" s="37"/>
      <c r="E21" s="39">
        <v>6.0</v>
      </c>
      <c r="F21" s="39">
        <v>7.0</v>
      </c>
      <c r="G21" s="39">
        <v>3.0</v>
      </c>
      <c r="H21" s="39">
        <v>1.0</v>
      </c>
      <c r="I21" s="43"/>
      <c r="J21" s="39">
        <v>3.0</v>
      </c>
      <c r="K21" s="39">
        <v>9.0</v>
      </c>
      <c r="L21" s="43"/>
      <c r="M21" s="39">
        <v>10.0</v>
      </c>
      <c r="N21" s="39">
        <v>5.0</v>
      </c>
      <c r="O21" s="39">
        <v>2.0</v>
      </c>
      <c r="P21" s="39">
        <v>1.0</v>
      </c>
      <c r="Q21" s="39">
        <v>2.0</v>
      </c>
      <c r="R21" s="39">
        <v>4.0</v>
      </c>
      <c r="S21" s="43"/>
      <c r="T21" s="43"/>
      <c r="U21" s="43"/>
      <c r="V21" s="39">
        <v>1.0</v>
      </c>
      <c r="W21" s="39">
        <v>4.0</v>
      </c>
      <c r="X21" s="39">
        <v>4.0</v>
      </c>
      <c r="Y21" s="39">
        <v>9.0</v>
      </c>
      <c r="Z21" s="39">
        <v>2.0</v>
      </c>
      <c r="AA21" s="39">
        <v>5.0</v>
      </c>
      <c r="AB21" s="39">
        <v>9.0</v>
      </c>
      <c r="AC21" s="39">
        <v>1.0</v>
      </c>
      <c r="AD21" s="39">
        <v>6.0</v>
      </c>
      <c r="AE21" s="39">
        <v>3.0</v>
      </c>
      <c r="AF21" s="39">
        <v>1.0</v>
      </c>
      <c r="AG21" s="39">
        <v>6.0</v>
      </c>
      <c r="AH21" s="43"/>
      <c r="AI21" s="39">
        <v>89.0</v>
      </c>
      <c r="AJ21" s="40">
        <f t="shared" si="1"/>
        <v>15</v>
      </c>
      <c r="AK21" s="41">
        <f t="shared" si="2"/>
        <v>0.1685393258</v>
      </c>
    </row>
    <row r="22" ht="10.5" customHeight="1">
      <c r="A22" s="42" t="s">
        <v>110</v>
      </c>
      <c r="B22" s="36"/>
      <c r="C22" s="36"/>
      <c r="D22" s="37"/>
      <c r="E22" s="43"/>
      <c r="F22" s="43"/>
      <c r="G22" s="43"/>
      <c r="H22" s="43"/>
      <c r="I22" s="43"/>
      <c r="J22" s="39">
        <v>11.0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9">
        <v>11.0</v>
      </c>
      <c r="AJ22" s="40">
        <f t="shared" si="1"/>
        <v>0</v>
      </c>
      <c r="AK22" s="41">
        <f t="shared" si="2"/>
        <v>0</v>
      </c>
    </row>
    <row r="23" ht="10.5" customHeight="1">
      <c r="A23" s="42" t="s">
        <v>111</v>
      </c>
      <c r="B23" s="36"/>
      <c r="C23" s="36"/>
      <c r="D23" s="37"/>
      <c r="E23" s="39">
        <v>3.0</v>
      </c>
      <c r="F23" s="39">
        <v>2.0</v>
      </c>
      <c r="G23" s="39">
        <v>1.0</v>
      </c>
      <c r="H23" s="39">
        <v>1.0</v>
      </c>
      <c r="I23" s="43"/>
      <c r="J23" s="43"/>
      <c r="K23" s="39">
        <v>2.0</v>
      </c>
      <c r="L23" s="39">
        <v>3.0</v>
      </c>
      <c r="M23" s="39">
        <v>2.0</v>
      </c>
      <c r="N23" s="43"/>
      <c r="O23" s="43"/>
      <c r="P23" s="39">
        <v>1.0</v>
      </c>
      <c r="Q23" s="43"/>
      <c r="R23" s="39">
        <v>1.0</v>
      </c>
      <c r="S23" s="43"/>
      <c r="T23" s="43"/>
      <c r="U23" s="43"/>
      <c r="V23" s="43"/>
      <c r="W23" s="39">
        <v>1.0</v>
      </c>
      <c r="X23" s="43"/>
      <c r="Y23" s="39">
        <v>3.0</v>
      </c>
      <c r="Z23" s="43"/>
      <c r="AA23" s="43"/>
      <c r="AB23" s="43"/>
      <c r="AC23" s="43"/>
      <c r="AD23" s="39">
        <v>1.0</v>
      </c>
      <c r="AE23" s="43"/>
      <c r="AF23" s="39">
        <v>1.0</v>
      </c>
      <c r="AG23" s="39">
        <v>1.0</v>
      </c>
      <c r="AH23" s="43"/>
      <c r="AI23" s="39">
        <v>15.0</v>
      </c>
      <c r="AJ23" s="40">
        <f t="shared" si="1"/>
        <v>8</v>
      </c>
      <c r="AK23" s="41">
        <f t="shared" si="2"/>
        <v>0.5333333333</v>
      </c>
    </row>
    <row r="24" ht="10.5" customHeight="1">
      <c r="A24" s="42" t="s">
        <v>112</v>
      </c>
      <c r="B24" s="36"/>
      <c r="C24" s="36"/>
      <c r="D24" s="37"/>
      <c r="E24" s="43"/>
      <c r="F24" s="43"/>
      <c r="G24" s="39">
        <v>5.0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9">
        <v>5.0</v>
      </c>
      <c r="AJ24" s="40">
        <f t="shared" si="1"/>
        <v>0</v>
      </c>
      <c r="AK24" s="41">
        <f t="shared" si="2"/>
        <v>0</v>
      </c>
    </row>
    <row r="25" ht="10.5" customHeight="1">
      <c r="A25" s="42" t="s">
        <v>113</v>
      </c>
      <c r="B25" s="36"/>
      <c r="C25" s="36"/>
      <c r="D25" s="37"/>
      <c r="E25" s="39">
        <v>15.0</v>
      </c>
      <c r="F25" s="39">
        <v>9.0</v>
      </c>
      <c r="G25" s="39">
        <v>20.0</v>
      </c>
      <c r="H25" s="39">
        <v>14.0</v>
      </c>
      <c r="I25" s="39">
        <v>13.0</v>
      </c>
      <c r="J25" s="39">
        <v>21.0</v>
      </c>
      <c r="K25" s="39">
        <v>15.0</v>
      </c>
      <c r="L25" s="39">
        <v>10.0</v>
      </c>
      <c r="M25" s="39">
        <v>16.0</v>
      </c>
      <c r="N25" s="39">
        <v>16.0</v>
      </c>
      <c r="O25" s="39">
        <v>15.0</v>
      </c>
      <c r="P25" s="39">
        <v>16.0</v>
      </c>
      <c r="Q25" s="39">
        <v>307.0</v>
      </c>
      <c r="R25" s="39">
        <v>32.0</v>
      </c>
      <c r="S25" s="39">
        <v>14.0</v>
      </c>
      <c r="T25" s="39">
        <v>14.0</v>
      </c>
      <c r="U25" s="39">
        <v>15.0</v>
      </c>
      <c r="V25" s="39">
        <v>11.0</v>
      </c>
      <c r="W25" s="39">
        <v>16.0</v>
      </c>
      <c r="X25" s="39">
        <v>17.0</v>
      </c>
      <c r="Y25" s="39">
        <v>8.0</v>
      </c>
      <c r="Z25" s="39">
        <v>19.0</v>
      </c>
      <c r="AA25" s="39">
        <v>13.0</v>
      </c>
      <c r="AB25" s="39">
        <v>8.0</v>
      </c>
      <c r="AC25" s="43"/>
      <c r="AD25" s="43"/>
      <c r="AE25" s="43"/>
      <c r="AF25" s="43"/>
      <c r="AG25" s="43"/>
      <c r="AH25" s="43"/>
      <c r="AI25" s="39">
        <v>613.0</v>
      </c>
      <c r="AJ25" s="40">
        <f t="shared" si="1"/>
        <v>41</v>
      </c>
      <c r="AK25" s="41">
        <f t="shared" si="2"/>
        <v>0.06688417618</v>
      </c>
    </row>
    <row r="26" ht="10.5" customHeight="1">
      <c r="A26" s="42" t="s">
        <v>114</v>
      </c>
      <c r="B26" s="36"/>
      <c r="C26" s="36"/>
      <c r="D26" s="37"/>
      <c r="E26" s="43"/>
      <c r="F26" s="43"/>
      <c r="G26" s="43"/>
      <c r="H26" s="39">
        <v>3.0</v>
      </c>
      <c r="I26" s="39">
        <v>6.0</v>
      </c>
      <c r="J26" s="39">
        <v>1.0</v>
      </c>
      <c r="K26" s="43"/>
      <c r="L26" s="43"/>
      <c r="M26" s="39">
        <v>27.0</v>
      </c>
      <c r="N26" s="39">
        <v>1.0</v>
      </c>
      <c r="O26" s="39">
        <v>1.0</v>
      </c>
      <c r="P26" s="43"/>
      <c r="Q26" s="43"/>
      <c r="R26" s="39">
        <v>1.0</v>
      </c>
      <c r="S26" s="43"/>
      <c r="T26" s="39">
        <v>10.0</v>
      </c>
      <c r="U26" s="43"/>
      <c r="V26" s="39">
        <v>5.0</v>
      </c>
      <c r="W26" s="43"/>
      <c r="X26" s="43"/>
      <c r="Y26" s="43"/>
      <c r="Z26" s="39">
        <v>7.0</v>
      </c>
      <c r="AA26" s="39">
        <v>2.0</v>
      </c>
      <c r="AB26" s="39">
        <v>2.0</v>
      </c>
      <c r="AC26" s="43"/>
      <c r="AD26" s="43"/>
      <c r="AE26" s="39">
        <v>1.0</v>
      </c>
      <c r="AF26" s="39">
        <v>9.0</v>
      </c>
      <c r="AG26" s="39">
        <v>1.0</v>
      </c>
      <c r="AH26" s="43"/>
      <c r="AI26" s="39">
        <v>72.0</v>
      </c>
      <c r="AJ26" s="40">
        <f t="shared" si="1"/>
        <v>5</v>
      </c>
      <c r="AK26" s="41">
        <f t="shared" si="2"/>
        <v>0.06944444444</v>
      </c>
    </row>
    <row r="27" ht="10.5" customHeight="1">
      <c r="A27" s="42" t="s">
        <v>115</v>
      </c>
      <c r="B27" s="36"/>
      <c r="C27" s="36"/>
      <c r="D27" s="37"/>
      <c r="E27" s="39">
        <v>2.0</v>
      </c>
      <c r="F27" s="39">
        <v>1.0</v>
      </c>
      <c r="G27" s="43"/>
      <c r="H27" s="39">
        <v>17.0</v>
      </c>
      <c r="I27" s="43"/>
      <c r="J27" s="43"/>
      <c r="K27" s="39">
        <v>3.0</v>
      </c>
      <c r="L27" s="43"/>
      <c r="M27" s="43"/>
      <c r="N27" s="39">
        <v>1.0</v>
      </c>
      <c r="O27" s="39">
        <v>6.0</v>
      </c>
      <c r="P27" s="43"/>
      <c r="Q27" s="43"/>
      <c r="R27" s="43"/>
      <c r="S27" s="43"/>
      <c r="T27" s="39">
        <v>8.0</v>
      </c>
      <c r="U27" s="39">
        <v>1.0</v>
      </c>
      <c r="V27" s="39">
        <v>1.0</v>
      </c>
      <c r="W27" s="39">
        <v>2.0</v>
      </c>
      <c r="X27" s="43"/>
      <c r="Y27" s="43"/>
      <c r="Z27" s="39">
        <v>1.0</v>
      </c>
      <c r="AA27" s="39">
        <v>4.0</v>
      </c>
      <c r="AB27" s="43"/>
      <c r="AC27" s="43"/>
      <c r="AD27" s="43"/>
      <c r="AE27" s="39">
        <v>3.0</v>
      </c>
      <c r="AF27" s="39">
        <v>13.0</v>
      </c>
      <c r="AG27" s="39">
        <v>1.0</v>
      </c>
      <c r="AH27" s="43"/>
      <c r="AI27" s="39">
        <v>36.0</v>
      </c>
      <c r="AJ27" s="40">
        <f t="shared" si="1"/>
        <v>28</v>
      </c>
      <c r="AK27" s="41">
        <f t="shared" si="2"/>
        <v>0.7777777778</v>
      </c>
    </row>
    <row r="28" ht="10.5" customHeight="1">
      <c r="A28" s="42" t="s">
        <v>116</v>
      </c>
      <c r="B28" s="36"/>
      <c r="C28" s="36"/>
      <c r="D28" s="37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39">
        <v>5.0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39">
        <v>5.0</v>
      </c>
      <c r="AJ28" s="40">
        <f t="shared" si="1"/>
        <v>0</v>
      </c>
      <c r="AK28" s="41">
        <f t="shared" si="2"/>
        <v>0</v>
      </c>
    </row>
    <row r="29" ht="10.5" customHeight="1">
      <c r="A29" s="42" t="s">
        <v>117</v>
      </c>
      <c r="B29" s="36"/>
      <c r="C29" s="36"/>
      <c r="D29" s="37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39">
        <v>2.0</v>
      </c>
      <c r="AD29" s="39">
        <v>2.0</v>
      </c>
      <c r="AE29" s="43"/>
      <c r="AF29" s="43"/>
      <c r="AG29" s="43"/>
      <c r="AH29" s="43"/>
      <c r="AI29" s="39">
        <v>4.0</v>
      </c>
      <c r="AJ29" s="40">
        <f t="shared" si="1"/>
        <v>0</v>
      </c>
      <c r="AK29" s="41">
        <f t="shared" si="2"/>
        <v>0</v>
      </c>
    </row>
    <row r="30" ht="10.5" customHeight="1">
      <c r="A30" s="42" t="s">
        <v>118</v>
      </c>
      <c r="B30" s="36"/>
      <c r="C30" s="36"/>
      <c r="D30" s="37"/>
      <c r="E30" s="43"/>
      <c r="F30" s="43"/>
      <c r="G30" s="43"/>
      <c r="H30" s="43"/>
      <c r="I30" s="43"/>
      <c r="J30" s="43"/>
      <c r="K30" s="43"/>
      <c r="L30" s="43"/>
      <c r="M30" s="39">
        <v>19.0</v>
      </c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39">
        <v>24.0</v>
      </c>
      <c r="AA30" s="43"/>
      <c r="AB30" s="43"/>
      <c r="AC30" s="43"/>
      <c r="AD30" s="43"/>
      <c r="AE30" s="43"/>
      <c r="AF30" s="43"/>
      <c r="AG30" s="43"/>
      <c r="AH30" s="43"/>
      <c r="AI30" s="39">
        <v>33.0</v>
      </c>
      <c r="AJ30" s="40">
        <f t="shared" si="1"/>
        <v>10</v>
      </c>
      <c r="AK30" s="41">
        <f t="shared" si="2"/>
        <v>0.303030303</v>
      </c>
    </row>
    <row r="31" ht="10.5" customHeight="1">
      <c r="A31" s="42" t="s">
        <v>119</v>
      </c>
      <c r="B31" s="36"/>
      <c r="C31" s="36"/>
      <c r="D31" s="37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39">
        <v>6.0</v>
      </c>
      <c r="AF31" s="43"/>
      <c r="AG31" s="43"/>
      <c r="AH31" s="43"/>
      <c r="AI31" s="39">
        <v>6.0</v>
      </c>
      <c r="AJ31" s="40">
        <f t="shared" si="1"/>
        <v>0</v>
      </c>
      <c r="AK31" s="41">
        <f t="shared" si="2"/>
        <v>0</v>
      </c>
    </row>
    <row r="32" ht="10.5" customHeight="1">
      <c r="A32" s="42" t="s">
        <v>120</v>
      </c>
      <c r="B32" s="36"/>
      <c r="C32" s="36"/>
      <c r="D32" s="37"/>
      <c r="E32" s="39">
        <v>16.0</v>
      </c>
      <c r="F32" s="39">
        <v>1.0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9">
        <v>17.0</v>
      </c>
      <c r="AJ32" s="40">
        <f t="shared" si="1"/>
        <v>0</v>
      </c>
      <c r="AK32" s="41">
        <f t="shared" si="2"/>
        <v>0</v>
      </c>
    </row>
    <row r="33" ht="10.5" customHeight="1">
      <c r="A33" s="42" t="s">
        <v>121</v>
      </c>
      <c r="B33" s="36"/>
      <c r="C33" s="36"/>
      <c r="D33" s="37"/>
      <c r="E33" s="43"/>
      <c r="F33" s="43"/>
      <c r="G33" s="43"/>
      <c r="H33" s="39">
        <v>2.0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39">
        <v>10.0</v>
      </c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39">
        <v>12.0</v>
      </c>
      <c r="AJ33" s="40">
        <f t="shared" si="1"/>
        <v>0</v>
      </c>
      <c r="AK33" s="41">
        <f t="shared" si="2"/>
        <v>0</v>
      </c>
    </row>
    <row r="34" ht="10.5" customHeight="1">
      <c r="A34" s="42" t="s">
        <v>122</v>
      </c>
      <c r="B34" s="36"/>
      <c r="C34" s="36"/>
      <c r="D34" s="37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39">
        <v>2.0</v>
      </c>
      <c r="AF34" s="43"/>
      <c r="AG34" s="43"/>
      <c r="AH34" s="43"/>
      <c r="AI34" s="39">
        <v>2.0</v>
      </c>
      <c r="AJ34" s="40">
        <f t="shared" si="1"/>
        <v>0</v>
      </c>
      <c r="AK34" s="41">
        <f t="shared" si="2"/>
        <v>0</v>
      </c>
    </row>
    <row r="35" ht="10.5" customHeight="1">
      <c r="A35" s="42" t="s">
        <v>123</v>
      </c>
      <c r="B35" s="36"/>
      <c r="C35" s="36"/>
      <c r="D35" s="37"/>
      <c r="E35" s="43"/>
      <c r="F35" s="43"/>
      <c r="G35" s="39">
        <v>3.0</v>
      </c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9">
        <v>3.0</v>
      </c>
      <c r="AJ35" s="40">
        <f t="shared" si="1"/>
        <v>0</v>
      </c>
      <c r="AK35" s="41">
        <f t="shared" si="2"/>
        <v>0</v>
      </c>
    </row>
    <row r="36" ht="10.5" customHeight="1">
      <c r="A36" s="42" t="s">
        <v>124</v>
      </c>
      <c r="B36" s="36"/>
      <c r="C36" s="36"/>
      <c r="D36" s="37"/>
      <c r="E36" s="39">
        <v>5.0</v>
      </c>
      <c r="F36" s="39">
        <v>18.0</v>
      </c>
      <c r="G36" s="43"/>
      <c r="H36" s="39">
        <v>4.0</v>
      </c>
      <c r="I36" s="43"/>
      <c r="J36" s="43"/>
      <c r="K36" s="43"/>
      <c r="L36" s="43"/>
      <c r="M36" s="43"/>
      <c r="N36" s="43"/>
      <c r="O36" s="43"/>
      <c r="P36" s="39">
        <v>166.0</v>
      </c>
      <c r="Q36" s="39">
        <v>10.0</v>
      </c>
      <c r="R36" s="39">
        <v>21.0</v>
      </c>
      <c r="S36" s="39">
        <v>4.0</v>
      </c>
      <c r="T36" s="43"/>
      <c r="U36" s="43"/>
      <c r="V36" s="39">
        <v>1.0</v>
      </c>
      <c r="W36" s="39">
        <v>6.0</v>
      </c>
      <c r="X36" s="43"/>
      <c r="Y36" s="39">
        <v>3.0</v>
      </c>
      <c r="Z36" s="43"/>
      <c r="AA36" s="43"/>
      <c r="AB36" s="43"/>
      <c r="AC36" s="39">
        <v>1.0</v>
      </c>
      <c r="AD36" s="43"/>
      <c r="AE36" s="43"/>
      <c r="AF36" s="43"/>
      <c r="AG36" s="43"/>
      <c r="AH36" s="43"/>
      <c r="AI36" s="39">
        <v>212.0</v>
      </c>
      <c r="AJ36" s="40">
        <f t="shared" si="1"/>
        <v>27</v>
      </c>
      <c r="AK36" s="41">
        <f t="shared" si="2"/>
        <v>0.1273584906</v>
      </c>
    </row>
    <row r="37" ht="10.5" customHeight="1">
      <c r="A37" s="42" t="s">
        <v>125</v>
      </c>
      <c r="B37" s="36"/>
      <c r="C37" s="36"/>
      <c r="D37" s="37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39">
        <v>11.0</v>
      </c>
      <c r="AH37" s="43"/>
      <c r="AI37" s="39">
        <v>11.0</v>
      </c>
      <c r="AJ37" s="40">
        <f t="shared" si="1"/>
        <v>0</v>
      </c>
      <c r="AK37" s="41">
        <f t="shared" si="2"/>
        <v>0</v>
      </c>
    </row>
    <row r="38" ht="10.5" customHeight="1">
      <c r="A38" s="42" t="s">
        <v>126</v>
      </c>
      <c r="B38" s="36"/>
      <c r="C38" s="36"/>
      <c r="D38" s="37"/>
      <c r="E38" s="39">
        <v>1.0</v>
      </c>
      <c r="F38" s="39">
        <v>4.0</v>
      </c>
      <c r="G38" s="39">
        <v>4.0</v>
      </c>
      <c r="H38" s="39">
        <v>2.0</v>
      </c>
      <c r="I38" s="43"/>
      <c r="J38" s="39">
        <v>2.0</v>
      </c>
      <c r="K38" s="39">
        <v>1.0</v>
      </c>
      <c r="L38" s="39">
        <v>3.0</v>
      </c>
      <c r="M38" s="39">
        <v>53.0</v>
      </c>
      <c r="N38" s="39">
        <v>30.0</v>
      </c>
      <c r="O38" s="39">
        <v>10.0</v>
      </c>
      <c r="P38" s="39">
        <v>7.0</v>
      </c>
      <c r="Q38" s="39">
        <v>3.0</v>
      </c>
      <c r="R38" s="39">
        <v>5.0</v>
      </c>
      <c r="S38" s="39">
        <v>2.0</v>
      </c>
      <c r="T38" s="39">
        <v>9.0</v>
      </c>
      <c r="U38" s="39">
        <v>1.0</v>
      </c>
      <c r="V38" s="39">
        <v>1.0</v>
      </c>
      <c r="W38" s="39">
        <v>2.0</v>
      </c>
      <c r="X38" s="39">
        <v>7.0</v>
      </c>
      <c r="Y38" s="39">
        <v>7.0</v>
      </c>
      <c r="Z38" s="39">
        <v>20.0</v>
      </c>
      <c r="AA38" s="39">
        <v>8.0</v>
      </c>
      <c r="AB38" s="43"/>
      <c r="AC38" s="39">
        <v>3.0</v>
      </c>
      <c r="AD38" s="39">
        <v>3.0</v>
      </c>
      <c r="AE38" s="39">
        <v>5.0</v>
      </c>
      <c r="AF38" s="39">
        <v>6.0</v>
      </c>
      <c r="AG38" s="39">
        <v>2.0</v>
      </c>
      <c r="AH38" s="43"/>
      <c r="AI38" s="39">
        <v>162.0</v>
      </c>
      <c r="AJ38" s="40">
        <f t="shared" si="1"/>
        <v>39</v>
      </c>
      <c r="AK38" s="41">
        <f t="shared" si="2"/>
        <v>0.2407407407</v>
      </c>
    </row>
    <row r="39" ht="10.5" customHeight="1">
      <c r="A39" s="42" t="s">
        <v>127</v>
      </c>
      <c r="B39" s="36"/>
      <c r="C39" s="36"/>
      <c r="D39" s="37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39">
        <v>10.0</v>
      </c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39">
        <v>10.0</v>
      </c>
      <c r="AJ39" s="40">
        <f t="shared" si="1"/>
        <v>0</v>
      </c>
      <c r="AK39" s="41">
        <f t="shared" si="2"/>
        <v>0</v>
      </c>
    </row>
    <row r="40" ht="10.5" customHeight="1">
      <c r="A40" s="42" t="s">
        <v>128</v>
      </c>
      <c r="B40" s="36"/>
      <c r="C40" s="36"/>
      <c r="D40" s="37"/>
      <c r="E40" s="43"/>
      <c r="F40" s="39">
        <v>7.0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39">
        <v>8.0</v>
      </c>
      <c r="AA40" s="43"/>
      <c r="AB40" s="43"/>
      <c r="AC40" s="43"/>
      <c r="AD40" s="43"/>
      <c r="AE40" s="43"/>
      <c r="AF40" s="43"/>
      <c r="AG40" s="43"/>
      <c r="AH40" s="43"/>
      <c r="AI40" s="39">
        <v>10.0</v>
      </c>
      <c r="AJ40" s="40">
        <f t="shared" si="1"/>
        <v>5</v>
      </c>
      <c r="AK40" s="41">
        <f t="shared" si="2"/>
        <v>0.5</v>
      </c>
    </row>
    <row r="41" ht="10.5" customHeight="1">
      <c r="A41" s="42" t="s">
        <v>129</v>
      </c>
      <c r="B41" s="36"/>
      <c r="C41" s="36"/>
      <c r="D41" s="37"/>
      <c r="E41" s="39">
        <v>1.0</v>
      </c>
      <c r="F41" s="43"/>
      <c r="G41" s="43"/>
      <c r="H41" s="39">
        <v>1.0</v>
      </c>
      <c r="I41" s="43"/>
      <c r="J41" s="43"/>
      <c r="K41" s="43"/>
      <c r="L41" s="43"/>
      <c r="M41" s="43"/>
      <c r="N41" s="39">
        <v>1.0</v>
      </c>
      <c r="O41" s="43"/>
      <c r="P41" s="43"/>
      <c r="Q41" s="43"/>
      <c r="R41" s="43"/>
      <c r="S41" s="39">
        <v>2.0</v>
      </c>
      <c r="T41" s="43"/>
      <c r="U41" s="39">
        <v>1.0</v>
      </c>
      <c r="V41" s="39">
        <v>1.0</v>
      </c>
      <c r="W41" s="43"/>
      <c r="X41" s="43"/>
      <c r="Y41" s="43"/>
      <c r="Z41" s="43"/>
      <c r="AA41" s="39">
        <v>2.0</v>
      </c>
      <c r="AB41" s="39">
        <v>3.0</v>
      </c>
      <c r="AC41" s="43"/>
      <c r="AD41" s="43"/>
      <c r="AE41" s="43"/>
      <c r="AF41" s="43"/>
      <c r="AG41" s="39">
        <v>2.0</v>
      </c>
      <c r="AH41" s="43"/>
      <c r="AI41" s="39">
        <v>7.0</v>
      </c>
      <c r="AJ41" s="40">
        <f t="shared" si="1"/>
        <v>7</v>
      </c>
      <c r="AK41" s="41">
        <f t="shared" si="2"/>
        <v>1</v>
      </c>
    </row>
    <row r="42" ht="10.5" customHeight="1">
      <c r="A42" s="42" t="s">
        <v>130</v>
      </c>
      <c r="B42" s="36"/>
      <c r="C42" s="36"/>
      <c r="D42" s="37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39">
        <v>2.0</v>
      </c>
      <c r="S42" s="39">
        <v>1.0</v>
      </c>
      <c r="T42" s="39">
        <v>2.0</v>
      </c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39">
        <v>5.0</v>
      </c>
      <c r="AJ42" s="40">
        <f t="shared" si="1"/>
        <v>0</v>
      </c>
      <c r="AK42" s="41">
        <f t="shared" si="2"/>
        <v>0</v>
      </c>
    </row>
    <row r="43" ht="10.5" customHeight="1">
      <c r="A43" s="42" t="s">
        <v>131</v>
      </c>
      <c r="B43" s="36"/>
      <c r="C43" s="36"/>
      <c r="D43" s="37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39">
        <v>3.0</v>
      </c>
      <c r="AD43" s="39">
        <v>2.0</v>
      </c>
      <c r="AE43" s="43"/>
      <c r="AF43" s="43"/>
      <c r="AG43" s="43"/>
      <c r="AH43" s="43"/>
      <c r="AI43" s="39">
        <v>5.0</v>
      </c>
      <c r="AJ43" s="40">
        <f t="shared" si="1"/>
        <v>0</v>
      </c>
      <c r="AK43" s="41">
        <f t="shared" si="2"/>
        <v>0</v>
      </c>
    </row>
    <row r="44" ht="10.5" customHeight="1">
      <c r="A44" s="42" t="s">
        <v>132</v>
      </c>
      <c r="B44" s="36"/>
      <c r="C44" s="36"/>
      <c r="D44" s="37"/>
      <c r="E44" s="39">
        <v>2.0</v>
      </c>
      <c r="F44" s="39">
        <v>21.0</v>
      </c>
      <c r="G44" s="39">
        <v>8.0</v>
      </c>
      <c r="H44" s="39">
        <v>7.0</v>
      </c>
      <c r="I44" s="39">
        <v>7.0</v>
      </c>
      <c r="J44" s="39">
        <v>4.0</v>
      </c>
      <c r="K44" s="43"/>
      <c r="L44" s="39">
        <v>4.0</v>
      </c>
      <c r="M44" s="39">
        <v>1.0</v>
      </c>
      <c r="N44" s="39">
        <v>5.0</v>
      </c>
      <c r="O44" s="39">
        <v>3.0</v>
      </c>
      <c r="P44" s="39">
        <v>1.0</v>
      </c>
      <c r="Q44" s="39">
        <v>2.0</v>
      </c>
      <c r="R44" s="39">
        <v>6.0</v>
      </c>
      <c r="S44" s="39">
        <v>4.0</v>
      </c>
      <c r="T44" s="39">
        <v>7.0</v>
      </c>
      <c r="U44" s="39">
        <v>3.0</v>
      </c>
      <c r="V44" s="39">
        <v>3.0</v>
      </c>
      <c r="W44" s="39">
        <v>3.0</v>
      </c>
      <c r="X44" s="39">
        <v>2.0</v>
      </c>
      <c r="Y44" s="39">
        <v>3.0</v>
      </c>
      <c r="Z44" s="39">
        <v>5.0</v>
      </c>
      <c r="AA44" s="39">
        <v>2.0</v>
      </c>
      <c r="AB44" s="39">
        <v>1.0</v>
      </c>
      <c r="AC44" s="43"/>
      <c r="AD44" s="39">
        <v>1.0</v>
      </c>
      <c r="AE44" s="39">
        <v>4.0</v>
      </c>
      <c r="AF44" s="39">
        <v>2.0</v>
      </c>
      <c r="AG44" s="39">
        <v>4.0</v>
      </c>
      <c r="AH44" s="43"/>
      <c r="AI44" s="39">
        <v>90.0</v>
      </c>
      <c r="AJ44" s="40">
        <f t="shared" si="1"/>
        <v>25</v>
      </c>
      <c r="AK44" s="41">
        <f t="shared" si="2"/>
        <v>0.2777777778</v>
      </c>
    </row>
    <row r="45" ht="10.5" customHeight="1">
      <c r="A45" s="42" t="s">
        <v>133</v>
      </c>
      <c r="B45" s="36"/>
      <c r="C45" s="36"/>
      <c r="D45" s="37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39">
        <v>1.0</v>
      </c>
      <c r="W45" s="39">
        <v>5.0</v>
      </c>
      <c r="X45" s="39">
        <v>21.0</v>
      </c>
      <c r="Y45" s="39">
        <v>4.0</v>
      </c>
      <c r="Z45" s="39">
        <v>3.0</v>
      </c>
      <c r="AA45" s="39">
        <v>1.0</v>
      </c>
      <c r="AB45" s="39">
        <v>5.0</v>
      </c>
      <c r="AC45" s="43"/>
      <c r="AD45" s="43"/>
      <c r="AE45" s="43"/>
      <c r="AF45" s="43"/>
      <c r="AG45" s="43"/>
      <c r="AH45" s="43"/>
      <c r="AI45" s="39">
        <v>40.0</v>
      </c>
      <c r="AJ45" s="40">
        <f t="shared" si="1"/>
        <v>0</v>
      </c>
      <c r="AK45" s="41">
        <f t="shared" si="2"/>
        <v>0</v>
      </c>
    </row>
    <row r="46" ht="10.5" customHeight="1">
      <c r="A46" s="42" t="s">
        <v>134</v>
      </c>
      <c r="B46" s="36"/>
      <c r="C46" s="36"/>
      <c r="D46" s="37"/>
      <c r="E46" s="43"/>
      <c r="F46" s="39">
        <v>1.0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39">
        <v>76.0</v>
      </c>
      <c r="S46" s="43"/>
      <c r="T46" s="43"/>
      <c r="U46" s="43"/>
      <c r="V46" s="43"/>
      <c r="W46" s="39">
        <v>16.0</v>
      </c>
      <c r="X46" s="39">
        <v>30.0</v>
      </c>
      <c r="Y46" s="43"/>
      <c r="Z46" s="39">
        <v>40.0</v>
      </c>
      <c r="AA46" s="39">
        <v>18.0</v>
      </c>
      <c r="AB46" s="43"/>
      <c r="AC46" s="43"/>
      <c r="AD46" s="43"/>
      <c r="AE46" s="39">
        <v>102.0</v>
      </c>
      <c r="AF46" s="43"/>
      <c r="AG46" s="43"/>
      <c r="AH46" s="43"/>
      <c r="AI46" s="39">
        <v>260.0</v>
      </c>
      <c r="AJ46" s="40">
        <f t="shared" si="1"/>
        <v>23</v>
      </c>
      <c r="AK46" s="41">
        <f t="shared" si="2"/>
        <v>0.08846153846</v>
      </c>
    </row>
    <row r="47" ht="11.25" customHeight="1">
      <c r="A47" s="44"/>
      <c r="B47" s="44"/>
      <c r="C47" s="44"/>
      <c r="D47" s="44"/>
      <c r="E47" s="45">
        <f t="shared" ref="E47:AI47" si="3">SUM(E2:E46)</f>
        <v>1171</v>
      </c>
      <c r="F47" s="45">
        <f t="shared" si="3"/>
        <v>1526</v>
      </c>
      <c r="G47" s="45">
        <f t="shared" si="3"/>
        <v>2108</v>
      </c>
      <c r="H47" s="45">
        <f t="shared" si="3"/>
        <v>1728</v>
      </c>
      <c r="I47" s="45">
        <f t="shared" si="3"/>
        <v>1462</v>
      </c>
      <c r="J47" s="45">
        <f t="shared" si="3"/>
        <v>1880</v>
      </c>
      <c r="K47" s="45">
        <f t="shared" si="3"/>
        <v>1628</v>
      </c>
      <c r="L47" s="45">
        <f t="shared" si="3"/>
        <v>1696</v>
      </c>
      <c r="M47" s="45">
        <f t="shared" si="3"/>
        <v>1680</v>
      </c>
      <c r="N47" s="45">
        <f t="shared" si="3"/>
        <v>1413</v>
      </c>
      <c r="O47" s="45">
        <f t="shared" si="3"/>
        <v>1690</v>
      </c>
      <c r="P47" s="45">
        <f t="shared" si="3"/>
        <v>1297</v>
      </c>
      <c r="Q47" s="46">
        <f t="shared" si="3"/>
        <v>1253</v>
      </c>
      <c r="R47" s="45">
        <f t="shared" si="3"/>
        <v>1283</v>
      </c>
      <c r="S47" s="45">
        <f t="shared" si="3"/>
        <v>1280</v>
      </c>
      <c r="T47" s="45">
        <f t="shared" si="3"/>
        <v>1271</v>
      </c>
      <c r="U47" s="45">
        <f t="shared" si="3"/>
        <v>1066</v>
      </c>
      <c r="V47" s="45">
        <f t="shared" si="3"/>
        <v>1159</v>
      </c>
      <c r="W47" s="45">
        <f t="shared" si="3"/>
        <v>1175</v>
      </c>
      <c r="X47" s="45">
        <f t="shared" si="3"/>
        <v>1565</v>
      </c>
      <c r="Y47" s="45">
        <f t="shared" si="3"/>
        <v>1246</v>
      </c>
      <c r="Z47" s="45">
        <f t="shared" si="3"/>
        <v>1235</v>
      </c>
      <c r="AA47" s="46">
        <f t="shared" si="3"/>
        <v>1110</v>
      </c>
      <c r="AB47" s="46">
        <f t="shared" si="3"/>
        <v>930</v>
      </c>
      <c r="AC47" s="46">
        <f t="shared" si="3"/>
        <v>969</v>
      </c>
      <c r="AD47" s="45">
        <f t="shared" si="3"/>
        <v>1042</v>
      </c>
      <c r="AE47" s="45">
        <f t="shared" si="3"/>
        <v>1373</v>
      </c>
      <c r="AF47" s="46">
        <f t="shared" si="3"/>
        <v>977</v>
      </c>
      <c r="AG47" s="45">
        <f t="shared" si="3"/>
        <v>1127</v>
      </c>
      <c r="AH47" s="46">
        <f t="shared" si="3"/>
        <v>330</v>
      </c>
      <c r="AI47" s="45">
        <f t="shared" si="3"/>
        <v>34168</v>
      </c>
      <c r="AJ47" s="44"/>
      <c r="AK47" s="44"/>
    </row>
    <row r="48" ht="11.2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</row>
    <row r="49" ht="11.2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ht="11.2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ht="11.2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ht="11.2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ht="11.2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ht="11.2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ht="11.2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ht="11.2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ht="11.2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ht="11.2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ht="11.2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ht="11.2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ht="11.2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ht="11.2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ht="11.2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</row>
    <row r="64" ht="11.2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</row>
    <row r="65" ht="11.2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</row>
    <row r="66" ht="11.2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</row>
    <row r="67" ht="11.2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</row>
    <row r="68" ht="11.2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</row>
    <row r="69" ht="11.2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</row>
    <row r="70" ht="11.2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</row>
    <row r="71" ht="11.2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</row>
    <row r="72" ht="11.2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</row>
    <row r="73" ht="11.2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</row>
    <row r="74" ht="11.2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</row>
    <row r="75" ht="11.2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</row>
    <row r="76" ht="11.2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</row>
    <row r="77" ht="11.2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</row>
    <row r="78" ht="11.2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</row>
    <row r="79" ht="11.2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ht="11.2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</row>
    <row r="81" ht="11.2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</row>
    <row r="82" ht="11.2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</row>
    <row r="83" ht="11.2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</row>
    <row r="84" ht="11.2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</row>
    <row r="85" ht="11.2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</row>
    <row r="86" ht="11.2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</row>
    <row r="87" ht="11.2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</row>
    <row r="88" ht="11.2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</row>
    <row r="89" ht="11.2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</row>
    <row r="90" ht="11.2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</row>
    <row r="91" ht="11.2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</row>
    <row r="92" ht="11.2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</row>
    <row r="93" ht="11.2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</row>
    <row r="94" ht="11.2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</row>
    <row r="95" ht="11.2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</row>
    <row r="96" ht="11.2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</row>
    <row r="97" ht="11.2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</row>
    <row r="98" ht="11.2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</row>
    <row r="99" ht="11.2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</row>
    <row r="100" ht="11.2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</row>
    <row r="101" ht="11.2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</row>
    <row r="102" ht="11.2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</row>
    <row r="103" ht="11.2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</row>
    <row r="104" ht="11.2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</row>
    <row r="105" ht="11.2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</row>
    <row r="106" ht="11.2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</row>
    <row r="107" ht="11.2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</row>
    <row r="108" ht="11.2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</row>
    <row r="109" ht="11.2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</row>
    <row r="110" ht="11.2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</row>
    <row r="111" ht="11.2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</row>
    <row r="112" ht="11.2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</row>
    <row r="113" ht="11.2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</row>
    <row r="114" ht="11.2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</row>
    <row r="115" ht="11.2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</row>
    <row r="116" ht="11.2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</row>
    <row r="117" ht="11.2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</row>
    <row r="118" ht="11.2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</row>
    <row r="119" ht="11.2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</row>
    <row r="120" ht="11.2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</row>
    <row r="121" ht="11.2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</row>
    <row r="122" ht="11.2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</row>
    <row r="123" ht="11.2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</row>
    <row r="124" ht="11.2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</row>
    <row r="125" ht="11.2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</row>
    <row r="126" ht="11.2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</row>
    <row r="127" ht="11.2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</row>
    <row r="128" ht="11.2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</row>
    <row r="129" ht="11.2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</row>
    <row r="130" ht="11.2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</row>
    <row r="131" ht="11.2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</row>
    <row r="132" ht="11.2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</row>
    <row r="133" ht="11.2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</row>
    <row r="134" ht="11.2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</row>
    <row r="135" ht="11.2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</row>
    <row r="136" ht="11.2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</row>
    <row r="137" ht="11.2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</row>
    <row r="138" ht="11.2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</row>
    <row r="139" ht="11.2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</row>
    <row r="140" ht="11.2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</row>
    <row r="141" ht="11.2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</row>
    <row r="142" ht="11.2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</row>
    <row r="143" ht="11.2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</row>
    <row r="144" ht="11.2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</row>
    <row r="145" ht="11.2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</row>
    <row r="146" ht="11.2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</row>
    <row r="147" ht="11.2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</row>
    <row r="148" ht="11.2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</row>
    <row r="149" ht="11.2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</row>
    <row r="150" ht="11.2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</row>
    <row r="151" ht="11.2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</row>
    <row r="152" ht="11.2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</row>
    <row r="153" ht="11.2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</row>
    <row r="154" ht="11.2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</row>
    <row r="155" ht="11.2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</row>
    <row r="156" ht="11.2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</row>
    <row r="157" ht="11.2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</row>
    <row r="158" ht="11.2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</row>
    <row r="159" ht="11.2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</row>
    <row r="160" ht="11.2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</row>
    <row r="161" ht="11.2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</row>
    <row r="162" ht="11.2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</row>
    <row r="163" ht="11.2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</row>
    <row r="164" ht="11.2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</row>
    <row r="165" ht="11.2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</row>
    <row r="166" ht="11.2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</row>
    <row r="167" ht="11.2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</row>
    <row r="168" ht="11.2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</row>
    <row r="169" ht="11.2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</row>
    <row r="170" ht="11.2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</row>
    <row r="171" ht="11.2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</row>
    <row r="172" ht="11.2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</row>
    <row r="173" ht="11.2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</row>
    <row r="174" ht="11.2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</row>
    <row r="175" ht="11.2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</row>
    <row r="176" ht="11.2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</row>
    <row r="177" ht="11.2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</row>
    <row r="178" ht="11.2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</row>
    <row r="179" ht="11.2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</row>
    <row r="180" ht="11.2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</row>
    <row r="181" ht="11.2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</row>
    <row r="182" ht="11.2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</row>
    <row r="183" ht="11.2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</row>
    <row r="184" ht="11.2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</row>
    <row r="185" ht="11.2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</row>
    <row r="186" ht="11.2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</row>
    <row r="187" ht="11.2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</row>
    <row r="188" ht="11.2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</row>
    <row r="189" ht="11.2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</row>
    <row r="190" ht="11.2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</row>
    <row r="191" ht="11.2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</row>
    <row r="192" ht="11.2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</row>
    <row r="193" ht="11.2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</row>
    <row r="194" ht="11.2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</row>
    <row r="195" ht="11.2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</row>
    <row r="196" ht="11.2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</row>
    <row r="197" ht="11.2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</row>
    <row r="198" ht="11.2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</row>
    <row r="199" ht="11.2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</row>
    <row r="200" ht="11.2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</row>
    <row r="201" ht="11.2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</row>
    <row r="202" ht="11.2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</row>
    <row r="203" ht="11.2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</row>
    <row r="204" ht="11.2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</row>
    <row r="205" ht="11.2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</row>
    <row r="206" ht="11.2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</row>
    <row r="207" ht="11.2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</row>
    <row r="208" ht="11.2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</row>
    <row r="209" ht="11.2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</row>
    <row r="210" ht="11.2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</row>
    <row r="211" ht="11.2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</row>
    <row r="212" ht="11.2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</row>
    <row r="213" ht="11.2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</row>
    <row r="214" ht="11.2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</row>
    <row r="215" ht="11.2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</row>
    <row r="216" ht="11.2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</row>
    <row r="217" ht="11.2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</row>
    <row r="218" ht="11.2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</row>
    <row r="219" ht="11.2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</row>
    <row r="220" ht="11.2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</row>
    <row r="221" ht="11.2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</row>
    <row r="222" ht="11.2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</row>
    <row r="223" ht="11.2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</row>
    <row r="224" ht="11.2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</row>
    <row r="225" ht="11.2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</row>
    <row r="226" ht="11.2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</row>
    <row r="227" ht="11.2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</row>
    <row r="228" ht="11.2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</row>
    <row r="229" ht="11.2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</row>
    <row r="230" ht="11.2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</row>
    <row r="231" ht="11.2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</row>
    <row r="232" ht="11.2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</row>
    <row r="233" ht="11.2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</row>
    <row r="234" ht="11.2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</row>
    <row r="235" ht="11.2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</row>
    <row r="236" ht="11.2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</row>
    <row r="237" ht="11.2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</row>
    <row r="238" ht="11.2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</row>
    <row r="239" ht="11.2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</row>
    <row r="240" ht="11.2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</row>
    <row r="241" ht="11.2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</row>
    <row r="242" ht="11.2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</row>
    <row r="243" ht="11.2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</row>
    <row r="244" ht="11.2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</row>
    <row r="245" ht="11.2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</row>
    <row r="246" ht="11.2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</row>
    <row r="247" ht="11.2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</row>
    <row r="248" ht="11.2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</row>
    <row r="249" ht="11.2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</row>
    <row r="250" ht="11.2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</row>
    <row r="251" ht="11.2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</row>
    <row r="252" ht="11.2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</row>
    <row r="253" ht="11.2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</row>
    <row r="254" ht="11.2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</row>
    <row r="255" ht="11.2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</row>
    <row r="256" ht="11.2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</row>
    <row r="257" ht="11.2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</row>
    <row r="258" ht="11.2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</row>
    <row r="259" ht="11.2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</row>
    <row r="260" ht="11.2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</row>
    <row r="261" ht="11.2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</row>
    <row r="262" ht="11.2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</row>
    <row r="263" ht="11.2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</row>
    <row r="264" ht="11.2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</row>
    <row r="265" ht="11.2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</row>
    <row r="266" ht="11.2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</row>
    <row r="267" ht="11.2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</row>
    <row r="268" ht="11.2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</row>
    <row r="269" ht="11.2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</row>
    <row r="270" ht="11.2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</row>
    <row r="271" ht="11.2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</row>
    <row r="272" ht="11.2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</row>
    <row r="273" ht="11.2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</row>
    <row r="274" ht="11.2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</row>
    <row r="275" ht="11.2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</row>
    <row r="276" ht="11.2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</row>
    <row r="277" ht="11.2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</row>
    <row r="278" ht="11.2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</row>
    <row r="279" ht="11.2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</row>
    <row r="280" ht="11.2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</row>
    <row r="281" ht="11.2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</row>
    <row r="282" ht="11.2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</row>
    <row r="283" ht="11.2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</row>
    <row r="284" ht="11.2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</row>
    <row r="285" ht="11.2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</row>
    <row r="286" ht="11.2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</row>
    <row r="287" ht="11.2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</row>
    <row r="288" ht="11.2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</row>
    <row r="289" ht="11.2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</row>
    <row r="290" ht="11.2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</row>
    <row r="291" ht="11.2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</row>
    <row r="292" ht="11.2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</row>
    <row r="293" ht="11.2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</row>
    <row r="294" ht="11.2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</row>
    <row r="295" ht="11.2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</row>
    <row r="296" ht="11.2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</row>
    <row r="297" ht="11.2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</row>
    <row r="298" ht="11.2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</row>
    <row r="299" ht="11.2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</row>
    <row r="300" ht="11.2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</row>
    <row r="301" ht="11.2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</row>
    <row r="302" ht="11.2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</row>
    <row r="303" ht="11.2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</row>
    <row r="304" ht="11.2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</row>
    <row r="305" ht="11.2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</row>
    <row r="306" ht="11.2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</row>
    <row r="307" ht="11.2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</row>
    <row r="308" ht="11.2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</row>
    <row r="309" ht="11.2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</row>
    <row r="310" ht="11.2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</row>
    <row r="311" ht="11.2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</row>
    <row r="312" ht="11.2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</row>
    <row r="313" ht="11.2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</row>
    <row r="314" ht="11.2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</row>
    <row r="315" ht="11.2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</row>
    <row r="316" ht="11.2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</row>
    <row r="317" ht="11.2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</row>
    <row r="318" ht="11.2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</row>
    <row r="319" ht="11.2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</row>
    <row r="320" ht="11.2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</row>
    <row r="321" ht="11.2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</row>
    <row r="322" ht="11.2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</row>
    <row r="323" ht="11.2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</row>
    <row r="324" ht="11.2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</row>
    <row r="325" ht="11.2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</row>
    <row r="326" ht="11.2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</row>
    <row r="327" ht="11.2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</row>
    <row r="328" ht="11.2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</row>
    <row r="329" ht="11.2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</row>
    <row r="330" ht="11.2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</row>
    <row r="331" ht="11.2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</row>
    <row r="332" ht="11.2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</row>
    <row r="333" ht="11.2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</row>
    <row r="334" ht="11.2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</row>
    <row r="335" ht="11.2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</row>
    <row r="336" ht="11.2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</row>
    <row r="337" ht="11.2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</row>
    <row r="338" ht="11.2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</row>
    <row r="339" ht="11.2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</row>
    <row r="340" ht="11.2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</row>
    <row r="341" ht="11.2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</row>
    <row r="342" ht="11.2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</row>
    <row r="343" ht="11.2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</row>
    <row r="344" ht="11.2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</row>
    <row r="345" ht="11.2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</row>
    <row r="346" ht="11.2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</row>
    <row r="347" ht="11.2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</row>
    <row r="348" ht="11.2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</row>
    <row r="349" ht="11.2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</row>
    <row r="350" ht="11.2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</row>
    <row r="351" ht="11.2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</row>
    <row r="352" ht="11.2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</row>
    <row r="353" ht="11.2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</row>
    <row r="354" ht="11.2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</row>
    <row r="355" ht="11.2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</row>
    <row r="356" ht="11.2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</row>
    <row r="357" ht="11.2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</row>
    <row r="358" ht="11.2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</row>
    <row r="359" ht="11.2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</row>
    <row r="360" ht="11.2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</row>
    <row r="361" ht="11.2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</row>
    <row r="362" ht="11.2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</row>
    <row r="363" ht="11.2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</row>
    <row r="364" ht="11.2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</row>
    <row r="365" ht="11.2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</row>
    <row r="366" ht="11.2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</row>
    <row r="367" ht="11.2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</row>
    <row r="368" ht="11.2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</row>
    <row r="369" ht="11.2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</row>
    <row r="370" ht="11.2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</row>
    <row r="371" ht="11.2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</row>
    <row r="372" ht="11.2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</row>
    <row r="373" ht="11.2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</row>
    <row r="374" ht="11.2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</row>
    <row r="375" ht="11.2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</row>
    <row r="376" ht="11.2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</row>
    <row r="377" ht="11.2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</row>
    <row r="378" ht="11.2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</row>
    <row r="379" ht="11.2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</row>
    <row r="380" ht="11.2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</row>
    <row r="381" ht="11.2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</row>
    <row r="382" ht="11.2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</row>
    <row r="383" ht="11.2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</row>
    <row r="384" ht="11.2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</row>
    <row r="385" ht="11.2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</row>
    <row r="386" ht="11.2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</row>
    <row r="387" ht="11.2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</row>
    <row r="388" ht="11.2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</row>
    <row r="389" ht="11.2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</row>
    <row r="390" ht="11.2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</row>
    <row r="391" ht="11.2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</row>
    <row r="392" ht="11.2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</row>
    <row r="393" ht="11.2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</row>
    <row r="394" ht="11.2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</row>
    <row r="395" ht="11.2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</row>
    <row r="396" ht="11.2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</row>
    <row r="397" ht="11.2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</row>
    <row r="398" ht="11.2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</row>
    <row r="399" ht="11.2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</row>
    <row r="400" ht="11.2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</row>
    <row r="401" ht="11.2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</row>
    <row r="402" ht="11.2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</row>
    <row r="403" ht="11.2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</row>
    <row r="404" ht="11.2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</row>
    <row r="405" ht="11.2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</row>
    <row r="406" ht="11.2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</row>
    <row r="407" ht="11.2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</row>
    <row r="408" ht="11.2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</row>
    <row r="409" ht="11.2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</row>
    <row r="410" ht="11.2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</row>
    <row r="411" ht="11.2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</row>
    <row r="412" ht="11.2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</row>
    <row r="413" ht="11.2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</row>
    <row r="414" ht="11.2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</row>
    <row r="415" ht="11.2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</row>
    <row r="416" ht="11.2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</row>
    <row r="417" ht="11.2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</row>
    <row r="418" ht="11.2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</row>
    <row r="419" ht="11.2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</row>
    <row r="420" ht="11.2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</row>
    <row r="421" ht="11.2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</row>
    <row r="422" ht="11.2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</row>
    <row r="423" ht="11.2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</row>
    <row r="424" ht="11.2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</row>
    <row r="425" ht="11.2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</row>
    <row r="426" ht="11.2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</row>
    <row r="427" ht="11.2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</row>
    <row r="428" ht="11.2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</row>
    <row r="429" ht="11.2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</row>
    <row r="430" ht="11.2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</row>
    <row r="431" ht="11.2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</row>
    <row r="432" ht="11.2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</row>
    <row r="433" ht="11.2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</row>
    <row r="434" ht="11.2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</row>
    <row r="435" ht="11.2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</row>
    <row r="436" ht="11.2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</row>
    <row r="437" ht="11.2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</row>
    <row r="438" ht="11.2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</row>
    <row r="439" ht="11.2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</row>
    <row r="440" ht="11.2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</row>
    <row r="441" ht="11.2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</row>
    <row r="442" ht="11.2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</row>
    <row r="443" ht="11.2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</row>
    <row r="444" ht="11.2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</row>
    <row r="445" ht="11.2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</row>
    <row r="446" ht="11.2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</row>
    <row r="447" ht="11.2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</row>
    <row r="448" ht="11.2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</row>
    <row r="449" ht="11.2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</row>
    <row r="450" ht="11.2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</row>
    <row r="451" ht="11.2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</row>
    <row r="452" ht="11.2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</row>
    <row r="453" ht="11.2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</row>
    <row r="454" ht="11.2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</row>
    <row r="455" ht="11.2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</row>
    <row r="456" ht="11.2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</row>
    <row r="457" ht="11.2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</row>
    <row r="458" ht="11.2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</row>
    <row r="459" ht="11.2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</row>
    <row r="460" ht="11.2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</row>
    <row r="461" ht="11.2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</row>
    <row r="462" ht="11.2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</row>
    <row r="463" ht="11.2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</row>
    <row r="464" ht="11.2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</row>
    <row r="465" ht="11.2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</row>
    <row r="466" ht="11.2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</row>
    <row r="467" ht="11.2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</row>
    <row r="468" ht="11.2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</row>
    <row r="469" ht="11.2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</row>
    <row r="470" ht="11.2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</row>
    <row r="471" ht="11.2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</row>
    <row r="472" ht="11.2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</row>
    <row r="473" ht="11.2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</row>
    <row r="474" ht="11.2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</row>
    <row r="475" ht="11.2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</row>
    <row r="476" ht="11.2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</row>
    <row r="477" ht="11.2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</row>
    <row r="478" ht="11.2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</row>
    <row r="479" ht="11.2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</row>
    <row r="480" ht="11.2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</row>
    <row r="481" ht="11.2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</row>
    <row r="482" ht="11.2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</row>
    <row r="483" ht="11.2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</row>
    <row r="484" ht="11.2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</row>
    <row r="485" ht="11.2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</row>
    <row r="486" ht="11.2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</row>
    <row r="487" ht="11.2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</row>
    <row r="488" ht="11.2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</row>
    <row r="489" ht="11.2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</row>
    <row r="490" ht="11.2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</row>
    <row r="491" ht="11.2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</row>
    <row r="492" ht="11.2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</row>
    <row r="493" ht="11.2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</row>
    <row r="494" ht="11.2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</row>
    <row r="495" ht="11.2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</row>
    <row r="496" ht="11.2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</row>
    <row r="497" ht="11.2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</row>
    <row r="498" ht="11.2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</row>
    <row r="499" ht="11.2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</row>
    <row r="500" ht="11.2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</row>
    <row r="501" ht="11.2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</row>
    <row r="502" ht="11.2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</row>
    <row r="503" ht="11.2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</row>
    <row r="504" ht="11.2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</row>
    <row r="505" ht="11.2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</row>
    <row r="506" ht="11.2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</row>
    <row r="507" ht="11.2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</row>
    <row r="508" ht="11.2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</row>
    <row r="509" ht="11.2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</row>
    <row r="510" ht="11.2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</row>
    <row r="511" ht="11.2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</row>
    <row r="512" ht="11.2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</row>
    <row r="513" ht="11.2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</row>
    <row r="514" ht="11.2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</row>
    <row r="515" ht="11.2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</row>
    <row r="516" ht="11.2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</row>
    <row r="517" ht="11.2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</row>
    <row r="518" ht="11.2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</row>
    <row r="519" ht="11.2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</row>
    <row r="520" ht="11.2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</row>
    <row r="521" ht="11.2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</row>
    <row r="522" ht="11.2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</row>
    <row r="523" ht="11.2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</row>
    <row r="524" ht="11.2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</row>
    <row r="525" ht="11.2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</row>
    <row r="526" ht="11.2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</row>
    <row r="527" ht="11.2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</row>
    <row r="528" ht="11.2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</row>
    <row r="529" ht="11.2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</row>
    <row r="530" ht="11.2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</row>
    <row r="531" ht="11.2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</row>
    <row r="532" ht="11.2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</row>
    <row r="533" ht="11.2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</row>
    <row r="534" ht="11.2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</row>
    <row r="535" ht="11.2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</row>
    <row r="536" ht="11.2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</row>
    <row r="537" ht="11.2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</row>
    <row r="538" ht="11.2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</row>
    <row r="539" ht="11.2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</row>
    <row r="540" ht="11.2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</row>
    <row r="541" ht="11.2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</row>
    <row r="542" ht="11.2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</row>
    <row r="543" ht="11.2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</row>
    <row r="544" ht="11.2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</row>
    <row r="545" ht="11.2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</row>
    <row r="546" ht="11.2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</row>
    <row r="547" ht="11.2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</row>
    <row r="548" ht="11.2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</row>
    <row r="549" ht="11.2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</row>
    <row r="550" ht="11.2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</row>
    <row r="551" ht="11.2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</row>
    <row r="552" ht="11.2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</row>
    <row r="553" ht="11.2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</row>
    <row r="554" ht="11.2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</row>
    <row r="555" ht="11.2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</row>
    <row r="556" ht="11.2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</row>
    <row r="557" ht="11.2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</row>
    <row r="558" ht="11.2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</row>
    <row r="559" ht="11.2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</row>
    <row r="560" ht="11.2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</row>
    <row r="561" ht="11.2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</row>
    <row r="562" ht="11.2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</row>
    <row r="563" ht="11.2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</row>
    <row r="564" ht="11.2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</row>
    <row r="565" ht="11.2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</row>
    <row r="566" ht="11.2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</row>
    <row r="567" ht="11.2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</row>
    <row r="568" ht="11.2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</row>
    <row r="569" ht="11.2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</row>
    <row r="570" ht="11.2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</row>
    <row r="571" ht="11.2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</row>
    <row r="572" ht="11.2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</row>
    <row r="573" ht="11.2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</row>
    <row r="574" ht="11.2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</row>
    <row r="575" ht="11.2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</row>
    <row r="576" ht="11.2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</row>
    <row r="577" ht="11.2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</row>
    <row r="578" ht="11.2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</row>
    <row r="579" ht="11.2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</row>
    <row r="580" ht="11.2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</row>
    <row r="581" ht="11.2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</row>
    <row r="582" ht="11.2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</row>
    <row r="583" ht="11.2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</row>
    <row r="584" ht="11.2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</row>
    <row r="585" ht="11.2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</row>
    <row r="586" ht="11.2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</row>
    <row r="587" ht="11.2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</row>
    <row r="588" ht="11.2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</row>
    <row r="589" ht="11.2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</row>
    <row r="590" ht="11.2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</row>
    <row r="591" ht="11.2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</row>
    <row r="592" ht="11.2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</row>
    <row r="593" ht="11.2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</row>
    <row r="594" ht="11.2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</row>
    <row r="595" ht="11.2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</row>
    <row r="596" ht="11.2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</row>
    <row r="597" ht="11.2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</row>
    <row r="598" ht="11.2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</row>
    <row r="599" ht="11.2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</row>
    <row r="600" ht="11.2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</row>
    <row r="601" ht="11.2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</row>
    <row r="602" ht="11.2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</row>
    <row r="603" ht="11.2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</row>
    <row r="604" ht="11.2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</row>
    <row r="605" ht="11.2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</row>
    <row r="606" ht="11.2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</row>
    <row r="607" ht="11.2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</row>
    <row r="608" ht="11.2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</row>
    <row r="609" ht="11.2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</row>
    <row r="610" ht="11.2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</row>
    <row r="611" ht="11.2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</row>
    <row r="612" ht="11.2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</row>
    <row r="613" ht="11.2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</row>
    <row r="614" ht="11.2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</row>
    <row r="615" ht="11.2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</row>
    <row r="616" ht="11.2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</row>
    <row r="617" ht="11.2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</row>
    <row r="618" ht="11.2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</row>
    <row r="619" ht="11.2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</row>
    <row r="620" ht="11.2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</row>
    <row r="621" ht="11.2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</row>
    <row r="622" ht="11.2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</row>
    <row r="623" ht="11.2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</row>
    <row r="624" ht="11.2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</row>
    <row r="625" ht="11.2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</row>
    <row r="626" ht="11.2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</row>
    <row r="627" ht="11.2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</row>
    <row r="628" ht="11.2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</row>
    <row r="629" ht="11.2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</row>
    <row r="630" ht="11.2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</row>
    <row r="631" ht="11.2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</row>
    <row r="632" ht="11.2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</row>
    <row r="633" ht="11.2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</row>
    <row r="634" ht="11.2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</row>
    <row r="635" ht="11.2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</row>
    <row r="636" ht="11.2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</row>
    <row r="637" ht="11.2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</row>
    <row r="638" ht="11.2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</row>
    <row r="639" ht="11.2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</row>
    <row r="640" ht="11.2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</row>
    <row r="641" ht="11.2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</row>
    <row r="642" ht="11.2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</row>
    <row r="643" ht="11.2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</row>
    <row r="644" ht="11.2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</row>
    <row r="645" ht="11.2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</row>
    <row r="646" ht="11.2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</row>
    <row r="647" ht="11.2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</row>
    <row r="648" ht="11.2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</row>
    <row r="649" ht="11.2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</row>
    <row r="650" ht="11.2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</row>
    <row r="651" ht="11.2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</row>
    <row r="652" ht="11.2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</row>
    <row r="653" ht="11.2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</row>
    <row r="654" ht="11.2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</row>
    <row r="655" ht="11.2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</row>
    <row r="656" ht="11.2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</row>
    <row r="657" ht="11.2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</row>
    <row r="658" ht="11.2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</row>
    <row r="659" ht="11.2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</row>
    <row r="660" ht="11.2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</row>
    <row r="661" ht="11.2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</row>
    <row r="662" ht="11.2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</row>
    <row r="663" ht="11.2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</row>
    <row r="664" ht="11.2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</row>
    <row r="665" ht="11.2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</row>
    <row r="666" ht="11.2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</row>
    <row r="667" ht="11.2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</row>
    <row r="668" ht="11.2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</row>
    <row r="669" ht="11.2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</row>
    <row r="670" ht="11.2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</row>
    <row r="671" ht="11.2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</row>
    <row r="672" ht="11.2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</row>
    <row r="673" ht="11.2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</row>
    <row r="674" ht="11.2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</row>
    <row r="675" ht="11.2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</row>
    <row r="676" ht="11.2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</row>
    <row r="677" ht="11.2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</row>
    <row r="678" ht="11.2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</row>
    <row r="679" ht="11.2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</row>
    <row r="680" ht="11.2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</row>
    <row r="681" ht="11.2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</row>
    <row r="682" ht="11.2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</row>
    <row r="683" ht="11.2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</row>
    <row r="684" ht="11.2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</row>
    <row r="685" ht="11.2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</row>
    <row r="686" ht="11.2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</row>
    <row r="687" ht="11.2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</row>
    <row r="688" ht="11.2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</row>
    <row r="689" ht="11.2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</row>
    <row r="690" ht="11.2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</row>
    <row r="691" ht="11.2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</row>
    <row r="692" ht="11.2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</row>
    <row r="693" ht="11.2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</row>
    <row r="694" ht="11.2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</row>
    <row r="695" ht="11.2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</row>
    <row r="696" ht="11.2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</row>
    <row r="697" ht="11.2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</row>
    <row r="698" ht="11.2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</row>
    <row r="699" ht="11.2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</row>
    <row r="700" ht="11.2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</row>
    <row r="701" ht="11.2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</row>
    <row r="702" ht="11.2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</row>
    <row r="703" ht="11.2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</row>
    <row r="704" ht="11.2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</row>
    <row r="705" ht="11.2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</row>
    <row r="706" ht="11.2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</row>
    <row r="707" ht="11.2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</row>
    <row r="708" ht="11.2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</row>
    <row r="709" ht="11.2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</row>
    <row r="710" ht="11.2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</row>
    <row r="711" ht="11.2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</row>
    <row r="712" ht="11.2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</row>
    <row r="713" ht="11.2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</row>
    <row r="714" ht="11.2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</row>
    <row r="715" ht="11.2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</row>
    <row r="716" ht="11.2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</row>
    <row r="717" ht="11.2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</row>
    <row r="718" ht="11.2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</row>
    <row r="719" ht="11.2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</row>
    <row r="720" ht="11.2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</row>
    <row r="721" ht="11.2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</row>
    <row r="722" ht="11.2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</row>
    <row r="723" ht="11.2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</row>
    <row r="724" ht="11.2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</row>
    <row r="725" ht="11.2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</row>
    <row r="726" ht="11.2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</row>
    <row r="727" ht="11.2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</row>
    <row r="728" ht="11.2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</row>
    <row r="729" ht="11.2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</row>
    <row r="730" ht="11.2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</row>
    <row r="731" ht="11.2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</row>
    <row r="732" ht="11.2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</row>
    <row r="733" ht="11.2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</row>
    <row r="734" ht="11.2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</row>
    <row r="735" ht="11.2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</row>
    <row r="736" ht="11.2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</row>
    <row r="737" ht="11.2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</row>
    <row r="738" ht="11.2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</row>
    <row r="739" ht="11.2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</row>
    <row r="740" ht="11.2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</row>
    <row r="741" ht="11.2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</row>
    <row r="742" ht="11.2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</row>
    <row r="743" ht="11.2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</row>
    <row r="744" ht="11.2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</row>
    <row r="745" ht="11.2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</row>
    <row r="746" ht="11.2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</row>
    <row r="747" ht="11.2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</row>
    <row r="748" ht="11.2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</row>
    <row r="749" ht="11.2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</row>
    <row r="750" ht="11.2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</row>
    <row r="751" ht="11.2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</row>
    <row r="752" ht="11.2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</row>
    <row r="753" ht="11.2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</row>
    <row r="754" ht="11.2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</row>
    <row r="755" ht="11.2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</row>
    <row r="756" ht="11.2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</row>
    <row r="757" ht="11.2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</row>
    <row r="758" ht="11.2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</row>
    <row r="759" ht="11.2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</row>
    <row r="760" ht="11.2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</row>
    <row r="761" ht="11.2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</row>
    <row r="762" ht="11.2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</row>
    <row r="763" ht="11.2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</row>
    <row r="764" ht="11.2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</row>
    <row r="765" ht="11.2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</row>
    <row r="766" ht="11.2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</row>
    <row r="767" ht="11.2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</row>
    <row r="768" ht="11.2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</row>
    <row r="769" ht="11.2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</row>
    <row r="770" ht="11.2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</row>
    <row r="771" ht="11.2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</row>
    <row r="772" ht="11.2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</row>
    <row r="773" ht="11.2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</row>
    <row r="774" ht="11.2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</row>
    <row r="775" ht="11.2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</row>
    <row r="776" ht="11.2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</row>
    <row r="777" ht="11.2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</row>
    <row r="778" ht="11.2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</row>
    <row r="779" ht="11.2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</row>
    <row r="780" ht="11.2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</row>
    <row r="781" ht="11.2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</row>
    <row r="782" ht="11.2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</row>
    <row r="783" ht="11.2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</row>
    <row r="784" ht="11.2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</row>
    <row r="785" ht="11.2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</row>
    <row r="786" ht="11.2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</row>
    <row r="787" ht="11.2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</row>
    <row r="788" ht="11.2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</row>
    <row r="789" ht="11.2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</row>
    <row r="790" ht="11.2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</row>
    <row r="791" ht="11.2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</row>
    <row r="792" ht="11.2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</row>
    <row r="793" ht="11.2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</row>
    <row r="794" ht="11.2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</row>
    <row r="795" ht="11.2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</row>
    <row r="796" ht="11.2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</row>
    <row r="797" ht="11.2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</row>
    <row r="798" ht="11.2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</row>
    <row r="799" ht="11.2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</row>
    <row r="800" ht="11.2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</row>
    <row r="801" ht="11.2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</row>
    <row r="802" ht="11.2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</row>
    <row r="803" ht="11.2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</row>
    <row r="804" ht="11.2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</row>
    <row r="805" ht="11.2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</row>
    <row r="806" ht="11.2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</row>
    <row r="807" ht="11.2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</row>
    <row r="808" ht="11.2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</row>
    <row r="809" ht="11.2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</row>
    <row r="810" ht="11.2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</row>
    <row r="811" ht="11.2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</row>
    <row r="812" ht="11.2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</row>
    <row r="813" ht="11.2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</row>
    <row r="814" ht="11.2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</row>
    <row r="815" ht="11.2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</row>
    <row r="816" ht="11.2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</row>
    <row r="817" ht="11.2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</row>
    <row r="818" ht="11.2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</row>
    <row r="819" ht="11.2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</row>
    <row r="820" ht="11.2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</row>
    <row r="821" ht="11.2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</row>
    <row r="822" ht="11.2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</row>
    <row r="823" ht="11.2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</row>
    <row r="824" ht="11.2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</row>
    <row r="825" ht="11.2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</row>
    <row r="826" ht="11.2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</row>
    <row r="827" ht="11.2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</row>
    <row r="828" ht="11.2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</row>
    <row r="829" ht="11.2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</row>
    <row r="830" ht="11.2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</row>
    <row r="831" ht="11.2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</row>
    <row r="832" ht="11.2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</row>
    <row r="833" ht="11.2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</row>
    <row r="834" ht="11.2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</row>
    <row r="835" ht="11.2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</row>
    <row r="836" ht="11.2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</row>
    <row r="837" ht="11.2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</row>
    <row r="838" ht="11.2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</row>
    <row r="839" ht="11.2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</row>
    <row r="840" ht="11.2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</row>
    <row r="841" ht="11.2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</row>
    <row r="842" ht="11.2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</row>
    <row r="843" ht="11.2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</row>
    <row r="844" ht="11.2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</row>
    <row r="845" ht="11.2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</row>
    <row r="846" ht="11.2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</row>
    <row r="847" ht="11.2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</row>
    <row r="848" ht="11.2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</row>
    <row r="849" ht="11.2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</row>
    <row r="850" ht="11.2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</row>
    <row r="851" ht="11.2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</row>
    <row r="852" ht="11.2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</row>
    <row r="853" ht="11.2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</row>
    <row r="854" ht="11.2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</row>
    <row r="855" ht="11.2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</row>
    <row r="856" ht="11.2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</row>
    <row r="857" ht="11.2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</row>
    <row r="858" ht="11.2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</row>
    <row r="859" ht="11.2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</row>
    <row r="860" ht="11.2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</row>
    <row r="861" ht="11.2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</row>
    <row r="862" ht="11.2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</row>
    <row r="863" ht="11.2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</row>
    <row r="864" ht="11.2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</row>
    <row r="865" ht="11.2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</row>
    <row r="866" ht="11.2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</row>
    <row r="867" ht="11.2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</row>
    <row r="868" ht="11.2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</row>
    <row r="869" ht="11.2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</row>
    <row r="870" ht="11.2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</row>
    <row r="871" ht="11.2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</row>
    <row r="872" ht="11.2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</row>
    <row r="873" ht="11.2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</row>
    <row r="874" ht="11.2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</row>
    <row r="875" ht="11.2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</row>
    <row r="876" ht="11.2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</row>
    <row r="877" ht="11.2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</row>
    <row r="878" ht="11.2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</row>
    <row r="879" ht="11.2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</row>
    <row r="880" ht="11.2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</row>
    <row r="881" ht="11.2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</row>
    <row r="882" ht="11.2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</row>
    <row r="883" ht="11.2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</row>
    <row r="884" ht="11.2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</row>
    <row r="885" ht="11.2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</row>
    <row r="886" ht="11.2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</row>
    <row r="887" ht="11.2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</row>
    <row r="888" ht="11.2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</row>
    <row r="889" ht="11.2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</row>
    <row r="890" ht="11.2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</row>
    <row r="891" ht="11.2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</row>
    <row r="892" ht="11.2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</row>
    <row r="893" ht="11.2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</row>
    <row r="894" ht="11.2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</row>
    <row r="895" ht="11.2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</row>
    <row r="896" ht="11.2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</row>
    <row r="897" ht="11.2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</row>
    <row r="898" ht="11.2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</row>
    <row r="899" ht="11.2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</row>
    <row r="900" ht="11.2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</row>
    <row r="901" ht="11.2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</row>
    <row r="902" ht="11.2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</row>
    <row r="903" ht="11.2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</row>
    <row r="904" ht="11.2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</row>
    <row r="905" ht="11.2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</row>
    <row r="906" ht="11.2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</row>
    <row r="907" ht="11.2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</row>
    <row r="908" ht="11.2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</row>
    <row r="909" ht="11.2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</row>
    <row r="910" ht="11.2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</row>
    <row r="911" ht="11.2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</row>
    <row r="912" ht="11.2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</row>
    <row r="913" ht="11.2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</row>
    <row r="914" ht="11.2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</row>
    <row r="915" ht="11.2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</row>
    <row r="916" ht="11.2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</row>
    <row r="917" ht="11.2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</row>
    <row r="918" ht="11.2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</row>
    <row r="919" ht="11.2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</row>
    <row r="920" ht="11.2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</row>
    <row r="921" ht="11.2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</row>
    <row r="922" ht="11.2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</row>
    <row r="923" ht="11.2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</row>
    <row r="924" ht="11.2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</row>
    <row r="925" ht="11.2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</row>
    <row r="926" ht="11.2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</row>
    <row r="927" ht="11.2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</row>
    <row r="928" ht="11.2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</row>
    <row r="929" ht="11.2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</row>
    <row r="930" ht="11.2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</row>
    <row r="931" ht="11.2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</row>
    <row r="932" ht="11.2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</row>
    <row r="933" ht="11.2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</row>
    <row r="934" ht="11.2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</row>
    <row r="935" ht="11.2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</row>
    <row r="936" ht="11.2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</row>
    <row r="937" ht="11.2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</row>
    <row r="938" ht="11.2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</row>
    <row r="939" ht="11.2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</row>
    <row r="940" ht="11.2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</row>
    <row r="941" ht="11.2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</row>
    <row r="942" ht="11.2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</row>
    <row r="943" ht="11.2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</row>
    <row r="944" ht="11.2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</row>
    <row r="945" ht="11.2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</row>
    <row r="946" ht="11.2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</row>
    <row r="947" ht="11.2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</row>
    <row r="948" ht="11.2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</row>
    <row r="949" ht="11.2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</row>
    <row r="950" ht="11.2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</row>
    <row r="951" ht="11.2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</row>
    <row r="952" ht="11.2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</row>
    <row r="953" ht="11.2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</row>
    <row r="954" ht="11.2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</row>
    <row r="955" ht="11.2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</row>
    <row r="956" ht="11.2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</row>
    <row r="957" ht="11.2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</row>
    <row r="958" ht="11.2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</row>
    <row r="959" ht="11.2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</row>
    <row r="960" ht="11.2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</row>
    <row r="961" ht="11.2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</row>
    <row r="962" ht="11.2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</row>
    <row r="963" ht="11.2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</row>
    <row r="964" ht="11.2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</row>
    <row r="965" ht="11.2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</row>
    <row r="966" ht="11.2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</row>
    <row r="967" ht="11.2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</row>
    <row r="968" ht="11.2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</row>
    <row r="969" ht="11.2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</row>
    <row r="970" ht="11.2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</row>
    <row r="971" ht="11.2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</row>
    <row r="972" ht="11.2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</row>
    <row r="973" ht="11.2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</row>
    <row r="974" ht="11.2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</row>
    <row r="975" ht="11.2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</row>
    <row r="976" ht="11.2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</row>
    <row r="977" ht="11.2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</row>
    <row r="978" ht="11.2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</row>
    <row r="979" ht="11.2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</row>
    <row r="980" ht="11.2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</row>
    <row r="981" ht="11.2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</row>
    <row r="982" ht="11.2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</row>
    <row r="983" ht="11.2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</row>
    <row r="984" ht="11.2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</row>
    <row r="985" ht="11.2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</row>
    <row r="986" ht="11.2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</row>
    <row r="987" ht="11.2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</row>
    <row r="988" ht="11.2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</row>
    <row r="989" ht="11.2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</row>
    <row r="990" ht="11.2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</row>
    <row r="991" ht="11.2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</row>
    <row r="992" ht="11.2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</row>
    <row r="993" ht="11.2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</row>
    <row r="994" ht="11.2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</row>
    <row r="995" ht="11.2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</row>
    <row r="996" ht="11.2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</row>
  </sheetData>
  <mergeCells count="46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43:D43"/>
    <mergeCell ref="A44:D44"/>
    <mergeCell ref="A45:D45"/>
    <mergeCell ref="A46:D46"/>
    <mergeCell ref="A36:D36"/>
    <mergeCell ref="A37:D37"/>
    <mergeCell ref="A38:D38"/>
    <mergeCell ref="A39:D39"/>
    <mergeCell ref="A40:D40"/>
    <mergeCell ref="A41:D41"/>
    <mergeCell ref="A42:D42"/>
  </mergeCells>
  <printOptions/>
  <pageMargins bottom="0.3937007874015748" footer="0.0" header="0.0" left="0.3937007874015748" right="0.3937007874015748" top="0.3937007874015748"/>
  <pageSetup fitToHeight="0" paperSize="9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18.71"/>
    <col customWidth="1" min="3" max="3" width="14.86"/>
    <col customWidth="1" min="6" max="6" width="16.57"/>
    <col customWidth="1" min="7" max="7" width="5.0"/>
    <col customWidth="1" min="8" max="8" width="16.14"/>
    <col hidden="1" min="12" max="12" width="14.43"/>
    <col customWidth="1" min="16" max="16" width="3.86"/>
    <col customWidth="1" min="21" max="21" width="4.0"/>
    <col customWidth="1" min="22" max="22" width="20.14"/>
    <col customWidth="1" min="23" max="23" width="17.86"/>
    <col customWidth="1" min="24" max="24" width="15.0"/>
    <col customWidth="1" min="25" max="25" width="13.71"/>
    <col customWidth="1" min="26" max="26" width="14.29"/>
    <col customWidth="1" min="27" max="27" width="18.57"/>
    <col customWidth="1" min="28" max="28" width="12.43"/>
  </cols>
  <sheetData>
    <row r="1" ht="13.5" customHeight="1">
      <c r="A1" s="47"/>
      <c r="B1" s="48"/>
      <c r="C1" s="48"/>
      <c r="D1" s="48"/>
      <c r="E1" s="48"/>
      <c r="F1" s="48"/>
      <c r="G1" s="48"/>
      <c r="H1" s="49" t="s">
        <v>135</v>
      </c>
      <c r="O1" s="50"/>
      <c r="P1" s="48"/>
      <c r="Q1" s="51" t="s">
        <v>136</v>
      </c>
      <c r="T1" s="52"/>
      <c r="U1" s="48"/>
      <c r="V1" s="52"/>
      <c r="W1" s="52"/>
      <c r="X1" s="52"/>
      <c r="Y1" s="52"/>
      <c r="Z1" s="52"/>
      <c r="AA1" s="52"/>
      <c r="AB1" s="52"/>
    </row>
    <row r="2">
      <c r="A2" s="53" t="s">
        <v>137</v>
      </c>
      <c r="B2" s="54" t="s">
        <v>138</v>
      </c>
      <c r="C2" s="54" t="s">
        <v>139</v>
      </c>
      <c r="D2" s="54" t="s">
        <v>140</v>
      </c>
      <c r="E2" s="54" t="s">
        <v>141</v>
      </c>
      <c r="F2" s="54" t="s">
        <v>142</v>
      </c>
      <c r="H2" s="55" t="s">
        <v>143</v>
      </c>
      <c r="I2" s="55" t="s">
        <v>144</v>
      </c>
      <c r="J2" s="56" t="s">
        <v>145</v>
      </c>
      <c r="K2" s="55" t="s">
        <v>146</v>
      </c>
      <c r="L2" s="55"/>
      <c r="M2" s="55" t="s">
        <v>147</v>
      </c>
      <c r="N2" s="55" t="s">
        <v>148</v>
      </c>
      <c r="O2" s="57" t="s">
        <v>149</v>
      </c>
      <c r="Q2" s="58" t="s">
        <v>150</v>
      </c>
      <c r="R2" s="58" t="s">
        <v>151</v>
      </c>
      <c r="S2" s="58" t="s">
        <v>152</v>
      </c>
      <c r="T2" s="59" t="s">
        <v>153</v>
      </c>
      <c r="V2" s="60" t="s">
        <v>154</v>
      </c>
      <c r="W2" s="60" t="s">
        <v>155</v>
      </c>
      <c r="X2" s="60" t="s">
        <v>156</v>
      </c>
      <c r="Y2" s="60"/>
      <c r="Z2" s="60" t="s">
        <v>157</v>
      </c>
      <c r="AA2" s="60" t="s">
        <v>158</v>
      </c>
      <c r="AB2" s="60" t="s">
        <v>159</v>
      </c>
    </row>
    <row r="3">
      <c r="A3" s="61"/>
      <c r="B3" s="62" t="s">
        <v>160</v>
      </c>
      <c r="C3" s="62" t="s">
        <v>161</v>
      </c>
      <c r="D3" s="62" t="s">
        <v>162</v>
      </c>
      <c r="E3" s="62" t="s">
        <v>163</v>
      </c>
      <c r="F3" s="62" t="s">
        <v>164</v>
      </c>
      <c r="G3" s="63"/>
      <c r="H3" s="64" t="s">
        <v>165</v>
      </c>
      <c r="I3" s="64" t="s">
        <v>166</v>
      </c>
      <c r="J3" s="65" t="s">
        <v>167</v>
      </c>
      <c r="K3" s="65" t="s">
        <v>168</v>
      </c>
      <c r="L3" s="64" t="s">
        <v>169</v>
      </c>
      <c r="M3" s="64" t="s">
        <v>170</v>
      </c>
      <c r="N3" s="64" t="s">
        <v>171</v>
      </c>
      <c r="O3" s="66" t="s">
        <v>172</v>
      </c>
      <c r="P3" s="63"/>
      <c r="Q3" s="67" t="s">
        <v>173</v>
      </c>
      <c r="R3" s="67" t="s">
        <v>174</v>
      </c>
      <c r="S3" s="67" t="s">
        <v>175</v>
      </c>
      <c r="T3" s="68" t="s">
        <v>176</v>
      </c>
      <c r="U3" s="63"/>
      <c r="V3" s="69" t="s">
        <v>177</v>
      </c>
      <c r="W3" s="69" t="s">
        <v>178</v>
      </c>
      <c r="X3" s="69" t="s">
        <v>179</v>
      </c>
      <c r="Y3" s="70" t="s">
        <v>180</v>
      </c>
      <c r="Z3" s="70" t="s">
        <v>181</v>
      </c>
      <c r="AA3" s="69" t="s">
        <v>182</v>
      </c>
      <c r="AB3" s="69"/>
    </row>
    <row r="4">
      <c r="A4" s="71"/>
      <c r="B4" s="71"/>
      <c r="C4" s="72"/>
      <c r="D4" s="72"/>
      <c r="E4" s="71"/>
      <c r="F4" s="73"/>
      <c r="G4" s="73"/>
      <c r="H4" s="74"/>
      <c r="I4" s="75"/>
      <c r="J4" s="76"/>
      <c r="K4" s="76"/>
      <c r="L4" s="76"/>
      <c r="M4" s="76"/>
      <c r="N4" s="73"/>
      <c r="O4" s="75"/>
      <c r="P4" s="77"/>
      <c r="Q4" s="74"/>
      <c r="R4" s="78"/>
      <c r="S4" s="79"/>
      <c r="T4" s="79"/>
      <c r="U4" s="77"/>
      <c r="V4" s="74"/>
      <c r="W4" s="74"/>
      <c r="X4" s="74"/>
      <c r="Y4" s="74"/>
      <c r="Z4" s="74"/>
      <c r="AA4" s="74"/>
      <c r="AB4" s="52"/>
    </row>
    <row r="5">
      <c r="A5" s="80" t="s">
        <v>183</v>
      </c>
      <c r="B5" s="81">
        <f>SUM(B7,B24,B41)</f>
        <v>935627.1465</v>
      </c>
      <c r="C5" s="82">
        <f t="shared" ref="C5:D5" si="1">AVERAGE(C7,C24,C41)</f>
        <v>0.05023809524</v>
      </c>
      <c r="D5" s="82">
        <f t="shared" si="1"/>
        <v>0.01426190476</v>
      </c>
      <c r="E5" s="81">
        <f t="shared" ref="E5:F5" si="2">SUM(E7,E24,E41)</f>
        <v>5243.333333</v>
      </c>
      <c r="F5" s="81">
        <f t="shared" si="2"/>
        <v>7360</v>
      </c>
      <c r="G5" s="83"/>
      <c r="H5" s="84">
        <f t="shared" ref="H5:K5" si="3">AVERAGE(H7,H24,H41)</f>
        <v>57298.41024</v>
      </c>
      <c r="I5" s="84">
        <f t="shared" si="3"/>
        <v>52937.78376</v>
      </c>
      <c r="J5" s="85">
        <f t="shared" si="3"/>
        <v>0.03765545594</v>
      </c>
      <c r="K5" s="84">
        <f t="shared" si="3"/>
        <v>837.8859432</v>
      </c>
      <c r="L5" s="83" t="str">
        <f t="shared" ref="L5:M5" si="4">L7+L24+L41</f>
        <v>#DIV/0!</v>
      </c>
      <c r="M5" s="84">
        <f t="shared" si="4"/>
        <v>0</v>
      </c>
      <c r="N5" s="86">
        <f t="shared" ref="N5:O5" si="5">AVERAGE(N7,N24,N41)</f>
        <v>1.430952381</v>
      </c>
      <c r="O5" s="87">
        <f t="shared" si="5"/>
        <v>3128.06641</v>
      </c>
      <c r="P5" s="83"/>
      <c r="Q5" s="88">
        <f t="shared" ref="Q5:T5" si="6">AVERAGE(Q7,Q24,Q41)</f>
        <v>13.10933917</v>
      </c>
      <c r="R5" s="88">
        <f t="shared" si="6"/>
        <v>57.14653696</v>
      </c>
      <c r="S5" s="88">
        <f t="shared" si="6"/>
        <v>44.03719779</v>
      </c>
      <c r="T5" s="85">
        <f t="shared" si="6"/>
        <v>9.057155176</v>
      </c>
      <c r="U5" s="83"/>
      <c r="V5" s="87">
        <f t="shared" ref="V5:AB5" si="7">SUM(V7,V24,V41)</f>
        <v>4723704.602</v>
      </c>
      <c r="W5" s="87">
        <f t="shared" si="7"/>
        <v>13470000</v>
      </c>
      <c r="X5" s="87">
        <f t="shared" si="7"/>
        <v>7982934.67</v>
      </c>
      <c r="Y5" s="87">
        <f t="shared" si="7"/>
        <v>5487065.33</v>
      </c>
      <c r="Z5" s="87">
        <f t="shared" si="7"/>
        <v>923628.94</v>
      </c>
      <c r="AA5" s="87">
        <f t="shared" si="7"/>
        <v>5064023.7</v>
      </c>
      <c r="AB5" s="87">
        <f t="shared" si="7"/>
        <v>1995282.03</v>
      </c>
    </row>
    <row r="6">
      <c r="A6" s="89"/>
      <c r="B6" s="89"/>
      <c r="C6" s="90"/>
      <c r="D6" s="90"/>
      <c r="E6" s="91"/>
      <c r="F6" s="92"/>
      <c r="G6" s="92"/>
      <c r="H6" s="93"/>
      <c r="I6" s="94"/>
      <c r="J6" s="95"/>
      <c r="K6" s="95"/>
      <c r="L6" s="95"/>
      <c r="M6" s="95"/>
      <c r="N6" s="92"/>
      <c r="O6" s="94"/>
      <c r="P6" s="96"/>
      <c r="Q6" s="93"/>
      <c r="R6" s="97"/>
      <c r="S6" s="98"/>
      <c r="T6" s="98"/>
      <c r="U6" s="96"/>
      <c r="V6" s="93"/>
      <c r="W6" s="93"/>
      <c r="X6" s="93"/>
      <c r="Y6" s="93"/>
      <c r="Z6" s="93"/>
      <c r="AA6" s="93"/>
      <c r="AB6" s="99"/>
    </row>
    <row r="7">
      <c r="A7" s="100" t="s">
        <v>32</v>
      </c>
      <c r="B7" s="101">
        <f>SUM(B8,B16)</f>
        <v>396570.9596</v>
      </c>
      <c r="C7" s="102">
        <f t="shared" ref="C7:D7" si="8">AVERAGE(C8,C16)</f>
        <v>0.05285714286</v>
      </c>
      <c r="D7" s="102">
        <f t="shared" si="8"/>
        <v>0.01614285714</v>
      </c>
      <c r="E7" s="101">
        <f t="shared" ref="E7:F7" si="9">SUM(E8,E16)</f>
        <v>1706.060606</v>
      </c>
      <c r="F7" s="103">
        <f t="shared" si="9"/>
        <v>1957</v>
      </c>
      <c r="G7" s="103"/>
      <c r="H7" s="104">
        <f t="shared" ref="H7:K7" si="10">AVERAGE(H8,H16)</f>
        <v>881.1503577</v>
      </c>
      <c r="I7" s="104">
        <f t="shared" si="10"/>
        <v>2070.04996</v>
      </c>
      <c r="J7" s="105">
        <f t="shared" si="10"/>
        <v>0.06061116999</v>
      </c>
      <c r="K7" s="104">
        <f t="shared" si="10"/>
        <v>1239.531228</v>
      </c>
      <c r="L7" s="106"/>
      <c r="M7" s="104">
        <f t="shared" ref="M7:O7" si="11">AVERAGE(M8,M16)</f>
        <v>0</v>
      </c>
      <c r="N7" s="107">
        <f t="shared" si="11"/>
        <v>1.371428571</v>
      </c>
      <c r="O7" s="108">
        <f t="shared" si="11"/>
        <v>1415.245936</v>
      </c>
      <c r="P7" s="109"/>
      <c r="Q7" s="110">
        <f t="shared" ref="Q7:T7" si="12">AVERAGE(Q8,Q16)</f>
        <v>15.98369657</v>
      </c>
      <c r="R7" s="110">
        <f t="shared" si="12"/>
        <v>-1.308530787</v>
      </c>
      <c r="S7" s="110">
        <f t="shared" si="12"/>
        <v>-17.29222736</v>
      </c>
      <c r="T7" s="105">
        <f t="shared" si="12"/>
        <v>8.118130175</v>
      </c>
      <c r="U7" s="111"/>
      <c r="V7" s="110">
        <f t="shared" ref="V7:Y7" si="13">SUM(V8,V16)</f>
        <v>2695549.522</v>
      </c>
      <c r="W7" s="110">
        <f t="shared" si="13"/>
        <v>5500000</v>
      </c>
      <c r="X7" s="112">
        <f t="shared" si="13"/>
        <v>3074237.387</v>
      </c>
      <c r="Y7" s="112">
        <f t="shared" si="13"/>
        <v>2425762.613</v>
      </c>
      <c r="Z7" s="112">
        <f>SUM('расходы'!C41,'расходы'!C43)</f>
        <v>378687.8654</v>
      </c>
      <c r="AA7" s="112">
        <f>SUM('услуги'!I2:I15)</f>
        <v>1946682.096</v>
      </c>
      <c r="AB7" s="112">
        <f>SUM(AB8,AB16)</f>
        <v>748867.426</v>
      </c>
    </row>
    <row r="8">
      <c r="A8" s="113" t="s">
        <v>184</v>
      </c>
      <c r="B8" s="114">
        <f>SUM(B9:B15)</f>
        <v>269462.8788</v>
      </c>
      <c r="C8" s="115">
        <f t="shared" ref="C8:D8" si="14">AVERAGE(C9:C15)</f>
        <v>0.05285714286</v>
      </c>
      <c r="D8" s="115">
        <f t="shared" si="14"/>
        <v>0.01614285714</v>
      </c>
      <c r="E8" s="114">
        <f t="shared" ref="E8:F8" si="15">SUM(E9:E15)</f>
        <v>1153.318182</v>
      </c>
      <c r="F8" s="116">
        <f t="shared" si="15"/>
        <v>1325</v>
      </c>
      <c r="G8" s="116"/>
      <c r="H8" s="117">
        <f t="shared" ref="H8:K8" si="16">AVERAGE(H9:H15)</f>
        <v>1368.742614</v>
      </c>
      <c r="I8" s="117">
        <f t="shared" si="16"/>
        <v>2525.718366</v>
      </c>
      <c r="J8" s="118">
        <f t="shared" si="16"/>
        <v>0.1173316119</v>
      </c>
      <c r="K8" s="117">
        <f t="shared" si="16"/>
        <v>1239.531228</v>
      </c>
      <c r="L8" s="119"/>
      <c r="M8" s="120">
        <f t="shared" ref="M8:O8" si="17">AVERAGE(M9:M15)</f>
        <v>0</v>
      </c>
      <c r="N8" s="121">
        <f t="shared" si="17"/>
        <v>1.371428571</v>
      </c>
      <c r="O8" s="122">
        <f t="shared" si="17"/>
        <v>852.573186</v>
      </c>
      <c r="P8" s="123"/>
      <c r="Q8" s="124">
        <f t="shared" ref="Q8:T8" si="18">AVERAGE(Q9:Q15)</f>
        <v>8.18897295</v>
      </c>
      <c r="R8" s="124">
        <f t="shared" si="18"/>
        <v>0.001693910028</v>
      </c>
      <c r="S8" s="124">
        <f t="shared" si="18"/>
        <v>-8.18727904</v>
      </c>
      <c r="T8" s="118">
        <f t="shared" si="18"/>
        <v>12.45152717</v>
      </c>
      <c r="U8" s="125"/>
      <c r="V8" s="124">
        <f t="shared" ref="V8:Y8" si="19">SUM(V9:V15)</f>
        <v>2168277.19</v>
      </c>
      <c r="W8" s="124">
        <f t="shared" si="19"/>
        <v>4000000</v>
      </c>
      <c r="X8" s="126">
        <f t="shared" si="19"/>
        <v>2357621.123</v>
      </c>
      <c r="Y8" s="126">
        <f t="shared" si="19"/>
        <v>1642378.877</v>
      </c>
      <c r="Z8" s="117">
        <f t="shared" ref="Z8:AA8" si="20">Z7/2</f>
        <v>189343.9327</v>
      </c>
      <c r="AA8" s="126">
        <f t="shared" si="20"/>
        <v>973341.0479</v>
      </c>
      <c r="AB8" s="126">
        <f>SUM(AB9:AB15)</f>
        <v>1194936.143</v>
      </c>
    </row>
    <row r="9">
      <c r="A9" s="127" t="s">
        <v>185</v>
      </c>
      <c r="B9" s="128">
        <f t="shared" ref="B9:B15" si="21">E9/D9</f>
        <v>150454.5455</v>
      </c>
      <c r="C9" s="91">
        <v>0.06</v>
      </c>
      <c r="D9" s="91">
        <v>0.004</v>
      </c>
      <c r="E9" s="128">
        <f t="shared" ref="E9:E15" si="22">F9/N9</f>
        <v>601.8181818</v>
      </c>
      <c r="F9" s="128">
        <v>662.0</v>
      </c>
      <c r="G9" s="89"/>
      <c r="H9" s="129">
        <f t="shared" ref="H9:H15" si="23">I9*J9*N9-M9</f>
        <v>3158.147069</v>
      </c>
      <c r="I9" s="129">
        <v>4110.574018126888</v>
      </c>
      <c r="J9" s="130">
        <f t="shared" ref="J9:J15" si="24">(I9-K9)/I9</f>
        <v>0.6984530087</v>
      </c>
      <c r="K9" s="129">
        <v>1239.5312278130823</v>
      </c>
      <c r="L9" s="95"/>
      <c r="M9" s="131">
        <v>0.0</v>
      </c>
      <c r="N9" s="132">
        <v>1.1</v>
      </c>
      <c r="O9" s="133">
        <f t="shared" ref="O9:O15" si="25">Z9/E9</f>
        <v>44.94568968</v>
      </c>
      <c r="P9" s="93"/>
      <c r="Q9" s="134">
        <f t="shared" ref="Q9:Q15" si="26">Z9/B9</f>
        <v>0.1797827587</v>
      </c>
      <c r="R9" s="135">
        <f t="shared" ref="R9:R15" si="27">D9*H9</f>
        <v>12.63258828</v>
      </c>
      <c r="S9" s="134">
        <f t="shared" ref="S9:S15" si="28">R9-Q9</f>
        <v>12.45280552</v>
      </c>
      <c r="T9" s="136">
        <f t="shared" ref="T9:T15" si="29">R9/Q9</f>
        <v>70.26584956</v>
      </c>
      <c r="U9" s="98"/>
      <c r="V9" s="94">
        <f t="shared" ref="V9:V15" si="30">B9*(R9-Q9)</f>
        <v>1873581.194</v>
      </c>
      <c r="W9" s="94">
        <f t="shared" ref="W9:W15" si="31">I9*F9</f>
        <v>2721200</v>
      </c>
      <c r="X9" s="94">
        <f t="shared" ref="X9:X15" si="32">E9*H9</f>
        <v>1900630.327</v>
      </c>
      <c r="Y9" s="94">
        <f t="shared" ref="Y9:Y15" si="33">W9-X9</f>
        <v>820569.6728</v>
      </c>
      <c r="Z9" s="94">
        <f t="shared" ref="Z9:Z15" si="34">$Z$8/7</f>
        <v>27049.13324</v>
      </c>
      <c r="AA9" s="94">
        <f t="shared" ref="AA9:AA15" si="35">$AA$8/7</f>
        <v>139048.7211</v>
      </c>
      <c r="AB9" s="94">
        <f t="shared" ref="AB9:AB15" si="36">V9-AA9</f>
        <v>1734532.473</v>
      </c>
    </row>
    <row r="10">
      <c r="A10" s="127" t="s">
        <v>186</v>
      </c>
      <c r="B10" s="128">
        <f t="shared" si="21"/>
        <v>100000</v>
      </c>
      <c r="C10" s="91">
        <v>0.05</v>
      </c>
      <c r="D10" s="91">
        <v>0.003</v>
      </c>
      <c r="E10" s="128">
        <f t="shared" si="22"/>
        <v>300</v>
      </c>
      <c r="F10" s="137">
        <v>330.0</v>
      </c>
      <c r="G10" s="89"/>
      <c r="H10" s="129">
        <f t="shared" si="23"/>
        <v>1289.848983</v>
      </c>
      <c r="I10" s="129">
        <v>2412.121212121212</v>
      </c>
      <c r="J10" s="130">
        <f t="shared" si="24"/>
        <v>0.4861239885</v>
      </c>
      <c r="K10" s="129">
        <v>1239.5312278130823</v>
      </c>
      <c r="L10" s="95"/>
      <c r="M10" s="131">
        <v>0.0</v>
      </c>
      <c r="N10" s="132">
        <v>1.1</v>
      </c>
      <c r="O10" s="133">
        <f t="shared" si="25"/>
        <v>90.16377748</v>
      </c>
      <c r="P10" s="93"/>
      <c r="Q10" s="134">
        <f t="shared" si="26"/>
        <v>0.2704913324</v>
      </c>
      <c r="R10" s="135">
        <f t="shared" si="27"/>
        <v>3.869546948</v>
      </c>
      <c r="S10" s="134">
        <f t="shared" si="28"/>
        <v>3.599055616</v>
      </c>
      <c r="T10" s="136">
        <f t="shared" si="29"/>
        <v>14.30562271</v>
      </c>
      <c r="U10" s="98"/>
      <c r="V10" s="94">
        <f t="shared" si="30"/>
        <v>359905.5616</v>
      </c>
      <c r="W10" s="94">
        <f t="shared" si="31"/>
        <v>796000</v>
      </c>
      <c r="X10" s="94">
        <f t="shared" si="32"/>
        <v>386954.6948</v>
      </c>
      <c r="Y10" s="94">
        <f t="shared" si="33"/>
        <v>409045.3052</v>
      </c>
      <c r="Z10" s="94">
        <f t="shared" si="34"/>
        <v>27049.13324</v>
      </c>
      <c r="AA10" s="94">
        <f t="shared" si="35"/>
        <v>139048.7211</v>
      </c>
      <c r="AB10" s="94">
        <f t="shared" si="36"/>
        <v>220856.8405</v>
      </c>
    </row>
    <row r="11">
      <c r="A11" s="127" t="s">
        <v>187</v>
      </c>
      <c r="B11" s="128">
        <f t="shared" si="21"/>
        <v>3333.333333</v>
      </c>
      <c r="C11" s="91">
        <v>0.04</v>
      </c>
      <c r="D11" s="91">
        <v>0.03</v>
      </c>
      <c r="E11" s="128">
        <f t="shared" si="22"/>
        <v>100</v>
      </c>
      <c r="F11" s="89">
        <v>120.0</v>
      </c>
      <c r="G11" s="89"/>
      <c r="H11" s="138">
        <f t="shared" si="23"/>
        <v>-837.0374734</v>
      </c>
      <c r="I11" s="138">
        <v>542.0</v>
      </c>
      <c r="J11" s="139">
        <f t="shared" si="24"/>
        <v>-1.286957985</v>
      </c>
      <c r="K11" s="129">
        <v>1239.5312278130825</v>
      </c>
      <c r="L11" s="95"/>
      <c r="M11" s="131">
        <v>0.0</v>
      </c>
      <c r="N11" s="132">
        <v>1.2</v>
      </c>
      <c r="O11" s="133">
        <f t="shared" si="25"/>
        <v>270.4913324</v>
      </c>
      <c r="P11" s="93"/>
      <c r="Q11" s="134">
        <f t="shared" si="26"/>
        <v>8.114739973</v>
      </c>
      <c r="R11" s="135">
        <f t="shared" si="27"/>
        <v>-25.1111242</v>
      </c>
      <c r="S11" s="134">
        <f t="shared" si="28"/>
        <v>-33.22586417</v>
      </c>
      <c r="T11" s="136">
        <f t="shared" si="29"/>
        <v>-3.094507561</v>
      </c>
      <c r="U11" s="98"/>
      <c r="V11" s="94">
        <f t="shared" si="30"/>
        <v>-110752.8806</v>
      </c>
      <c r="W11" s="94">
        <f t="shared" si="31"/>
        <v>65040</v>
      </c>
      <c r="X11" s="94">
        <f t="shared" si="32"/>
        <v>-83703.74734</v>
      </c>
      <c r="Y11" s="94">
        <f t="shared" si="33"/>
        <v>148743.7473</v>
      </c>
      <c r="Z11" s="94">
        <f t="shared" si="34"/>
        <v>27049.13324</v>
      </c>
      <c r="AA11" s="94">
        <f t="shared" si="35"/>
        <v>139048.7211</v>
      </c>
      <c r="AB11" s="94">
        <f t="shared" si="36"/>
        <v>-249801.6017</v>
      </c>
    </row>
    <row r="12">
      <c r="A12" s="127" t="s">
        <v>188</v>
      </c>
      <c r="B12" s="128">
        <f t="shared" si="21"/>
        <v>1875</v>
      </c>
      <c r="C12" s="91">
        <v>0.06</v>
      </c>
      <c r="D12" s="91">
        <v>0.04</v>
      </c>
      <c r="E12" s="128">
        <f t="shared" si="22"/>
        <v>75</v>
      </c>
      <c r="F12" s="137">
        <v>90.0</v>
      </c>
      <c r="G12" s="89"/>
      <c r="H12" s="140">
        <f t="shared" si="23"/>
        <v>-47.43747338</v>
      </c>
      <c r="I12" s="140">
        <v>1200.0</v>
      </c>
      <c r="J12" s="141">
        <f t="shared" si="24"/>
        <v>-0.03294268984</v>
      </c>
      <c r="K12" s="129">
        <v>1239.5312278130825</v>
      </c>
      <c r="L12" s="95"/>
      <c r="M12" s="131">
        <v>0.0</v>
      </c>
      <c r="N12" s="132">
        <v>1.2</v>
      </c>
      <c r="O12" s="133">
        <f t="shared" si="25"/>
        <v>360.6551099</v>
      </c>
      <c r="P12" s="93"/>
      <c r="Q12" s="134">
        <f t="shared" si="26"/>
        <v>14.4262044</v>
      </c>
      <c r="R12" s="135">
        <f t="shared" si="27"/>
        <v>-1.897498935</v>
      </c>
      <c r="S12" s="134">
        <f t="shared" si="28"/>
        <v>-16.32370333</v>
      </c>
      <c r="T12" s="136">
        <f t="shared" si="29"/>
        <v>-0.1315314051</v>
      </c>
      <c r="U12" s="98"/>
      <c r="V12" s="94">
        <f t="shared" si="30"/>
        <v>-30606.94375</v>
      </c>
      <c r="W12" s="94">
        <f t="shared" si="31"/>
        <v>108000</v>
      </c>
      <c r="X12" s="94">
        <f t="shared" si="32"/>
        <v>-3557.810503</v>
      </c>
      <c r="Y12" s="94">
        <f t="shared" si="33"/>
        <v>111557.8105</v>
      </c>
      <c r="Z12" s="94">
        <f t="shared" si="34"/>
        <v>27049.13324</v>
      </c>
      <c r="AA12" s="94">
        <f t="shared" si="35"/>
        <v>139048.7211</v>
      </c>
      <c r="AB12" s="94">
        <f t="shared" si="36"/>
        <v>-169655.6649</v>
      </c>
    </row>
    <row r="13">
      <c r="A13" s="127" t="s">
        <v>189</v>
      </c>
      <c r="B13" s="128">
        <f t="shared" si="21"/>
        <v>1300</v>
      </c>
      <c r="C13" s="91">
        <v>0.05</v>
      </c>
      <c r="D13" s="91">
        <v>0.03</v>
      </c>
      <c r="E13" s="128">
        <f t="shared" si="22"/>
        <v>39</v>
      </c>
      <c r="F13" s="137">
        <v>78.0</v>
      </c>
      <c r="G13" s="89"/>
      <c r="H13" s="140">
        <f t="shared" si="23"/>
        <v>-279.0624556</v>
      </c>
      <c r="I13" s="140">
        <v>1100.0</v>
      </c>
      <c r="J13" s="141">
        <f t="shared" si="24"/>
        <v>-0.1268465707</v>
      </c>
      <c r="K13" s="129">
        <v>1239.5312278130825</v>
      </c>
      <c r="L13" s="95"/>
      <c r="M13" s="131">
        <v>0.0</v>
      </c>
      <c r="N13" s="132">
        <v>2.0</v>
      </c>
      <c r="O13" s="133">
        <f t="shared" si="25"/>
        <v>693.567519</v>
      </c>
      <c r="P13" s="93"/>
      <c r="Q13" s="134">
        <f t="shared" si="26"/>
        <v>20.80702557</v>
      </c>
      <c r="R13" s="135">
        <f t="shared" si="27"/>
        <v>-8.371873669</v>
      </c>
      <c r="S13" s="134">
        <f t="shared" si="28"/>
        <v>-29.17889924</v>
      </c>
      <c r="T13" s="136">
        <f t="shared" si="29"/>
        <v>-0.4023580228</v>
      </c>
      <c r="U13" s="98"/>
      <c r="V13" s="94">
        <f t="shared" si="30"/>
        <v>-37932.56901</v>
      </c>
      <c r="W13" s="94">
        <f t="shared" si="31"/>
        <v>85800</v>
      </c>
      <c r="X13" s="94">
        <f t="shared" si="32"/>
        <v>-10883.43577</v>
      </c>
      <c r="Y13" s="94">
        <f t="shared" si="33"/>
        <v>96683.43577</v>
      </c>
      <c r="Z13" s="94">
        <f t="shared" si="34"/>
        <v>27049.13324</v>
      </c>
      <c r="AA13" s="94">
        <f t="shared" si="35"/>
        <v>139048.7211</v>
      </c>
      <c r="AB13" s="94">
        <f t="shared" si="36"/>
        <v>-176981.2901</v>
      </c>
    </row>
    <row r="14">
      <c r="A14" s="127" t="s">
        <v>190</v>
      </c>
      <c r="B14" s="128">
        <f t="shared" si="21"/>
        <v>2500</v>
      </c>
      <c r="C14" s="91">
        <v>0.07</v>
      </c>
      <c r="D14" s="91">
        <v>0.003</v>
      </c>
      <c r="E14" s="128">
        <f t="shared" si="22"/>
        <v>7.5</v>
      </c>
      <c r="F14" s="89">
        <v>15.0</v>
      </c>
      <c r="G14" s="89"/>
      <c r="H14" s="129">
        <f t="shared" si="23"/>
        <v>920.9375444</v>
      </c>
      <c r="I14" s="129">
        <v>1700.0</v>
      </c>
      <c r="J14" s="130">
        <f t="shared" si="24"/>
        <v>0.2708639836</v>
      </c>
      <c r="K14" s="129">
        <v>1239.5312278130825</v>
      </c>
      <c r="L14" s="95"/>
      <c r="M14" s="131">
        <v>0.0</v>
      </c>
      <c r="N14" s="132">
        <v>2.0</v>
      </c>
      <c r="O14" s="142">
        <f t="shared" si="25"/>
        <v>3606.551099</v>
      </c>
      <c r="P14" s="93"/>
      <c r="Q14" s="134">
        <f t="shared" si="26"/>
        <v>10.8196533</v>
      </c>
      <c r="R14" s="135">
        <f t="shared" si="27"/>
        <v>2.762812633</v>
      </c>
      <c r="S14" s="134">
        <f t="shared" si="28"/>
        <v>-8.056840664</v>
      </c>
      <c r="T14" s="136">
        <f t="shared" si="29"/>
        <v>0.2553513091</v>
      </c>
      <c r="U14" s="98"/>
      <c r="V14" s="94">
        <f t="shared" si="30"/>
        <v>-20142.10166</v>
      </c>
      <c r="W14" s="94">
        <f t="shared" si="31"/>
        <v>25500</v>
      </c>
      <c r="X14" s="94">
        <f t="shared" si="32"/>
        <v>6907.031583</v>
      </c>
      <c r="Y14" s="94">
        <f t="shared" si="33"/>
        <v>18592.96842</v>
      </c>
      <c r="Z14" s="94">
        <f t="shared" si="34"/>
        <v>27049.13324</v>
      </c>
      <c r="AA14" s="94">
        <f t="shared" si="35"/>
        <v>139048.7211</v>
      </c>
      <c r="AB14" s="94">
        <f t="shared" si="36"/>
        <v>-159190.8228</v>
      </c>
    </row>
    <row r="15">
      <c r="A15" s="127" t="s">
        <v>191</v>
      </c>
      <c r="B15" s="128">
        <f t="shared" si="21"/>
        <v>10000</v>
      </c>
      <c r="C15" s="91">
        <v>0.04</v>
      </c>
      <c r="D15" s="91">
        <v>0.003</v>
      </c>
      <c r="E15" s="128">
        <f t="shared" si="22"/>
        <v>30</v>
      </c>
      <c r="F15" s="89">
        <v>30.0</v>
      </c>
      <c r="G15" s="89"/>
      <c r="H15" s="129">
        <f t="shared" si="23"/>
        <v>5375.802106</v>
      </c>
      <c r="I15" s="129">
        <v>6615.333333333333</v>
      </c>
      <c r="J15" s="130">
        <f t="shared" si="24"/>
        <v>0.8126275479</v>
      </c>
      <c r="K15" s="129">
        <v>1239.5312278130825</v>
      </c>
      <c r="L15" s="95"/>
      <c r="M15" s="131">
        <v>0.0</v>
      </c>
      <c r="N15" s="143">
        <v>1.0</v>
      </c>
      <c r="O15" s="133">
        <f t="shared" si="25"/>
        <v>901.6377748</v>
      </c>
      <c r="P15" s="93"/>
      <c r="Q15" s="134">
        <f t="shared" si="26"/>
        <v>2.704913324</v>
      </c>
      <c r="R15" s="135">
        <f t="shared" si="27"/>
        <v>16.12740632</v>
      </c>
      <c r="S15" s="134">
        <f t="shared" si="28"/>
        <v>13.42249299</v>
      </c>
      <c r="T15" s="136">
        <f t="shared" si="29"/>
        <v>5.962263623</v>
      </c>
      <c r="U15" s="98"/>
      <c r="V15" s="94">
        <f t="shared" si="30"/>
        <v>134224.9299</v>
      </c>
      <c r="W15" s="94">
        <f t="shared" si="31"/>
        <v>198460</v>
      </c>
      <c r="X15" s="94">
        <f t="shared" si="32"/>
        <v>161274.0632</v>
      </c>
      <c r="Y15" s="94">
        <f t="shared" si="33"/>
        <v>37185.93683</v>
      </c>
      <c r="Z15" s="94">
        <f t="shared" si="34"/>
        <v>27049.13324</v>
      </c>
      <c r="AA15" s="94">
        <f t="shared" si="35"/>
        <v>139048.7211</v>
      </c>
      <c r="AB15" s="94">
        <f t="shared" si="36"/>
        <v>-4823.791206</v>
      </c>
    </row>
    <row r="16">
      <c r="A16" s="144" t="s">
        <v>192</v>
      </c>
      <c r="B16" s="114">
        <f>SUM(B17:B23)</f>
        <v>127108.0808</v>
      </c>
      <c r="C16" s="115">
        <f t="shared" ref="C16:D16" si="37">AVERAGE(C17:C23)</f>
        <v>0.05285714286</v>
      </c>
      <c r="D16" s="115">
        <f t="shared" si="37"/>
        <v>0.01614285714</v>
      </c>
      <c r="E16" s="116">
        <f t="shared" ref="E16:F16" si="38">SUM(E17:E23)</f>
        <v>552.7424242</v>
      </c>
      <c r="F16" s="116">
        <f t="shared" si="38"/>
        <v>632</v>
      </c>
      <c r="G16" s="116"/>
      <c r="H16" s="117">
        <f t="shared" ref="H16:K16" si="39">AVERAGE(H17:H23)</f>
        <v>393.5581013</v>
      </c>
      <c r="I16" s="117">
        <f t="shared" si="39"/>
        <v>1614.381553</v>
      </c>
      <c r="J16" s="118">
        <f t="shared" si="39"/>
        <v>0.003890728092</v>
      </c>
      <c r="K16" s="117">
        <f t="shared" si="39"/>
        <v>1239.531228</v>
      </c>
      <c r="L16" s="119"/>
      <c r="M16" s="120">
        <f t="shared" ref="M16:O16" si="40">AVERAGE(M17:M23)</f>
        <v>0</v>
      </c>
      <c r="N16" s="121">
        <f t="shared" si="40"/>
        <v>1.371428571</v>
      </c>
      <c r="O16" s="122">
        <f t="shared" si="40"/>
        <v>1977.918687</v>
      </c>
      <c r="P16" s="123"/>
      <c r="Q16" s="124">
        <f t="shared" ref="Q16:T16" si="41">AVERAGE(Q17:Q23)</f>
        <v>23.77842019</v>
      </c>
      <c r="R16" s="124">
        <f t="shared" si="41"/>
        <v>-2.618755484</v>
      </c>
      <c r="S16" s="124">
        <f t="shared" si="41"/>
        <v>-26.39717567</v>
      </c>
      <c r="T16" s="118">
        <f t="shared" si="41"/>
        <v>3.784733177</v>
      </c>
      <c r="U16" s="125"/>
      <c r="V16" s="124">
        <f t="shared" ref="V16:Y16" si="42">SUM(V17:V23)</f>
        <v>527272.3313</v>
      </c>
      <c r="W16" s="124">
        <f t="shared" si="42"/>
        <v>1500000</v>
      </c>
      <c r="X16" s="126">
        <f t="shared" si="42"/>
        <v>716616.264</v>
      </c>
      <c r="Y16" s="126">
        <f t="shared" si="42"/>
        <v>783383.736</v>
      </c>
      <c r="Z16" s="117">
        <f t="shared" ref="Z16:AA16" si="43">Z7/2</f>
        <v>189343.9327</v>
      </c>
      <c r="AA16" s="126">
        <f t="shared" si="43"/>
        <v>973341.0479</v>
      </c>
      <c r="AB16" s="126">
        <f>SUM(AB17:AB23)</f>
        <v>-446068.7166</v>
      </c>
    </row>
    <row r="17">
      <c r="A17" s="127" t="s">
        <v>193</v>
      </c>
      <c r="B17" s="128">
        <f t="shared" ref="B17:B23" si="44">E17*100%/D17</f>
        <v>71818.18182</v>
      </c>
      <c r="C17" s="91">
        <v>0.06</v>
      </c>
      <c r="D17" s="91">
        <v>0.004</v>
      </c>
      <c r="E17" s="128">
        <f t="shared" ref="E17:E23" si="45">F17/N17</f>
        <v>287.2727273</v>
      </c>
      <c r="F17" s="128">
        <v>316.0</v>
      </c>
      <c r="G17" s="92"/>
      <c r="H17" s="129">
        <f t="shared" ref="H17:H23" si="46">I17*J17*N17-M17</f>
        <v>2330.566282</v>
      </c>
      <c r="I17" s="129">
        <v>3358.227848101266</v>
      </c>
      <c r="J17" s="130">
        <f t="shared" ref="J17:J23" si="47">(I17-K17)/I17</f>
        <v>0.630897222</v>
      </c>
      <c r="K17" s="129">
        <v>1239.5312278130825</v>
      </c>
      <c r="L17" s="95"/>
      <c r="M17" s="131">
        <v>0.0</v>
      </c>
      <c r="N17" s="132">
        <v>1.1</v>
      </c>
      <c r="O17" s="133">
        <f t="shared" ref="O17:O23" si="48">Z17/E17</f>
        <v>94.15837521</v>
      </c>
      <c r="P17" s="96"/>
      <c r="Q17" s="134">
        <f t="shared" ref="Q17:Q23" si="49">Z17/B17</f>
        <v>0.3766335008</v>
      </c>
      <c r="R17" s="135">
        <f t="shared" ref="R17:R23" si="50">D17*H17</f>
        <v>9.322265129</v>
      </c>
      <c r="S17" s="134">
        <f t="shared" ref="S17:S23" si="51">R17-Q17</f>
        <v>8.945631628</v>
      </c>
      <c r="T17" s="136">
        <f t="shared" ref="T17:T23" si="52">R17/Q17</f>
        <v>24.75155584</v>
      </c>
      <c r="U17" s="96"/>
      <c r="V17" s="94">
        <f t="shared" ref="V17:V23" si="53">B17*(R17-Q17)</f>
        <v>642458.9988</v>
      </c>
      <c r="W17" s="94">
        <f t="shared" ref="W17:W23" si="54">I17*F17</f>
        <v>1061200</v>
      </c>
      <c r="X17" s="94">
        <f t="shared" ref="X17:X23" si="55">E17*H17</f>
        <v>669508.132</v>
      </c>
      <c r="Y17" s="94">
        <f t="shared" ref="Y17:Y23" si="56">W17-X17</f>
        <v>391691.868</v>
      </c>
      <c r="Z17" s="94">
        <f>$Z$16/7</f>
        <v>27049.13324</v>
      </c>
      <c r="AA17" s="94">
        <f t="shared" ref="AA17:AA23" si="57">$AA$16/7</f>
        <v>139048.7211</v>
      </c>
      <c r="AB17" s="94">
        <f t="shared" ref="AB17:AB23" si="58">V17-AA17</f>
        <v>503410.2776</v>
      </c>
    </row>
    <row r="18">
      <c r="A18" s="127" t="s">
        <v>194</v>
      </c>
      <c r="B18" s="128">
        <f t="shared" si="44"/>
        <v>47878.78788</v>
      </c>
      <c r="C18" s="91">
        <v>0.05</v>
      </c>
      <c r="D18" s="91">
        <v>0.003</v>
      </c>
      <c r="E18" s="128">
        <f t="shared" si="45"/>
        <v>143.6363636</v>
      </c>
      <c r="F18" s="137">
        <v>158.0</v>
      </c>
      <c r="G18" s="92"/>
      <c r="H18" s="129">
        <f t="shared" si="46"/>
        <v>733.4776747</v>
      </c>
      <c r="I18" s="129">
        <v>1906.3291139240507</v>
      </c>
      <c r="J18" s="130">
        <f t="shared" si="47"/>
        <v>0.3497810956</v>
      </c>
      <c r="K18" s="129">
        <v>1239.5312278130825</v>
      </c>
      <c r="L18" s="95"/>
      <c r="M18" s="131">
        <v>0.0</v>
      </c>
      <c r="N18" s="132">
        <v>1.1</v>
      </c>
      <c r="O18" s="133">
        <f t="shared" si="48"/>
        <v>188.3167504</v>
      </c>
      <c r="P18" s="96"/>
      <c r="Q18" s="134">
        <f t="shared" si="49"/>
        <v>0.5649502513</v>
      </c>
      <c r="R18" s="135">
        <f t="shared" si="50"/>
        <v>2.200433024</v>
      </c>
      <c r="S18" s="134">
        <f t="shared" si="51"/>
        <v>1.635482773</v>
      </c>
      <c r="T18" s="136">
        <f t="shared" si="52"/>
        <v>3.894914675</v>
      </c>
      <c r="U18" s="96"/>
      <c r="V18" s="94">
        <f t="shared" si="53"/>
        <v>78304.93276</v>
      </c>
      <c r="W18" s="94">
        <f t="shared" si="54"/>
        <v>301200</v>
      </c>
      <c r="X18" s="94">
        <f t="shared" si="55"/>
        <v>105354.066</v>
      </c>
      <c r="Y18" s="94">
        <f t="shared" si="56"/>
        <v>195845.934</v>
      </c>
      <c r="Z18" s="94">
        <f t="shared" ref="Z18:Z23" si="59">$Z$8/7</f>
        <v>27049.13324</v>
      </c>
      <c r="AA18" s="94">
        <f t="shared" si="57"/>
        <v>139048.7211</v>
      </c>
      <c r="AB18" s="94">
        <f t="shared" si="58"/>
        <v>-60743.78837</v>
      </c>
    </row>
    <row r="19">
      <c r="A19" s="127" t="s">
        <v>195</v>
      </c>
      <c r="B19" s="128">
        <f t="shared" si="44"/>
        <v>2361.111111</v>
      </c>
      <c r="C19" s="91">
        <v>0.04</v>
      </c>
      <c r="D19" s="91">
        <v>0.03</v>
      </c>
      <c r="E19" s="128">
        <f t="shared" si="45"/>
        <v>70.83333333</v>
      </c>
      <c r="F19" s="89">
        <v>85.0</v>
      </c>
      <c r="G19" s="145"/>
      <c r="H19" s="138">
        <f t="shared" si="46"/>
        <v>-808.5198263</v>
      </c>
      <c r="I19" s="138">
        <v>565.7647058823529</v>
      </c>
      <c r="J19" s="139">
        <f t="shared" si="47"/>
        <v>-1.190895287</v>
      </c>
      <c r="K19" s="129">
        <v>1239.5312278130825</v>
      </c>
      <c r="L19" s="95"/>
      <c r="M19" s="131">
        <v>0.0</v>
      </c>
      <c r="N19" s="132">
        <v>1.2</v>
      </c>
      <c r="O19" s="133">
        <f t="shared" si="48"/>
        <v>381.8701164</v>
      </c>
      <c r="P19" s="93"/>
      <c r="Q19" s="134">
        <f t="shared" si="49"/>
        <v>11.45610349</v>
      </c>
      <c r="R19" s="135">
        <f t="shared" si="50"/>
        <v>-24.25559479</v>
      </c>
      <c r="S19" s="134">
        <f t="shared" si="51"/>
        <v>-35.71169828</v>
      </c>
      <c r="T19" s="136">
        <f t="shared" si="52"/>
        <v>-2.117263938</v>
      </c>
      <c r="U19" s="98"/>
      <c r="V19" s="94">
        <f t="shared" si="53"/>
        <v>-84319.28761</v>
      </c>
      <c r="W19" s="94">
        <f t="shared" si="54"/>
        <v>48090</v>
      </c>
      <c r="X19" s="94">
        <f t="shared" si="55"/>
        <v>-57270.15436</v>
      </c>
      <c r="Y19" s="94">
        <f t="shared" si="56"/>
        <v>105360.1544</v>
      </c>
      <c r="Z19" s="94">
        <f t="shared" si="59"/>
        <v>27049.13324</v>
      </c>
      <c r="AA19" s="94">
        <f t="shared" si="57"/>
        <v>139048.7211</v>
      </c>
      <c r="AB19" s="94">
        <f t="shared" si="58"/>
        <v>-223368.0087</v>
      </c>
    </row>
    <row r="20">
      <c r="A20" s="127" t="s">
        <v>196</v>
      </c>
      <c r="B20" s="128">
        <f t="shared" si="44"/>
        <v>750</v>
      </c>
      <c r="C20" s="91">
        <v>0.06</v>
      </c>
      <c r="D20" s="91">
        <v>0.04</v>
      </c>
      <c r="E20" s="128">
        <f t="shared" si="45"/>
        <v>30</v>
      </c>
      <c r="F20" s="137">
        <v>36.0</v>
      </c>
      <c r="G20" s="145"/>
      <c r="H20" s="140">
        <f t="shared" si="46"/>
        <v>-134.10414</v>
      </c>
      <c r="I20" s="140">
        <v>1127.7777777777778</v>
      </c>
      <c r="J20" s="141">
        <f t="shared" si="47"/>
        <v>-0.0990917291</v>
      </c>
      <c r="K20" s="129">
        <v>1239.5312278130825</v>
      </c>
      <c r="L20" s="95"/>
      <c r="M20" s="131">
        <v>0.0</v>
      </c>
      <c r="N20" s="132">
        <v>1.2</v>
      </c>
      <c r="O20" s="133">
        <f t="shared" si="48"/>
        <v>901.6377748</v>
      </c>
      <c r="P20" s="93"/>
      <c r="Q20" s="134">
        <f t="shared" si="49"/>
        <v>36.06551099</v>
      </c>
      <c r="R20" s="135">
        <f t="shared" si="50"/>
        <v>-5.364165602</v>
      </c>
      <c r="S20" s="134">
        <f t="shared" si="51"/>
        <v>-41.42967659</v>
      </c>
      <c r="T20" s="136">
        <f t="shared" si="52"/>
        <v>-0.1487339415</v>
      </c>
      <c r="U20" s="98"/>
      <c r="V20" s="94">
        <f t="shared" si="53"/>
        <v>-31072.25744</v>
      </c>
      <c r="W20" s="94">
        <f t="shared" si="54"/>
        <v>40600</v>
      </c>
      <c r="X20" s="94">
        <f t="shared" si="55"/>
        <v>-4023.124201</v>
      </c>
      <c r="Y20" s="94">
        <f t="shared" si="56"/>
        <v>44623.1242</v>
      </c>
      <c r="Z20" s="94">
        <f t="shared" si="59"/>
        <v>27049.13324</v>
      </c>
      <c r="AA20" s="94">
        <f t="shared" si="57"/>
        <v>139048.7211</v>
      </c>
      <c r="AB20" s="94">
        <f t="shared" si="58"/>
        <v>-170120.9786</v>
      </c>
    </row>
    <row r="21">
      <c r="A21" s="127" t="s">
        <v>197</v>
      </c>
      <c r="B21" s="128">
        <f t="shared" si="44"/>
        <v>300</v>
      </c>
      <c r="C21" s="91">
        <v>0.05</v>
      </c>
      <c r="D21" s="91">
        <v>0.03</v>
      </c>
      <c r="E21" s="128">
        <f t="shared" si="45"/>
        <v>9</v>
      </c>
      <c r="F21" s="137">
        <v>18.0</v>
      </c>
      <c r="G21" s="145"/>
      <c r="H21" s="140">
        <f t="shared" si="46"/>
        <v>-79.06245563</v>
      </c>
      <c r="I21" s="140">
        <v>1200.0</v>
      </c>
      <c r="J21" s="141">
        <f t="shared" si="47"/>
        <v>-0.03294268984</v>
      </c>
      <c r="K21" s="129">
        <v>1239.5312278130825</v>
      </c>
      <c r="L21" s="95"/>
      <c r="M21" s="131">
        <v>0.0</v>
      </c>
      <c r="N21" s="132">
        <v>2.0</v>
      </c>
      <c r="O21" s="142">
        <f t="shared" si="48"/>
        <v>3005.459249</v>
      </c>
      <c r="P21" s="93"/>
      <c r="Q21" s="134">
        <f t="shared" si="49"/>
        <v>90.16377748</v>
      </c>
      <c r="R21" s="135">
        <f t="shared" si="50"/>
        <v>-2.371873669</v>
      </c>
      <c r="S21" s="134">
        <f t="shared" si="51"/>
        <v>-92.53565114</v>
      </c>
      <c r="T21" s="136">
        <f t="shared" si="52"/>
        <v>-0.02630628103</v>
      </c>
      <c r="U21" s="98"/>
      <c r="V21" s="94">
        <f t="shared" si="53"/>
        <v>-27760.69534</v>
      </c>
      <c r="W21" s="94">
        <f t="shared" si="54"/>
        <v>21600</v>
      </c>
      <c r="X21" s="94">
        <f t="shared" si="55"/>
        <v>-711.5621006</v>
      </c>
      <c r="Y21" s="94">
        <f t="shared" si="56"/>
        <v>22311.5621</v>
      </c>
      <c r="Z21" s="94">
        <f t="shared" si="59"/>
        <v>27049.13324</v>
      </c>
      <c r="AA21" s="94">
        <f t="shared" si="57"/>
        <v>139048.7211</v>
      </c>
      <c r="AB21" s="94">
        <f t="shared" si="58"/>
        <v>-166809.4165</v>
      </c>
    </row>
    <row r="22">
      <c r="A22" s="127" t="s">
        <v>190</v>
      </c>
      <c r="B22" s="128">
        <f t="shared" si="44"/>
        <v>2333.333333</v>
      </c>
      <c r="C22" s="91">
        <v>0.07</v>
      </c>
      <c r="D22" s="91">
        <v>0.003</v>
      </c>
      <c r="E22" s="128">
        <f t="shared" si="45"/>
        <v>7</v>
      </c>
      <c r="F22" s="89">
        <v>14.0</v>
      </c>
      <c r="G22" s="145"/>
      <c r="H22" s="129">
        <f t="shared" si="46"/>
        <v>98.08040152</v>
      </c>
      <c r="I22" s="129">
        <v>1288.5714285714287</v>
      </c>
      <c r="J22" s="130">
        <f t="shared" si="47"/>
        <v>0.03805780547</v>
      </c>
      <c r="K22" s="129">
        <v>1239.5312278130825</v>
      </c>
      <c r="L22" s="95"/>
      <c r="M22" s="131">
        <v>0.0</v>
      </c>
      <c r="N22" s="132">
        <v>2.0</v>
      </c>
      <c r="O22" s="142">
        <f t="shared" si="48"/>
        <v>3864.161892</v>
      </c>
      <c r="P22" s="93"/>
      <c r="Q22" s="134">
        <f t="shared" si="49"/>
        <v>11.59248568</v>
      </c>
      <c r="R22" s="135">
        <f t="shared" si="50"/>
        <v>0.2942412046</v>
      </c>
      <c r="S22" s="134">
        <f t="shared" si="51"/>
        <v>-11.29824447</v>
      </c>
      <c r="T22" s="136">
        <f t="shared" si="52"/>
        <v>0.02538206324</v>
      </c>
      <c r="U22" s="98"/>
      <c r="V22" s="94">
        <f t="shared" si="53"/>
        <v>-26362.57043</v>
      </c>
      <c r="W22" s="94">
        <f t="shared" si="54"/>
        <v>18040</v>
      </c>
      <c r="X22" s="94">
        <f t="shared" si="55"/>
        <v>686.5628106</v>
      </c>
      <c r="Y22" s="94">
        <f t="shared" si="56"/>
        <v>17353.43719</v>
      </c>
      <c r="Z22" s="94">
        <f t="shared" si="59"/>
        <v>27049.13324</v>
      </c>
      <c r="AA22" s="94">
        <f t="shared" si="57"/>
        <v>139048.7211</v>
      </c>
      <c r="AB22" s="94">
        <f t="shared" si="58"/>
        <v>-165411.2916</v>
      </c>
    </row>
    <row r="23">
      <c r="A23" s="127" t="s">
        <v>191</v>
      </c>
      <c r="B23" s="128">
        <f t="shared" si="44"/>
        <v>1666.666667</v>
      </c>
      <c r="C23" s="91">
        <v>0.04</v>
      </c>
      <c r="D23" s="91">
        <v>0.003</v>
      </c>
      <c r="E23" s="128">
        <f t="shared" si="45"/>
        <v>5</v>
      </c>
      <c r="F23" s="89">
        <v>5.0</v>
      </c>
      <c r="G23" s="145"/>
      <c r="H23" s="129">
        <f t="shared" si="46"/>
        <v>614.4687722</v>
      </c>
      <c r="I23" s="129">
        <v>1854.0</v>
      </c>
      <c r="J23" s="130">
        <f t="shared" si="47"/>
        <v>0.3314286797</v>
      </c>
      <c r="K23" s="129">
        <v>1239.5312278130825</v>
      </c>
      <c r="L23" s="95"/>
      <c r="M23" s="131">
        <v>0.0</v>
      </c>
      <c r="N23" s="143">
        <v>1.0</v>
      </c>
      <c r="O23" s="142">
        <f t="shared" si="48"/>
        <v>5409.826649</v>
      </c>
      <c r="P23" s="93"/>
      <c r="Q23" s="134">
        <f t="shared" si="49"/>
        <v>16.22947995</v>
      </c>
      <c r="R23" s="135">
        <f t="shared" si="50"/>
        <v>1.843406317</v>
      </c>
      <c r="S23" s="134">
        <f t="shared" si="51"/>
        <v>-14.38607363</v>
      </c>
      <c r="T23" s="136">
        <f t="shared" si="52"/>
        <v>0.1135838192</v>
      </c>
      <c r="U23" s="98"/>
      <c r="V23" s="94">
        <f t="shared" si="53"/>
        <v>-23976.78938</v>
      </c>
      <c r="W23" s="94">
        <f t="shared" si="54"/>
        <v>9270</v>
      </c>
      <c r="X23" s="94">
        <f t="shared" si="55"/>
        <v>3072.343861</v>
      </c>
      <c r="Y23" s="94">
        <f t="shared" si="56"/>
        <v>6197.656139</v>
      </c>
      <c r="Z23" s="94">
        <f t="shared" si="59"/>
        <v>27049.13324</v>
      </c>
      <c r="AA23" s="94">
        <f t="shared" si="57"/>
        <v>139048.7211</v>
      </c>
      <c r="AB23" s="94">
        <f t="shared" si="58"/>
        <v>-163025.5105</v>
      </c>
    </row>
    <row r="24">
      <c r="A24" s="146" t="s">
        <v>77</v>
      </c>
      <c r="B24" s="103">
        <f>SUM(B25,B33)</f>
        <v>453917.5505</v>
      </c>
      <c r="C24" s="102">
        <f t="shared" ref="C24:D24" si="60">AVERAGE(C25,C33)</f>
        <v>0.05285714286</v>
      </c>
      <c r="D24" s="102">
        <f t="shared" si="60"/>
        <v>0.01614285714</v>
      </c>
      <c r="E24" s="103">
        <f t="shared" ref="E24:F24" si="61">SUM(E25,E33)</f>
        <v>1955.409091</v>
      </c>
      <c r="F24" s="103">
        <f t="shared" si="61"/>
        <v>2245</v>
      </c>
      <c r="G24" s="147"/>
      <c r="H24" s="104">
        <f t="shared" ref="H24:K24" si="62">AVERAGE(H25,H33)</f>
        <v>747.269909</v>
      </c>
      <c r="I24" s="104">
        <f t="shared" si="62"/>
        <v>1688.08619</v>
      </c>
      <c r="J24" s="105">
        <f t="shared" si="62"/>
        <v>0.1033197705</v>
      </c>
      <c r="K24" s="104">
        <f t="shared" si="62"/>
        <v>1054.095391</v>
      </c>
      <c r="L24" s="106"/>
      <c r="M24" s="104">
        <f t="shared" ref="M24:O24" si="63">AVERAGE(M25,M33)</f>
        <v>0</v>
      </c>
      <c r="N24" s="107">
        <f t="shared" si="63"/>
        <v>1.371428571</v>
      </c>
      <c r="O24" s="108">
        <f t="shared" si="63"/>
        <v>1411.196194</v>
      </c>
      <c r="P24" s="109"/>
      <c r="Q24" s="110">
        <f t="shared" ref="Q24:T24" si="64">AVERAGE(Q25,Q33)</f>
        <v>16.28532441</v>
      </c>
      <c r="R24" s="110">
        <f t="shared" si="64"/>
        <v>4.67232095</v>
      </c>
      <c r="S24" s="110">
        <f t="shared" si="64"/>
        <v>-11.61300346</v>
      </c>
      <c r="T24" s="105">
        <f t="shared" si="64"/>
        <v>8.195551354</v>
      </c>
      <c r="U24" s="111"/>
      <c r="V24" s="110">
        <f t="shared" ref="V24:Y24" si="65">SUM(V25,V33)</f>
        <v>389266.8547</v>
      </c>
      <c r="W24" s="110">
        <f t="shared" si="65"/>
        <v>5470000</v>
      </c>
      <c r="X24" s="112">
        <f t="shared" si="65"/>
        <v>3103555.848</v>
      </c>
      <c r="Y24" s="112">
        <f t="shared" si="65"/>
        <v>2366444.152</v>
      </c>
      <c r="Z24" s="112">
        <f>SUM('расходы'!C83,'расходы'!C85)</f>
        <v>378687.8654</v>
      </c>
      <c r="AA24" s="112">
        <f>SUM('услуги'!I16:I29)</f>
        <v>2118523.166</v>
      </c>
      <c r="AB24" s="112">
        <f>SUM(AB25,AB33)</f>
        <v>606344.8168</v>
      </c>
    </row>
    <row r="25">
      <c r="A25" s="113" t="s">
        <v>184</v>
      </c>
      <c r="B25" s="116">
        <f>SUM(B26:B32)</f>
        <v>361038.0051</v>
      </c>
      <c r="C25" s="115">
        <f t="shared" ref="C25:D25" si="66">AVERAGE(C26:C32)</f>
        <v>0.05285714286</v>
      </c>
      <c r="D25" s="115">
        <f t="shared" si="66"/>
        <v>0.01614285714</v>
      </c>
      <c r="E25" s="116">
        <f t="shared" ref="E25:F25" si="67">SUM(E26:E32)</f>
        <v>1558.106061</v>
      </c>
      <c r="F25" s="116">
        <f t="shared" si="67"/>
        <v>1786</v>
      </c>
      <c r="G25" s="148"/>
      <c r="H25" s="117">
        <f t="shared" ref="H25:K25" si="68">AVERAGE(H26:H32)</f>
        <v>1079.164572</v>
      </c>
      <c r="I25" s="117">
        <f t="shared" si="68"/>
        <v>2000.964066</v>
      </c>
      <c r="J25" s="118">
        <f t="shared" si="68"/>
        <v>0.1945802633</v>
      </c>
      <c r="K25" s="117">
        <f t="shared" si="68"/>
        <v>1054.095391</v>
      </c>
      <c r="L25" s="119"/>
      <c r="M25" s="120">
        <f t="shared" ref="M25:O25" si="69">AVERAGE(M26:M32)</f>
        <v>0</v>
      </c>
      <c r="N25" s="121">
        <f t="shared" si="69"/>
        <v>1.371428571</v>
      </c>
      <c r="O25" s="122">
        <f t="shared" si="69"/>
        <v>595.4590881</v>
      </c>
      <c r="P25" s="123"/>
      <c r="Q25" s="124">
        <f t="shared" ref="Q25:T25" si="70">AVERAGE(Q26:Q32)</f>
        <v>7.591879236</v>
      </c>
      <c r="R25" s="124">
        <f t="shared" si="70"/>
        <v>5.703199306</v>
      </c>
      <c r="S25" s="124">
        <f t="shared" si="70"/>
        <v>-1.88867993</v>
      </c>
      <c r="T25" s="118">
        <f t="shared" si="70"/>
        <v>13.82344602</v>
      </c>
      <c r="U25" s="125"/>
      <c r="V25" s="124">
        <f>AVERAGE(V26:V32)</f>
        <v>346863.0999</v>
      </c>
      <c r="W25" s="124">
        <f t="shared" ref="W25:Y25" si="71">SUM(W26:W32)</f>
        <v>4500000</v>
      </c>
      <c r="X25" s="126">
        <f t="shared" si="71"/>
        <v>2617385.632</v>
      </c>
      <c r="Y25" s="126">
        <f t="shared" si="71"/>
        <v>1882614.368</v>
      </c>
      <c r="Z25" s="117">
        <f t="shared" ref="Z25:AA25" si="72">Z24/2</f>
        <v>189343.9327</v>
      </c>
      <c r="AA25" s="126">
        <f t="shared" si="72"/>
        <v>1059261.583</v>
      </c>
      <c r="AB25" s="126">
        <f>SUM(AB26:AB32)</f>
        <v>1368780.117</v>
      </c>
    </row>
    <row r="26">
      <c r="A26" s="127" t="s">
        <v>198</v>
      </c>
      <c r="B26" s="89">
        <f t="shared" ref="B26:B32" si="73">E26*100%/D26</f>
        <v>202954.5455</v>
      </c>
      <c r="C26" s="91">
        <v>0.06</v>
      </c>
      <c r="D26" s="91">
        <v>0.004</v>
      </c>
      <c r="E26" s="89">
        <f t="shared" ref="E26:E32" si="74">F26/N26</f>
        <v>811.8181818</v>
      </c>
      <c r="F26" s="137">
        <v>893.0</v>
      </c>
      <c r="G26" s="145"/>
      <c r="H26" s="129">
        <f t="shared" ref="H26:H32" si="75">I26*J26*N26-M26</f>
        <v>2853.216235</v>
      </c>
      <c r="I26" s="129">
        <v>3647.928331466965</v>
      </c>
      <c r="J26" s="130">
        <f t="shared" ref="J26:J32" si="76">(I26-K26)/I26</f>
        <v>0.7110427358</v>
      </c>
      <c r="K26" s="129">
        <v>1054.0953906324269</v>
      </c>
      <c r="L26" s="95"/>
      <c r="M26" s="131">
        <v>0.0</v>
      </c>
      <c r="N26" s="132">
        <v>1.1</v>
      </c>
      <c r="O26" s="133">
        <f t="shared" ref="O26:O32" si="77">Z26/E26</f>
        <v>33.31920108</v>
      </c>
      <c r="P26" s="93"/>
      <c r="Q26" s="134">
        <f t="shared" ref="Q26:Q32" si="78">Z26/B26</f>
        <v>0.1332768043</v>
      </c>
      <c r="R26" s="135">
        <f t="shared" ref="R26:R32" si="79">D26*H26</f>
        <v>11.41286494</v>
      </c>
      <c r="S26" s="134">
        <f t="shared" ref="S26:S32" si="80">R26-Q26</f>
        <v>11.27958814</v>
      </c>
      <c r="T26" s="136">
        <f t="shared" ref="T26:T32" si="81">R26/Q26</f>
        <v>85.63279257</v>
      </c>
      <c r="U26" s="98"/>
      <c r="V26" s="94">
        <f t="shared" ref="V26:V32" si="82">B26*(R26-Q26)</f>
        <v>2289243.683</v>
      </c>
      <c r="W26" s="94">
        <f t="shared" ref="W26:W32" si="83">I26*F26</f>
        <v>3257600</v>
      </c>
      <c r="X26" s="94">
        <f t="shared" ref="X26:X32" si="84">E26*H26</f>
        <v>2316292.816</v>
      </c>
      <c r="Y26" s="94">
        <f t="shared" ref="Y26:Y32" si="85">W26-X26</f>
        <v>941307.1838</v>
      </c>
      <c r="Z26" s="94">
        <f t="shared" ref="Z26:Z32" si="86">$Z$25/7</f>
        <v>27049.13324</v>
      </c>
      <c r="AA26" s="94">
        <f t="shared" ref="AA26:AA32" si="87">$AA$25/7</f>
        <v>151323.0833</v>
      </c>
      <c r="AB26" s="94">
        <f t="shared" ref="AB26:AB32" si="88">V26-AA26</f>
        <v>2137920.6</v>
      </c>
    </row>
    <row r="27">
      <c r="A27" s="127" t="s">
        <v>199</v>
      </c>
      <c r="B27" s="89">
        <f t="shared" si="73"/>
        <v>135151.5152</v>
      </c>
      <c r="C27" s="91">
        <v>0.05</v>
      </c>
      <c r="D27" s="91">
        <v>0.003</v>
      </c>
      <c r="E27" s="89">
        <f t="shared" si="74"/>
        <v>405.4545455</v>
      </c>
      <c r="F27" s="137">
        <v>446.0</v>
      </c>
      <c r="G27" s="145"/>
      <c r="H27" s="129">
        <f t="shared" si="75"/>
        <v>784.4861017</v>
      </c>
      <c r="I27" s="129">
        <v>1767.2645739910313</v>
      </c>
      <c r="J27" s="130">
        <f t="shared" si="76"/>
        <v>0.4035440951</v>
      </c>
      <c r="K27" s="129">
        <v>1054.0953906324269</v>
      </c>
      <c r="L27" s="95"/>
      <c r="M27" s="131">
        <v>0.0</v>
      </c>
      <c r="N27" s="132">
        <v>1.1</v>
      </c>
      <c r="O27" s="133">
        <f t="shared" si="77"/>
        <v>66.71310889</v>
      </c>
      <c r="P27" s="93"/>
      <c r="Q27" s="134">
        <f t="shared" si="78"/>
        <v>0.2001393267</v>
      </c>
      <c r="R27" s="135">
        <f t="shared" si="79"/>
        <v>2.353458305</v>
      </c>
      <c r="S27" s="134">
        <f t="shared" si="80"/>
        <v>2.153318978</v>
      </c>
      <c r="T27" s="136">
        <f t="shared" si="81"/>
        <v>11.75909974</v>
      </c>
      <c r="U27" s="98"/>
      <c r="V27" s="94">
        <f t="shared" si="82"/>
        <v>291024.3225</v>
      </c>
      <c r="W27" s="94">
        <f t="shared" si="83"/>
        <v>788200</v>
      </c>
      <c r="X27" s="94">
        <f t="shared" si="84"/>
        <v>318073.4558</v>
      </c>
      <c r="Y27" s="94">
        <f t="shared" si="85"/>
        <v>470126.5442</v>
      </c>
      <c r="Z27" s="94">
        <f t="shared" si="86"/>
        <v>27049.13324</v>
      </c>
      <c r="AA27" s="94">
        <f t="shared" si="87"/>
        <v>151323.0833</v>
      </c>
      <c r="AB27" s="94">
        <f t="shared" si="88"/>
        <v>139701.2393</v>
      </c>
    </row>
    <row r="28">
      <c r="A28" s="127" t="s">
        <v>200</v>
      </c>
      <c r="B28" s="89">
        <f t="shared" si="73"/>
        <v>6111.111111</v>
      </c>
      <c r="C28" s="91">
        <v>0.04</v>
      </c>
      <c r="D28" s="91">
        <v>0.03</v>
      </c>
      <c r="E28" s="89">
        <f t="shared" si="74"/>
        <v>183.3333333</v>
      </c>
      <c r="F28" s="137">
        <v>220.0</v>
      </c>
      <c r="G28" s="145"/>
      <c r="H28" s="138">
        <f t="shared" si="75"/>
        <v>-633.7144688</v>
      </c>
      <c r="I28" s="138">
        <v>526.0</v>
      </c>
      <c r="J28" s="139">
        <f t="shared" si="76"/>
        <v>-1.003983632</v>
      </c>
      <c r="K28" s="129">
        <v>1054.0953906324269</v>
      </c>
      <c r="L28" s="95"/>
      <c r="M28" s="131">
        <v>0.0</v>
      </c>
      <c r="N28" s="132">
        <v>1.2</v>
      </c>
      <c r="O28" s="133">
        <f t="shared" si="77"/>
        <v>147.5407268</v>
      </c>
      <c r="P28" s="93"/>
      <c r="Q28" s="134">
        <f t="shared" si="78"/>
        <v>4.426221803</v>
      </c>
      <c r="R28" s="135">
        <f t="shared" si="79"/>
        <v>-19.01143406</v>
      </c>
      <c r="S28" s="134">
        <f t="shared" si="80"/>
        <v>-23.43765587</v>
      </c>
      <c r="T28" s="136">
        <f t="shared" si="81"/>
        <v>-4.295183321</v>
      </c>
      <c r="U28" s="98"/>
      <c r="V28" s="94">
        <f t="shared" si="82"/>
        <v>-143230.1192</v>
      </c>
      <c r="W28" s="94">
        <f t="shared" si="83"/>
        <v>115720</v>
      </c>
      <c r="X28" s="94">
        <f t="shared" si="84"/>
        <v>-116180.9859</v>
      </c>
      <c r="Y28" s="94">
        <f t="shared" si="85"/>
        <v>231900.9859</v>
      </c>
      <c r="Z28" s="94">
        <f t="shared" si="86"/>
        <v>27049.13324</v>
      </c>
      <c r="AA28" s="94">
        <f t="shared" si="87"/>
        <v>151323.0833</v>
      </c>
      <c r="AB28" s="94">
        <f t="shared" si="88"/>
        <v>-294553.2025</v>
      </c>
    </row>
    <row r="29">
      <c r="A29" s="127" t="s">
        <v>196</v>
      </c>
      <c r="B29" s="89">
        <f t="shared" si="73"/>
        <v>2187.5</v>
      </c>
      <c r="C29" s="91">
        <v>0.06</v>
      </c>
      <c r="D29" s="91">
        <v>0.04</v>
      </c>
      <c r="E29" s="89">
        <f t="shared" si="74"/>
        <v>87.5</v>
      </c>
      <c r="F29" s="137">
        <v>105.0</v>
      </c>
      <c r="G29" s="145"/>
      <c r="H29" s="129">
        <f t="shared" si="75"/>
        <v>55.08553124</v>
      </c>
      <c r="I29" s="129">
        <v>1100.0</v>
      </c>
      <c r="J29" s="130">
        <f t="shared" si="76"/>
        <v>0.04173146306</v>
      </c>
      <c r="K29" s="129">
        <v>1054.0953906324269</v>
      </c>
      <c r="L29" s="95"/>
      <c r="M29" s="131">
        <v>0.0</v>
      </c>
      <c r="N29" s="132">
        <v>1.2</v>
      </c>
      <c r="O29" s="133">
        <f t="shared" si="77"/>
        <v>309.1329513</v>
      </c>
      <c r="P29" s="93"/>
      <c r="Q29" s="134">
        <f t="shared" si="78"/>
        <v>12.36531805</v>
      </c>
      <c r="R29" s="135">
        <f t="shared" si="79"/>
        <v>2.20342125</v>
      </c>
      <c r="S29" s="134">
        <f t="shared" si="80"/>
        <v>-10.1618968</v>
      </c>
      <c r="T29" s="136">
        <f t="shared" si="81"/>
        <v>0.1781936575</v>
      </c>
      <c r="U29" s="98"/>
      <c r="V29" s="94">
        <f t="shared" si="82"/>
        <v>-22229.14926</v>
      </c>
      <c r="W29" s="94">
        <f t="shared" si="83"/>
        <v>115500</v>
      </c>
      <c r="X29" s="94">
        <f t="shared" si="84"/>
        <v>4819.983984</v>
      </c>
      <c r="Y29" s="94">
        <f t="shared" si="85"/>
        <v>110680.016</v>
      </c>
      <c r="Z29" s="94">
        <f t="shared" si="86"/>
        <v>27049.13324</v>
      </c>
      <c r="AA29" s="94">
        <f t="shared" si="87"/>
        <v>151323.0833</v>
      </c>
      <c r="AB29" s="94">
        <f t="shared" si="88"/>
        <v>-173552.2325</v>
      </c>
    </row>
    <row r="30">
      <c r="A30" s="127" t="s">
        <v>197</v>
      </c>
      <c r="B30" s="89">
        <f t="shared" si="73"/>
        <v>966.6666667</v>
      </c>
      <c r="C30" s="91">
        <v>0.05</v>
      </c>
      <c r="D30" s="91">
        <v>0.03</v>
      </c>
      <c r="E30" s="89">
        <f t="shared" si="74"/>
        <v>29</v>
      </c>
      <c r="F30" s="137">
        <v>58.0</v>
      </c>
      <c r="G30" s="145"/>
      <c r="H30" s="129">
        <f t="shared" si="75"/>
        <v>1091.809219</v>
      </c>
      <c r="I30" s="129">
        <v>1600.0</v>
      </c>
      <c r="J30" s="130">
        <f t="shared" si="76"/>
        <v>0.3411903809</v>
      </c>
      <c r="K30" s="129">
        <v>1054.0953906324269</v>
      </c>
      <c r="L30" s="95"/>
      <c r="M30" s="131">
        <v>0.0</v>
      </c>
      <c r="N30" s="132">
        <v>2.0</v>
      </c>
      <c r="O30" s="133">
        <f t="shared" si="77"/>
        <v>932.7287325</v>
      </c>
      <c r="P30" s="93"/>
      <c r="Q30" s="134">
        <f t="shared" si="78"/>
        <v>27.98186198</v>
      </c>
      <c r="R30" s="135">
        <f t="shared" si="79"/>
        <v>32.75427656</v>
      </c>
      <c r="S30" s="134">
        <f t="shared" si="80"/>
        <v>4.772414587</v>
      </c>
      <c r="T30" s="136">
        <f t="shared" si="81"/>
        <v>1.170553861</v>
      </c>
      <c r="U30" s="98"/>
      <c r="V30" s="94">
        <f t="shared" si="82"/>
        <v>4613.3341</v>
      </c>
      <c r="W30" s="94">
        <f t="shared" si="83"/>
        <v>92800</v>
      </c>
      <c r="X30" s="94">
        <f t="shared" si="84"/>
        <v>31662.46734</v>
      </c>
      <c r="Y30" s="94">
        <f t="shared" si="85"/>
        <v>61137.53266</v>
      </c>
      <c r="Z30" s="94">
        <f t="shared" si="86"/>
        <v>27049.13324</v>
      </c>
      <c r="AA30" s="94">
        <f t="shared" si="87"/>
        <v>151323.0833</v>
      </c>
      <c r="AB30" s="94">
        <f t="shared" si="88"/>
        <v>-146709.7492</v>
      </c>
    </row>
    <row r="31">
      <c r="A31" s="127" t="s">
        <v>190</v>
      </c>
      <c r="B31" s="89">
        <f t="shared" si="73"/>
        <v>7666.666667</v>
      </c>
      <c r="C31" s="91">
        <v>0.07</v>
      </c>
      <c r="D31" s="91">
        <v>0.003</v>
      </c>
      <c r="E31" s="89">
        <f t="shared" si="74"/>
        <v>23</v>
      </c>
      <c r="F31" s="137">
        <v>46.0</v>
      </c>
      <c r="G31" s="145"/>
      <c r="H31" s="129">
        <f t="shared" si="75"/>
        <v>291.8092187</v>
      </c>
      <c r="I31" s="129">
        <v>1200.0</v>
      </c>
      <c r="J31" s="130">
        <f t="shared" si="76"/>
        <v>0.1215871745</v>
      </c>
      <c r="K31" s="129">
        <v>1054.0953906324269</v>
      </c>
      <c r="L31" s="95"/>
      <c r="M31" s="131">
        <v>0.0</v>
      </c>
      <c r="N31" s="132">
        <v>2.0</v>
      </c>
      <c r="O31" s="133">
        <f t="shared" si="77"/>
        <v>1176.049271</v>
      </c>
      <c r="P31" s="93"/>
      <c r="Q31" s="134">
        <f t="shared" si="78"/>
        <v>3.528147814</v>
      </c>
      <c r="R31" s="135">
        <f t="shared" si="79"/>
        <v>0.8754276562</v>
      </c>
      <c r="S31" s="134">
        <f t="shared" si="80"/>
        <v>-2.652720158</v>
      </c>
      <c r="T31" s="136">
        <f t="shared" si="81"/>
        <v>0.2481266949</v>
      </c>
      <c r="U31" s="98"/>
      <c r="V31" s="94">
        <f t="shared" si="82"/>
        <v>-20337.52121</v>
      </c>
      <c r="W31" s="94">
        <f t="shared" si="83"/>
        <v>55200</v>
      </c>
      <c r="X31" s="94">
        <f t="shared" si="84"/>
        <v>6711.612031</v>
      </c>
      <c r="Y31" s="94">
        <f t="shared" si="85"/>
        <v>48488.38797</v>
      </c>
      <c r="Z31" s="94">
        <f t="shared" si="86"/>
        <v>27049.13324</v>
      </c>
      <c r="AA31" s="94">
        <f t="shared" si="87"/>
        <v>151323.0833</v>
      </c>
      <c r="AB31" s="94">
        <f t="shared" si="88"/>
        <v>-171660.6045</v>
      </c>
    </row>
    <row r="32">
      <c r="A32" s="127" t="s">
        <v>191</v>
      </c>
      <c r="B32" s="89">
        <f t="shared" si="73"/>
        <v>6000</v>
      </c>
      <c r="C32" s="91">
        <v>0.04</v>
      </c>
      <c r="D32" s="91">
        <v>0.003</v>
      </c>
      <c r="E32" s="89">
        <f t="shared" si="74"/>
        <v>18</v>
      </c>
      <c r="F32" s="137">
        <v>18.0</v>
      </c>
      <c r="G32" s="149"/>
      <c r="H32" s="129">
        <f t="shared" si="75"/>
        <v>3111.460165</v>
      </c>
      <c r="I32" s="129">
        <v>4165.555555555556</v>
      </c>
      <c r="J32" s="130">
        <f t="shared" si="76"/>
        <v>0.7469496261</v>
      </c>
      <c r="K32" s="129">
        <v>1054.0953906324269</v>
      </c>
      <c r="L32" s="149"/>
      <c r="M32" s="131">
        <v>0.0</v>
      </c>
      <c r="N32" s="143">
        <v>1.0</v>
      </c>
      <c r="O32" s="133">
        <f t="shared" si="77"/>
        <v>1502.729625</v>
      </c>
      <c r="P32" s="149"/>
      <c r="Q32" s="134">
        <f t="shared" si="78"/>
        <v>4.508188874</v>
      </c>
      <c r="R32" s="135">
        <f t="shared" si="79"/>
        <v>9.334380495</v>
      </c>
      <c r="S32" s="134">
        <f t="shared" si="80"/>
        <v>4.826191621</v>
      </c>
      <c r="T32" s="136">
        <f t="shared" si="81"/>
        <v>2.070538914</v>
      </c>
      <c r="U32" s="149"/>
      <c r="V32" s="94">
        <f t="shared" si="82"/>
        <v>28957.14973</v>
      </c>
      <c r="W32" s="94">
        <f t="shared" si="83"/>
        <v>74980</v>
      </c>
      <c r="X32" s="94">
        <f t="shared" si="84"/>
        <v>56006.28297</v>
      </c>
      <c r="Y32" s="94">
        <f t="shared" si="85"/>
        <v>18973.71703</v>
      </c>
      <c r="Z32" s="94">
        <f t="shared" si="86"/>
        <v>27049.13324</v>
      </c>
      <c r="AA32" s="94">
        <f t="shared" si="87"/>
        <v>151323.0833</v>
      </c>
      <c r="AB32" s="94">
        <f t="shared" si="88"/>
        <v>-122365.9335</v>
      </c>
    </row>
    <row r="33">
      <c r="A33" s="113" t="s">
        <v>192</v>
      </c>
      <c r="B33" s="116">
        <f>SUM(B34:B40)</f>
        <v>92879.54545</v>
      </c>
      <c r="C33" s="115">
        <f t="shared" ref="C33:D33" si="89">AVERAGE(C34:C40)</f>
        <v>0.05285714286</v>
      </c>
      <c r="D33" s="115">
        <f t="shared" si="89"/>
        <v>0.01614285714</v>
      </c>
      <c r="E33" s="150">
        <f t="shared" ref="E33:F33" si="90">SUM(E34:E40)</f>
        <v>397.3030303</v>
      </c>
      <c r="F33" s="150">
        <f t="shared" si="90"/>
        <v>459</v>
      </c>
      <c r="G33" s="151"/>
      <c r="H33" s="117">
        <f t="shared" ref="H33:K33" si="91">AVERAGE(H34:H40)</f>
        <v>415.3752464</v>
      </c>
      <c r="I33" s="117">
        <f t="shared" si="91"/>
        <v>1375.208313</v>
      </c>
      <c r="J33" s="118">
        <f t="shared" si="91"/>
        <v>0.01205927767</v>
      </c>
      <c r="K33" s="117">
        <f t="shared" si="91"/>
        <v>1054.095391</v>
      </c>
      <c r="L33" s="151"/>
      <c r="M33" s="120">
        <f t="shared" ref="M33:O33" si="92">AVERAGE(M34:M40)</f>
        <v>0</v>
      </c>
      <c r="N33" s="152">
        <f t="shared" si="92"/>
        <v>1.371428571</v>
      </c>
      <c r="O33" s="122">
        <f t="shared" si="92"/>
        <v>2226.933299</v>
      </c>
      <c r="P33" s="151"/>
      <c r="Q33" s="124">
        <f t="shared" ref="Q33:T33" si="93">AVERAGE(Q34:Q40)</f>
        <v>24.97876958</v>
      </c>
      <c r="R33" s="124">
        <f t="shared" si="93"/>
        <v>3.641442593</v>
      </c>
      <c r="S33" s="124">
        <f t="shared" si="93"/>
        <v>-21.33732699</v>
      </c>
      <c r="T33" s="118">
        <f t="shared" si="93"/>
        <v>2.567656691</v>
      </c>
      <c r="U33" s="151"/>
      <c r="V33" s="124">
        <f>AVERAGE(V34:V40)</f>
        <v>42403.75471</v>
      </c>
      <c r="W33" s="124">
        <f t="shared" ref="W33:Y33" si="94">SUM(W34:W40)</f>
        <v>970000</v>
      </c>
      <c r="X33" s="126">
        <f t="shared" si="94"/>
        <v>486170.2157</v>
      </c>
      <c r="Y33" s="126">
        <f t="shared" si="94"/>
        <v>483829.7843</v>
      </c>
      <c r="Z33" s="117">
        <f t="shared" ref="Z33:AA33" si="95">Z24/2</f>
        <v>189343.9327</v>
      </c>
      <c r="AA33" s="126">
        <f t="shared" si="95"/>
        <v>1059261.583</v>
      </c>
      <c r="AB33" s="126">
        <f>SUM(AB34:AB40)</f>
        <v>-762435.2999</v>
      </c>
    </row>
    <row r="34">
      <c r="A34" s="127" t="s">
        <v>198</v>
      </c>
      <c r="B34" s="89">
        <f t="shared" ref="B34:B40" si="96">E34*100%/D34</f>
        <v>52272.72727</v>
      </c>
      <c r="C34" s="91">
        <v>0.06</v>
      </c>
      <c r="D34" s="91">
        <v>0.004</v>
      </c>
      <c r="E34" s="89">
        <f t="shared" ref="E34:E40" si="97">F34/N34</f>
        <v>209.0909091</v>
      </c>
      <c r="F34" s="137">
        <v>230.0</v>
      </c>
      <c r="G34" s="149"/>
      <c r="H34" s="129">
        <f t="shared" ref="H34:H40" si="98">I34*J34*N34-M34</f>
        <v>2360.49507</v>
      </c>
      <c r="I34" s="129">
        <v>3200.0</v>
      </c>
      <c r="J34" s="130">
        <f t="shared" ref="J34:J40" si="99">(I34-K34)/I34</f>
        <v>0.6705951904</v>
      </c>
      <c r="K34" s="129">
        <v>1054.0953906324269</v>
      </c>
      <c r="L34" s="149"/>
      <c r="M34" s="131">
        <v>0.0</v>
      </c>
      <c r="N34" s="132">
        <v>1.1</v>
      </c>
      <c r="O34" s="133">
        <f t="shared" ref="O34:O40" si="100">Z34/E34</f>
        <v>129.3654199</v>
      </c>
      <c r="P34" s="149"/>
      <c r="Q34" s="134">
        <f t="shared" ref="Q34:Q40" si="101">Z34/B34</f>
        <v>0.5174616794</v>
      </c>
      <c r="R34" s="135">
        <f t="shared" ref="R34:R40" si="102">D34*H34</f>
        <v>9.441980281</v>
      </c>
      <c r="S34" s="134">
        <f t="shared" ref="S34:S40" si="103">R34-Q34</f>
        <v>8.924518602</v>
      </c>
      <c r="T34" s="136">
        <f t="shared" ref="T34:T40" si="104">R34/Q34</f>
        <v>18.24672368</v>
      </c>
      <c r="U34" s="149"/>
      <c r="V34" s="94">
        <f t="shared" ref="V34:V40" si="105">B34*(R34-Q34)</f>
        <v>466508.9269</v>
      </c>
      <c r="W34" s="94">
        <f t="shared" ref="W34:W40" si="106">I34*F34</f>
        <v>736000</v>
      </c>
      <c r="X34" s="94">
        <f t="shared" ref="X34:X40" si="107">E34*H34</f>
        <v>493558.0602</v>
      </c>
      <c r="Y34" s="94">
        <f t="shared" ref="Y34:Y40" si="108">W34-X34</f>
        <v>242441.9398</v>
      </c>
      <c r="Z34" s="94">
        <f t="shared" ref="Z34:Z40" si="109">$Z$33/7</f>
        <v>27049.13324</v>
      </c>
      <c r="AA34" s="94">
        <f>$AA$33/7</f>
        <v>151323.0833</v>
      </c>
      <c r="AB34" s="94">
        <f t="shared" ref="AB34:AB40" si="110">V34-AA34</f>
        <v>315185.8436</v>
      </c>
    </row>
    <row r="35">
      <c r="A35" s="127" t="s">
        <v>199</v>
      </c>
      <c r="B35" s="89">
        <f t="shared" si="96"/>
        <v>34848.48485</v>
      </c>
      <c r="C35" s="91">
        <v>0.05</v>
      </c>
      <c r="D35" s="91">
        <v>0.003</v>
      </c>
      <c r="E35" s="89">
        <f t="shared" si="97"/>
        <v>104.5454545</v>
      </c>
      <c r="F35" s="137">
        <v>115.0</v>
      </c>
      <c r="G35" s="149"/>
      <c r="H35" s="129">
        <f t="shared" si="98"/>
        <v>40.92985291</v>
      </c>
      <c r="I35" s="129">
        <v>1091.304347826087</v>
      </c>
      <c r="J35" s="130">
        <f t="shared" si="99"/>
        <v>0.03409585719</v>
      </c>
      <c r="K35" s="129">
        <v>1054.0953906324269</v>
      </c>
      <c r="L35" s="149"/>
      <c r="M35" s="131">
        <v>0.0</v>
      </c>
      <c r="N35" s="132">
        <v>1.1</v>
      </c>
      <c r="O35" s="133">
        <f t="shared" si="100"/>
        <v>258.7308397</v>
      </c>
      <c r="P35" s="149"/>
      <c r="Q35" s="134">
        <f t="shared" si="101"/>
        <v>0.7761925191</v>
      </c>
      <c r="R35" s="135">
        <f t="shared" si="102"/>
        <v>0.1227895587</v>
      </c>
      <c r="S35" s="134">
        <f t="shared" si="103"/>
        <v>-0.6534029604</v>
      </c>
      <c r="T35" s="136">
        <f t="shared" si="104"/>
        <v>0.1581947207</v>
      </c>
      <c r="U35" s="149"/>
      <c r="V35" s="94">
        <f t="shared" si="105"/>
        <v>-22770.10317</v>
      </c>
      <c r="W35" s="94">
        <f t="shared" si="106"/>
        <v>125500</v>
      </c>
      <c r="X35" s="94">
        <f t="shared" si="107"/>
        <v>4279.030077</v>
      </c>
      <c r="Y35" s="94">
        <f t="shared" si="108"/>
        <v>121220.9699</v>
      </c>
      <c r="Z35" s="94">
        <f t="shared" si="109"/>
        <v>27049.13324</v>
      </c>
      <c r="AA35" s="94">
        <f t="shared" ref="AA35:AA40" si="111">$AA$25/7</f>
        <v>151323.0833</v>
      </c>
      <c r="AB35" s="94">
        <f t="shared" si="110"/>
        <v>-174093.1864</v>
      </c>
    </row>
    <row r="36">
      <c r="A36" s="127" t="s">
        <v>200</v>
      </c>
      <c r="B36" s="89">
        <f t="shared" si="96"/>
        <v>1333.333333</v>
      </c>
      <c r="C36" s="91">
        <v>0.04</v>
      </c>
      <c r="D36" s="91">
        <v>0.03</v>
      </c>
      <c r="E36" s="89">
        <f t="shared" si="97"/>
        <v>40</v>
      </c>
      <c r="F36" s="137">
        <v>48.0</v>
      </c>
      <c r="G36" s="149"/>
      <c r="H36" s="138">
        <f t="shared" si="98"/>
        <v>-633.7144688</v>
      </c>
      <c r="I36" s="138">
        <v>526.0</v>
      </c>
      <c r="J36" s="139">
        <f t="shared" si="99"/>
        <v>-1.003983632</v>
      </c>
      <c r="K36" s="129">
        <v>1054.0953906324269</v>
      </c>
      <c r="L36" s="149"/>
      <c r="M36" s="131">
        <v>0.0</v>
      </c>
      <c r="N36" s="132">
        <v>1.2</v>
      </c>
      <c r="O36" s="133">
        <f t="shared" si="100"/>
        <v>676.2283311</v>
      </c>
      <c r="P36" s="149"/>
      <c r="Q36" s="134">
        <f t="shared" si="101"/>
        <v>20.28684993</v>
      </c>
      <c r="R36" s="135">
        <f t="shared" si="102"/>
        <v>-19.01143406</v>
      </c>
      <c r="S36" s="134">
        <f t="shared" si="103"/>
        <v>-39.29828399</v>
      </c>
      <c r="T36" s="136">
        <f t="shared" si="104"/>
        <v>-0.9371309063</v>
      </c>
      <c r="U36" s="149"/>
      <c r="V36" s="94">
        <f t="shared" si="105"/>
        <v>-52397.71199</v>
      </c>
      <c r="W36" s="94">
        <f t="shared" si="106"/>
        <v>25248</v>
      </c>
      <c r="X36" s="94">
        <f t="shared" si="107"/>
        <v>-25348.57875</v>
      </c>
      <c r="Y36" s="94">
        <f t="shared" si="108"/>
        <v>50596.57875</v>
      </c>
      <c r="Z36" s="94">
        <f t="shared" si="109"/>
        <v>27049.13324</v>
      </c>
      <c r="AA36" s="94">
        <f t="shared" si="111"/>
        <v>151323.0833</v>
      </c>
      <c r="AB36" s="94">
        <f t="shared" si="110"/>
        <v>-203720.7953</v>
      </c>
    </row>
    <row r="37">
      <c r="A37" s="127" t="s">
        <v>196</v>
      </c>
      <c r="B37" s="89">
        <f t="shared" si="96"/>
        <v>541.6666667</v>
      </c>
      <c r="C37" s="91">
        <v>0.06</v>
      </c>
      <c r="D37" s="91">
        <v>0.04</v>
      </c>
      <c r="E37" s="89">
        <f t="shared" si="97"/>
        <v>21.66666667</v>
      </c>
      <c r="F37" s="137">
        <v>26.0</v>
      </c>
      <c r="G37" s="149"/>
      <c r="H37" s="129">
        <f t="shared" si="98"/>
        <v>55.08553124</v>
      </c>
      <c r="I37" s="129">
        <v>1100.0</v>
      </c>
      <c r="J37" s="130">
        <f t="shared" si="99"/>
        <v>0.04173146306</v>
      </c>
      <c r="K37" s="129">
        <v>1054.0953906324269</v>
      </c>
      <c r="L37" s="149"/>
      <c r="M37" s="131">
        <v>0.0</v>
      </c>
      <c r="N37" s="132">
        <v>1.2</v>
      </c>
      <c r="O37" s="133">
        <f t="shared" si="100"/>
        <v>1248.421534</v>
      </c>
      <c r="P37" s="149"/>
      <c r="Q37" s="134">
        <f t="shared" si="101"/>
        <v>49.93686137</v>
      </c>
      <c r="R37" s="135">
        <f t="shared" si="102"/>
        <v>2.20342125</v>
      </c>
      <c r="S37" s="134">
        <f t="shared" si="103"/>
        <v>-47.73344012</v>
      </c>
      <c r="T37" s="136">
        <f t="shared" si="104"/>
        <v>0.04412414375</v>
      </c>
      <c r="U37" s="149"/>
      <c r="V37" s="94">
        <f t="shared" si="105"/>
        <v>-25855.6134</v>
      </c>
      <c r="W37" s="94">
        <f t="shared" si="106"/>
        <v>28600</v>
      </c>
      <c r="X37" s="94">
        <f t="shared" si="107"/>
        <v>1193.519844</v>
      </c>
      <c r="Y37" s="94">
        <f t="shared" si="108"/>
        <v>27406.48016</v>
      </c>
      <c r="Z37" s="94">
        <f t="shared" si="109"/>
        <v>27049.13324</v>
      </c>
      <c r="AA37" s="94">
        <f t="shared" si="111"/>
        <v>151323.0833</v>
      </c>
      <c r="AB37" s="94">
        <f t="shared" si="110"/>
        <v>-177178.6967</v>
      </c>
    </row>
    <row r="38">
      <c r="A38" s="127" t="s">
        <v>197</v>
      </c>
      <c r="B38" s="89">
        <f t="shared" si="96"/>
        <v>383.3333333</v>
      </c>
      <c r="C38" s="91">
        <v>0.05</v>
      </c>
      <c r="D38" s="91">
        <v>0.03</v>
      </c>
      <c r="E38" s="89">
        <f t="shared" si="97"/>
        <v>11.5</v>
      </c>
      <c r="F38" s="137">
        <v>23.0</v>
      </c>
      <c r="G38" s="149"/>
      <c r="H38" s="129">
        <f t="shared" si="98"/>
        <v>1091.809219</v>
      </c>
      <c r="I38" s="129">
        <v>1600.0</v>
      </c>
      <c r="J38" s="130">
        <f t="shared" si="99"/>
        <v>0.3411903809</v>
      </c>
      <c r="K38" s="129">
        <v>1054.0953906324269</v>
      </c>
      <c r="L38" s="149"/>
      <c r="M38" s="131">
        <v>0.0</v>
      </c>
      <c r="N38" s="132">
        <v>2.0</v>
      </c>
      <c r="O38" s="133">
        <f t="shared" si="100"/>
        <v>2352.098543</v>
      </c>
      <c r="P38" s="149"/>
      <c r="Q38" s="134">
        <f t="shared" si="101"/>
        <v>70.56295629</v>
      </c>
      <c r="R38" s="135">
        <f t="shared" si="102"/>
        <v>32.75427656</v>
      </c>
      <c r="S38" s="134">
        <f t="shared" si="103"/>
        <v>-37.80867972</v>
      </c>
      <c r="T38" s="136">
        <f t="shared" si="104"/>
        <v>0.4641851516</v>
      </c>
      <c r="U38" s="149"/>
      <c r="V38" s="94">
        <f t="shared" si="105"/>
        <v>-14493.32723</v>
      </c>
      <c r="W38" s="94">
        <f t="shared" si="106"/>
        <v>36800</v>
      </c>
      <c r="X38" s="94">
        <f t="shared" si="107"/>
        <v>12555.80602</v>
      </c>
      <c r="Y38" s="94">
        <f t="shared" si="108"/>
        <v>24244.19398</v>
      </c>
      <c r="Z38" s="94">
        <f t="shared" si="109"/>
        <v>27049.13324</v>
      </c>
      <c r="AA38" s="94">
        <f t="shared" si="111"/>
        <v>151323.0833</v>
      </c>
      <c r="AB38" s="94">
        <f t="shared" si="110"/>
        <v>-165816.4105</v>
      </c>
    </row>
    <row r="39">
      <c r="A39" s="127" t="s">
        <v>190</v>
      </c>
      <c r="B39" s="89">
        <f t="shared" si="96"/>
        <v>2166.666667</v>
      </c>
      <c r="C39" s="91">
        <v>0.07</v>
      </c>
      <c r="D39" s="91">
        <v>0.003</v>
      </c>
      <c r="E39" s="89">
        <f t="shared" si="97"/>
        <v>6.5</v>
      </c>
      <c r="F39" s="137">
        <v>13.0</v>
      </c>
      <c r="G39" s="149"/>
      <c r="H39" s="129">
        <f t="shared" si="98"/>
        <v>-15.88308896</v>
      </c>
      <c r="I39" s="129">
        <v>1046.1538461538462</v>
      </c>
      <c r="J39" s="130">
        <f t="shared" si="99"/>
        <v>-0.007591182222</v>
      </c>
      <c r="K39" s="129">
        <v>1054.0953906324269</v>
      </c>
      <c r="L39" s="149"/>
      <c r="M39" s="131">
        <v>0.0</v>
      </c>
      <c r="N39" s="132">
        <v>2.0</v>
      </c>
      <c r="O39" s="142">
        <f t="shared" si="100"/>
        <v>4161.405114</v>
      </c>
      <c r="P39" s="149"/>
      <c r="Q39" s="134">
        <f t="shared" si="101"/>
        <v>12.48421534</v>
      </c>
      <c r="R39" s="135">
        <f t="shared" si="102"/>
        <v>-0.04764926687</v>
      </c>
      <c r="S39" s="134">
        <f t="shared" si="103"/>
        <v>-12.53186461</v>
      </c>
      <c r="T39" s="136">
        <f t="shared" si="104"/>
        <v>-0.003816761051</v>
      </c>
      <c r="U39" s="149"/>
      <c r="V39" s="94">
        <f t="shared" si="105"/>
        <v>-27152.37332</v>
      </c>
      <c r="W39" s="94">
        <f t="shared" si="106"/>
        <v>13600</v>
      </c>
      <c r="X39" s="94">
        <f t="shared" si="107"/>
        <v>-103.2400782</v>
      </c>
      <c r="Y39" s="94">
        <f t="shared" si="108"/>
        <v>13703.24008</v>
      </c>
      <c r="Z39" s="94">
        <f t="shared" si="109"/>
        <v>27049.13324</v>
      </c>
      <c r="AA39" s="94">
        <f t="shared" si="111"/>
        <v>151323.0833</v>
      </c>
      <c r="AB39" s="94">
        <f t="shared" si="110"/>
        <v>-178475.4566</v>
      </c>
    </row>
    <row r="40">
      <c r="A40" s="127" t="s">
        <v>191</v>
      </c>
      <c r="B40" s="89">
        <f t="shared" si="96"/>
        <v>1333.333333</v>
      </c>
      <c r="C40" s="91">
        <v>0.04</v>
      </c>
      <c r="D40" s="91">
        <v>0.003</v>
      </c>
      <c r="E40" s="89">
        <f t="shared" si="97"/>
        <v>4</v>
      </c>
      <c r="F40" s="137">
        <v>4.0</v>
      </c>
      <c r="G40" s="149"/>
      <c r="H40" s="129">
        <f t="shared" si="98"/>
        <v>8.904609368</v>
      </c>
      <c r="I40" s="129">
        <v>1063.0</v>
      </c>
      <c r="J40" s="130">
        <f t="shared" si="99"/>
        <v>0.008376866762</v>
      </c>
      <c r="K40" s="129">
        <v>1054.0953906324269</v>
      </c>
      <c r="L40" s="149"/>
      <c r="M40" s="131">
        <v>0.0</v>
      </c>
      <c r="N40" s="143">
        <v>1.0</v>
      </c>
      <c r="O40" s="142">
        <f t="shared" si="100"/>
        <v>6762.283311</v>
      </c>
      <c r="P40" s="149"/>
      <c r="Q40" s="134">
        <f t="shared" si="101"/>
        <v>20.28684993</v>
      </c>
      <c r="R40" s="135">
        <f t="shared" si="102"/>
        <v>0.0267138281</v>
      </c>
      <c r="S40" s="134">
        <f t="shared" si="103"/>
        <v>-20.2601361</v>
      </c>
      <c r="T40" s="136">
        <f t="shared" si="104"/>
        <v>0.001316805132</v>
      </c>
      <c r="U40" s="149"/>
      <c r="V40" s="94">
        <f t="shared" si="105"/>
        <v>-27013.51481</v>
      </c>
      <c r="W40" s="94">
        <f t="shared" si="106"/>
        <v>4252</v>
      </c>
      <c r="X40" s="94">
        <f t="shared" si="107"/>
        <v>35.61843747</v>
      </c>
      <c r="Y40" s="94">
        <f t="shared" si="108"/>
        <v>4216.381563</v>
      </c>
      <c r="Z40" s="94">
        <f t="shared" si="109"/>
        <v>27049.13324</v>
      </c>
      <c r="AA40" s="94">
        <f t="shared" si="111"/>
        <v>151323.0833</v>
      </c>
      <c r="AB40" s="94">
        <f t="shared" si="110"/>
        <v>-178336.5981</v>
      </c>
    </row>
    <row r="41">
      <c r="A41" s="146" t="s">
        <v>79</v>
      </c>
      <c r="B41" s="103">
        <f>Sum(B42:B43)</f>
        <v>85138.63636</v>
      </c>
      <c r="C41" s="102">
        <f t="shared" ref="C41:D41" si="112">AVERAGE(C42:C43)</f>
        <v>0.045</v>
      </c>
      <c r="D41" s="102">
        <f t="shared" si="112"/>
        <v>0.0105</v>
      </c>
      <c r="E41" s="103">
        <f t="shared" ref="E41:F41" si="113">SUM(E42:E43)</f>
        <v>1581.863636</v>
      </c>
      <c r="F41" s="103">
        <f t="shared" si="113"/>
        <v>3158</v>
      </c>
      <c r="G41" s="103"/>
      <c r="H41" s="104">
        <f t="shared" ref="H41:O41" si="114">AVERAGE(H42:H43)</f>
        <v>170266.8104</v>
      </c>
      <c r="I41" s="104">
        <f t="shared" si="114"/>
        <v>155055.2151</v>
      </c>
      <c r="J41" s="105">
        <f t="shared" si="114"/>
        <v>-0.05096457265</v>
      </c>
      <c r="K41" s="104">
        <f t="shared" si="114"/>
        <v>220.0312113</v>
      </c>
      <c r="L41" s="103" t="str">
        <f t="shared" si="114"/>
        <v>#DIV/0!</v>
      </c>
      <c r="M41" s="104">
        <f t="shared" si="114"/>
        <v>0</v>
      </c>
      <c r="N41" s="103">
        <f t="shared" si="114"/>
        <v>1.55</v>
      </c>
      <c r="O41" s="108">
        <f t="shared" si="114"/>
        <v>6557.757099</v>
      </c>
      <c r="P41" s="103"/>
      <c r="Q41" s="110">
        <f t="shared" ref="Q41:T41" si="115">AVERAGE(Q42,Q43)</f>
        <v>7.058996543</v>
      </c>
      <c r="R41" s="110">
        <f t="shared" si="115"/>
        <v>168.0758207</v>
      </c>
      <c r="S41" s="110">
        <f t="shared" si="115"/>
        <v>161.0168242</v>
      </c>
      <c r="T41" s="105">
        <f t="shared" si="115"/>
        <v>10.857784</v>
      </c>
      <c r="U41" s="103"/>
      <c r="V41" s="110">
        <f t="shared" ref="V41:Y41" si="116">SUM(V42:V43)</f>
        <v>1638888.226</v>
      </c>
      <c r="W41" s="110">
        <f t="shared" si="116"/>
        <v>2500000</v>
      </c>
      <c r="X41" s="110">
        <f t="shared" si="116"/>
        <v>1805141.435</v>
      </c>
      <c r="Y41" s="110">
        <f t="shared" si="116"/>
        <v>694858.5652</v>
      </c>
      <c r="Z41" s="110">
        <f>SUM('расходы'!C123, 'расходы'!C125)</f>
        <v>166253.2092</v>
      </c>
      <c r="AA41" s="110">
        <f>SUM('услуги'!I30:I31)</f>
        <v>998818.4384</v>
      </c>
      <c r="AB41" s="103">
        <f>SUM(AB42:AB43)</f>
        <v>640069.7872</v>
      </c>
    </row>
    <row r="42">
      <c r="A42" s="127" t="s">
        <v>201</v>
      </c>
      <c r="B42" s="89">
        <f t="shared" ref="B42:B43" si="117">E42*100%/D42</f>
        <v>6363.636364</v>
      </c>
      <c r="C42" s="91">
        <v>0.04</v>
      </c>
      <c r="D42" s="153">
        <v>0.001</v>
      </c>
      <c r="E42" s="89">
        <f t="shared" ref="E42:E43" si="118">F42/N42</f>
        <v>6.363636364</v>
      </c>
      <c r="F42" s="137">
        <v>7.0</v>
      </c>
      <c r="G42" s="149"/>
      <c r="H42" s="129">
        <f t="shared" ref="H42:H43" si="119">I42*J42*N42-M42</f>
        <v>340764.2514</v>
      </c>
      <c r="I42" s="129">
        <v>310005.71428571426</v>
      </c>
      <c r="J42" s="130">
        <f t="shared" ref="J42:J43" si="120">(I42-K42)/I42</f>
        <v>0.999290235</v>
      </c>
      <c r="K42" s="129">
        <v>220.03121127295762</v>
      </c>
      <c r="L42" s="149"/>
      <c r="M42" s="131">
        <v>0.0</v>
      </c>
      <c r="N42" s="132">
        <v>1.1</v>
      </c>
      <c r="O42" s="142">
        <f t="shared" ref="O42:O43" si="121">Z42/E42</f>
        <v>13062.75215</v>
      </c>
      <c r="P42" s="149"/>
      <c r="Q42" s="134">
        <f t="shared" ref="Q42:Q43" si="122">Z42/B42</f>
        <v>13.06275215</v>
      </c>
      <c r="R42" s="135">
        <f t="shared" ref="R42:R43" si="123">D42*H42</f>
        <v>340.7642514</v>
      </c>
      <c r="S42" s="134">
        <f t="shared" ref="S42:S43" si="124">R42-Q42</f>
        <v>327.7014992</v>
      </c>
      <c r="T42" s="136">
        <f t="shared" ref="T42:T43" si="125">R42/Q42</f>
        <v>26.08671185</v>
      </c>
      <c r="U42" s="149"/>
      <c r="V42" s="94">
        <f t="shared" ref="V42:V43" si="126">B42*(R42-Q42)</f>
        <v>2085373.177</v>
      </c>
      <c r="W42" s="94">
        <f t="shared" ref="W42:W43" si="127">I42*F42</f>
        <v>2170040</v>
      </c>
      <c r="X42" s="94">
        <f t="shared" ref="X42:X43" si="128">E42*H42</f>
        <v>2168499.782</v>
      </c>
      <c r="Y42" s="94">
        <f t="shared" ref="Y42:Y43" si="129">W42-X42</f>
        <v>1540.218479</v>
      </c>
      <c r="Z42" s="94">
        <f t="shared" ref="Z42:Z43" si="130">$Z$41/2</f>
        <v>83126.6046</v>
      </c>
      <c r="AA42" s="94">
        <f>AA41/2</f>
        <v>499409.2192</v>
      </c>
      <c r="AB42" s="94">
        <f t="shared" ref="AB42:AB43" si="131">V42-AA42</f>
        <v>1585963.958</v>
      </c>
    </row>
    <row r="43">
      <c r="A43" s="127" t="s">
        <v>202</v>
      </c>
      <c r="B43" s="89">
        <f t="shared" si="117"/>
        <v>78775</v>
      </c>
      <c r="C43" s="91">
        <v>0.05</v>
      </c>
      <c r="D43" s="153">
        <v>0.02</v>
      </c>
      <c r="E43" s="89">
        <f t="shared" si="118"/>
        <v>1575.5</v>
      </c>
      <c r="F43" s="137">
        <v>3151.0</v>
      </c>
      <c r="G43" s="149"/>
      <c r="H43" s="138">
        <f t="shared" si="119"/>
        <v>-230.6304962</v>
      </c>
      <c r="I43" s="138">
        <v>104.71596318629007</v>
      </c>
      <c r="J43" s="139">
        <f t="shared" si="120"/>
        <v>-1.10121938</v>
      </c>
      <c r="K43" s="129">
        <v>220.03121127295762</v>
      </c>
      <c r="L43" s="149"/>
      <c r="M43" s="131">
        <v>0.0</v>
      </c>
      <c r="N43" s="132">
        <v>2.0</v>
      </c>
      <c r="O43" s="133">
        <f t="shared" si="121"/>
        <v>52.76204672</v>
      </c>
      <c r="P43" s="149"/>
      <c r="Q43" s="134">
        <f t="shared" si="122"/>
        <v>1.055240934</v>
      </c>
      <c r="R43" s="135">
        <f t="shared" si="123"/>
        <v>-4.612609923</v>
      </c>
      <c r="S43" s="134">
        <f t="shared" si="124"/>
        <v>-5.667850858</v>
      </c>
      <c r="T43" s="136">
        <f t="shared" si="125"/>
        <v>-4.371143853</v>
      </c>
      <c r="U43" s="149"/>
      <c r="V43" s="94">
        <f t="shared" si="126"/>
        <v>-446484.9513</v>
      </c>
      <c r="W43" s="94">
        <f t="shared" si="127"/>
        <v>329960</v>
      </c>
      <c r="X43" s="94">
        <f t="shared" si="128"/>
        <v>-363358.3467</v>
      </c>
      <c r="Y43" s="94">
        <f t="shared" si="129"/>
        <v>693318.3467</v>
      </c>
      <c r="Z43" s="94">
        <f t="shared" si="130"/>
        <v>83126.6046</v>
      </c>
      <c r="AA43" s="94">
        <f>AA41/2</f>
        <v>499409.2192</v>
      </c>
      <c r="AB43" s="94">
        <f t="shared" si="131"/>
        <v>-945894.1705</v>
      </c>
    </row>
    <row r="44">
      <c r="O44" s="133"/>
    </row>
    <row r="47">
      <c r="G47" s="154"/>
      <c r="H47" s="154"/>
      <c r="I47" s="154"/>
      <c r="J47" s="154"/>
      <c r="K47" s="154"/>
      <c r="R47" s="135">
        <f>X48/B48</f>
        <v>3.36</v>
      </c>
      <c r="V47" s="94">
        <f>X48-Z48</f>
        <v>360000</v>
      </c>
      <c r="Y47" s="94">
        <f>W48-X48</f>
        <v>1440000</v>
      </c>
    </row>
    <row r="48">
      <c r="A48" s="127" t="s">
        <v>203</v>
      </c>
      <c r="B48" s="89">
        <v>1000000.0</v>
      </c>
      <c r="C48" s="91"/>
      <c r="D48" s="153">
        <v>0.004</v>
      </c>
      <c r="E48" s="89">
        <f>B48*D48</f>
        <v>4000</v>
      </c>
      <c r="F48" s="137">
        <f>E48*N48</f>
        <v>4000</v>
      </c>
      <c r="G48" s="155"/>
      <c r="H48" s="156">
        <f>I48*J48</f>
        <v>840</v>
      </c>
      <c r="I48" s="131">
        <v>1200.0</v>
      </c>
      <c r="J48" s="157">
        <v>0.7</v>
      </c>
      <c r="K48" s="157">
        <f>1-J48</f>
        <v>0.3</v>
      </c>
      <c r="L48" s="95"/>
      <c r="M48" s="131"/>
      <c r="N48" s="143">
        <v>1.0</v>
      </c>
      <c r="O48" s="133"/>
      <c r="P48" s="93"/>
      <c r="Q48" s="158">
        <v>3.0</v>
      </c>
      <c r="R48" s="135">
        <f>D48*H48</f>
        <v>3.36</v>
      </c>
      <c r="S48" s="134">
        <f>R48-Q48</f>
        <v>0.36</v>
      </c>
      <c r="T48" s="136"/>
      <c r="U48" s="98"/>
      <c r="V48" s="94">
        <f>B48*(R48-Q48)</f>
        <v>360000</v>
      </c>
      <c r="W48" s="94">
        <f>I48*F48</f>
        <v>4800000</v>
      </c>
      <c r="X48" s="94">
        <f>E48*H48</f>
        <v>3360000</v>
      </c>
      <c r="Y48" s="94">
        <f>E48*I48*K48</f>
        <v>1440000</v>
      </c>
      <c r="Z48" s="159">
        <f>B48*Q48</f>
        <v>3000000</v>
      </c>
      <c r="AA48" s="94"/>
      <c r="AB48" s="94"/>
    </row>
    <row r="49">
      <c r="A49" s="21" t="s">
        <v>204</v>
      </c>
      <c r="B49" s="89"/>
      <c r="G49" s="154"/>
      <c r="H49" s="154"/>
      <c r="I49" s="154"/>
      <c r="J49" s="154"/>
      <c r="K49" s="154"/>
    </row>
    <row r="50">
      <c r="A50" s="21" t="s">
        <v>205</v>
      </c>
      <c r="B50" s="89">
        <v>1000000.0</v>
      </c>
      <c r="C50" s="91"/>
      <c r="D50" s="160">
        <v>0.006</v>
      </c>
      <c r="E50" s="89">
        <f>B50*D50</f>
        <v>6000</v>
      </c>
      <c r="F50" s="137">
        <f>E50*N50</f>
        <v>6000</v>
      </c>
      <c r="G50" s="155"/>
      <c r="H50" s="156">
        <f>I50*J50</f>
        <v>840</v>
      </c>
      <c r="I50" s="131">
        <v>1200.0</v>
      </c>
      <c r="J50" s="157">
        <v>0.7</v>
      </c>
      <c r="K50" s="157">
        <f>1-J50</f>
        <v>0.3</v>
      </c>
      <c r="L50" s="95"/>
      <c r="M50" s="131"/>
      <c r="N50" s="143">
        <v>1.0</v>
      </c>
      <c r="O50" s="133"/>
      <c r="P50" s="93"/>
      <c r="Q50" s="158">
        <v>3.0</v>
      </c>
      <c r="R50" s="135">
        <f>D50*H50</f>
        <v>5.04</v>
      </c>
      <c r="S50" s="134">
        <f>R50-Q50</f>
        <v>2.04</v>
      </c>
      <c r="T50" s="136"/>
      <c r="U50" s="98"/>
      <c r="V50" s="94">
        <f>B50*(R50-Q50)</f>
        <v>2040000</v>
      </c>
      <c r="W50" s="94">
        <f>I50*F50</f>
        <v>7200000</v>
      </c>
      <c r="X50" s="94">
        <f>E50*H50</f>
        <v>5040000</v>
      </c>
      <c r="Y50" s="94">
        <f>E50*I50*K50</f>
        <v>2160000</v>
      </c>
      <c r="Z50" s="159">
        <f>B50*Q50</f>
        <v>3000000</v>
      </c>
      <c r="AA50" s="94"/>
      <c r="AB50" s="94"/>
    </row>
    <row r="51">
      <c r="B51" s="89"/>
      <c r="X51" s="161">
        <f>X50/X48</f>
        <v>1.5</v>
      </c>
    </row>
    <row r="52">
      <c r="A52" s="21" t="s">
        <v>206</v>
      </c>
      <c r="B52" s="89">
        <v>1000000.0</v>
      </c>
      <c r="C52" s="91"/>
      <c r="D52" s="153">
        <v>0.004</v>
      </c>
      <c r="E52" s="89">
        <f>B52*D52</f>
        <v>4000</v>
      </c>
      <c r="F52" s="137">
        <f>E52*N52</f>
        <v>4000</v>
      </c>
      <c r="G52" s="155"/>
      <c r="H52" s="156">
        <f>I52*J52</f>
        <v>924</v>
      </c>
      <c r="I52" s="162">
        <f>1200+120</f>
        <v>1320</v>
      </c>
      <c r="J52" s="157">
        <v>0.7</v>
      </c>
      <c r="K52" s="157">
        <f>1-J52</f>
        <v>0.3</v>
      </c>
      <c r="L52" s="95"/>
      <c r="M52" s="131"/>
      <c r="N52" s="143">
        <v>1.0</v>
      </c>
      <c r="O52" s="133"/>
      <c r="P52" s="93"/>
      <c r="Q52" s="158">
        <v>3.0</v>
      </c>
      <c r="R52" s="135">
        <f>D52*H52</f>
        <v>3.696</v>
      </c>
      <c r="S52" s="134">
        <f>R52-Q52</f>
        <v>0.696</v>
      </c>
      <c r="T52" s="136"/>
      <c r="U52" s="98"/>
      <c r="V52" s="94">
        <f>B52*(R52-Q52)</f>
        <v>696000</v>
      </c>
      <c r="W52" s="94">
        <f>I52*F52</f>
        <v>5280000</v>
      </c>
      <c r="X52" s="94">
        <f>E52*H52</f>
        <v>3696000</v>
      </c>
      <c r="Y52" s="94">
        <f>E52*I52*K52</f>
        <v>1584000</v>
      </c>
      <c r="Z52" s="159">
        <f>B52*Q52</f>
        <v>3000000</v>
      </c>
      <c r="AA52" s="94"/>
      <c r="AB52" s="94"/>
    </row>
    <row r="53">
      <c r="X53" s="163">
        <f>X52/X48</f>
        <v>1.1</v>
      </c>
    </row>
    <row r="54">
      <c r="A54" s="21" t="s">
        <v>207</v>
      </c>
      <c r="B54" s="89">
        <v>1000000.0</v>
      </c>
      <c r="C54" s="91"/>
      <c r="D54" s="153">
        <v>0.004</v>
      </c>
      <c r="E54" s="89">
        <f>B54*D54</f>
        <v>4000</v>
      </c>
      <c r="F54" s="137">
        <f>E54*N54</f>
        <v>4800</v>
      </c>
      <c r="G54" s="155"/>
      <c r="H54" s="156">
        <f>I54*J54</f>
        <v>840</v>
      </c>
      <c r="I54" s="131">
        <v>1200.0</v>
      </c>
      <c r="J54" s="157">
        <v>0.7</v>
      </c>
      <c r="K54" s="157">
        <f>1-J54</f>
        <v>0.3</v>
      </c>
      <c r="L54" s="95"/>
      <c r="M54" s="131"/>
      <c r="N54" s="164">
        <v>1.2</v>
      </c>
      <c r="O54" s="133"/>
      <c r="P54" s="93"/>
      <c r="Q54" s="158">
        <v>3.0</v>
      </c>
      <c r="R54" s="135">
        <f>D54*H54</f>
        <v>3.36</v>
      </c>
      <c r="S54" s="134">
        <f>R54-Q54</f>
        <v>0.36</v>
      </c>
      <c r="T54" s="136"/>
      <c r="U54" s="98"/>
      <c r="V54" s="94">
        <f>B54*(R54-Q54)</f>
        <v>360000</v>
      </c>
      <c r="W54" s="94">
        <f>I54*F54</f>
        <v>5760000</v>
      </c>
      <c r="X54" s="94">
        <f>E54*H54</f>
        <v>3360000</v>
      </c>
      <c r="Y54" s="94">
        <f>E54*I54*K54</f>
        <v>1440000</v>
      </c>
      <c r="Z54" s="159">
        <f>B54*Q54</f>
        <v>3000000</v>
      </c>
      <c r="AA54" s="94"/>
      <c r="AB54" s="94"/>
    </row>
    <row r="55">
      <c r="A55" s="21" t="s">
        <v>208</v>
      </c>
      <c r="W55" s="163">
        <f t="shared" ref="W55:X55" si="132">W54/W48</f>
        <v>1.2</v>
      </c>
      <c r="X55" s="163">
        <f t="shared" si="132"/>
        <v>1</v>
      </c>
    </row>
  </sheetData>
  <mergeCells count="5">
    <mergeCell ref="G1:G3"/>
    <mergeCell ref="H1:N1"/>
    <mergeCell ref="P1:P3"/>
    <mergeCell ref="Q1:S1"/>
    <mergeCell ref="U1:U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2.86"/>
    <col customWidth="1" min="3" max="3" width="22.14"/>
    <col customWidth="1" min="4" max="4" width="17.43"/>
    <col customWidth="1" min="5" max="5" width="15.0"/>
    <col customWidth="1" min="6" max="6" width="18.14"/>
    <col customWidth="1" min="8" max="8" width="23.71"/>
    <col customWidth="1" hidden="1" min="14" max="14" width="17.0"/>
  </cols>
  <sheetData>
    <row r="1" ht="38.25" customHeight="1">
      <c r="A1" s="165" t="s">
        <v>28</v>
      </c>
      <c r="B1" s="165" t="s">
        <v>209</v>
      </c>
      <c r="C1" s="166" t="s">
        <v>163</v>
      </c>
      <c r="D1" s="167" t="s">
        <v>178</v>
      </c>
      <c r="E1" s="168" t="s">
        <v>210</v>
      </c>
      <c r="F1" s="169" t="s">
        <v>211</v>
      </c>
      <c r="G1" s="170" t="s">
        <v>212</v>
      </c>
      <c r="H1" s="171" t="s">
        <v>44</v>
      </c>
      <c r="I1" s="171" t="s">
        <v>34</v>
      </c>
      <c r="J1" s="171" t="s">
        <v>74</v>
      </c>
      <c r="K1" s="172" t="s">
        <v>213</v>
      </c>
      <c r="L1" s="172" t="s">
        <v>214</v>
      </c>
      <c r="M1" s="172" t="s">
        <v>215</v>
      </c>
      <c r="N1" s="170" t="s">
        <v>216</v>
      </c>
      <c r="O1" s="170" t="s">
        <v>167</v>
      </c>
    </row>
    <row r="2">
      <c r="A2" s="165" t="s">
        <v>32</v>
      </c>
      <c r="B2" s="165" t="s">
        <v>217</v>
      </c>
      <c r="C2" s="173">
        <v>662.0</v>
      </c>
      <c r="D2" s="174">
        <v>2721200.0</v>
      </c>
      <c r="E2" s="165" t="s">
        <v>218</v>
      </c>
      <c r="F2" s="175">
        <f t="shared" ref="F2:F15" si="1">C2/SUM($C$2:$C$15)</f>
        <v>0.3382728666</v>
      </c>
      <c r="G2" s="174">
        <f t="shared" ref="G2:G31" si="2">D2/C2</f>
        <v>4110.574018</v>
      </c>
      <c r="H2" s="176">
        <f>SUMIF('расходы'!$D$2:$D$43,"COGS",'расходы'!$C$2:$C$43) *F2</f>
        <v>820569.6728</v>
      </c>
      <c r="I2" s="176">
        <f>SUMIF('расходы'!$D$2:$D$43,"OPEX",'расходы'!$C$2:$C$43) *F2</f>
        <v>658509.733</v>
      </c>
      <c r="J2" s="176">
        <f>SUMIF('расходы'!$D$2:$D$43,"CAC",'расходы'!$C$2:$C$43) *F2</f>
        <v>128099.8298</v>
      </c>
      <c r="K2" s="177">
        <f t="shared" ref="K2:K31" si="3">H2/C2</f>
        <v>1239.531228</v>
      </c>
      <c r="L2" s="177">
        <f t="shared" ref="L2:L31" si="4">I2/C2</f>
        <v>994.7276933</v>
      </c>
      <c r="M2" s="177">
        <f t="shared" ref="M2:M31" si="5">J2/C2</f>
        <v>193.5042746</v>
      </c>
      <c r="N2" s="178">
        <f t="shared" ref="N2:N15" si="6">G2-SUM(K2)</f>
        <v>2871.04279</v>
      </c>
      <c r="O2" s="179">
        <f t="shared" ref="O2:O31" si="7">N2/G2</f>
        <v>0.6984530087</v>
      </c>
    </row>
    <row r="3">
      <c r="A3" s="165" t="s">
        <v>32</v>
      </c>
      <c r="B3" s="165" t="s">
        <v>219</v>
      </c>
      <c r="C3" s="173">
        <v>330.0</v>
      </c>
      <c r="D3" s="174">
        <v>796000.0</v>
      </c>
      <c r="E3" s="165" t="s">
        <v>218</v>
      </c>
      <c r="F3" s="175">
        <f t="shared" si="1"/>
        <v>0.1686254471</v>
      </c>
      <c r="G3" s="174">
        <f t="shared" si="2"/>
        <v>2412.121212</v>
      </c>
      <c r="H3" s="176">
        <f>SUMIF('расходы'!$D$2:$D$43,"COGS",'расходы'!$C$2:$C$43) *F3</f>
        <v>409045.3052</v>
      </c>
      <c r="I3" s="176">
        <f>SUMIF('расходы'!$D$2:$D$43,"OPEX",'расходы'!$C$2:$C$43) *F3</f>
        <v>328260.1388</v>
      </c>
      <c r="J3" s="176">
        <f>SUMIF('расходы'!$D$2:$D$43,"CAC",'расходы'!$C$2:$C$43) *F3</f>
        <v>63856.41062</v>
      </c>
      <c r="K3" s="177">
        <f t="shared" si="3"/>
        <v>1239.531228</v>
      </c>
      <c r="L3" s="177">
        <f t="shared" si="4"/>
        <v>994.7276933</v>
      </c>
      <c r="M3" s="177">
        <f t="shared" si="5"/>
        <v>193.5042746</v>
      </c>
      <c r="N3" s="178">
        <f t="shared" si="6"/>
        <v>1172.589984</v>
      </c>
      <c r="O3" s="179">
        <f t="shared" si="7"/>
        <v>0.4861239885</v>
      </c>
    </row>
    <row r="4">
      <c r="A4" s="165" t="s">
        <v>32</v>
      </c>
      <c r="B4" s="165" t="s">
        <v>220</v>
      </c>
      <c r="C4" s="173">
        <v>120.0</v>
      </c>
      <c r="D4" s="174">
        <v>65040.0</v>
      </c>
      <c r="E4" s="165" t="s">
        <v>218</v>
      </c>
      <c r="F4" s="175">
        <f t="shared" si="1"/>
        <v>0.0613183444</v>
      </c>
      <c r="G4" s="174">
        <f t="shared" si="2"/>
        <v>542</v>
      </c>
      <c r="H4" s="176">
        <f>SUMIF('расходы'!$D$2:$D$43,"COGS",'расходы'!$C$2:$C$43) *F4</f>
        <v>148743.7473</v>
      </c>
      <c r="I4" s="176">
        <f>SUMIF('расходы'!$D$2:$D$43,"OPEX",'расходы'!$C$2:$C$43) *F4</f>
        <v>119367.3232</v>
      </c>
      <c r="J4" s="176">
        <f>SUMIF('расходы'!$D$2:$D$43,"CAC",'расходы'!$C$2:$C$43) *F4</f>
        <v>23220.51295</v>
      </c>
      <c r="K4" s="177">
        <f t="shared" si="3"/>
        <v>1239.531228</v>
      </c>
      <c r="L4" s="177">
        <f t="shared" si="4"/>
        <v>994.7276933</v>
      </c>
      <c r="M4" s="177">
        <f t="shared" si="5"/>
        <v>193.5042746</v>
      </c>
      <c r="N4" s="178">
        <f t="shared" si="6"/>
        <v>-697.5312278</v>
      </c>
      <c r="O4" s="179">
        <f t="shared" si="7"/>
        <v>-1.286957985</v>
      </c>
    </row>
    <row r="5">
      <c r="A5" s="165" t="s">
        <v>32</v>
      </c>
      <c r="B5" s="165" t="s">
        <v>221</v>
      </c>
      <c r="C5" s="173">
        <v>90.0</v>
      </c>
      <c r="D5" s="174">
        <v>108000.0</v>
      </c>
      <c r="E5" s="165" t="s">
        <v>218</v>
      </c>
      <c r="F5" s="175">
        <f t="shared" si="1"/>
        <v>0.0459887583</v>
      </c>
      <c r="G5" s="174">
        <f t="shared" si="2"/>
        <v>1200</v>
      </c>
      <c r="H5" s="176">
        <f>SUMIF('расходы'!$D$2:$D$43,"COGS",'расходы'!$C$2:$C$43) *F5</f>
        <v>111557.8105</v>
      </c>
      <c r="I5" s="176">
        <f>SUMIF('расходы'!$D$2:$D$43,"OPEX",'расходы'!$C$2:$C$43) *F5</f>
        <v>89525.4924</v>
      </c>
      <c r="J5" s="176">
        <f>SUMIF('расходы'!$D$2:$D$43,"CAC",'расходы'!$C$2:$C$43) *F5</f>
        <v>17415.38471</v>
      </c>
      <c r="K5" s="177">
        <f t="shared" si="3"/>
        <v>1239.531228</v>
      </c>
      <c r="L5" s="177">
        <f t="shared" si="4"/>
        <v>994.7276933</v>
      </c>
      <c r="M5" s="177">
        <f t="shared" si="5"/>
        <v>193.5042746</v>
      </c>
      <c r="N5" s="178">
        <f t="shared" si="6"/>
        <v>-39.53122781</v>
      </c>
      <c r="O5" s="179">
        <f t="shared" si="7"/>
        <v>-0.03294268984</v>
      </c>
    </row>
    <row r="6">
      <c r="A6" s="165" t="s">
        <v>32</v>
      </c>
      <c r="B6" s="165" t="s">
        <v>222</v>
      </c>
      <c r="C6" s="173">
        <v>78.0</v>
      </c>
      <c r="D6" s="174">
        <v>85800.0</v>
      </c>
      <c r="E6" s="165" t="s">
        <v>218</v>
      </c>
      <c r="F6" s="175">
        <f t="shared" si="1"/>
        <v>0.03985692386</v>
      </c>
      <c r="G6" s="174">
        <f t="shared" si="2"/>
        <v>1100</v>
      </c>
      <c r="H6" s="176">
        <f>SUMIF('расходы'!$D$2:$D$43,"COGS",'расходы'!$C$2:$C$43) *F6</f>
        <v>96683.43577</v>
      </c>
      <c r="I6" s="176">
        <f>SUMIF('расходы'!$D$2:$D$43,"OPEX",'расходы'!$C$2:$C$43) *F6</f>
        <v>77588.76008</v>
      </c>
      <c r="J6" s="176">
        <f>SUMIF('расходы'!$D$2:$D$43,"CAC",'расходы'!$C$2:$C$43) *F6</f>
        <v>15093.33342</v>
      </c>
      <c r="K6" s="177">
        <f t="shared" si="3"/>
        <v>1239.531228</v>
      </c>
      <c r="L6" s="177">
        <f t="shared" si="4"/>
        <v>994.7276933</v>
      </c>
      <c r="M6" s="177">
        <f t="shared" si="5"/>
        <v>193.5042746</v>
      </c>
      <c r="N6" s="178">
        <f t="shared" si="6"/>
        <v>-139.5312278</v>
      </c>
      <c r="O6" s="179">
        <f t="shared" si="7"/>
        <v>-0.1268465707</v>
      </c>
    </row>
    <row r="7">
      <c r="A7" s="165" t="s">
        <v>32</v>
      </c>
      <c r="B7" s="165" t="s">
        <v>223</v>
      </c>
      <c r="C7" s="173">
        <v>15.0</v>
      </c>
      <c r="D7" s="174">
        <v>25500.0</v>
      </c>
      <c r="E7" s="165" t="s">
        <v>218</v>
      </c>
      <c r="F7" s="175">
        <f t="shared" si="1"/>
        <v>0.007664793051</v>
      </c>
      <c r="G7" s="174">
        <f t="shared" si="2"/>
        <v>1700</v>
      </c>
      <c r="H7" s="176">
        <f>SUMIF('расходы'!$D$2:$D$43,"COGS",'расходы'!$C$2:$C$43) *F7</f>
        <v>18592.96842</v>
      </c>
      <c r="I7" s="176">
        <f>SUMIF('расходы'!$D$2:$D$43,"OPEX",'расходы'!$C$2:$C$43) *F7</f>
        <v>14920.9154</v>
      </c>
      <c r="J7" s="176">
        <f>SUMIF('расходы'!$D$2:$D$43,"CAC",'расходы'!$C$2:$C$43) *F7</f>
        <v>2902.564119</v>
      </c>
      <c r="K7" s="177">
        <f t="shared" si="3"/>
        <v>1239.531228</v>
      </c>
      <c r="L7" s="177">
        <f t="shared" si="4"/>
        <v>994.7276933</v>
      </c>
      <c r="M7" s="177">
        <f t="shared" si="5"/>
        <v>193.5042746</v>
      </c>
      <c r="N7" s="178">
        <f t="shared" si="6"/>
        <v>460.4687722</v>
      </c>
      <c r="O7" s="179">
        <f t="shared" si="7"/>
        <v>0.2708639836</v>
      </c>
    </row>
    <row r="8">
      <c r="A8" s="165" t="s">
        <v>32</v>
      </c>
      <c r="B8" s="165" t="s">
        <v>224</v>
      </c>
      <c r="C8" s="173">
        <v>30.0</v>
      </c>
      <c r="D8" s="174">
        <v>198460.0</v>
      </c>
      <c r="E8" s="165" t="s">
        <v>218</v>
      </c>
      <c r="F8" s="175">
        <f t="shared" si="1"/>
        <v>0.0153295861</v>
      </c>
      <c r="G8" s="174">
        <f t="shared" si="2"/>
        <v>6615.333333</v>
      </c>
      <c r="H8" s="176">
        <f>SUMIF('расходы'!$D$2:$D$43,"COGS",'расходы'!$C$2:$C$43) *F8</f>
        <v>37185.93683</v>
      </c>
      <c r="I8" s="176">
        <f>SUMIF('расходы'!$D$2:$D$43,"OPEX",'расходы'!$C$2:$C$43) *F8</f>
        <v>29841.8308</v>
      </c>
      <c r="J8" s="176">
        <f>SUMIF('расходы'!$D$2:$D$43,"CAC",'расходы'!$C$2:$C$43) *F8</f>
        <v>5805.128238</v>
      </c>
      <c r="K8" s="177">
        <f t="shared" si="3"/>
        <v>1239.531228</v>
      </c>
      <c r="L8" s="177">
        <f t="shared" si="4"/>
        <v>994.7276933</v>
      </c>
      <c r="M8" s="177">
        <f t="shared" si="5"/>
        <v>193.5042746</v>
      </c>
      <c r="N8" s="178">
        <f t="shared" si="6"/>
        <v>5375.802106</v>
      </c>
      <c r="O8" s="179">
        <f t="shared" si="7"/>
        <v>0.8126275479</v>
      </c>
    </row>
    <row r="9">
      <c r="A9" s="165" t="s">
        <v>32</v>
      </c>
      <c r="B9" s="165" t="s">
        <v>217</v>
      </c>
      <c r="C9" s="173">
        <v>316.0</v>
      </c>
      <c r="D9" s="174">
        <v>1061200.0</v>
      </c>
      <c r="E9" s="165" t="s">
        <v>225</v>
      </c>
      <c r="F9" s="175">
        <f t="shared" si="1"/>
        <v>0.1614716403</v>
      </c>
      <c r="G9" s="174">
        <f t="shared" si="2"/>
        <v>3358.227848</v>
      </c>
      <c r="H9" s="176">
        <f>SUMIF('расходы'!$D$2:$D$43,"COGS",'расходы'!$C$2:$C$43) *F9</f>
        <v>391691.868</v>
      </c>
      <c r="I9" s="176">
        <f>SUMIF('расходы'!$D$2:$D$43,"OPEX",'расходы'!$C$2:$C$43) *F9</f>
        <v>314333.9511</v>
      </c>
      <c r="J9" s="176">
        <f>SUMIF('расходы'!$D$2:$D$43,"CAC",'расходы'!$C$2:$C$43) *F9</f>
        <v>61147.35077</v>
      </c>
      <c r="K9" s="177">
        <f t="shared" si="3"/>
        <v>1239.531228</v>
      </c>
      <c r="L9" s="177">
        <f t="shared" si="4"/>
        <v>994.7276933</v>
      </c>
      <c r="M9" s="177">
        <f t="shared" si="5"/>
        <v>193.5042746</v>
      </c>
      <c r="N9" s="178">
        <f t="shared" si="6"/>
        <v>2118.69662</v>
      </c>
      <c r="O9" s="179">
        <f t="shared" si="7"/>
        <v>0.630897222</v>
      </c>
    </row>
    <row r="10">
      <c r="A10" s="165" t="s">
        <v>32</v>
      </c>
      <c r="B10" s="165" t="s">
        <v>219</v>
      </c>
      <c r="C10" s="173">
        <v>158.0</v>
      </c>
      <c r="D10" s="174">
        <v>301200.0</v>
      </c>
      <c r="E10" s="165" t="s">
        <v>225</v>
      </c>
      <c r="F10" s="175">
        <f t="shared" si="1"/>
        <v>0.08073582013</v>
      </c>
      <c r="G10" s="174">
        <f t="shared" si="2"/>
        <v>1906.329114</v>
      </c>
      <c r="H10" s="176">
        <f>SUMIF('расходы'!$D$2:$D$43,"COGS",'расходы'!$C$2:$C$43) *F10</f>
        <v>195845.934</v>
      </c>
      <c r="I10" s="176">
        <f>SUMIF('расходы'!$D$2:$D$43,"OPEX",'расходы'!$C$2:$C$43) *F10</f>
        <v>157166.9755</v>
      </c>
      <c r="J10" s="176">
        <f>SUMIF('расходы'!$D$2:$D$43,"CAC",'расходы'!$C$2:$C$43) *F10</f>
        <v>30573.67539</v>
      </c>
      <c r="K10" s="177">
        <f t="shared" si="3"/>
        <v>1239.531228</v>
      </c>
      <c r="L10" s="177">
        <f t="shared" si="4"/>
        <v>994.7276933</v>
      </c>
      <c r="M10" s="177">
        <f t="shared" si="5"/>
        <v>193.5042746</v>
      </c>
      <c r="N10" s="178">
        <f t="shared" si="6"/>
        <v>666.7978861</v>
      </c>
      <c r="O10" s="179">
        <f t="shared" si="7"/>
        <v>0.3497810956</v>
      </c>
    </row>
    <row r="11">
      <c r="A11" s="165" t="s">
        <v>32</v>
      </c>
      <c r="B11" s="165" t="s">
        <v>220</v>
      </c>
      <c r="C11" s="173">
        <v>85.0</v>
      </c>
      <c r="D11" s="174">
        <v>48090.0</v>
      </c>
      <c r="E11" s="165" t="s">
        <v>225</v>
      </c>
      <c r="F11" s="175">
        <f t="shared" si="1"/>
        <v>0.04343382729</v>
      </c>
      <c r="G11" s="174">
        <f t="shared" si="2"/>
        <v>565.7647059</v>
      </c>
      <c r="H11" s="176">
        <f>SUMIF('расходы'!$D$2:$D$43,"COGS",'расходы'!$C$2:$C$43) *F11</f>
        <v>105360.1544</v>
      </c>
      <c r="I11" s="176">
        <f>SUMIF('расходы'!$D$2:$D$43,"OPEX",'расходы'!$C$2:$C$43) *F11</f>
        <v>84551.85393</v>
      </c>
      <c r="J11" s="176">
        <f>SUMIF('расходы'!$D$2:$D$43,"CAC",'расходы'!$C$2:$C$43) *F11</f>
        <v>16447.86334</v>
      </c>
      <c r="K11" s="177">
        <f t="shared" si="3"/>
        <v>1239.531228</v>
      </c>
      <c r="L11" s="177">
        <f t="shared" si="4"/>
        <v>994.7276933</v>
      </c>
      <c r="M11" s="177">
        <f t="shared" si="5"/>
        <v>193.5042746</v>
      </c>
      <c r="N11" s="178">
        <f t="shared" si="6"/>
        <v>-673.7665219</v>
      </c>
      <c r="O11" s="179">
        <f t="shared" si="7"/>
        <v>-1.190895287</v>
      </c>
    </row>
    <row r="12">
      <c r="A12" s="165" t="s">
        <v>32</v>
      </c>
      <c r="B12" s="165" t="s">
        <v>221</v>
      </c>
      <c r="C12" s="173">
        <v>36.0</v>
      </c>
      <c r="D12" s="174">
        <v>40600.0</v>
      </c>
      <c r="E12" s="165" t="s">
        <v>225</v>
      </c>
      <c r="F12" s="175">
        <f t="shared" si="1"/>
        <v>0.01839550332</v>
      </c>
      <c r="G12" s="174">
        <f t="shared" si="2"/>
        <v>1127.777778</v>
      </c>
      <c r="H12" s="176">
        <f>SUMIF('расходы'!$D$2:$D$43,"COGS",'расходы'!$C$2:$C$43) *F12</f>
        <v>44623.1242</v>
      </c>
      <c r="I12" s="176">
        <f>SUMIF('расходы'!$D$2:$D$43,"OPEX",'расходы'!$C$2:$C$43) *F12</f>
        <v>35810.19696</v>
      </c>
      <c r="J12" s="176">
        <f>SUMIF('расходы'!$D$2:$D$43,"CAC",'расходы'!$C$2:$C$43) *F12</f>
        <v>6966.153886</v>
      </c>
      <c r="K12" s="177">
        <f t="shared" si="3"/>
        <v>1239.531228</v>
      </c>
      <c r="L12" s="177">
        <f t="shared" si="4"/>
        <v>994.7276933</v>
      </c>
      <c r="M12" s="177">
        <f t="shared" si="5"/>
        <v>193.5042746</v>
      </c>
      <c r="N12" s="178">
        <f t="shared" si="6"/>
        <v>-111.75345</v>
      </c>
      <c r="O12" s="179">
        <f t="shared" si="7"/>
        <v>-0.0990917291</v>
      </c>
    </row>
    <row r="13">
      <c r="A13" s="165" t="s">
        <v>32</v>
      </c>
      <c r="B13" s="165" t="s">
        <v>222</v>
      </c>
      <c r="C13" s="173">
        <v>18.0</v>
      </c>
      <c r="D13" s="174">
        <v>21600.0</v>
      </c>
      <c r="E13" s="165" t="s">
        <v>225</v>
      </c>
      <c r="F13" s="175">
        <f t="shared" si="1"/>
        <v>0.009197751661</v>
      </c>
      <c r="G13" s="174">
        <f t="shared" si="2"/>
        <v>1200</v>
      </c>
      <c r="H13" s="176">
        <f>SUMIF('расходы'!$D$2:$D$43,"COGS",'расходы'!$C$2:$C$43) *F13</f>
        <v>22311.5621</v>
      </c>
      <c r="I13" s="176">
        <f>SUMIF('расходы'!$D$2:$D$43,"OPEX",'расходы'!$C$2:$C$43) *F13</f>
        <v>17905.09848</v>
      </c>
      <c r="J13" s="176">
        <f>SUMIF('расходы'!$D$2:$D$43,"CAC",'расходы'!$C$2:$C$43) *F13</f>
        <v>3483.076943</v>
      </c>
      <c r="K13" s="177">
        <f t="shared" si="3"/>
        <v>1239.531228</v>
      </c>
      <c r="L13" s="177">
        <f t="shared" si="4"/>
        <v>994.7276933</v>
      </c>
      <c r="M13" s="177">
        <f t="shared" si="5"/>
        <v>193.5042746</v>
      </c>
      <c r="N13" s="178">
        <f t="shared" si="6"/>
        <v>-39.53122781</v>
      </c>
      <c r="O13" s="179">
        <f t="shared" si="7"/>
        <v>-0.03294268984</v>
      </c>
    </row>
    <row r="14">
      <c r="A14" s="165" t="s">
        <v>32</v>
      </c>
      <c r="B14" s="165" t="s">
        <v>223</v>
      </c>
      <c r="C14" s="173">
        <v>14.0</v>
      </c>
      <c r="D14" s="174">
        <v>18040.0</v>
      </c>
      <c r="E14" s="165" t="s">
        <v>225</v>
      </c>
      <c r="F14" s="175">
        <f t="shared" si="1"/>
        <v>0.007153806847</v>
      </c>
      <c r="G14" s="174">
        <f t="shared" si="2"/>
        <v>1288.571429</v>
      </c>
      <c r="H14" s="176">
        <f>SUMIF('расходы'!$D$2:$D$43,"COGS",'расходы'!$C$2:$C$43) *F14</f>
        <v>17353.43719</v>
      </c>
      <c r="I14" s="176">
        <f>SUMIF('расходы'!$D$2:$D$43,"OPEX",'расходы'!$C$2:$C$43) *F14</f>
        <v>13926.18771</v>
      </c>
      <c r="J14" s="176">
        <f>SUMIF('расходы'!$D$2:$D$43,"CAC",'расходы'!$C$2:$C$43) *F14</f>
        <v>2709.059844</v>
      </c>
      <c r="K14" s="177">
        <f t="shared" si="3"/>
        <v>1239.531228</v>
      </c>
      <c r="L14" s="177">
        <f t="shared" si="4"/>
        <v>994.7276933</v>
      </c>
      <c r="M14" s="177">
        <f t="shared" si="5"/>
        <v>193.5042746</v>
      </c>
      <c r="N14" s="178">
        <f t="shared" si="6"/>
        <v>49.04020076</v>
      </c>
      <c r="O14" s="179">
        <f t="shared" si="7"/>
        <v>0.03805780547</v>
      </c>
    </row>
    <row r="15">
      <c r="A15" s="180" t="s">
        <v>32</v>
      </c>
      <c r="B15" s="180" t="s">
        <v>224</v>
      </c>
      <c r="C15" s="181">
        <v>5.0</v>
      </c>
      <c r="D15" s="182">
        <v>9270.0</v>
      </c>
      <c r="E15" s="180" t="s">
        <v>225</v>
      </c>
      <c r="F15" s="183">
        <f t="shared" si="1"/>
        <v>0.002554931017</v>
      </c>
      <c r="G15" s="182">
        <f t="shared" si="2"/>
        <v>1854</v>
      </c>
      <c r="H15" s="184">
        <f>SUMIF('расходы'!$D$2:$D$43,"COGS",'расходы'!$C$2:$C$43) *F15</f>
        <v>6197.656139</v>
      </c>
      <c r="I15" s="184">
        <f>SUMIF('расходы'!$D$2:$D$43,"OPEX",'расходы'!$C$2:$C$43) *F15</f>
        <v>4973.638467</v>
      </c>
      <c r="J15" s="184">
        <f>SUMIF('расходы'!$D$2:$D$43,"CAC",'расходы'!$C$2:$C$43) *F15</f>
        <v>967.521373</v>
      </c>
      <c r="K15" s="185">
        <f t="shared" si="3"/>
        <v>1239.531228</v>
      </c>
      <c r="L15" s="185">
        <f t="shared" si="4"/>
        <v>994.7276933</v>
      </c>
      <c r="M15" s="185">
        <f t="shared" si="5"/>
        <v>193.5042746</v>
      </c>
      <c r="N15" s="178">
        <f t="shared" si="6"/>
        <v>614.4687722</v>
      </c>
      <c r="O15" s="186">
        <f t="shared" si="7"/>
        <v>0.3314286797</v>
      </c>
    </row>
    <row r="16">
      <c r="A16" s="165" t="s">
        <v>77</v>
      </c>
      <c r="B16" s="165" t="s">
        <v>217</v>
      </c>
      <c r="C16" s="173">
        <v>893.0</v>
      </c>
      <c r="D16" s="174">
        <v>3257600.0</v>
      </c>
      <c r="E16" s="165" t="s">
        <v>218</v>
      </c>
      <c r="F16" s="175">
        <f t="shared" ref="F16:F29" si="8">C16/SUM($C$16:$C$29)</f>
        <v>0.3977728285</v>
      </c>
      <c r="G16" s="174">
        <f t="shared" si="2"/>
        <v>3647.928331</v>
      </c>
      <c r="H16" s="176">
        <f>SUMIF('расходы'!$D$44:$D$85,"COGS",'расходы'!$C$44:$C$85)*F16</f>
        <v>941307.1838</v>
      </c>
      <c r="I16" s="176">
        <f>SUMIF('расходы'!$D$44:$D$85,"OPEX",'расходы'!$C$44:$C$85)*F16</f>
        <v>842690.9519</v>
      </c>
      <c r="J16" s="176">
        <f>SUMIF('расходы'!$D$44:$D$85,"CAC",'расходы'!$C$44:$C$85)*F16</f>
        <v>150631.7433</v>
      </c>
      <c r="K16" s="177">
        <f t="shared" si="3"/>
        <v>1054.095391</v>
      </c>
      <c r="L16" s="177">
        <f t="shared" si="4"/>
        <v>943.6628801</v>
      </c>
      <c r="M16" s="177">
        <f t="shared" si="5"/>
        <v>168.6805637</v>
      </c>
      <c r="N16" s="178">
        <f t="shared" ref="N16:N31" si="9">G16-SUM(K16:M16)</f>
        <v>1481.489497</v>
      </c>
      <c r="O16" s="179">
        <f t="shared" si="7"/>
        <v>0.4061180381</v>
      </c>
    </row>
    <row r="17">
      <c r="A17" s="165" t="s">
        <v>77</v>
      </c>
      <c r="B17" s="165" t="s">
        <v>219</v>
      </c>
      <c r="C17" s="173">
        <v>446.0</v>
      </c>
      <c r="D17" s="174">
        <v>788200.0</v>
      </c>
      <c r="E17" s="165" t="s">
        <v>218</v>
      </c>
      <c r="F17" s="175">
        <f t="shared" si="8"/>
        <v>0.1986636971</v>
      </c>
      <c r="G17" s="174">
        <f t="shared" si="2"/>
        <v>1767.264574</v>
      </c>
      <c r="H17" s="176">
        <f>SUMIF('расходы'!$D$44:$D$85,"COGS",'расходы'!$C$44:$C$85)*F17</f>
        <v>470126.5442</v>
      </c>
      <c r="I17" s="176">
        <f>SUMIF('расходы'!$D$44:$D$85,"OPEX",'расходы'!$C$44:$C$85)*F17</f>
        <v>420873.6445</v>
      </c>
      <c r="J17" s="176">
        <f>SUMIF('расходы'!$D$44:$D$85,"CAC",'расходы'!$C$44:$C$85)*F17</f>
        <v>75231.53139</v>
      </c>
      <c r="K17" s="177">
        <f t="shared" si="3"/>
        <v>1054.095391</v>
      </c>
      <c r="L17" s="177">
        <f t="shared" si="4"/>
        <v>943.6628801</v>
      </c>
      <c r="M17" s="177">
        <f t="shared" si="5"/>
        <v>168.6805637</v>
      </c>
      <c r="N17" s="178">
        <f t="shared" si="9"/>
        <v>-399.1742604</v>
      </c>
      <c r="O17" s="179">
        <f t="shared" si="7"/>
        <v>-0.2258712511</v>
      </c>
    </row>
    <row r="18">
      <c r="A18" s="165" t="s">
        <v>77</v>
      </c>
      <c r="B18" s="165" t="s">
        <v>220</v>
      </c>
      <c r="C18" s="173">
        <v>220.0</v>
      </c>
      <c r="D18" s="174">
        <v>115720.0</v>
      </c>
      <c r="E18" s="165" t="s">
        <v>218</v>
      </c>
      <c r="F18" s="175">
        <f t="shared" si="8"/>
        <v>0.09799554566</v>
      </c>
      <c r="G18" s="174">
        <f t="shared" si="2"/>
        <v>526</v>
      </c>
      <c r="H18" s="176">
        <f>SUMIF('расходы'!$D$44:$D$85,"COGS",'расходы'!$C$44:$C$85)*F18</f>
        <v>231900.9859</v>
      </c>
      <c r="I18" s="176">
        <f>SUMIF('расходы'!$D$44:$D$85,"OPEX",'расходы'!$C$44:$C$85)*F18</f>
        <v>207605.8336</v>
      </c>
      <c r="J18" s="176">
        <f>SUMIF('расходы'!$D$44:$D$85,"CAC",'расходы'!$C$44:$C$85)*F18</f>
        <v>37109.724</v>
      </c>
      <c r="K18" s="177">
        <f t="shared" si="3"/>
        <v>1054.095391</v>
      </c>
      <c r="L18" s="177">
        <f t="shared" si="4"/>
        <v>943.6628801</v>
      </c>
      <c r="M18" s="177">
        <f t="shared" si="5"/>
        <v>168.6805637</v>
      </c>
      <c r="N18" s="178">
        <f t="shared" si="9"/>
        <v>-1640.438834</v>
      </c>
      <c r="O18" s="179">
        <f t="shared" si="7"/>
        <v>-3.118705008</v>
      </c>
    </row>
    <row r="19">
      <c r="A19" s="165" t="s">
        <v>77</v>
      </c>
      <c r="B19" s="165" t="s">
        <v>221</v>
      </c>
      <c r="C19" s="173">
        <v>105.0</v>
      </c>
      <c r="D19" s="174">
        <v>115500.0</v>
      </c>
      <c r="E19" s="165" t="s">
        <v>218</v>
      </c>
      <c r="F19" s="175">
        <f t="shared" si="8"/>
        <v>0.04677060134</v>
      </c>
      <c r="G19" s="174">
        <f t="shared" si="2"/>
        <v>1100</v>
      </c>
      <c r="H19" s="176">
        <f>SUMIF('расходы'!$D$44:$D$85,"COGS",'расходы'!$C$44:$C$85)*F19</f>
        <v>110680.016</v>
      </c>
      <c r="I19" s="176">
        <f>SUMIF('расходы'!$D$44:$D$85,"OPEX",'расходы'!$C$44:$C$85)*F19</f>
        <v>99084.60241</v>
      </c>
      <c r="J19" s="176">
        <f>SUMIF('расходы'!$D$44:$D$85,"CAC",'расходы'!$C$44:$C$85)*F19</f>
        <v>17711.45918</v>
      </c>
      <c r="K19" s="177">
        <f t="shared" si="3"/>
        <v>1054.095391</v>
      </c>
      <c r="L19" s="177">
        <f t="shared" si="4"/>
        <v>943.6628801</v>
      </c>
      <c r="M19" s="177">
        <f t="shared" si="5"/>
        <v>168.6805637</v>
      </c>
      <c r="N19" s="178">
        <f t="shared" si="9"/>
        <v>-1066.438834</v>
      </c>
      <c r="O19" s="179">
        <f t="shared" si="7"/>
        <v>-0.9694898494</v>
      </c>
    </row>
    <row r="20">
      <c r="A20" s="165" t="s">
        <v>77</v>
      </c>
      <c r="B20" s="165" t="s">
        <v>222</v>
      </c>
      <c r="C20" s="173">
        <v>58.0</v>
      </c>
      <c r="D20" s="174">
        <v>92800.0</v>
      </c>
      <c r="E20" s="165" t="s">
        <v>218</v>
      </c>
      <c r="F20" s="175">
        <f t="shared" si="8"/>
        <v>0.02583518931</v>
      </c>
      <c r="G20" s="174">
        <f t="shared" si="2"/>
        <v>1600</v>
      </c>
      <c r="H20" s="176">
        <f>SUMIF('расходы'!$D$44:$D$85,"COGS",'расходы'!$C$44:$C$85)*F20</f>
        <v>61137.53266</v>
      </c>
      <c r="I20" s="176">
        <f>SUMIF('расходы'!$D$44:$D$85,"OPEX",'расходы'!$C$44:$C$85)*F20</f>
        <v>54732.44705</v>
      </c>
      <c r="J20" s="176">
        <f>SUMIF('расходы'!$D$44:$D$85,"CAC",'расходы'!$C$44:$C$85)*F20</f>
        <v>9783.472692</v>
      </c>
      <c r="K20" s="177">
        <f t="shared" si="3"/>
        <v>1054.095391</v>
      </c>
      <c r="L20" s="177">
        <f t="shared" si="4"/>
        <v>943.6628801</v>
      </c>
      <c r="M20" s="177">
        <f t="shared" si="5"/>
        <v>168.6805637</v>
      </c>
      <c r="N20" s="178">
        <f t="shared" si="9"/>
        <v>-566.4388344</v>
      </c>
      <c r="O20" s="179">
        <f t="shared" si="7"/>
        <v>-0.3540242715</v>
      </c>
    </row>
    <row r="21" ht="15.75" customHeight="1">
      <c r="A21" s="165" t="s">
        <v>77</v>
      </c>
      <c r="B21" s="165" t="s">
        <v>223</v>
      </c>
      <c r="C21" s="173">
        <v>46.0</v>
      </c>
      <c r="D21" s="174">
        <v>55200.0</v>
      </c>
      <c r="E21" s="165" t="s">
        <v>218</v>
      </c>
      <c r="F21" s="175">
        <f t="shared" si="8"/>
        <v>0.02048997773</v>
      </c>
      <c r="G21" s="174">
        <f t="shared" si="2"/>
        <v>1200</v>
      </c>
      <c r="H21" s="176">
        <f>SUMIF('расходы'!$D$44:$D$85,"COGS",'расходы'!$C$44:$C$85)*F21</f>
        <v>48488.38797</v>
      </c>
      <c r="I21" s="176">
        <f>SUMIF('расходы'!$D$44:$D$85,"OPEX",'расходы'!$C$44:$C$85)*F21</f>
        <v>43408.49248</v>
      </c>
      <c r="J21" s="176">
        <f>SUMIF('расходы'!$D$44:$D$85,"CAC",'расходы'!$C$44:$C$85)*F21</f>
        <v>7759.305928</v>
      </c>
      <c r="K21" s="177">
        <f t="shared" si="3"/>
        <v>1054.095391</v>
      </c>
      <c r="L21" s="177">
        <f t="shared" si="4"/>
        <v>943.6628801</v>
      </c>
      <c r="M21" s="177">
        <f t="shared" si="5"/>
        <v>168.6805637</v>
      </c>
      <c r="N21" s="178">
        <f t="shared" si="9"/>
        <v>-966.4388344</v>
      </c>
      <c r="O21" s="179">
        <f t="shared" si="7"/>
        <v>-0.8053656953</v>
      </c>
    </row>
    <row r="22" ht="15.75" customHeight="1">
      <c r="A22" s="165" t="s">
        <v>77</v>
      </c>
      <c r="B22" s="165" t="s">
        <v>224</v>
      </c>
      <c r="C22" s="173">
        <v>18.0</v>
      </c>
      <c r="D22" s="174">
        <v>74980.0</v>
      </c>
      <c r="E22" s="165" t="s">
        <v>218</v>
      </c>
      <c r="F22" s="175">
        <f t="shared" si="8"/>
        <v>0.008017817372</v>
      </c>
      <c r="G22" s="174">
        <f t="shared" si="2"/>
        <v>4165.555556</v>
      </c>
      <c r="H22" s="176">
        <f>SUMIF('расходы'!$D$44:$D$85,"COGS",'расходы'!$C$44:$C$85)*F22</f>
        <v>18973.71703</v>
      </c>
      <c r="I22" s="176">
        <f>SUMIF('расходы'!$D$44:$D$85,"OPEX",'расходы'!$C$44:$C$85)*F22</f>
        <v>16985.93184</v>
      </c>
      <c r="J22" s="176">
        <f>SUMIF('расходы'!$D$44:$D$85,"CAC",'расходы'!$C$44:$C$85)*F22</f>
        <v>3036.250146</v>
      </c>
      <c r="K22" s="177">
        <f t="shared" si="3"/>
        <v>1054.095391</v>
      </c>
      <c r="L22" s="177">
        <f t="shared" si="4"/>
        <v>943.6628801</v>
      </c>
      <c r="M22" s="177">
        <f t="shared" si="5"/>
        <v>168.6805637</v>
      </c>
      <c r="N22" s="178">
        <f t="shared" si="9"/>
        <v>1999.116721</v>
      </c>
      <c r="O22" s="179">
        <f t="shared" si="7"/>
        <v>0.4799159907</v>
      </c>
    </row>
    <row r="23" ht="15.75" customHeight="1">
      <c r="A23" s="165" t="s">
        <v>77</v>
      </c>
      <c r="B23" s="165" t="s">
        <v>217</v>
      </c>
      <c r="C23" s="173">
        <v>230.0</v>
      </c>
      <c r="D23" s="174">
        <v>736000.0</v>
      </c>
      <c r="E23" s="165" t="s">
        <v>225</v>
      </c>
      <c r="F23" s="175">
        <f t="shared" si="8"/>
        <v>0.1024498886</v>
      </c>
      <c r="G23" s="174">
        <f t="shared" si="2"/>
        <v>3200</v>
      </c>
      <c r="H23" s="176">
        <f>SUMIF('расходы'!$D$44:$D$85,"COGS",'расходы'!$C$44:$C$85)*F23</f>
        <v>242441.9398</v>
      </c>
      <c r="I23" s="176">
        <f>SUMIF('расходы'!$D$44:$D$85,"OPEX",'расходы'!$C$44:$C$85)*F23</f>
        <v>217042.4624</v>
      </c>
      <c r="J23" s="176">
        <f>SUMIF('расходы'!$D$44:$D$85,"CAC",'расходы'!$C$44:$C$85)*F23</f>
        <v>38796.52964</v>
      </c>
      <c r="K23" s="177">
        <f t="shared" si="3"/>
        <v>1054.095391</v>
      </c>
      <c r="L23" s="177">
        <f t="shared" si="4"/>
        <v>943.6628801</v>
      </c>
      <c r="M23" s="177">
        <f t="shared" si="5"/>
        <v>168.6805637</v>
      </c>
      <c r="N23" s="178">
        <f t="shared" si="9"/>
        <v>1033.561166</v>
      </c>
      <c r="O23" s="179">
        <f t="shared" si="7"/>
        <v>0.3229878643</v>
      </c>
    </row>
    <row r="24" ht="15.75" customHeight="1">
      <c r="A24" s="165" t="s">
        <v>77</v>
      </c>
      <c r="B24" s="165" t="s">
        <v>219</v>
      </c>
      <c r="C24" s="173">
        <v>115.0</v>
      </c>
      <c r="D24" s="174">
        <v>125500.0</v>
      </c>
      <c r="E24" s="165" t="s">
        <v>225</v>
      </c>
      <c r="F24" s="175">
        <f t="shared" si="8"/>
        <v>0.05122494432</v>
      </c>
      <c r="G24" s="174">
        <f t="shared" si="2"/>
        <v>1091.304348</v>
      </c>
      <c r="H24" s="176">
        <f>SUMIF('расходы'!$D$44:$D$85,"COGS",'расходы'!$C$44:$C$85)*F24</f>
        <v>121220.9699</v>
      </c>
      <c r="I24" s="176">
        <f>SUMIF('расходы'!$D$44:$D$85,"OPEX",'расходы'!$C$44:$C$85)*F24</f>
        <v>108521.2312</v>
      </c>
      <c r="J24" s="176">
        <f>SUMIF('расходы'!$D$44:$D$85,"CAC",'расходы'!$C$44:$C$85)*F24</f>
        <v>19398.26482</v>
      </c>
      <c r="K24" s="177">
        <f t="shared" si="3"/>
        <v>1054.095391</v>
      </c>
      <c r="L24" s="177">
        <f t="shared" si="4"/>
        <v>943.6628801</v>
      </c>
      <c r="M24" s="177">
        <f t="shared" si="5"/>
        <v>168.6805637</v>
      </c>
      <c r="N24" s="178">
        <f t="shared" si="9"/>
        <v>-1075.134487</v>
      </c>
      <c r="O24" s="179">
        <f t="shared" si="7"/>
        <v>-0.9851829956</v>
      </c>
    </row>
    <row r="25" ht="15.75" customHeight="1">
      <c r="A25" s="165" t="s">
        <v>77</v>
      </c>
      <c r="B25" s="165" t="s">
        <v>220</v>
      </c>
      <c r="C25" s="173">
        <v>48.0</v>
      </c>
      <c r="D25" s="174">
        <v>25248.0</v>
      </c>
      <c r="E25" s="165" t="s">
        <v>225</v>
      </c>
      <c r="F25" s="175">
        <f t="shared" si="8"/>
        <v>0.02138084633</v>
      </c>
      <c r="G25" s="174">
        <f t="shared" si="2"/>
        <v>526</v>
      </c>
      <c r="H25" s="176">
        <f>SUMIF('расходы'!$D$44:$D$85,"COGS",'расходы'!$C$44:$C$85)*F25</f>
        <v>50596.57875</v>
      </c>
      <c r="I25" s="176">
        <f>SUMIF('расходы'!$D$44:$D$85,"OPEX",'расходы'!$C$44:$C$85)*F25</f>
        <v>45295.81824</v>
      </c>
      <c r="J25" s="176">
        <f>SUMIF('расходы'!$D$44:$D$85,"CAC",'расходы'!$C$44:$C$85)*F25</f>
        <v>8096.667055</v>
      </c>
      <c r="K25" s="177">
        <f t="shared" si="3"/>
        <v>1054.095391</v>
      </c>
      <c r="L25" s="177">
        <f t="shared" si="4"/>
        <v>943.6628801</v>
      </c>
      <c r="M25" s="177">
        <f t="shared" si="5"/>
        <v>168.6805637</v>
      </c>
      <c r="N25" s="178">
        <f t="shared" si="9"/>
        <v>-1640.438834</v>
      </c>
      <c r="O25" s="179">
        <f t="shared" si="7"/>
        <v>-3.118705008</v>
      </c>
    </row>
    <row r="26" ht="15.75" customHeight="1">
      <c r="A26" s="165" t="s">
        <v>77</v>
      </c>
      <c r="B26" s="165" t="s">
        <v>221</v>
      </c>
      <c r="C26" s="173">
        <v>26.0</v>
      </c>
      <c r="D26" s="174">
        <v>28600.0</v>
      </c>
      <c r="E26" s="165" t="s">
        <v>225</v>
      </c>
      <c r="F26" s="175">
        <f t="shared" si="8"/>
        <v>0.01158129176</v>
      </c>
      <c r="G26" s="174">
        <f t="shared" si="2"/>
        <v>1100</v>
      </c>
      <c r="H26" s="176">
        <f>SUMIF('расходы'!$D$44:$D$85,"COGS",'расходы'!$C$44:$C$85)*F26</f>
        <v>27406.48016</v>
      </c>
      <c r="I26" s="176">
        <f>SUMIF('расходы'!$D$44:$D$85,"OPEX",'расходы'!$C$44:$C$85)*F26</f>
        <v>24535.23488</v>
      </c>
      <c r="J26" s="176">
        <f>SUMIF('расходы'!$D$44:$D$85,"CAC",'расходы'!$C$44:$C$85)*F26</f>
        <v>4385.694655</v>
      </c>
      <c r="K26" s="177">
        <f t="shared" si="3"/>
        <v>1054.095391</v>
      </c>
      <c r="L26" s="177">
        <f t="shared" si="4"/>
        <v>943.6628801</v>
      </c>
      <c r="M26" s="177">
        <f t="shared" si="5"/>
        <v>168.6805637</v>
      </c>
      <c r="N26" s="178">
        <f t="shared" si="9"/>
        <v>-1066.438834</v>
      </c>
      <c r="O26" s="179">
        <f t="shared" si="7"/>
        <v>-0.9694898494</v>
      </c>
    </row>
    <row r="27" ht="15.75" customHeight="1">
      <c r="A27" s="165" t="s">
        <v>77</v>
      </c>
      <c r="B27" s="165" t="s">
        <v>222</v>
      </c>
      <c r="C27" s="173">
        <v>23.0</v>
      </c>
      <c r="D27" s="174">
        <v>36800.0</v>
      </c>
      <c r="E27" s="165" t="s">
        <v>225</v>
      </c>
      <c r="F27" s="175">
        <f t="shared" si="8"/>
        <v>0.01024498886</v>
      </c>
      <c r="G27" s="174">
        <f t="shared" si="2"/>
        <v>1600</v>
      </c>
      <c r="H27" s="176">
        <f>SUMIF('расходы'!$D$44:$D$85,"COGS",'расходы'!$C$44:$C$85)*F27</f>
        <v>24244.19398</v>
      </c>
      <c r="I27" s="176">
        <f>SUMIF('расходы'!$D$44:$D$85,"OPEX",'расходы'!$C$44:$C$85)*F27</f>
        <v>21704.24624</v>
      </c>
      <c r="J27" s="176">
        <f>SUMIF('расходы'!$D$44:$D$85,"CAC",'расходы'!$C$44:$C$85)*F27</f>
        <v>3879.652964</v>
      </c>
      <c r="K27" s="177">
        <f t="shared" si="3"/>
        <v>1054.095391</v>
      </c>
      <c r="L27" s="177">
        <f t="shared" si="4"/>
        <v>943.6628801</v>
      </c>
      <c r="M27" s="177">
        <f t="shared" si="5"/>
        <v>168.6805637</v>
      </c>
      <c r="N27" s="178">
        <f t="shared" si="9"/>
        <v>-566.4388344</v>
      </c>
      <c r="O27" s="179">
        <f t="shared" si="7"/>
        <v>-0.3540242715</v>
      </c>
    </row>
    <row r="28" ht="15.75" customHeight="1">
      <c r="A28" s="165" t="s">
        <v>77</v>
      </c>
      <c r="B28" s="165" t="s">
        <v>223</v>
      </c>
      <c r="C28" s="173">
        <v>13.0</v>
      </c>
      <c r="D28" s="174">
        <v>13600.0</v>
      </c>
      <c r="E28" s="165" t="s">
        <v>225</v>
      </c>
      <c r="F28" s="175">
        <f t="shared" si="8"/>
        <v>0.00579064588</v>
      </c>
      <c r="G28" s="174">
        <f t="shared" si="2"/>
        <v>1046.153846</v>
      </c>
      <c r="H28" s="176">
        <f>SUMIF('расходы'!$D$44:$D$85,"COGS",'расходы'!$C$44:$C$85)*F28</f>
        <v>13703.24008</v>
      </c>
      <c r="I28" s="176">
        <f>SUMIF('расходы'!$D$44:$D$85,"OPEX",'расходы'!$C$44:$C$85)*F28</f>
        <v>12267.61744</v>
      </c>
      <c r="J28" s="176">
        <f>SUMIF('расходы'!$D$44:$D$85,"CAC",'расходы'!$C$44:$C$85)*F28</f>
        <v>2192.847327</v>
      </c>
      <c r="K28" s="177">
        <f t="shared" si="3"/>
        <v>1054.095391</v>
      </c>
      <c r="L28" s="177">
        <f t="shared" si="4"/>
        <v>943.6628801</v>
      </c>
      <c r="M28" s="177">
        <f t="shared" si="5"/>
        <v>168.6805637</v>
      </c>
      <c r="N28" s="178">
        <f t="shared" si="9"/>
        <v>-1120.284988</v>
      </c>
      <c r="O28" s="179">
        <f t="shared" si="7"/>
        <v>-1.070860651</v>
      </c>
    </row>
    <row r="29" ht="15.75" customHeight="1">
      <c r="A29" s="180" t="s">
        <v>77</v>
      </c>
      <c r="B29" s="180" t="s">
        <v>224</v>
      </c>
      <c r="C29" s="181">
        <v>4.0</v>
      </c>
      <c r="D29" s="182">
        <v>4252.0</v>
      </c>
      <c r="E29" s="180" t="s">
        <v>225</v>
      </c>
      <c r="F29" s="183">
        <f t="shared" si="8"/>
        <v>0.001781737194</v>
      </c>
      <c r="G29" s="182">
        <f t="shared" si="2"/>
        <v>1063</v>
      </c>
      <c r="H29" s="184">
        <f>SUMIF('расходы'!$D$44:$D$85,"COGS",'расходы'!$C$44:$C$85)*F29</f>
        <v>4216.381563</v>
      </c>
      <c r="I29" s="184">
        <f>SUMIF('расходы'!$D$44:$D$85,"OPEX",'расходы'!$C$44:$C$85)*F29</f>
        <v>3774.65152</v>
      </c>
      <c r="J29" s="184">
        <f>SUMIF('расходы'!$D$44:$D$85,"CAC",'расходы'!$C$44:$C$85)*F29</f>
        <v>674.7222546</v>
      </c>
      <c r="K29" s="185">
        <f t="shared" si="3"/>
        <v>1054.095391</v>
      </c>
      <c r="L29" s="185">
        <f t="shared" si="4"/>
        <v>943.6628801</v>
      </c>
      <c r="M29" s="185">
        <f t="shared" si="5"/>
        <v>168.6805637</v>
      </c>
      <c r="N29" s="187">
        <f t="shared" si="9"/>
        <v>-1103.438834</v>
      </c>
      <c r="O29" s="186">
        <f t="shared" si="7"/>
        <v>-1.038042177</v>
      </c>
    </row>
    <row r="30" ht="15.75" customHeight="1">
      <c r="A30" s="165" t="s">
        <v>79</v>
      </c>
      <c r="B30" s="165" t="s">
        <v>226</v>
      </c>
      <c r="C30" s="173">
        <v>7.0</v>
      </c>
      <c r="D30" s="174">
        <v>2170040.0</v>
      </c>
      <c r="E30" s="165" t="s">
        <v>218</v>
      </c>
      <c r="F30" s="175">
        <f t="shared" ref="F30:F31" si="10">C30/SUM($C$30:$C$31)</f>
        <v>0.00221659278</v>
      </c>
      <c r="G30" s="174">
        <f t="shared" si="2"/>
        <v>310005.7143</v>
      </c>
      <c r="H30" s="176">
        <f>SUMIF('расходы'!$D$86:$D$125,"COGS",'расходы'!$C$86:$C$125)*F30</f>
        <v>1540.218479</v>
      </c>
      <c r="I30" s="176">
        <f>SUMIF('расходы'!$D$86:$D$125,"OPEX",'расходы'!$C$86:$C$125)*F30</f>
        <v>2213.973739</v>
      </c>
      <c r="J30" s="176">
        <f>SUMIF('расходы'!$D$86:$D$125,"CAC",'расходы'!$C$86:$C$125)*F30</f>
        <v>368.5156632</v>
      </c>
      <c r="K30" s="177">
        <f t="shared" si="3"/>
        <v>220.0312113</v>
      </c>
      <c r="L30" s="177">
        <f t="shared" si="4"/>
        <v>316.2819628</v>
      </c>
      <c r="M30" s="177">
        <f t="shared" si="5"/>
        <v>52.64509474</v>
      </c>
      <c r="N30" s="178">
        <f t="shared" si="9"/>
        <v>309416.756</v>
      </c>
      <c r="O30" s="179">
        <f t="shared" si="7"/>
        <v>0.9981001696</v>
      </c>
    </row>
    <row r="31" ht="15.75" customHeight="1">
      <c r="A31" s="165" t="s">
        <v>79</v>
      </c>
      <c r="B31" s="165" t="s">
        <v>227</v>
      </c>
      <c r="C31" s="173">
        <v>3151.0</v>
      </c>
      <c r="D31" s="174">
        <v>329960.0</v>
      </c>
      <c r="E31" s="165" t="s">
        <v>218</v>
      </c>
      <c r="F31" s="175">
        <f t="shared" si="10"/>
        <v>0.9977834072</v>
      </c>
      <c r="G31" s="174">
        <f t="shared" si="2"/>
        <v>104.7159632</v>
      </c>
      <c r="H31" s="176">
        <f>SUMIF('расходы'!$D$86:$D$125,"COGS",'расходы'!$C$86:$C$125)*F31</f>
        <v>693318.3467</v>
      </c>
      <c r="I31" s="176">
        <f>SUMIF('расходы'!$D$86:$D$125,"OPEX",'расходы'!$C$86:$C$125)*F31</f>
        <v>996604.4647</v>
      </c>
      <c r="J31" s="176">
        <f>SUMIF('расходы'!$D$86:$D$125,"CAC",'расходы'!$C$86:$C$125)*F31</f>
        <v>165884.6935</v>
      </c>
      <c r="K31" s="177">
        <f t="shared" si="3"/>
        <v>220.0312113</v>
      </c>
      <c r="L31" s="177">
        <f t="shared" si="4"/>
        <v>316.2819628</v>
      </c>
      <c r="M31" s="177">
        <f t="shared" si="5"/>
        <v>52.64509474</v>
      </c>
      <c r="N31" s="178">
        <f t="shared" si="9"/>
        <v>-484.2423056</v>
      </c>
      <c r="O31" s="179">
        <f t="shared" si="7"/>
        <v>-4.624340844</v>
      </c>
    </row>
  </sheetData>
  <autoFilter ref="$A$1:$O$31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8.71"/>
    <col customWidth="1" min="3" max="3" width="14.86"/>
    <col customWidth="1" min="6" max="6" width="16.57"/>
    <col customWidth="1" min="7" max="7" width="16.14"/>
    <col hidden="1" min="11" max="12" width="14.43"/>
    <col customWidth="1" min="19" max="19" width="20.14"/>
    <col customWidth="1" min="20" max="20" width="17.86"/>
    <col customWidth="1" min="21" max="21" width="15.0"/>
    <col customWidth="1" min="22" max="22" width="13.71"/>
    <col customWidth="1" min="23" max="23" width="14.29"/>
    <col customWidth="1" min="24" max="24" width="18.57"/>
    <col customWidth="1" min="25" max="25" width="12.43"/>
  </cols>
  <sheetData>
    <row r="1">
      <c r="A1" s="188" t="s">
        <v>22</v>
      </c>
      <c r="B1" s="62" t="s">
        <v>160</v>
      </c>
      <c r="C1" s="62" t="s">
        <v>228</v>
      </c>
      <c r="D1" s="62" t="s">
        <v>162</v>
      </c>
      <c r="E1" s="62" t="s">
        <v>163</v>
      </c>
      <c r="F1" s="62" t="s">
        <v>164</v>
      </c>
      <c r="G1" s="65" t="s">
        <v>229</v>
      </c>
      <c r="H1" s="64" t="s">
        <v>166</v>
      </c>
      <c r="I1" s="65" t="s">
        <v>167</v>
      </c>
      <c r="J1" s="65" t="s">
        <v>168</v>
      </c>
      <c r="K1" s="64" t="s">
        <v>169</v>
      </c>
      <c r="L1" s="64" t="s">
        <v>170</v>
      </c>
      <c r="M1" s="65" t="s">
        <v>230</v>
      </c>
      <c r="N1" s="189" t="s">
        <v>74</v>
      </c>
      <c r="O1" s="190" t="s">
        <v>231</v>
      </c>
      <c r="P1" s="190" t="s">
        <v>232</v>
      </c>
      <c r="Q1" s="190" t="s">
        <v>233</v>
      </c>
      <c r="R1" s="68" t="s">
        <v>176</v>
      </c>
      <c r="S1" s="69" t="s">
        <v>177</v>
      </c>
      <c r="T1" s="69" t="s">
        <v>178</v>
      </c>
      <c r="U1" s="69" t="s">
        <v>179</v>
      </c>
      <c r="V1" s="191" t="s">
        <v>234</v>
      </c>
      <c r="W1" s="191" t="s">
        <v>235</v>
      </c>
      <c r="X1" s="192" t="s">
        <v>236</v>
      </c>
      <c r="Y1" s="192" t="s">
        <v>237</v>
      </c>
    </row>
    <row r="2">
      <c r="A2" s="80" t="s">
        <v>183</v>
      </c>
      <c r="B2" s="81">
        <f>SUM(B3,B20,B37)</f>
        <v>4186484.848</v>
      </c>
      <c r="C2" s="85">
        <f t="shared" ref="C2:D2" si="1">AVERAGE(C3,C20,C37)</f>
        <v>0.0539</v>
      </c>
      <c r="D2" s="85">
        <f t="shared" si="1"/>
        <v>0.013</v>
      </c>
      <c r="E2" s="81">
        <f t="shared" ref="E2:F2" si="2">SUM(E3,E20,E37)</f>
        <v>5243.333333</v>
      </c>
      <c r="F2" s="81">
        <f t="shared" si="2"/>
        <v>7360</v>
      </c>
      <c r="G2" s="84">
        <f t="shared" ref="G2:J2" si="3">AVERAGE(G3,G20,G37)</f>
        <v>57298.41024</v>
      </c>
      <c r="H2" s="84">
        <f t="shared" si="3"/>
        <v>52937.78376</v>
      </c>
      <c r="I2" s="85">
        <f t="shared" si="3"/>
        <v>0.03765545594</v>
      </c>
      <c r="J2" s="84">
        <f t="shared" si="3"/>
        <v>837.8859432</v>
      </c>
      <c r="K2" s="83" t="str">
        <f t="shared" ref="K2:L2" si="4">K3+K20+K37</f>
        <v>#DIV/0!</v>
      </c>
      <c r="L2" s="84">
        <f t="shared" si="4"/>
        <v>0</v>
      </c>
      <c r="M2" s="86">
        <f t="shared" ref="M2:R2" si="5">AVERAGE(M3,M20,M37)</f>
        <v>1.430952381</v>
      </c>
      <c r="N2" s="87">
        <f t="shared" si="5"/>
        <v>3128.06641</v>
      </c>
      <c r="O2" s="88">
        <f t="shared" si="5"/>
        <v>15.08332485</v>
      </c>
      <c r="P2" s="88">
        <f t="shared" si="5"/>
        <v>369.4154575</v>
      </c>
      <c r="Q2" s="88">
        <f t="shared" si="5"/>
        <v>354.3321326</v>
      </c>
      <c r="R2" s="85">
        <f t="shared" si="5"/>
        <v>9.057155176</v>
      </c>
      <c r="S2" s="87">
        <f t="shared" ref="S2:Y2" si="6">SUM(S3,S20,S37)</f>
        <v>4723704.602</v>
      </c>
      <c r="T2" s="87">
        <f t="shared" si="6"/>
        <v>13470000</v>
      </c>
      <c r="U2" s="87">
        <f t="shared" si="6"/>
        <v>7982934.67</v>
      </c>
      <c r="V2" s="87">
        <f t="shared" si="6"/>
        <v>5487065.33</v>
      </c>
      <c r="W2" s="87">
        <f t="shared" si="6"/>
        <v>923628.94</v>
      </c>
      <c r="X2" s="87">
        <f t="shared" si="6"/>
        <v>5064023.7</v>
      </c>
      <c r="Y2" s="87">
        <f t="shared" si="6"/>
        <v>1995282.03</v>
      </c>
    </row>
    <row r="3">
      <c r="A3" s="100" t="s">
        <v>32</v>
      </c>
      <c r="B3" s="101">
        <f>SUM(B4,B12)</f>
        <v>1837296.037</v>
      </c>
      <c r="C3" s="102">
        <v>0.0539</v>
      </c>
      <c r="D3" s="102">
        <v>0.013</v>
      </c>
      <c r="E3" s="101">
        <f t="shared" ref="E3:F3" si="7">SUM(E4,E12)</f>
        <v>1706.060606</v>
      </c>
      <c r="F3" s="103">
        <f t="shared" si="7"/>
        <v>1957</v>
      </c>
      <c r="G3" s="104">
        <f t="shared" ref="G3:J3" si="8">AVERAGE(G4,G12)</f>
        <v>881.1503577</v>
      </c>
      <c r="H3" s="104">
        <f t="shared" si="8"/>
        <v>2070.04996</v>
      </c>
      <c r="I3" s="105">
        <f t="shared" si="8"/>
        <v>0.06061116999</v>
      </c>
      <c r="J3" s="104">
        <f t="shared" si="8"/>
        <v>1239.531228</v>
      </c>
      <c r="K3" s="106"/>
      <c r="L3" s="104">
        <f t="shared" ref="L3:R3" si="9">AVERAGE(L4,L12)</f>
        <v>0</v>
      </c>
      <c r="M3" s="107">
        <f t="shared" si="9"/>
        <v>1.371428571</v>
      </c>
      <c r="N3" s="108">
        <f t="shared" si="9"/>
        <v>1415.245936</v>
      </c>
      <c r="O3" s="110">
        <f t="shared" si="9"/>
        <v>1.314156941</v>
      </c>
      <c r="P3" s="110">
        <f t="shared" si="9"/>
        <v>0.8182110465</v>
      </c>
      <c r="Q3" s="110">
        <f t="shared" si="9"/>
        <v>-0.4959458944</v>
      </c>
      <c r="R3" s="105">
        <f t="shared" si="9"/>
        <v>8.118130175</v>
      </c>
      <c r="S3" s="110">
        <f t="shared" ref="S3:V3" si="10">SUM(S4,S12)</f>
        <v>2695549.522</v>
      </c>
      <c r="T3" s="110">
        <f t="shared" si="10"/>
        <v>5500000</v>
      </c>
      <c r="U3" s="112">
        <f t="shared" si="10"/>
        <v>3074237.387</v>
      </c>
      <c r="V3" s="112">
        <f t="shared" si="10"/>
        <v>2425762.613</v>
      </c>
      <c r="W3" s="112">
        <f>SUM('расходы'!C41,'расходы'!C43)</f>
        <v>378687.8654</v>
      </c>
      <c r="X3" s="112">
        <f>SUM('услуги'!I2:I15)</f>
        <v>1946682.096</v>
      </c>
      <c r="Y3" s="112">
        <f>SUM(Y4,Y12)</f>
        <v>748867.426</v>
      </c>
    </row>
    <row r="4">
      <c r="A4" s="113" t="s">
        <v>238</v>
      </c>
      <c r="B4" s="114">
        <f>SUM(B5:B11)</f>
        <v>1242034.965</v>
      </c>
      <c r="C4" s="115">
        <f t="shared" ref="C4:D4" si="11">C3/2</f>
        <v>0.02695</v>
      </c>
      <c r="D4" s="115">
        <f t="shared" si="11"/>
        <v>0.0065</v>
      </c>
      <c r="E4" s="114">
        <f t="shared" ref="E4:F4" si="12">SUM(E5:E11)</f>
        <v>1153.318182</v>
      </c>
      <c r="F4" s="116">
        <f t="shared" si="12"/>
        <v>1325</v>
      </c>
      <c r="G4" s="117">
        <f t="shared" ref="G4:J4" si="13">AVERAGE(G5:G11)</f>
        <v>1368.742614</v>
      </c>
      <c r="H4" s="117">
        <f t="shared" si="13"/>
        <v>2525.718366</v>
      </c>
      <c r="I4" s="118">
        <f t="shared" si="13"/>
        <v>0.1173316119</v>
      </c>
      <c r="J4" s="117">
        <f t="shared" si="13"/>
        <v>1239.531228</v>
      </c>
      <c r="K4" s="119"/>
      <c r="L4" s="120">
        <f t="shared" ref="L4:R4" si="14">AVERAGE(L5:L11)</f>
        <v>0</v>
      </c>
      <c r="M4" s="121">
        <f t="shared" si="14"/>
        <v>1.371428571</v>
      </c>
      <c r="N4" s="122">
        <f t="shared" si="14"/>
        <v>852.573186</v>
      </c>
      <c r="O4" s="124">
        <f t="shared" si="14"/>
        <v>0.7916751013</v>
      </c>
      <c r="P4" s="124">
        <f t="shared" si="14"/>
        <v>1.270975285</v>
      </c>
      <c r="Q4" s="124">
        <f t="shared" si="14"/>
        <v>0.4793001833</v>
      </c>
      <c r="R4" s="118">
        <f t="shared" si="14"/>
        <v>12.45152717</v>
      </c>
      <c r="S4" s="124">
        <f t="shared" ref="S4:V4" si="15">SUM(S5:S11)</f>
        <v>2168277.19</v>
      </c>
      <c r="T4" s="124">
        <f t="shared" si="15"/>
        <v>4000000</v>
      </c>
      <c r="U4" s="126">
        <f t="shared" si="15"/>
        <v>2357621.123</v>
      </c>
      <c r="V4" s="126">
        <f t="shared" si="15"/>
        <v>1642378.877</v>
      </c>
      <c r="W4" s="117">
        <f t="shared" ref="W4:X4" si="16">W3/2</f>
        <v>189343.9327</v>
      </c>
      <c r="X4" s="126">
        <f t="shared" si="16"/>
        <v>973341.0479</v>
      </c>
      <c r="Y4" s="126">
        <f>SUM(Y5:Y11)</f>
        <v>1194936.143</v>
      </c>
    </row>
    <row r="5">
      <c r="A5" s="127" t="s">
        <v>239</v>
      </c>
      <c r="B5" s="128">
        <f t="shared" ref="B5:B11" si="17">E5*100%/D5</f>
        <v>648111.8881</v>
      </c>
      <c r="C5" s="91">
        <f t="shared" ref="C5:C11" si="18">$C$4/7</f>
        <v>0.00385</v>
      </c>
      <c r="D5" s="153">
        <f t="shared" ref="D5:D11" si="19">$D$4/7</f>
        <v>0.0009285714286</v>
      </c>
      <c r="E5" s="128">
        <f t="shared" ref="E5:E11" si="20">F5/M5</f>
        <v>601.8181818</v>
      </c>
      <c r="F5" s="128">
        <v>662.0</v>
      </c>
      <c r="G5" s="129">
        <f t="shared" ref="G5:G11" si="21">H5*I5*M5-L5</f>
        <v>3158.147069</v>
      </c>
      <c r="H5" s="129">
        <v>4110.574018126888</v>
      </c>
      <c r="I5" s="130">
        <f t="shared" ref="I5:I11" si="22">(H5-J5)/H5</f>
        <v>0.6984530087</v>
      </c>
      <c r="J5" s="129">
        <v>1239.5312278130823</v>
      </c>
      <c r="K5" s="95"/>
      <c r="L5" s="131">
        <v>0.0</v>
      </c>
      <c r="M5" s="132">
        <v>1.1</v>
      </c>
      <c r="N5" s="133">
        <f t="shared" ref="N5:N11" si="23">W5/E5</f>
        <v>44.94568968</v>
      </c>
      <c r="O5" s="134">
        <f t="shared" ref="O5:O11" si="24">W5/B5</f>
        <v>0.04173528327</v>
      </c>
      <c r="P5" s="135">
        <f t="shared" ref="P5:P11" si="25">D5*G5</f>
        <v>2.932565136</v>
      </c>
      <c r="Q5" s="134">
        <f t="shared" ref="Q5:Q11" si="26">P5-O5</f>
        <v>2.890829853</v>
      </c>
      <c r="R5" s="136">
        <f t="shared" ref="R5:R11" si="27">P5/O5</f>
        <v>70.26584956</v>
      </c>
      <c r="S5" s="94">
        <f t="shared" ref="S5:S11" si="28">B5*(P5-O5)</f>
        <v>1873581.194</v>
      </c>
      <c r="T5" s="94">
        <f t="shared" ref="T5:T11" si="29">H5*F5</f>
        <v>2721200</v>
      </c>
      <c r="U5" s="94">
        <f t="shared" ref="U5:U11" si="30">E5*G5</f>
        <v>1900630.327</v>
      </c>
      <c r="V5" s="94">
        <f t="shared" ref="V5:V11" si="31">T5-U5</f>
        <v>820569.6728</v>
      </c>
      <c r="W5" s="94">
        <f t="shared" ref="W5:W11" si="32">$W$4/7</f>
        <v>27049.13324</v>
      </c>
      <c r="X5" s="94">
        <f t="shared" ref="X5:X11" si="33">$X$4/7</f>
        <v>139048.7211</v>
      </c>
      <c r="Y5" s="94">
        <f t="shared" ref="Y5:Y11" si="34">S5-X5</f>
        <v>1734532.473</v>
      </c>
    </row>
    <row r="6">
      <c r="A6" s="127" t="s">
        <v>240</v>
      </c>
      <c r="B6" s="128">
        <f t="shared" si="17"/>
        <v>323076.9231</v>
      </c>
      <c r="C6" s="91">
        <f t="shared" si="18"/>
        <v>0.00385</v>
      </c>
      <c r="D6" s="153">
        <f t="shared" si="19"/>
        <v>0.0009285714286</v>
      </c>
      <c r="E6" s="128">
        <f t="shared" si="20"/>
        <v>300</v>
      </c>
      <c r="F6" s="137">
        <v>330.0</v>
      </c>
      <c r="G6" s="129">
        <f t="shared" si="21"/>
        <v>1289.848983</v>
      </c>
      <c r="H6" s="129">
        <v>2412.121212121212</v>
      </c>
      <c r="I6" s="130">
        <f t="shared" si="22"/>
        <v>0.4861239885</v>
      </c>
      <c r="J6" s="129">
        <v>1239.5312278130823</v>
      </c>
      <c r="K6" s="95"/>
      <c r="L6" s="131">
        <v>0.0</v>
      </c>
      <c r="M6" s="132">
        <v>1.1</v>
      </c>
      <c r="N6" s="133">
        <f t="shared" si="23"/>
        <v>90.16377748</v>
      </c>
      <c r="O6" s="134">
        <f t="shared" si="24"/>
        <v>0.08372350766</v>
      </c>
      <c r="P6" s="135">
        <f t="shared" si="25"/>
        <v>1.197716913</v>
      </c>
      <c r="Q6" s="134">
        <f t="shared" si="26"/>
        <v>1.113993405</v>
      </c>
      <c r="R6" s="136">
        <f t="shared" si="27"/>
        <v>14.30562271</v>
      </c>
      <c r="S6" s="94">
        <f t="shared" si="28"/>
        <v>359905.5616</v>
      </c>
      <c r="T6" s="94">
        <f t="shared" si="29"/>
        <v>796000</v>
      </c>
      <c r="U6" s="94">
        <f t="shared" si="30"/>
        <v>386954.6948</v>
      </c>
      <c r="V6" s="94">
        <f t="shared" si="31"/>
        <v>409045.3052</v>
      </c>
      <c r="W6" s="94">
        <f t="shared" si="32"/>
        <v>27049.13324</v>
      </c>
      <c r="X6" s="94">
        <f t="shared" si="33"/>
        <v>139048.7211</v>
      </c>
      <c r="Y6" s="94">
        <f t="shared" si="34"/>
        <v>220856.8405</v>
      </c>
    </row>
    <row r="7">
      <c r="A7" s="127" t="s">
        <v>241</v>
      </c>
      <c r="B7" s="128">
        <f t="shared" si="17"/>
        <v>107692.3077</v>
      </c>
      <c r="C7" s="91">
        <f t="shared" si="18"/>
        <v>0.00385</v>
      </c>
      <c r="D7" s="153">
        <f t="shared" si="19"/>
        <v>0.0009285714286</v>
      </c>
      <c r="E7" s="128">
        <f t="shared" si="20"/>
        <v>100</v>
      </c>
      <c r="F7" s="89">
        <v>120.0</v>
      </c>
      <c r="G7" s="129">
        <f t="shared" si="21"/>
        <v>-837.0374734</v>
      </c>
      <c r="H7" s="129">
        <v>542.0</v>
      </c>
      <c r="I7" s="130">
        <f t="shared" si="22"/>
        <v>-1.286957985</v>
      </c>
      <c r="J7" s="129">
        <v>1239.5312278130825</v>
      </c>
      <c r="K7" s="95"/>
      <c r="L7" s="131">
        <v>0.0</v>
      </c>
      <c r="M7" s="132">
        <v>1.2</v>
      </c>
      <c r="N7" s="133">
        <f t="shared" si="23"/>
        <v>270.4913324</v>
      </c>
      <c r="O7" s="134">
        <f t="shared" si="24"/>
        <v>0.251170523</v>
      </c>
      <c r="P7" s="135">
        <f t="shared" si="25"/>
        <v>-0.7772490824</v>
      </c>
      <c r="Q7" s="134">
        <f t="shared" si="26"/>
        <v>-1.028419605</v>
      </c>
      <c r="R7" s="136">
        <f t="shared" si="27"/>
        <v>-3.094507561</v>
      </c>
      <c r="S7" s="94">
        <f t="shared" si="28"/>
        <v>-110752.8806</v>
      </c>
      <c r="T7" s="94">
        <f t="shared" si="29"/>
        <v>65040</v>
      </c>
      <c r="U7" s="94">
        <f t="shared" si="30"/>
        <v>-83703.74734</v>
      </c>
      <c r="V7" s="94">
        <f t="shared" si="31"/>
        <v>148743.7473</v>
      </c>
      <c r="W7" s="94">
        <f t="shared" si="32"/>
        <v>27049.13324</v>
      </c>
      <c r="X7" s="94">
        <f t="shared" si="33"/>
        <v>139048.7211</v>
      </c>
      <c r="Y7" s="94">
        <f t="shared" si="34"/>
        <v>-249801.6017</v>
      </c>
    </row>
    <row r="8">
      <c r="A8" s="127" t="s">
        <v>242</v>
      </c>
      <c r="B8" s="128">
        <f t="shared" si="17"/>
        <v>80769.23077</v>
      </c>
      <c r="C8" s="91">
        <f t="shared" si="18"/>
        <v>0.00385</v>
      </c>
      <c r="D8" s="153">
        <f t="shared" si="19"/>
        <v>0.0009285714286</v>
      </c>
      <c r="E8" s="128">
        <f t="shared" si="20"/>
        <v>75</v>
      </c>
      <c r="F8" s="137">
        <v>90.0</v>
      </c>
      <c r="G8" s="129">
        <f t="shared" si="21"/>
        <v>-47.43747338</v>
      </c>
      <c r="H8" s="129">
        <v>1200.0</v>
      </c>
      <c r="I8" s="130">
        <f t="shared" si="22"/>
        <v>-0.03294268984</v>
      </c>
      <c r="J8" s="129">
        <v>1239.5312278130825</v>
      </c>
      <c r="K8" s="95"/>
      <c r="L8" s="131">
        <v>0.0</v>
      </c>
      <c r="M8" s="132">
        <v>1.2</v>
      </c>
      <c r="N8" s="133">
        <f t="shared" si="23"/>
        <v>360.6551099</v>
      </c>
      <c r="O8" s="134">
        <f t="shared" si="24"/>
        <v>0.3348940306</v>
      </c>
      <c r="P8" s="135">
        <f t="shared" si="25"/>
        <v>-0.04404908242</v>
      </c>
      <c r="Q8" s="134">
        <f t="shared" si="26"/>
        <v>-0.378943113</v>
      </c>
      <c r="R8" s="136">
        <f t="shared" si="27"/>
        <v>-0.1315314051</v>
      </c>
      <c r="S8" s="94">
        <f t="shared" si="28"/>
        <v>-30606.94375</v>
      </c>
      <c r="T8" s="94">
        <f t="shared" si="29"/>
        <v>108000</v>
      </c>
      <c r="U8" s="94">
        <f t="shared" si="30"/>
        <v>-3557.810503</v>
      </c>
      <c r="V8" s="94">
        <f t="shared" si="31"/>
        <v>111557.8105</v>
      </c>
      <c r="W8" s="94">
        <f t="shared" si="32"/>
        <v>27049.13324</v>
      </c>
      <c r="X8" s="94">
        <f t="shared" si="33"/>
        <v>139048.7211</v>
      </c>
      <c r="Y8" s="94">
        <f t="shared" si="34"/>
        <v>-169655.6649</v>
      </c>
    </row>
    <row r="9">
      <c r="A9" s="127" t="s">
        <v>243</v>
      </c>
      <c r="B9" s="128">
        <f t="shared" si="17"/>
        <v>42000</v>
      </c>
      <c r="C9" s="91">
        <f t="shared" si="18"/>
        <v>0.00385</v>
      </c>
      <c r="D9" s="153">
        <f t="shared" si="19"/>
        <v>0.0009285714286</v>
      </c>
      <c r="E9" s="128">
        <f t="shared" si="20"/>
        <v>39</v>
      </c>
      <c r="F9" s="137">
        <v>78.0</v>
      </c>
      <c r="G9" s="129">
        <f t="shared" si="21"/>
        <v>-279.0624556</v>
      </c>
      <c r="H9" s="129">
        <v>1100.0</v>
      </c>
      <c r="I9" s="130">
        <f t="shared" si="22"/>
        <v>-0.1268465707</v>
      </c>
      <c r="J9" s="129">
        <v>1239.5312278130825</v>
      </c>
      <c r="K9" s="95"/>
      <c r="L9" s="131">
        <v>0.0</v>
      </c>
      <c r="M9" s="132">
        <v>2.0</v>
      </c>
      <c r="N9" s="133">
        <f t="shared" si="23"/>
        <v>693.567519</v>
      </c>
      <c r="O9" s="134">
        <f t="shared" si="24"/>
        <v>0.644026982</v>
      </c>
      <c r="P9" s="135">
        <f t="shared" si="25"/>
        <v>-0.2591294231</v>
      </c>
      <c r="Q9" s="134">
        <f t="shared" si="26"/>
        <v>-0.9031564051</v>
      </c>
      <c r="R9" s="136">
        <f t="shared" si="27"/>
        <v>-0.4023580228</v>
      </c>
      <c r="S9" s="94">
        <f t="shared" si="28"/>
        <v>-37932.56901</v>
      </c>
      <c r="T9" s="94">
        <f t="shared" si="29"/>
        <v>85800</v>
      </c>
      <c r="U9" s="94">
        <f t="shared" si="30"/>
        <v>-10883.43577</v>
      </c>
      <c r="V9" s="94">
        <f t="shared" si="31"/>
        <v>96683.43577</v>
      </c>
      <c r="W9" s="94">
        <f t="shared" si="32"/>
        <v>27049.13324</v>
      </c>
      <c r="X9" s="94">
        <f t="shared" si="33"/>
        <v>139048.7211</v>
      </c>
      <c r="Y9" s="94">
        <f t="shared" si="34"/>
        <v>-176981.2901</v>
      </c>
    </row>
    <row r="10">
      <c r="A10" s="127" t="s">
        <v>244</v>
      </c>
      <c r="B10" s="128">
        <f t="shared" si="17"/>
        <v>8076.923077</v>
      </c>
      <c r="C10" s="91">
        <f t="shared" si="18"/>
        <v>0.00385</v>
      </c>
      <c r="D10" s="153">
        <f t="shared" si="19"/>
        <v>0.0009285714286</v>
      </c>
      <c r="E10" s="128">
        <f t="shared" si="20"/>
        <v>7.5</v>
      </c>
      <c r="F10" s="89">
        <v>15.0</v>
      </c>
      <c r="G10" s="129">
        <f t="shared" si="21"/>
        <v>920.9375444</v>
      </c>
      <c r="H10" s="129">
        <v>1700.0</v>
      </c>
      <c r="I10" s="130">
        <f t="shared" si="22"/>
        <v>0.2708639836</v>
      </c>
      <c r="J10" s="129">
        <v>1239.5312278130825</v>
      </c>
      <c r="K10" s="95"/>
      <c r="L10" s="131">
        <v>0.0</v>
      </c>
      <c r="M10" s="132">
        <v>2.0</v>
      </c>
      <c r="N10" s="133">
        <f t="shared" si="23"/>
        <v>3606.551099</v>
      </c>
      <c r="O10" s="134">
        <f t="shared" si="24"/>
        <v>3.348940306</v>
      </c>
      <c r="P10" s="135">
        <f t="shared" si="25"/>
        <v>0.8551562912</v>
      </c>
      <c r="Q10" s="134">
        <f t="shared" si="26"/>
        <v>-2.493784015</v>
      </c>
      <c r="R10" s="136">
        <f t="shared" si="27"/>
        <v>0.2553513091</v>
      </c>
      <c r="S10" s="94">
        <f t="shared" si="28"/>
        <v>-20142.10166</v>
      </c>
      <c r="T10" s="94">
        <f t="shared" si="29"/>
        <v>25500</v>
      </c>
      <c r="U10" s="94">
        <f t="shared" si="30"/>
        <v>6907.031583</v>
      </c>
      <c r="V10" s="94">
        <f t="shared" si="31"/>
        <v>18592.96842</v>
      </c>
      <c r="W10" s="94">
        <f t="shared" si="32"/>
        <v>27049.13324</v>
      </c>
      <c r="X10" s="94">
        <f t="shared" si="33"/>
        <v>139048.7211</v>
      </c>
      <c r="Y10" s="94">
        <f t="shared" si="34"/>
        <v>-159190.8228</v>
      </c>
    </row>
    <row r="11">
      <c r="A11" s="127" t="s">
        <v>245</v>
      </c>
      <c r="B11" s="128">
        <f t="shared" si="17"/>
        <v>32307.69231</v>
      </c>
      <c r="C11" s="91">
        <f t="shared" si="18"/>
        <v>0.00385</v>
      </c>
      <c r="D11" s="153">
        <f t="shared" si="19"/>
        <v>0.0009285714286</v>
      </c>
      <c r="E11" s="128">
        <f t="shared" si="20"/>
        <v>30</v>
      </c>
      <c r="F11" s="89">
        <v>30.0</v>
      </c>
      <c r="G11" s="129">
        <f t="shared" si="21"/>
        <v>5375.802106</v>
      </c>
      <c r="H11" s="129">
        <v>6615.333333333333</v>
      </c>
      <c r="I11" s="130">
        <f t="shared" si="22"/>
        <v>0.8126275479</v>
      </c>
      <c r="J11" s="129">
        <v>1239.5312278130825</v>
      </c>
      <c r="K11" s="95"/>
      <c r="L11" s="131">
        <v>0.0</v>
      </c>
      <c r="M11" s="143">
        <v>1.0</v>
      </c>
      <c r="N11" s="133">
        <f t="shared" si="23"/>
        <v>901.6377748</v>
      </c>
      <c r="O11" s="134">
        <f t="shared" si="24"/>
        <v>0.8372350766</v>
      </c>
      <c r="P11" s="135">
        <f t="shared" si="25"/>
        <v>4.991816241</v>
      </c>
      <c r="Q11" s="134">
        <f t="shared" si="26"/>
        <v>4.154581164</v>
      </c>
      <c r="R11" s="136">
        <f t="shared" si="27"/>
        <v>5.962263623</v>
      </c>
      <c r="S11" s="94">
        <f t="shared" si="28"/>
        <v>134224.9299</v>
      </c>
      <c r="T11" s="94">
        <f t="shared" si="29"/>
        <v>198460</v>
      </c>
      <c r="U11" s="94">
        <f t="shared" si="30"/>
        <v>161274.0632</v>
      </c>
      <c r="V11" s="94">
        <f t="shared" si="31"/>
        <v>37185.93683</v>
      </c>
      <c r="W11" s="94">
        <f t="shared" si="32"/>
        <v>27049.13324</v>
      </c>
      <c r="X11" s="94">
        <f t="shared" si="33"/>
        <v>139048.7211</v>
      </c>
      <c r="Y11" s="94">
        <f t="shared" si="34"/>
        <v>-4823.791206</v>
      </c>
    </row>
    <row r="12">
      <c r="A12" s="144" t="s">
        <v>246</v>
      </c>
      <c r="B12" s="114">
        <f>SUM(B13:B19)</f>
        <v>595261.0723</v>
      </c>
      <c r="C12" s="115">
        <f t="shared" ref="C12:D12" si="35">C3/2</f>
        <v>0.02695</v>
      </c>
      <c r="D12" s="115">
        <f t="shared" si="35"/>
        <v>0.0065</v>
      </c>
      <c r="E12" s="116">
        <f t="shared" ref="E12:F12" si="36">SUM(E13:E19)</f>
        <v>552.7424242</v>
      </c>
      <c r="F12" s="116">
        <f t="shared" si="36"/>
        <v>632</v>
      </c>
      <c r="G12" s="117">
        <f t="shared" ref="G12:J12" si="37">AVERAGE(G13:G19)</f>
        <v>393.5581013</v>
      </c>
      <c r="H12" s="117">
        <f t="shared" si="37"/>
        <v>1614.381553</v>
      </c>
      <c r="I12" s="118">
        <f t="shared" si="37"/>
        <v>0.003890728092</v>
      </c>
      <c r="J12" s="117">
        <f t="shared" si="37"/>
        <v>1239.531228</v>
      </c>
      <c r="K12" s="119"/>
      <c r="L12" s="120">
        <f t="shared" ref="L12:R12" si="38">AVERAGE(L13:L19)</f>
        <v>0</v>
      </c>
      <c r="M12" s="121">
        <f t="shared" si="38"/>
        <v>1.371428571</v>
      </c>
      <c r="N12" s="122">
        <f t="shared" si="38"/>
        <v>1977.918687</v>
      </c>
      <c r="O12" s="124">
        <f t="shared" si="38"/>
        <v>1.83663878</v>
      </c>
      <c r="P12" s="124">
        <f t="shared" si="38"/>
        <v>0.3654468083</v>
      </c>
      <c r="Q12" s="124">
        <f t="shared" si="38"/>
        <v>-1.471191972</v>
      </c>
      <c r="R12" s="118">
        <f t="shared" si="38"/>
        <v>3.784733177</v>
      </c>
      <c r="S12" s="124">
        <f t="shared" ref="S12:V12" si="39">SUM(S13:S19)</f>
        <v>527272.3313</v>
      </c>
      <c r="T12" s="124">
        <f t="shared" si="39"/>
        <v>1500000</v>
      </c>
      <c r="U12" s="126">
        <f t="shared" si="39"/>
        <v>716616.264</v>
      </c>
      <c r="V12" s="126">
        <f t="shared" si="39"/>
        <v>783383.736</v>
      </c>
      <c r="W12" s="117">
        <f t="shared" ref="W12:X12" si="40">W3/2</f>
        <v>189343.9327</v>
      </c>
      <c r="X12" s="126">
        <f t="shared" si="40"/>
        <v>973341.0479</v>
      </c>
      <c r="Y12" s="126">
        <f>SUM(Y13:Y19)</f>
        <v>-446068.7166</v>
      </c>
    </row>
    <row r="13">
      <c r="A13" s="127" t="s">
        <v>247</v>
      </c>
      <c r="B13" s="128">
        <f t="shared" ref="B13:B19" si="41">E13*100%/D13</f>
        <v>309370.6294</v>
      </c>
      <c r="C13" s="91">
        <f t="shared" ref="C13:C19" si="42">$C$12/7</f>
        <v>0.00385</v>
      </c>
      <c r="D13" s="153">
        <f t="shared" ref="D13:D19" si="43">$D$12/7</f>
        <v>0.0009285714286</v>
      </c>
      <c r="E13" s="128">
        <f t="shared" ref="E13:E19" si="44">F13/M13</f>
        <v>287.2727273</v>
      </c>
      <c r="F13" s="128">
        <v>316.0</v>
      </c>
      <c r="G13" s="129">
        <f t="shared" ref="G13:G19" si="45">H13*I13*M13-L13</f>
        <v>2330.566282</v>
      </c>
      <c r="H13" s="129">
        <v>3358.227848101266</v>
      </c>
      <c r="I13" s="130">
        <f t="shared" ref="I13:I19" si="46">(H13-J13)/H13</f>
        <v>0.630897222</v>
      </c>
      <c r="J13" s="129">
        <v>1239.5312278130825</v>
      </c>
      <c r="K13" s="95"/>
      <c r="L13" s="131">
        <v>0.0</v>
      </c>
      <c r="M13" s="132">
        <v>1.1</v>
      </c>
      <c r="N13" s="133">
        <f t="shared" ref="N13:N19" si="47">W13/E13</f>
        <v>94.15837521</v>
      </c>
      <c r="O13" s="134">
        <f t="shared" ref="O13:O19" si="48">W13/B13</f>
        <v>0.08743277698</v>
      </c>
      <c r="P13" s="135">
        <f t="shared" ref="P13:P19" si="49">D13*G13</f>
        <v>2.164097262</v>
      </c>
      <c r="Q13" s="134">
        <f t="shared" ref="Q13:Q19" si="50">P13-O13</f>
        <v>2.076664485</v>
      </c>
      <c r="R13" s="136">
        <f t="shared" ref="R13:R19" si="51">P13/O13</f>
        <v>24.75155584</v>
      </c>
      <c r="S13" s="94">
        <f t="shared" ref="S13:S19" si="52">B13*(P13-O13)</f>
        <v>642458.9988</v>
      </c>
      <c r="T13" s="94">
        <f t="shared" ref="T13:T19" si="53">H13*F13</f>
        <v>1061200</v>
      </c>
      <c r="U13" s="94">
        <f t="shared" ref="U13:U19" si="54">E13*G13</f>
        <v>669508.132</v>
      </c>
      <c r="V13" s="94">
        <f t="shared" ref="V13:V19" si="55">T13-U13</f>
        <v>391691.868</v>
      </c>
      <c r="W13" s="94">
        <f>$W$12/7</f>
        <v>27049.13324</v>
      </c>
      <c r="X13" s="94">
        <f t="shared" ref="X13:X19" si="56">$X$12/7</f>
        <v>139048.7211</v>
      </c>
      <c r="Y13" s="94">
        <f t="shared" ref="Y13:Y19" si="57">S13-X13</f>
        <v>503410.2776</v>
      </c>
    </row>
    <row r="14">
      <c r="A14" s="127" t="s">
        <v>248</v>
      </c>
      <c r="B14" s="128">
        <f t="shared" si="41"/>
        <v>154685.3147</v>
      </c>
      <c r="C14" s="91">
        <f t="shared" si="42"/>
        <v>0.00385</v>
      </c>
      <c r="D14" s="153">
        <f t="shared" si="43"/>
        <v>0.0009285714286</v>
      </c>
      <c r="E14" s="128">
        <f t="shared" si="44"/>
        <v>143.6363636</v>
      </c>
      <c r="F14" s="137">
        <v>158.0</v>
      </c>
      <c r="G14" s="129">
        <f t="shared" si="45"/>
        <v>733.4776747</v>
      </c>
      <c r="H14" s="129">
        <v>1906.3291139240507</v>
      </c>
      <c r="I14" s="130">
        <f t="shared" si="46"/>
        <v>0.3497810956</v>
      </c>
      <c r="J14" s="129">
        <v>1239.5312278130825</v>
      </c>
      <c r="K14" s="95"/>
      <c r="L14" s="131">
        <v>0.0</v>
      </c>
      <c r="M14" s="132">
        <v>1.1</v>
      </c>
      <c r="N14" s="133">
        <f t="shared" si="47"/>
        <v>188.3167504</v>
      </c>
      <c r="O14" s="134">
        <f t="shared" si="48"/>
        <v>0.174865554</v>
      </c>
      <c r="P14" s="135">
        <f t="shared" si="49"/>
        <v>0.6810864122</v>
      </c>
      <c r="Q14" s="134">
        <f t="shared" si="50"/>
        <v>0.5062208583</v>
      </c>
      <c r="R14" s="136">
        <f t="shared" si="51"/>
        <v>3.894914675</v>
      </c>
      <c r="S14" s="94">
        <f t="shared" si="52"/>
        <v>78304.93276</v>
      </c>
      <c r="T14" s="94">
        <f t="shared" si="53"/>
        <v>301200</v>
      </c>
      <c r="U14" s="94">
        <f t="shared" si="54"/>
        <v>105354.066</v>
      </c>
      <c r="V14" s="94">
        <f t="shared" si="55"/>
        <v>195845.934</v>
      </c>
      <c r="W14" s="94">
        <f t="shared" ref="W14:W19" si="58">$W$4/7</f>
        <v>27049.13324</v>
      </c>
      <c r="X14" s="94">
        <f t="shared" si="56"/>
        <v>139048.7211</v>
      </c>
      <c r="Y14" s="94">
        <f t="shared" si="57"/>
        <v>-60743.78837</v>
      </c>
    </row>
    <row r="15">
      <c r="A15" s="127" t="s">
        <v>249</v>
      </c>
      <c r="B15" s="128">
        <f t="shared" si="41"/>
        <v>76282.05128</v>
      </c>
      <c r="C15" s="91">
        <f t="shared" si="42"/>
        <v>0.00385</v>
      </c>
      <c r="D15" s="153">
        <f t="shared" si="43"/>
        <v>0.0009285714286</v>
      </c>
      <c r="E15" s="128">
        <f t="shared" si="44"/>
        <v>70.83333333</v>
      </c>
      <c r="F15" s="89">
        <v>85.0</v>
      </c>
      <c r="G15" s="129">
        <f t="shared" si="45"/>
        <v>-808.5198263</v>
      </c>
      <c r="H15" s="129">
        <v>565.7647058823529</v>
      </c>
      <c r="I15" s="130">
        <f t="shared" si="46"/>
        <v>-1.190895287</v>
      </c>
      <c r="J15" s="129">
        <v>1239.5312278130825</v>
      </c>
      <c r="K15" s="95"/>
      <c r="L15" s="131">
        <v>0.0</v>
      </c>
      <c r="M15" s="132">
        <v>1.2</v>
      </c>
      <c r="N15" s="133">
        <f t="shared" si="47"/>
        <v>381.8701164</v>
      </c>
      <c r="O15" s="134">
        <f t="shared" si="48"/>
        <v>0.3545936795</v>
      </c>
      <c r="P15" s="135">
        <f t="shared" si="49"/>
        <v>-0.7507684102</v>
      </c>
      <c r="Q15" s="134">
        <f t="shared" si="50"/>
        <v>-1.10536209</v>
      </c>
      <c r="R15" s="136">
        <f t="shared" si="51"/>
        <v>-2.117263938</v>
      </c>
      <c r="S15" s="94">
        <f t="shared" si="52"/>
        <v>-84319.28761</v>
      </c>
      <c r="T15" s="94">
        <f t="shared" si="53"/>
        <v>48090</v>
      </c>
      <c r="U15" s="94">
        <f t="shared" si="54"/>
        <v>-57270.15436</v>
      </c>
      <c r="V15" s="94">
        <f t="shared" si="55"/>
        <v>105360.1544</v>
      </c>
      <c r="W15" s="94">
        <f t="shared" si="58"/>
        <v>27049.13324</v>
      </c>
      <c r="X15" s="94">
        <f t="shared" si="56"/>
        <v>139048.7211</v>
      </c>
      <c r="Y15" s="94">
        <f t="shared" si="57"/>
        <v>-223368.0087</v>
      </c>
    </row>
    <row r="16">
      <c r="A16" s="127" t="s">
        <v>250</v>
      </c>
      <c r="B16" s="128">
        <f t="shared" si="41"/>
        <v>32307.69231</v>
      </c>
      <c r="C16" s="91">
        <f t="shared" si="42"/>
        <v>0.00385</v>
      </c>
      <c r="D16" s="153">
        <f t="shared" si="43"/>
        <v>0.0009285714286</v>
      </c>
      <c r="E16" s="128">
        <f t="shared" si="44"/>
        <v>30</v>
      </c>
      <c r="F16" s="137">
        <v>36.0</v>
      </c>
      <c r="G16" s="129">
        <f t="shared" si="45"/>
        <v>-134.10414</v>
      </c>
      <c r="H16" s="129">
        <v>1127.7777777777778</v>
      </c>
      <c r="I16" s="130">
        <f t="shared" si="46"/>
        <v>-0.0990917291</v>
      </c>
      <c r="J16" s="129">
        <v>1239.5312278130825</v>
      </c>
      <c r="K16" s="95"/>
      <c r="L16" s="131">
        <v>0.0</v>
      </c>
      <c r="M16" s="132">
        <v>1.2</v>
      </c>
      <c r="N16" s="133">
        <f t="shared" si="47"/>
        <v>901.6377748</v>
      </c>
      <c r="O16" s="134">
        <f t="shared" si="48"/>
        <v>0.8372350766</v>
      </c>
      <c r="P16" s="135">
        <f t="shared" si="49"/>
        <v>-0.1245252729</v>
      </c>
      <c r="Q16" s="134">
        <f t="shared" si="50"/>
        <v>-0.9617603495</v>
      </c>
      <c r="R16" s="136">
        <f t="shared" si="51"/>
        <v>-0.1487339415</v>
      </c>
      <c r="S16" s="94">
        <f t="shared" si="52"/>
        <v>-31072.25744</v>
      </c>
      <c r="T16" s="94">
        <f t="shared" si="53"/>
        <v>40600</v>
      </c>
      <c r="U16" s="94">
        <f t="shared" si="54"/>
        <v>-4023.124201</v>
      </c>
      <c r="V16" s="94">
        <f t="shared" si="55"/>
        <v>44623.1242</v>
      </c>
      <c r="W16" s="94">
        <f t="shared" si="58"/>
        <v>27049.13324</v>
      </c>
      <c r="X16" s="94">
        <f t="shared" si="56"/>
        <v>139048.7211</v>
      </c>
      <c r="Y16" s="94">
        <f t="shared" si="57"/>
        <v>-170120.9786</v>
      </c>
    </row>
    <row r="17">
      <c r="A17" s="127" t="s">
        <v>251</v>
      </c>
      <c r="B17" s="128">
        <f t="shared" si="41"/>
        <v>9692.307692</v>
      </c>
      <c r="C17" s="91">
        <f t="shared" si="42"/>
        <v>0.00385</v>
      </c>
      <c r="D17" s="153">
        <f t="shared" si="43"/>
        <v>0.0009285714286</v>
      </c>
      <c r="E17" s="128">
        <f t="shared" si="44"/>
        <v>9</v>
      </c>
      <c r="F17" s="137">
        <v>18.0</v>
      </c>
      <c r="G17" s="129">
        <f t="shared" si="45"/>
        <v>-79.06245563</v>
      </c>
      <c r="H17" s="129">
        <v>1200.0</v>
      </c>
      <c r="I17" s="130">
        <f t="shared" si="46"/>
        <v>-0.03294268984</v>
      </c>
      <c r="J17" s="129">
        <v>1239.5312278130825</v>
      </c>
      <c r="K17" s="95"/>
      <c r="L17" s="131">
        <v>0.0</v>
      </c>
      <c r="M17" s="132">
        <v>2.0</v>
      </c>
      <c r="N17" s="133">
        <f t="shared" si="47"/>
        <v>3005.459249</v>
      </c>
      <c r="O17" s="134">
        <f t="shared" si="48"/>
        <v>2.790783589</v>
      </c>
      <c r="P17" s="135">
        <f t="shared" si="49"/>
        <v>-0.07341513737</v>
      </c>
      <c r="Q17" s="134">
        <f t="shared" si="50"/>
        <v>-2.864198726</v>
      </c>
      <c r="R17" s="136">
        <f t="shared" si="51"/>
        <v>-0.02630628103</v>
      </c>
      <c r="S17" s="94">
        <f t="shared" si="52"/>
        <v>-27760.69534</v>
      </c>
      <c r="T17" s="94">
        <f t="shared" si="53"/>
        <v>21600</v>
      </c>
      <c r="U17" s="94">
        <f t="shared" si="54"/>
        <v>-711.5621006</v>
      </c>
      <c r="V17" s="94">
        <f t="shared" si="55"/>
        <v>22311.5621</v>
      </c>
      <c r="W17" s="94">
        <f t="shared" si="58"/>
        <v>27049.13324</v>
      </c>
      <c r="X17" s="94">
        <f t="shared" si="56"/>
        <v>139048.7211</v>
      </c>
      <c r="Y17" s="94">
        <f t="shared" si="57"/>
        <v>-166809.4165</v>
      </c>
    </row>
    <row r="18">
      <c r="A18" s="127" t="s">
        <v>252</v>
      </c>
      <c r="B18" s="128">
        <f t="shared" si="41"/>
        <v>7538.461538</v>
      </c>
      <c r="C18" s="91">
        <f t="shared" si="42"/>
        <v>0.00385</v>
      </c>
      <c r="D18" s="153">
        <f t="shared" si="43"/>
        <v>0.0009285714286</v>
      </c>
      <c r="E18" s="128">
        <f t="shared" si="44"/>
        <v>7</v>
      </c>
      <c r="F18" s="89">
        <v>14.0</v>
      </c>
      <c r="G18" s="129">
        <f t="shared" si="45"/>
        <v>98.08040152</v>
      </c>
      <c r="H18" s="129">
        <v>1288.5714285714287</v>
      </c>
      <c r="I18" s="130">
        <f t="shared" si="46"/>
        <v>0.03805780547</v>
      </c>
      <c r="J18" s="129">
        <v>1239.5312278130825</v>
      </c>
      <c r="K18" s="95"/>
      <c r="L18" s="131">
        <v>0.0</v>
      </c>
      <c r="M18" s="132">
        <v>2.0</v>
      </c>
      <c r="N18" s="133">
        <f t="shared" si="47"/>
        <v>3864.161892</v>
      </c>
      <c r="O18" s="134">
        <f t="shared" si="48"/>
        <v>3.588150328</v>
      </c>
      <c r="P18" s="135">
        <f t="shared" si="49"/>
        <v>0.09107465855</v>
      </c>
      <c r="Q18" s="134">
        <f t="shared" si="50"/>
        <v>-3.49707567</v>
      </c>
      <c r="R18" s="136">
        <f t="shared" si="51"/>
        <v>0.02538206324</v>
      </c>
      <c r="S18" s="94">
        <f t="shared" si="52"/>
        <v>-26362.57043</v>
      </c>
      <c r="T18" s="94">
        <f t="shared" si="53"/>
        <v>18040</v>
      </c>
      <c r="U18" s="94">
        <f t="shared" si="54"/>
        <v>686.5628106</v>
      </c>
      <c r="V18" s="94">
        <f t="shared" si="55"/>
        <v>17353.43719</v>
      </c>
      <c r="W18" s="94">
        <f t="shared" si="58"/>
        <v>27049.13324</v>
      </c>
      <c r="X18" s="94">
        <f t="shared" si="56"/>
        <v>139048.7211</v>
      </c>
      <c r="Y18" s="94">
        <f t="shared" si="57"/>
        <v>-165411.2916</v>
      </c>
    </row>
    <row r="19">
      <c r="A19" s="127" t="s">
        <v>253</v>
      </c>
      <c r="B19" s="128">
        <f t="shared" si="41"/>
        <v>5384.615385</v>
      </c>
      <c r="C19" s="91">
        <f t="shared" si="42"/>
        <v>0.00385</v>
      </c>
      <c r="D19" s="153">
        <f t="shared" si="43"/>
        <v>0.0009285714286</v>
      </c>
      <c r="E19" s="128">
        <f t="shared" si="44"/>
        <v>5</v>
      </c>
      <c r="F19" s="89">
        <v>5.0</v>
      </c>
      <c r="G19" s="129">
        <f t="shared" si="45"/>
        <v>614.4687722</v>
      </c>
      <c r="H19" s="129">
        <v>1854.0</v>
      </c>
      <c r="I19" s="130">
        <f t="shared" si="46"/>
        <v>0.3314286797</v>
      </c>
      <c r="J19" s="129">
        <v>1239.5312278130825</v>
      </c>
      <c r="K19" s="95"/>
      <c r="L19" s="131">
        <v>0.0</v>
      </c>
      <c r="M19" s="143">
        <v>1.0</v>
      </c>
      <c r="N19" s="133">
        <f t="shared" si="47"/>
        <v>5409.826649</v>
      </c>
      <c r="O19" s="134">
        <f t="shared" si="48"/>
        <v>5.023410459</v>
      </c>
      <c r="P19" s="135">
        <f t="shared" si="49"/>
        <v>0.5705781456</v>
      </c>
      <c r="Q19" s="134">
        <f t="shared" si="50"/>
        <v>-4.452832314</v>
      </c>
      <c r="R19" s="136">
        <f t="shared" si="51"/>
        <v>0.1135838192</v>
      </c>
      <c r="S19" s="94">
        <f t="shared" si="52"/>
        <v>-23976.78938</v>
      </c>
      <c r="T19" s="94">
        <f t="shared" si="53"/>
        <v>9270</v>
      </c>
      <c r="U19" s="94">
        <f t="shared" si="54"/>
        <v>3072.343861</v>
      </c>
      <c r="V19" s="94">
        <f t="shared" si="55"/>
        <v>6197.656139</v>
      </c>
      <c r="W19" s="94">
        <f t="shared" si="58"/>
        <v>27049.13324</v>
      </c>
      <c r="X19" s="94">
        <f t="shared" si="56"/>
        <v>139048.7211</v>
      </c>
      <c r="Y19" s="94">
        <f t="shared" si="57"/>
        <v>-163025.5105</v>
      </c>
    </row>
    <row r="20">
      <c r="A20" s="146" t="s">
        <v>77</v>
      </c>
      <c r="B20" s="103">
        <f>SUM(B21,B29)</f>
        <v>2105825.175</v>
      </c>
      <c r="C20" s="102">
        <v>0.0539</v>
      </c>
      <c r="D20" s="102">
        <v>0.013</v>
      </c>
      <c r="E20" s="103">
        <f t="shared" ref="E20:F20" si="59">SUM(E21,E29)</f>
        <v>1955.409091</v>
      </c>
      <c r="F20" s="103">
        <f t="shared" si="59"/>
        <v>2245</v>
      </c>
      <c r="G20" s="104">
        <f t="shared" ref="G20:J20" si="60">AVERAGE(G21,G29)</f>
        <v>747.269909</v>
      </c>
      <c r="H20" s="104">
        <f t="shared" si="60"/>
        <v>1688.08619</v>
      </c>
      <c r="I20" s="105">
        <f t="shared" si="60"/>
        <v>0.1033197705</v>
      </c>
      <c r="J20" s="104">
        <f t="shared" si="60"/>
        <v>1054.095391</v>
      </c>
      <c r="K20" s="106"/>
      <c r="L20" s="104">
        <f t="shared" ref="L20:R20" si="61">AVERAGE(L21,L29)</f>
        <v>0</v>
      </c>
      <c r="M20" s="107">
        <f t="shared" si="61"/>
        <v>1.371428571</v>
      </c>
      <c r="N20" s="108">
        <f t="shared" si="61"/>
        <v>1411.196194</v>
      </c>
      <c r="O20" s="110">
        <f t="shared" si="61"/>
        <v>1.310396465</v>
      </c>
      <c r="P20" s="110">
        <f t="shared" si="61"/>
        <v>0.693893487</v>
      </c>
      <c r="Q20" s="110">
        <f t="shared" si="61"/>
        <v>-0.6165029785</v>
      </c>
      <c r="R20" s="105">
        <f t="shared" si="61"/>
        <v>8.195551354</v>
      </c>
      <c r="S20" s="110">
        <f t="shared" ref="S20:V20" si="62">SUM(S21,S29)</f>
        <v>389266.8547</v>
      </c>
      <c r="T20" s="110">
        <f t="shared" si="62"/>
        <v>5470000</v>
      </c>
      <c r="U20" s="112">
        <f t="shared" si="62"/>
        <v>3103555.848</v>
      </c>
      <c r="V20" s="112">
        <f t="shared" si="62"/>
        <v>2366444.152</v>
      </c>
      <c r="W20" s="112">
        <f>SUM('расходы'!C83,'расходы'!C85)</f>
        <v>378687.8654</v>
      </c>
      <c r="X20" s="112">
        <f>SUM('услуги'!I16:I29)</f>
        <v>2118523.166</v>
      </c>
      <c r="Y20" s="112">
        <f>SUM(Y21,Y29)</f>
        <v>606344.8168</v>
      </c>
    </row>
    <row r="21">
      <c r="A21" s="113" t="s">
        <v>254</v>
      </c>
      <c r="B21" s="116">
        <f>SUM(B22:B28)</f>
        <v>1677960.373</v>
      </c>
      <c r="C21" s="115">
        <f t="shared" ref="C21:D21" si="63">C20/2</f>
        <v>0.02695</v>
      </c>
      <c r="D21" s="115">
        <f t="shared" si="63"/>
        <v>0.0065</v>
      </c>
      <c r="E21" s="116">
        <f t="shared" ref="E21:F21" si="64">SUM(E22:E28)</f>
        <v>1558.106061</v>
      </c>
      <c r="F21" s="116">
        <f t="shared" si="64"/>
        <v>1786</v>
      </c>
      <c r="G21" s="117">
        <f t="shared" ref="G21:J21" si="65">AVERAGE(G22:G28)</f>
        <v>1079.164572</v>
      </c>
      <c r="H21" s="117">
        <f t="shared" si="65"/>
        <v>2000.964066</v>
      </c>
      <c r="I21" s="118">
        <f t="shared" si="65"/>
        <v>0.1945802633</v>
      </c>
      <c r="J21" s="117">
        <f t="shared" si="65"/>
        <v>1054.095391</v>
      </c>
      <c r="K21" s="119"/>
      <c r="L21" s="120">
        <f t="shared" ref="L21:S21" si="66">AVERAGE(L22:L28)</f>
        <v>0</v>
      </c>
      <c r="M21" s="121">
        <f t="shared" si="66"/>
        <v>1.371428571</v>
      </c>
      <c r="N21" s="122">
        <f t="shared" si="66"/>
        <v>595.4590881</v>
      </c>
      <c r="O21" s="124">
        <f t="shared" si="66"/>
        <v>0.5529262961</v>
      </c>
      <c r="P21" s="124">
        <f t="shared" si="66"/>
        <v>1.002081388</v>
      </c>
      <c r="Q21" s="124">
        <f t="shared" si="66"/>
        <v>0.4491550919</v>
      </c>
      <c r="R21" s="118">
        <f t="shared" si="66"/>
        <v>13.82344602</v>
      </c>
      <c r="S21" s="124">
        <f t="shared" si="66"/>
        <v>346863.0999</v>
      </c>
      <c r="T21" s="124">
        <f t="shared" ref="T21:V21" si="67">SUM(T22:T28)</f>
        <v>4500000</v>
      </c>
      <c r="U21" s="126">
        <f t="shared" si="67"/>
        <v>2617385.632</v>
      </c>
      <c r="V21" s="126">
        <f t="shared" si="67"/>
        <v>1882614.368</v>
      </c>
      <c r="W21" s="117">
        <f t="shared" ref="W21:X21" si="68">W20/2</f>
        <v>189343.9327</v>
      </c>
      <c r="X21" s="126">
        <f t="shared" si="68"/>
        <v>1059261.583</v>
      </c>
      <c r="Y21" s="126">
        <f>SUM(Y22:Y28)</f>
        <v>1368780.117</v>
      </c>
    </row>
    <row r="22">
      <c r="A22" s="127" t="s">
        <v>255</v>
      </c>
      <c r="B22" s="89">
        <f t="shared" ref="B22:B28" si="69">E22*100%/D22</f>
        <v>874265.7343</v>
      </c>
      <c r="C22" s="91">
        <f t="shared" ref="C22:C28" si="70">$C$21/7</f>
        <v>0.00385</v>
      </c>
      <c r="D22" s="153">
        <f t="shared" ref="D22:D28" si="71">$D$21/7</f>
        <v>0.0009285714286</v>
      </c>
      <c r="E22" s="89">
        <f t="shared" ref="E22:E28" si="72">F22/M22</f>
        <v>811.8181818</v>
      </c>
      <c r="F22" s="137">
        <v>893.0</v>
      </c>
      <c r="G22" s="129">
        <f t="shared" ref="G22:G28" si="73">H22*I22*M22-L22</f>
        <v>2853.216235</v>
      </c>
      <c r="H22" s="129">
        <v>3647.928331466965</v>
      </c>
      <c r="I22" s="130">
        <f t="shared" ref="I22:I28" si="74">(H22-J22)/H22</f>
        <v>0.7110427358</v>
      </c>
      <c r="J22" s="129">
        <v>1054.0953906324269</v>
      </c>
      <c r="K22" s="95"/>
      <c r="L22" s="131">
        <v>0.0</v>
      </c>
      <c r="M22" s="132">
        <v>1.1</v>
      </c>
      <c r="N22" s="133">
        <f t="shared" ref="N22:N28" si="75">W22/E22</f>
        <v>33.31920108</v>
      </c>
      <c r="O22" s="134">
        <f t="shared" ref="O22:O28" si="76">W22/B22</f>
        <v>0.03093925815</v>
      </c>
      <c r="P22" s="135">
        <f t="shared" ref="P22:P28" si="77">D22*G22</f>
        <v>2.649415075</v>
      </c>
      <c r="Q22" s="134">
        <f t="shared" ref="Q22:Q28" si="78">P22-O22</f>
        <v>2.618475817</v>
      </c>
      <c r="R22" s="136">
        <f t="shared" ref="R22:R28" si="79">P22/O22</f>
        <v>85.63279257</v>
      </c>
      <c r="S22" s="94">
        <f t="shared" ref="S22:S28" si="80">B22*(P22-O22)</f>
        <v>2289243.683</v>
      </c>
      <c r="T22" s="94">
        <f t="shared" ref="T22:T28" si="81">H22*F22</f>
        <v>3257600</v>
      </c>
      <c r="U22" s="94">
        <f t="shared" ref="U22:U28" si="82">E22*G22</f>
        <v>2316292.816</v>
      </c>
      <c r="V22" s="94">
        <f t="shared" ref="V22:V28" si="83">T22-U22</f>
        <v>941307.1838</v>
      </c>
      <c r="W22" s="94">
        <f t="shared" ref="W22:W28" si="84">$W$21/7</f>
        <v>27049.13324</v>
      </c>
      <c r="X22" s="94">
        <f t="shared" ref="X22:X28" si="85">$X$21/7</f>
        <v>151323.0833</v>
      </c>
      <c r="Y22" s="94">
        <f t="shared" ref="Y22:Y28" si="86">S22-X22</f>
        <v>2137920.6</v>
      </c>
    </row>
    <row r="23">
      <c r="A23" s="127" t="s">
        <v>256</v>
      </c>
      <c r="B23" s="89">
        <f t="shared" si="69"/>
        <v>436643.3566</v>
      </c>
      <c r="C23" s="91">
        <f t="shared" si="70"/>
        <v>0.00385</v>
      </c>
      <c r="D23" s="153">
        <f t="shared" si="71"/>
        <v>0.0009285714286</v>
      </c>
      <c r="E23" s="89">
        <f t="shared" si="72"/>
        <v>405.4545455</v>
      </c>
      <c r="F23" s="137">
        <v>446.0</v>
      </c>
      <c r="G23" s="129">
        <f t="shared" si="73"/>
        <v>784.4861017</v>
      </c>
      <c r="H23" s="129">
        <v>1767.2645739910313</v>
      </c>
      <c r="I23" s="130">
        <f t="shared" si="74"/>
        <v>0.4035440951</v>
      </c>
      <c r="J23" s="129">
        <v>1054.0953906324269</v>
      </c>
      <c r="K23" s="95"/>
      <c r="L23" s="131">
        <v>0.0</v>
      </c>
      <c r="M23" s="132">
        <v>1.1</v>
      </c>
      <c r="N23" s="133">
        <f t="shared" si="75"/>
        <v>66.71310889</v>
      </c>
      <c r="O23" s="134">
        <f t="shared" si="76"/>
        <v>0.06194788683</v>
      </c>
      <c r="P23" s="135">
        <f t="shared" si="77"/>
        <v>0.7284513801</v>
      </c>
      <c r="Q23" s="134">
        <f t="shared" si="78"/>
        <v>0.6665034933</v>
      </c>
      <c r="R23" s="136">
        <f t="shared" si="79"/>
        <v>11.75909974</v>
      </c>
      <c r="S23" s="94">
        <f t="shared" si="80"/>
        <v>291024.3225</v>
      </c>
      <c r="T23" s="94">
        <f t="shared" si="81"/>
        <v>788200</v>
      </c>
      <c r="U23" s="94">
        <f t="shared" si="82"/>
        <v>318073.4558</v>
      </c>
      <c r="V23" s="94">
        <f t="shared" si="83"/>
        <v>470126.5442</v>
      </c>
      <c r="W23" s="94">
        <f t="shared" si="84"/>
        <v>27049.13324</v>
      </c>
      <c r="X23" s="94">
        <f t="shared" si="85"/>
        <v>151323.0833</v>
      </c>
      <c r="Y23" s="94">
        <f t="shared" si="86"/>
        <v>139701.2393</v>
      </c>
    </row>
    <row r="24">
      <c r="A24" s="127" t="s">
        <v>257</v>
      </c>
      <c r="B24" s="89">
        <f t="shared" si="69"/>
        <v>197435.8974</v>
      </c>
      <c r="C24" s="91">
        <f t="shared" si="70"/>
        <v>0.00385</v>
      </c>
      <c r="D24" s="153">
        <f t="shared" si="71"/>
        <v>0.0009285714286</v>
      </c>
      <c r="E24" s="89">
        <f t="shared" si="72"/>
        <v>183.3333333</v>
      </c>
      <c r="F24" s="137">
        <v>220.0</v>
      </c>
      <c r="G24" s="129">
        <f t="shared" si="73"/>
        <v>-633.7144688</v>
      </c>
      <c r="H24" s="129">
        <v>526.0</v>
      </c>
      <c r="I24" s="130">
        <f t="shared" si="74"/>
        <v>-1.003983632</v>
      </c>
      <c r="J24" s="129">
        <v>1054.0953906324269</v>
      </c>
      <c r="K24" s="95"/>
      <c r="L24" s="131">
        <v>0.0</v>
      </c>
      <c r="M24" s="132">
        <v>1.2</v>
      </c>
      <c r="N24" s="133">
        <f t="shared" si="75"/>
        <v>147.5407268</v>
      </c>
      <c r="O24" s="134">
        <f t="shared" si="76"/>
        <v>0.1370021034</v>
      </c>
      <c r="P24" s="135">
        <f t="shared" si="77"/>
        <v>-0.5884491496</v>
      </c>
      <c r="Q24" s="134">
        <f t="shared" si="78"/>
        <v>-0.725451253</v>
      </c>
      <c r="R24" s="136">
        <f t="shared" si="79"/>
        <v>-4.295183321</v>
      </c>
      <c r="S24" s="94">
        <f t="shared" si="80"/>
        <v>-143230.1192</v>
      </c>
      <c r="T24" s="94">
        <f t="shared" si="81"/>
        <v>115720</v>
      </c>
      <c r="U24" s="94">
        <f t="shared" si="82"/>
        <v>-116180.9859</v>
      </c>
      <c r="V24" s="94">
        <f t="shared" si="83"/>
        <v>231900.9859</v>
      </c>
      <c r="W24" s="94">
        <f t="shared" si="84"/>
        <v>27049.13324</v>
      </c>
      <c r="X24" s="94">
        <f t="shared" si="85"/>
        <v>151323.0833</v>
      </c>
      <c r="Y24" s="94">
        <f t="shared" si="86"/>
        <v>-294553.2025</v>
      </c>
    </row>
    <row r="25">
      <c r="A25" s="127" t="s">
        <v>258</v>
      </c>
      <c r="B25" s="89">
        <f t="shared" si="69"/>
        <v>94230.76923</v>
      </c>
      <c r="C25" s="91">
        <f t="shared" si="70"/>
        <v>0.00385</v>
      </c>
      <c r="D25" s="153">
        <f t="shared" si="71"/>
        <v>0.0009285714286</v>
      </c>
      <c r="E25" s="89">
        <f t="shared" si="72"/>
        <v>87.5</v>
      </c>
      <c r="F25" s="137">
        <v>105.0</v>
      </c>
      <c r="G25" s="129">
        <f t="shared" si="73"/>
        <v>55.08553124</v>
      </c>
      <c r="H25" s="129">
        <v>1100.0</v>
      </c>
      <c r="I25" s="130">
        <f t="shared" si="74"/>
        <v>0.04173146306</v>
      </c>
      <c r="J25" s="129">
        <v>1054.0953906324269</v>
      </c>
      <c r="K25" s="95"/>
      <c r="L25" s="131">
        <v>0.0</v>
      </c>
      <c r="M25" s="132">
        <v>1.2</v>
      </c>
      <c r="N25" s="133">
        <f t="shared" si="75"/>
        <v>309.1329513</v>
      </c>
      <c r="O25" s="134">
        <f t="shared" si="76"/>
        <v>0.2870520263</v>
      </c>
      <c r="P25" s="135">
        <f t="shared" si="77"/>
        <v>0.05115085044</v>
      </c>
      <c r="Q25" s="134">
        <f t="shared" si="78"/>
        <v>-0.2359011758</v>
      </c>
      <c r="R25" s="136">
        <f t="shared" si="79"/>
        <v>0.1781936575</v>
      </c>
      <c r="S25" s="94">
        <f t="shared" si="80"/>
        <v>-22229.14926</v>
      </c>
      <c r="T25" s="94">
        <f t="shared" si="81"/>
        <v>115500</v>
      </c>
      <c r="U25" s="94">
        <f t="shared" si="82"/>
        <v>4819.983984</v>
      </c>
      <c r="V25" s="94">
        <f t="shared" si="83"/>
        <v>110680.016</v>
      </c>
      <c r="W25" s="94">
        <f t="shared" si="84"/>
        <v>27049.13324</v>
      </c>
      <c r="X25" s="94">
        <f t="shared" si="85"/>
        <v>151323.0833</v>
      </c>
      <c r="Y25" s="94">
        <f t="shared" si="86"/>
        <v>-173552.2325</v>
      </c>
    </row>
    <row r="26">
      <c r="A26" s="127" t="s">
        <v>259</v>
      </c>
      <c r="B26" s="89">
        <f t="shared" si="69"/>
        <v>31230.76923</v>
      </c>
      <c r="C26" s="91">
        <f t="shared" si="70"/>
        <v>0.00385</v>
      </c>
      <c r="D26" s="153">
        <f t="shared" si="71"/>
        <v>0.0009285714286</v>
      </c>
      <c r="E26" s="89">
        <f t="shared" si="72"/>
        <v>29</v>
      </c>
      <c r="F26" s="137">
        <v>58.0</v>
      </c>
      <c r="G26" s="129">
        <f t="shared" si="73"/>
        <v>1091.809219</v>
      </c>
      <c r="H26" s="129">
        <v>1600.0</v>
      </c>
      <c r="I26" s="130">
        <f t="shared" si="74"/>
        <v>0.3411903809</v>
      </c>
      <c r="J26" s="129">
        <v>1054.0953906324269</v>
      </c>
      <c r="K26" s="95"/>
      <c r="L26" s="131">
        <v>0.0</v>
      </c>
      <c r="M26" s="132">
        <v>2.0</v>
      </c>
      <c r="N26" s="133">
        <f t="shared" si="75"/>
        <v>932.7287325</v>
      </c>
      <c r="O26" s="134">
        <f t="shared" si="76"/>
        <v>0.8661052516</v>
      </c>
      <c r="P26" s="135">
        <f t="shared" si="77"/>
        <v>1.013822846</v>
      </c>
      <c r="Q26" s="134">
        <f t="shared" si="78"/>
        <v>0.1477175943</v>
      </c>
      <c r="R26" s="136">
        <f t="shared" si="79"/>
        <v>1.170553861</v>
      </c>
      <c r="S26" s="94">
        <f t="shared" si="80"/>
        <v>4613.3341</v>
      </c>
      <c r="T26" s="94">
        <f t="shared" si="81"/>
        <v>92800</v>
      </c>
      <c r="U26" s="94">
        <f t="shared" si="82"/>
        <v>31662.46734</v>
      </c>
      <c r="V26" s="94">
        <f t="shared" si="83"/>
        <v>61137.53266</v>
      </c>
      <c r="W26" s="94">
        <f t="shared" si="84"/>
        <v>27049.13324</v>
      </c>
      <c r="X26" s="94">
        <f t="shared" si="85"/>
        <v>151323.0833</v>
      </c>
      <c r="Y26" s="94">
        <f t="shared" si="86"/>
        <v>-146709.7492</v>
      </c>
    </row>
    <row r="27">
      <c r="A27" s="127" t="s">
        <v>260</v>
      </c>
      <c r="B27" s="89">
        <f t="shared" si="69"/>
        <v>24769.23077</v>
      </c>
      <c r="C27" s="91">
        <f t="shared" si="70"/>
        <v>0.00385</v>
      </c>
      <c r="D27" s="153">
        <f t="shared" si="71"/>
        <v>0.0009285714286</v>
      </c>
      <c r="E27" s="89">
        <f t="shared" si="72"/>
        <v>23</v>
      </c>
      <c r="F27" s="137">
        <v>46.0</v>
      </c>
      <c r="G27" s="129">
        <f t="shared" si="73"/>
        <v>291.8092187</v>
      </c>
      <c r="H27" s="129">
        <v>1200.0</v>
      </c>
      <c r="I27" s="130">
        <f t="shared" si="74"/>
        <v>0.1215871745</v>
      </c>
      <c r="J27" s="129">
        <v>1054.0953906324269</v>
      </c>
      <c r="K27" s="95"/>
      <c r="L27" s="131">
        <v>0.0</v>
      </c>
      <c r="M27" s="132">
        <v>2.0</v>
      </c>
      <c r="N27" s="133">
        <f t="shared" si="75"/>
        <v>1176.049271</v>
      </c>
      <c r="O27" s="134">
        <f t="shared" si="76"/>
        <v>1.092045752</v>
      </c>
      <c r="P27" s="135">
        <f t="shared" si="77"/>
        <v>0.2709657031</v>
      </c>
      <c r="Q27" s="134">
        <f t="shared" si="78"/>
        <v>-0.8210800489</v>
      </c>
      <c r="R27" s="136">
        <f t="shared" si="79"/>
        <v>0.2481266949</v>
      </c>
      <c r="S27" s="94">
        <f t="shared" si="80"/>
        <v>-20337.52121</v>
      </c>
      <c r="T27" s="94">
        <f t="shared" si="81"/>
        <v>55200</v>
      </c>
      <c r="U27" s="94">
        <f t="shared" si="82"/>
        <v>6711.612031</v>
      </c>
      <c r="V27" s="94">
        <f t="shared" si="83"/>
        <v>48488.38797</v>
      </c>
      <c r="W27" s="94">
        <f t="shared" si="84"/>
        <v>27049.13324</v>
      </c>
      <c r="X27" s="94">
        <f t="shared" si="85"/>
        <v>151323.0833</v>
      </c>
      <c r="Y27" s="94">
        <f t="shared" si="86"/>
        <v>-171660.6045</v>
      </c>
    </row>
    <row r="28">
      <c r="A28" s="127" t="s">
        <v>261</v>
      </c>
      <c r="B28" s="89">
        <f t="shared" si="69"/>
        <v>19384.61538</v>
      </c>
      <c r="C28" s="91">
        <f t="shared" si="70"/>
        <v>0.00385</v>
      </c>
      <c r="D28" s="153">
        <f t="shared" si="71"/>
        <v>0.0009285714286</v>
      </c>
      <c r="E28" s="89">
        <f t="shared" si="72"/>
        <v>18</v>
      </c>
      <c r="F28" s="137">
        <v>18.0</v>
      </c>
      <c r="G28" s="129">
        <f t="shared" si="73"/>
        <v>3111.460165</v>
      </c>
      <c r="H28" s="129">
        <v>4165.555555555556</v>
      </c>
      <c r="I28" s="130">
        <f t="shared" si="74"/>
        <v>0.7469496261</v>
      </c>
      <c r="J28" s="129">
        <v>1054.0953906324269</v>
      </c>
      <c r="K28" s="149"/>
      <c r="L28" s="131">
        <v>0.0</v>
      </c>
      <c r="M28" s="143">
        <v>1.0</v>
      </c>
      <c r="N28" s="133">
        <f t="shared" si="75"/>
        <v>1502.729625</v>
      </c>
      <c r="O28" s="134">
        <f t="shared" si="76"/>
        <v>1.395391794</v>
      </c>
      <c r="P28" s="135">
        <f t="shared" si="77"/>
        <v>2.88921301</v>
      </c>
      <c r="Q28" s="134">
        <f t="shared" si="78"/>
        <v>1.493821216</v>
      </c>
      <c r="R28" s="136">
        <f t="shared" si="79"/>
        <v>2.070538914</v>
      </c>
      <c r="S28" s="94">
        <f t="shared" si="80"/>
        <v>28957.14973</v>
      </c>
      <c r="T28" s="94">
        <f t="shared" si="81"/>
        <v>74980</v>
      </c>
      <c r="U28" s="94">
        <f t="shared" si="82"/>
        <v>56006.28297</v>
      </c>
      <c r="V28" s="94">
        <f t="shared" si="83"/>
        <v>18973.71703</v>
      </c>
      <c r="W28" s="94">
        <f t="shared" si="84"/>
        <v>27049.13324</v>
      </c>
      <c r="X28" s="94">
        <f t="shared" si="85"/>
        <v>151323.0833</v>
      </c>
      <c r="Y28" s="94">
        <f t="shared" si="86"/>
        <v>-122365.9335</v>
      </c>
    </row>
    <row r="29">
      <c r="A29" s="113" t="s">
        <v>262</v>
      </c>
      <c r="B29" s="116">
        <f>SUM(B30:B36)</f>
        <v>427864.8019</v>
      </c>
      <c r="C29" s="115">
        <f t="shared" ref="C29:D29" si="87">C20/2</f>
        <v>0.02695</v>
      </c>
      <c r="D29" s="115">
        <f t="shared" si="87"/>
        <v>0.0065</v>
      </c>
      <c r="E29" s="150">
        <f t="shared" ref="E29:F29" si="88">SUM(E30:E36)</f>
        <v>397.3030303</v>
      </c>
      <c r="F29" s="150">
        <f t="shared" si="88"/>
        <v>459</v>
      </c>
      <c r="G29" s="117">
        <f t="shared" ref="G29:J29" si="89">AVERAGE(G30:G36)</f>
        <v>415.3752464</v>
      </c>
      <c r="H29" s="117">
        <f t="shared" si="89"/>
        <v>1375.208313</v>
      </c>
      <c r="I29" s="118">
        <f t="shared" si="89"/>
        <v>0.01205927767</v>
      </c>
      <c r="J29" s="117">
        <f t="shared" si="89"/>
        <v>1054.095391</v>
      </c>
      <c r="K29" s="151"/>
      <c r="L29" s="120">
        <f t="shared" ref="L29:S29" si="90">AVERAGE(L30:L36)</f>
        <v>0</v>
      </c>
      <c r="M29" s="152">
        <f t="shared" si="90"/>
        <v>1.371428571</v>
      </c>
      <c r="N29" s="122">
        <f t="shared" si="90"/>
        <v>2226.933299</v>
      </c>
      <c r="O29" s="124">
        <f t="shared" si="90"/>
        <v>2.067866635</v>
      </c>
      <c r="P29" s="124">
        <f t="shared" si="90"/>
        <v>0.3857055859</v>
      </c>
      <c r="Q29" s="124">
        <f t="shared" si="90"/>
        <v>-1.682161049</v>
      </c>
      <c r="R29" s="118">
        <f t="shared" si="90"/>
        <v>2.567656691</v>
      </c>
      <c r="S29" s="124">
        <f t="shared" si="90"/>
        <v>42403.75471</v>
      </c>
      <c r="T29" s="124">
        <f t="shared" ref="T29:V29" si="91">SUM(T30:T36)</f>
        <v>970000</v>
      </c>
      <c r="U29" s="126">
        <f t="shared" si="91"/>
        <v>486170.2157</v>
      </c>
      <c r="V29" s="126">
        <f t="shared" si="91"/>
        <v>483829.7843</v>
      </c>
      <c r="W29" s="117">
        <f t="shared" ref="W29:X29" si="92">W20/2</f>
        <v>189343.9327</v>
      </c>
      <c r="X29" s="126">
        <f t="shared" si="92"/>
        <v>1059261.583</v>
      </c>
      <c r="Y29" s="126">
        <f>SUM(Y30:Y36)</f>
        <v>-762435.2999</v>
      </c>
    </row>
    <row r="30">
      <c r="A30" s="127" t="s">
        <v>263</v>
      </c>
      <c r="B30" s="89">
        <f t="shared" ref="B30:B36" si="93">E30*100%/D30</f>
        <v>225174.8252</v>
      </c>
      <c r="C30" s="91">
        <f t="shared" ref="C30:C36" si="94">$C$29/7</f>
        <v>0.00385</v>
      </c>
      <c r="D30" s="153">
        <f t="shared" ref="D30:D36" si="95">$D$29/7</f>
        <v>0.0009285714286</v>
      </c>
      <c r="E30" s="89">
        <f t="shared" ref="E30:E36" si="96">F30/M30</f>
        <v>209.0909091</v>
      </c>
      <c r="F30" s="137">
        <v>230.0</v>
      </c>
      <c r="G30" s="129">
        <f t="shared" ref="G30:G36" si="97">H30*I30*M30-L30</f>
        <v>2360.49507</v>
      </c>
      <c r="H30" s="129">
        <v>3200.0</v>
      </c>
      <c r="I30" s="130">
        <f t="shared" ref="I30:I36" si="98">(H30-J30)/H30</f>
        <v>0.6705951904</v>
      </c>
      <c r="J30" s="129">
        <v>1054.0953906324269</v>
      </c>
      <c r="K30" s="149"/>
      <c r="L30" s="131">
        <v>0.0</v>
      </c>
      <c r="M30" s="132">
        <v>1.1</v>
      </c>
      <c r="N30" s="133">
        <f t="shared" ref="N30:N36" si="99">W30/E30</f>
        <v>129.3654199</v>
      </c>
      <c r="O30" s="134">
        <f t="shared" ref="O30:O36" si="100">W30/B30</f>
        <v>0.1201250327</v>
      </c>
      <c r="P30" s="135">
        <f t="shared" ref="P30:P36" si="101">D30*G30</f>
        <v>2.19188828</v>
      </c>
      <c r="Q30" s="134">
        <f t="shared" ref="Q30:Q36" si="102">P30-O30</f>
        <v>2.071763247</v>
      </c>
      <c r="R30" s="136">
        <f t="shared" ref="R30:R36" si="103">P30/O30</f>
        <v>18.24672368</v>
      </c>
      <c r="S30" s="94">
        <f t="shared" ref="S30:S36" si="104">B30*(P30-O30)</f>
        <v>466508.9269</v>
      </c>
      <c r="T30" s="94">
        <f t="shared" ref="T30:T36" si="105">H30*F30</f>
        <v>736000</v>
      </c>
      <c r="U30" s="94">
        <f t="shared" ref="U30:U36" si="106">E30*G30</f>
        <v>493558.0602</v>
      </c>
      <c r="V30" s="94">
        <f t="shared" ref="V30:V36" si="107">T30-U30</f>
        <v>242441.9398</v>
      </c>
      <c r="W30" s="94">
        <f t="shared" ref="W30:W36" si="108">$W$29/7</f>
        <v>27049.13324</v>
      </c>
      <c r="X30" s="94">
        <f>$X$29/7</f>
        <v>151323.0833</v>
      </c>
      <c r="Y30" s="94">
        <f t="shared" ref="Y30:Y36" si="109">S30-X30</f>
        <v>315185.8436</v>
      </c>
    </row>
    <row r="31">
      <c r="A31" s="127" t="s">
        <v>264</v>
      </c>
      <c r="B31" s="89">
        <f t="shared" si="93"/>
        <v>112587.4126</v>
      </c>
      <c r="C31" s="91">
        <f t="shared" si="94"/>
        <v>0.00385</v>
      </c>
      <c r="D31" s="153">
        <f t="shared" si="95"/>
        <v>0.0009285714286</v>
      </c>
      <c r="E31" s="89">
        <f t="shared" si="96"/>
        <v>104.5454545</v>
      </c>
      <c r="F31" s="137">
        <v>115.0</v>
      </c>
      <c r="G31" s="129">
        <f t="shared" si="97"/>
        <v>40.92985291</v>
      </c>
      <c r="H31" s="129">
        <v>1091.304347826087</v>
      </c>
      <c r="I31" s="130">
        <f t="shared" si="98"/>
        <v>0.03409585719</v>
      </c>
      <c r="J31" s="129">
        <v>1054.0953906324269</v>
      </c>
      <c r="K31" s="149"/>
      <c r="L31" s="131">
        <v>0.0</v>
      </c>
      <c r="M31" s="132">
        <v>1.1</v>
      </c>
      <c r="N31" s="133">
        <f t="shared" si="99"/>
        <v>258.7308397</v>
      </c>
      <c r="O31" s="134">
        <f t="shared" si="100"/>
        <v>0.2402500654</v>
      </c>
      <c r="P31" s="135">
        <f t="shared" si="101"/>
        <v>0.03800629199</v>
      </c>
      <c r="Q31" s="134">
        <f t="shared" si="102"/>
        <v>-0.2022437735</v>
      </c>
      <c r="R31" s="136">
        <f t="shared" si="103"/>
        <v>0.1581947207</v>
      </c>
      <c r="S31" s="94">
        <f t="shared" si="104"/>
        <v>-22770.10317</v>
      </c>
      <c r="T31" s="94">
        <f t="shared" si="105"/>
        <v>125500</v>
      </c>
      <c r="U31" s="94">
        <f t="shared" si="106"/>
        <v>4279.030077</v>
      </c>
      <c r="V31" s="94">
        <f t="shared" si="107"/>
        <v>121220.9699</v>
      </c>
      <c r="W31" s="94">
        <f t="shared" si="108"/>
        <v>27049.13324</v>
      </c>
      <c r="X31" s="94">
        <f t="shared" ref="X31:X36" si="110">$X$21/7</f>
        <v>151323.0833</v>
      </c>
      <c r="Y31" s="94">
        <f t="shared" si="109"/>
        <v>-174093.1864</v>
      </c>
    </row>
    <row r="32">
      <c r="A32" s="127" t="s">
        <v>265</v>
      </c>
      <c r="B32" s="89">
        <f t="shared" si="93"/>
        <v>43076.92308</v>
      </c>
      <c r="C32" s="91">
        <f t="shared" si="94"/>
        <v>0.00385</v>
      </c>
      <c r="D32" s="153">
        <f t="shared" si="95"/>
        <v>0.0009285714286</v>
      </c>
      <c r="E32" s="89">
        <f t="shared" si="96"/>
        <v>40</v>
      </c>
      <c r="F32" s="137">
        <v>48.0</v>
      </c>
      <c r="G32" s="129">
        <f t="shared" si="97"/>
        <v>-633.7144688</v>
      </c>
      <c r="H32" s="129">
        <v>526.0</v>
      </c>
      <c r="I32" s="130">
        <f t="shared" si="98"/>
        <v>-1.003983632</v>
      </c>
      <c r="J32" s="129">
        <v>1054.0953906324269</v>
      </c>
      <c r="K32" s="149"/>
      <c r="L32" s="131">
        <v>0.0</v>
      </c>
      <c r="M32" s="132">
        <v>1.2</v>
      </c>
      <c r="N32" s="133">
        <f t="shared" si="99"/>
        <v>676.2283311</v>
      </c>
      <c r="O32" s="134">
        <f t="shared" si="100"/>
        <v>0.6279263074</v>
      </c>
      <c r="P32" s="135">
        <f t="shared" si="101"/>
        <v>-0.5884491496</v>
      </c>
      <c r="Q32" s="134">
        <f t="shared" si="102"/>
        <v>-1.216375457</v>
      </c>
      <c r="R32" s="136">
        <f t="shared" si="103"/>
        <v>-0.9371309063</v>
      </c>
      <c r="S32" s="94">
        <f t="shared" si="104"/>
        <v>-52397.71199</v>
      </c>
      <c r="T32" s="94">
        <f t="shared" si="105"/>
        <v>25248</v>
      </c>
      <c r="U32" s="94">
        <f t="shared" si="106"/>
        <v>-25348.57875</v>
      </c>
      <c r="V32" s="94">
        <f t="shared" si="107"/>
        <v>50596.57875</v>
      </c>
      <c r="W32" s="94">
        <f t="shared" si="108"/>
        <v>27049.13324</v>
      </c>
      <c r="X32" s="94">
        <f t="shared" si="110"/>
        <v>151323.0833</v>
      </c>
      <c r="Y32" s="94">
        <f t="shared" si="109"/>
        <v>-203720.7953</v>
      </c>
    </row>
    <row r="33">
      <c r="A33" s="127" t="s">
        <v>266</v>
      </c>
      <c r="B33" s="89">
        <f t="shared" si="93"/>
        <v>23333.33333</v>
      </c>
      <c r="C33" s="91">
        <f t="shared" si="94"/>
        <v>0.00385</v>
      </c>
      <c r="D33" s="153">
        <f t="shared" si="95"/>
        <v>0.0009285714286</v>
      </c>
      <c r="E33" s="89">
        <f t="shared" si="96"/>
        <v>21.66666667</v>
      </c>
      <c r="F33" s="137">
        <v>26.0</v>
      </c>
      <c r="G33" s="129">
        <f t="shared" si="97"/>
        <v>55.08553124</v>
      </c>
      <c r="H33" s="129">
        <v>1100.0</v>
      </c>
      <c r="I33" s="130">
        <f t="shared" si="98"/>
        <v>0.04173146306</v>
      </c>
      <c r="J33" s="129">
        <v>1054.0953906324269</v>
      </c>
      <c r="K33" s="149"/>
      <c r="L33" s="131">
        <v>0.0</v>
      </c>
      <c r="M33" s="132">
        <v>1.2</v>
      </c>
      <c r="N33" s="133">
        <f t="shared" si="99"/>
        <v>1248.421534</v>
      </c>
      <c r="O33" s="134">
        <f t="shared" si="100"/>
        <v>1.159248568</v>
      </c>
      <c r="P33" s="135">
        <f t="shared" si="101"/>
        <v>0.05115085044</v>
      </c>
      <c r="Q33" s="134">
        <f t="shared" si="102"/>
        <v>-1.108097717</v>
      </c>
      <c r="R33" s="136">
        <f t="shared" si="103"/>
        <v>0.04412414375</v>
      </c>
      <c r="S33" s="94">
        <f t="shared" si="104"/>
        <v>-25855.6134</v>
      </c>
      <c r="T33" s="94">
        <f t="shared" si="105"/>
        <v>28600</v>
      </c>
      <c r="U33" s="94">
        <f t="shared" si="106"/>
        <v>1193.519844</v>
      </c>
      <c r="V33" s="94">
        <f t="shared" si="107"/>
        <v>27406.48016</v>
      </c>
      <c r="W33" s="94">
        <f t="shared" si="108"/>
        <v>27049.13324</v>
      </c>
      <c r="X33" s="94">
        <f t="shared" si="110"/>
        <v>151323.0833</v>
      </c>
      <c r="Y33" s="94">
        <f t="shared" si="109"/>
        <v>-177178.6967</v>
      </c>
    </row>
    <row r="34">
      <c r="A34" s="127" t="s">
        <v>267</v>
      </c>
      <c r="B34" s="89">
        <f t="shared" si="93"/>
        <v>12384.61538</v>
      </c>
      <c r="C34" s="91">
        <f t="shared" si="94"/>
        <v>0.00385</v>
      </c>
      <c r="D34" s="153">
        <f t="shared" si="95"/>
        <v>0.0009285714286</v>
      </c>
      <c r="E34" s="89">
        <f t="shared" si="96"/>
        <v>11.5</v>
      </c>
      <c r="F34" s="137">
        <v>23.0</v>
      </c>
      <c r="G34" s="129">
        <f t="shared" si="97"/>
        <v>1091.809219</v>
      </c>
      <c r="H34" s="129">
        <v>1600.0</v>
      </c>
      <c r="I34" s="130">
        <f t="shared" si="98"/>
        <v>0.3411903809</v>
      </c>
      <c r="J34" s="129">
        <v>1054.0953906324269</v>
      </c>
      <c r="K34" s="149"/>
      <c r="L34" s="131">
        <v>0.0</v>
      </c>
      <c r="M34" s="132">
        <v>2.0</v>
      </c>
      <c r="N34" s="133">
        <f t="shared" si="99"/>
        <v>2352.098543</v>
      </c>
      <c r="O34" s="134">
        <f t="shared" si="100"/>
        <v>2.184091504</v>
      </c>
      <c r="P34" s="135">
        <f t="shared" si="101"/>
        <v>1.013822846</v>
      </c>
      <c r="Q34" s="134">
        <f t="shared" si="102"/>
        <v>-1.170268658</v>
      </c>
      <c r="R34" s="136">
        <f t="shared" si="103"/>
        <v>0.4641851516</v>
      </c>
      <c r="S34" s="94">
        <f t="shared" si="104"/>
        <v>-14493.32723</v>
      </c>
      <c r="T34" s="94">
        <f t="shared" si="105"/>
        <v>36800</v>
      </c>
      <c r="U34" s="94">
        <f t="shared" si="106"/>
        <v>12555.80602</v>
      </c>
      <c r="V34" s="94">
        <f t="shared" si="107"/>
        <v>24244.19398</v>
      </c>
      <c r="W34" s="94">
        <f t="shared" si="108"/>
        <v>27049.13324</v>
      </c>
      <c r="X34" s="94">
        <f t="shared" si="110"/>
        <v>151323.0833</v>
      </c>
      <c r="Y34" s="94">
        <f t="shared" si="109"/>
        <v>-165816.4105</v>
      </c>
    </row>
    <row r="35">
      <c r="A35" s="127" t="s">
        <v>268</v>
      </c>
      <c r="B35" s="89">
        <f t="shared" si="93"/>
        <v>7000</v>
      </c>
      <c r="C35" s="91">
        <f t="shared" si="94"/>
        <v>0.00385</v>
      </c>
      <c r="D35" s="153">
        <f t="shared" si="95"/>
        <v>0.0009285714286</v>
      </c>
      <c r="E35" s="89">
        <f t="shared" si="96"/>
        <v>6.5</v>
      </c>
      <c r="F35" s="137">
        <v>13.0</v>
      </c>
      <c r="G35" s="129">
        <f t="shared" si="97"/>
        <v>-15.88308896</v>
      </c>
      <c r="H35" s="129">
        <v>1046.1538461538462</v>
      </c>
      <c r="I35" s="130">
        <f t="shared" si="98"/>
        <v>-0.007591182222</v>
      </c>
      <c r="J35" s="129">
        <v>1054.0953906324269</v>
      </c>
      <c r="K35" s="149"/>
      <c r="L35" s="131">
        <v>0.0</v>
      </c>
      <c r="M35" s="132">
        <v>2.0</v>
      </c>
      <c r="N35" s="133">
        <f t="shared" si="99"/>
        <v>4161.405114</v>
      </c>
      <c r="O35" s="134">
        <f t="shared" si="100"/>
        <v>3.864161892</v>
      </c>
      <c r="P35" s="135">
        <f t="shared" si="101"/>
        <v>-0.0147485826</v>
      </c>
      <c r="Q35" s="134">
        <f t="shared" si="102"/>
        <v>-3.878910474</v>
      </c>
      <c r="R35" s="136">
        <f t="shared" si="103"/>
        <v>-0.003816761051</v>
      </c>
      <c r="S35" s="94">
        <f t="shared" si="104"/>
        <v>-27152.37332</v>
      </c>
      <c r="T35" s="94">
        <f t="shared" si="105"/>
        <v>13600</v>
      </c>
      <c r="U35" s="94">
        <f t="shared" si="106"/>
        <v>-103.2400782</v>
      </c>
      <c r="V35" s="94">
        <f t="shared" si="107"/>
        <v>13703.24008</v>
      </c>
      <c r="W35" s="94">
        <f t="shared" si="108"/>
        <v>27049.13324</v>
      </c>
      <c r="X35" s="94">
        <f t="shared" si="110"/>
        <v>151323.0833</v>
      </c>
      <c r="Y35" s="94">
        <f t="shared" si="109"/>
        <v>-178475.4566</v>
      </c>
    </row>
    <row r="36">
      <c r="A36" s="127" t="s">
        <v>269</v>
      </c>
      <c r="B36" s="89">
        <f t="shared" si="93"/>
        <v>4307.692308</v>
      </c>
      <c r="C36" s="91">
        <f t="shared" si="94"/>
        <v>0.00385</v>
      </c>
      <c r="D36" s="153">
        <f t="shared" si="95"/>
        <v>0.0009285714286</v>
      </c>
      <c r="E36" s="89">
        <f t="shared" si="96"/>
        <v>4</v>
      </c>
      <c r="F36" s="137">
        <v>4.0</v>
      </c>
      <c r="G36" s="129">
        <f t="shared" si="97"/>
        <v>8.904609368</v>
      </c>
      <c r="H36" s="129">
        <v>1063.0</v>
      </c>
      <c r="I36" s="130">
        <f t="shared" si="98"/>
        <v>0.008376866762</v>
      </c>
      <c r="J36" s="129">
        <v>1054.0953906324269</v>
      </c>
      <c r="K36" s="149"/>
      <c r="L36" s="131">
        <v>0.0</v>
      </c>
      <c r="M36" s="143">
        <v>1.0</v>
      </c>
      <c r="N36" s="133">
        <f t="shared" si="99"/>
        <v>6762.283311</v>
      </c>
      <c r="O36" s="134">
        <f t="shared" si="100"/>
        <v>6.279263074</v>
      </c>
      <c r="P36" s="135">
        <f t="shared" si="101"/>
        <v>0.008268565841</v>
      </c>
      <c r="Q36" s="134">
        <f t="shared" si="102"/>
        <v>-6.270994508</v>
      </c>
      <c r="R36" s="136">
        <f t="shared" si="103"/>
        <v>0.001316805132</v>
      </c>
      <c r="S36" s="94">
        <f t="shared" si="104"/>
        <v>-27013.51481</v>
      </c>
      <c r="T36" s="94">
        <f t="shared" si="105"/>
        <v>4252</v>
      </c>
      <c r="U36" s="94">
        <f t="shared" si="106"/>
        <v>35.61843747</v>
      </c>
      <c r="V36" s="94">
        <f t="shared" si="107"/>
        <v>4216.381563</v>
      </c>
      <c r="W36" s="94">
        <f t="shared" si="108"/>
        <v>27049.13324</v>
      </c>
      <c r="X36" s="94">
        <f t="shared" si="110"/>
        <v>151323.0833</v>
      </c>
      <c r="Y36" s="94">
        <f t="shared" si="109"/>
        <v>-178336.5981</v>
      </c>
    </row>
    <row r="37">
      <c r="A37" s="146" t="s">
        <v>79</v>
      </c>
      <c r="B37" s="103">
        <f>Sum(B38:B39)</f>
        <v>243363.6364</v>
      </c>
      <c r="C37" s="102">
        <v>0.0539</v>
      </c>
      <c r="D37" s="102">
        <v>0.013</v>
      </c>
      <c r="E37" s="103">
        <f t="shared" ref="E37:F37" si="111">SUM(E38:E39)</f>
        <v>1581.863636</v>
      </c>
      <c r="F37" s="103">
        <f t="shared" si="111"/>
        <v>3158</v>
      </c>
      <c r="G37" s="104">
        <f t="shared" ref="G37:N37" si="112">AVERAGE(G38:G39)</f>
        <v>170266.8104</v>
      </c>
      <c r="H37" s="104">
        <f t="shared" si="112"/>
        <v>155055.2151</v>
      </c>
      <c r="I37" s="105">
        <f t="shared" si="112"/>
        <v>-0.05096457265</v>
      </c>
      <c r="J37" s="104">
        <f t="shared" si="112"/>
        <v>220.0312113</v>
      </c>
      <c r="K37" s="103" t="str">
        <f t="shared" si="112"/>
        <v>#DIV/0!</v>
      </c>
      <c r="L37" s="104">
        <f t="shared" si="112"/>
        <v>0</v>
      </c>
      <c r="M37" s="103">
        <f t="shared" si="112"/>
        <v>1.55</v>
      </c>
      <c r="N37" s="108">
        <f t="shared" si="112"/>
        <v>6557.757099</v>
      </c>
      <c r="O37" s="110">
        <f t="shared" ref="O37:R37" si="113">AVERAGE(O38,O39)</f>
        <v>42.62542114</v>
      </c>
      <c r="P37" s="110">
        <f t="shared" si="113"/>
        <v>1106.734268</v>
      </c>
      <c r="Q37" s="110">
        <f t="shared" si="113"/>
        <v>1064.108847</v>
      </c>
      <c r="R37" s="105">
        <f t="shared" si="113"/>
        <v>10.857784</v>
      </c>
      <c r="S37" s="110">
        <f t="shared" ref="S37:V37" si="114">SUM(S38:S39)</f>
        <v>1638888.226</v>
      </c>
      <c r="T37" s="110">
        <f t="shared" si="114"/>
        <v>2500000</v>
      </c>
      <c r="U37" s="110">
        <f t="shared" si="114"/>
        <v>1805141.435</v>
      </c>
      <c r="V37" s="110">
        <f t="shared" si="114"/>
        <v>694858.5652</v>
      </c>
      <c r="W37" s="110">
        <f>SUM('расходы'!C123, 'расходы'!C125)</f>
        <v>166253.2092</v>
      </c>
      <c r="X37" s="110">
        <f>SUM('услуги'!I30:I31)</f>
        <v>998818.4384</v>
      </c>
      <c r="Y37" s="103">
        <f>SUM(Y38:Y39)</f>
        <v>640069.7872</v>
      </c>
    </row>
    <row r="38">
      <c r="A38" s="127" t="s">
        <v>201</v>
      </c>
      <c r="B38" s="89">
        <f t="shared" ref="B38:B39" si="116">E38*100%/D38</f>
        <v>979.020979</v>
      </c>
      <c r="C38" s="91">
        <f t="shared" ref="C38:D38" si="115">C37/2</f>
        <v>0.02695</v>
      </c>
      <c r="D38" s="153">
        <f t="shared" si="115"/>
        <v>0.0065</v>
      </c>
      <c r="E38" s="89">
        <f t="shared" ref="E38:E39" si="118">F38/M38</f>
        <v>6.363636364</v>
      </c>
      <c r="F38" s="137">
        <v>7.0</v>
      </c>
      <c r="G38" s="129">
        <f t="shared" ref="G38:G39" si="119">H38*I38*M38-L38</f>
        <v>340764.2514</v>
      </c>
      <c r="H38" s="129">
        <v>310005.71428571426</v>
      </c>
      <c r="I38" s="130">
        <f t="shared" ref="I38:I39" si="120">(H38-J38)/H38</f>
        <v>0.999290235</v>
      </c>
      <c r="J38" s="129">
        <v>220.03121127295762</v>
      </c>
      <c r="K38" s="149"/>
      <c r="L38" s="131">
        <v>0.0</v>
      </c>
      <c r="M38" s="132">
        <v>1.1</v>
      </c>
      <c r="N38" s="133">
        <f t="shared" ref="N38:N39" si="121">W38/E38</f>
        <v>13062.75215</v>
      </c>
      <c r="O38" s="134">
        <f t="shared" ref="O38:O39" si="122">W38/B38</f>
        <v>84.90788898</v>
      </c>
      <c r="P38" s="135">
        <f t="shared" ref="P38:P39" si="123">D38*G38</f>
        <v>2214.967634</v>
      </c>
      <c r="Q38" s="134">
        <f t="shared" ref="Q38:Q39" si="124">P38-O38</f>
        <v>2130.059745</v>
      </c>
      <c r="R38" s="136">
        <f t="shared" ref="R38:R39" si="125">P38/O38</f>
        <v>26.08671185</v>
      </c>
      <c r="S38" s="94">
        <f t="shared" ref="S38:S39" si="126">B38*(P38-O38)</f>
        <v>2085373.177</v>
      </c>
      <c r="T38" s="94">
        <f t="shared" ref="T38:T39" si="127">H38*F38</f>
        <v>2170040</v>
      </c>
      <c r="U38" s="94">
        <f t="shared" ref="U38:U39" si="128">E38*G38</f>
        <v>2168499.782</v>
      </c>
      <c r="V38" s="94">
        <f t="shared" ref="V38:V39" si="129">T38-U38</f>
        <v>1540.218479</v>
      </c>
      <c r="W38" s="94">
        <f t="shared" ref="W38:W39" si="130">$W$37/2</f>
        <v>83126.6046</v>
      </c>
      <c r="X38" s="94">
        <f>X37/2</f>
        <v>499409.2192</v>
      </c>
      <c r="Y38" s="94">
        <f t="shared" ref="Y38:Y39" si="131">S38-X38</f>
        <v>1585963.958</v>
      </c>
    </row>
    <row r="39">
      <c r="A39" s="127" t="s">
        <v>202</v>
      </c>
      <c r="B39" s="89">
        <f t="shared" si="116"/>
        <v>242384.6154</v>
      </c>
      <c r="C39" s="91">
        <f t="shared" ref="C39:D39" si="117">C37/2</f>
        <v>0.02695</v>
      </c>
      <c r="D39" s="153">
        <f t="shared" si="117"/>
        <v>0.0065</v>
      </c>
      <c r="E39" s="89">
        <f t="shared" si="118"/>
        <v>1575.5</v>
      </c>
      <c r="F39" s="137">
        <v>3151.0</v>
      </c>
      <c r="G39" s="129">
        <f t="shared" si="119"/>
        <v>-230.6304962</v>
      </c>
      <c r="H39" s="129">
        <v>104.71596318629007</v>
      </c>
      <c r="I39" s="130">
        <f t="shared" si="120"/>
        <v>-1.10121938</v>
      </c>
      <c r="J39" s="129">
        <v>220.03121127295762</v>
      </c>
      <c r="K39" s="149"/>
      <c r="L39" s="131">
        <v>0.0</v>
      </c>
      <c r="M39" s="132">
        <v>2.0</v>
      </c>
      <c r="N39" s="133">
        <f t="shared" si="121"/>
        <v>52.76204672</v>
      </c>
      <c r="O39" s="134">
        <f t="shared" si="122"/>
        <v>0.3429533036</v>
      </c>
      <c r="P39" s="135">
        <f t="shared" si="123"/>
        <v>-1.499098225</v>
      </c>
      <c r="Q39" s="134">
        <f t="shared" si="124"/>
        <v>-1.842051529</v>
      </c>
      <c r="R39" s="136">
        <f t="shared" si="125"/>
        <v>-4.371143853</v>
      </c>
      <c r="S39" s="94">
        <f t="shared" si="126"/>
        <v>-446484.9513</v>
      </c>
      <c r="T39" s="94">
        <f t="shared" si="127"/>
        <v>329960</v>
      </c>
      <c r="U39" s="94">
        <f t="shared" si="128"/>
        <v>-363358.3467</v>
      </c>
      <c r="V39" s="94">
        <f t="shared" si="129"/>
        <v>693318.3467</v>
      </c>
      <c r="W39" s="94">
        <f t="shared" si="130"/>
        <v>83126.6046</v>
      </c>
      <c r="X39" s="94">
        <f>X37/2</f>
        <v>499409.2192</v>
      </c>
      <c r="Y39" s="94">
        <f t="shared" si="131"/>
        <v>-945894.1705</v>
      </c>
    </row>
    <row r="40">
      <c r="N40" s="133"/>
    </row>
  </sheetData>
  <drawing r:id="rId2"/>
  <legacyDrawing r:id="rId3"/>
</worksheet>
</file>