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david_steinmann_usda_gov/Documents/3-HAM_SSO/CZSS/Coastal Blue Carbon/NCBCA/NJTWMN/"/>
    </mc:Choice>
  </mc:AlternateContent>
  <xr:revisionPtr revIDLastSave="1380" documentId="13_ncr:1_{E2626B95-F6D9-4A69-BA3F-3EAE10450401}" xr6:coauthVersionLast="47" xr6:coauthVersionMax="47" xr10:uidLastSave="{91CD6B4A-9D7F-4DD1-85A2-A45D064366D8}"/>
  <bookViews>
    <workbookView xWindow="-120" yWindow="-120" windowWidth="29040" windowHeight="15840" activeTab="1" xr2:uid="{7719B201-64C8-4B89-B1C9-07307783F2E4}"/>
  </bookViews>
  <sheets>
    <sheet name="NJTWMN Sites" sheetId="1" r:id="rId1"/>
    <sheet name="NJTWMN Carbon Cal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62" i="2" l="1"/>
  <c r="R161" i="2"/>
  <c r="R160" i="2"/>
  <c r="R159" i="2"/>
  <c r="O164" i="2"/>
  <c r="N163" i="2"/>
  <c r="M161" i="2"/>
  <c r="L165" i="2"/>
  <c r="L164" i="2"/>
  <c r="I165" i="2"/>
  <c r="I164" i="2"/>
  <c r="D165" i="2"/>
  <c r="D164" i="2"/>
  <c r="R153" i="2"/>
  <c r="R152" i="2"/>
  <c r="R151" i="2"/>
  <c r="R150" i="2"/>
  <c r="O156" i="2"/>
  <c r="N153" i="2"/>
  <c r="M152" i="2"/>
  <c r="R141" i="2"/>
  <c r="R140" i="2"/>
  <c r="R139" i="2"/>
  <c r="R138" i="2"/>
  <c r="O145" i="2"/>
  <c r="N142" i="2"/>
  <c r="M140" i="2"/>
  <c r="R132" i="2" l="1"/>
  <c r="R131" i="2"/>
  <c r="R130" i="2"/>
  <c r="R129" i="2"/>
  <c r="N133" i="2"/>
  <c r="M131" i="2"/>
  <c r="R124" i="2"/>
  <c r="R123" i="2"/>
  <c r="R122" i="2"/>
  <c r="R121" i="2"/>
  <c r="O126" i="2"/>
  <c r="N125" i="2"/>
  <c r="M124" i="2"/>
  <c r="J126" i="2"/>
  <c r="J125" i="2"/>
  <c r="J124" i="2"/>
  <c r="J123" i="2"/>
  <c r="L123" i="2" s="1"/>
  <c r="J122" i="2"/>
  <c r="M121" i="2"/>
  <c r="O122" i="2"/>
  <c r="M123" i="2"/>
  <c r="O123" i="2"/>
  <c r="L124" i="2"/>
  <c r="N124" i="2"/>
  <c r="O124" i="2"/>
  <c r="L125" i="2"/>
  <c r="O125" i="2"/>
  <c r="L127" i="2"/>
  <c r="M127" i="2"/>
  <c r="N127" i="2"/>
  <c r="O127" i="2"/>
  <c r="N128" i="2"/>
  <c r="O128" i="2"/>
  <c r="N129" i="2"/>
  <c r="M130" i="2"/>
  <c r="N130" i="2"/>
  <c r="O130" i="2"/>
  <c r="L131" i="2"/>
  <c r="N131" i="2"/>
  <c r="O131" i="2"/>
  <c r="L132" i="2"/>
  <c r="O134" i="2"/>
  <c r="N135" i="2"/>
  <c r="M138" i="2"/>
  <c r="N138" i="2"/>
  <c r="O138" i="2"/>
  <c r="L139" i="2"/>
  <c r="M139" i="2"/>
  <c r="O142" i="2"/>
  <c r="L147" i="2"/>
  <c r="M148" i="2"/>
  <c r="M150" i="2"/>
  <c r="O150" i="2"/>
  <c r="L151" i="2"/>
  <c r="M151" i="2"/>
  <c r="N151" i="2"/>
  <c r="O151" i="2"/>
  <c r="L152" i="2"/>
  <c r="N152" i="2"/>
  <c r="O154" i="2"/>
  <c r="L157" i="2"/>
  <c r="M158" i="2"/>
  <c r="N158" i="2"/>
  <c r="O158" i="2"/>
  <c r="N159" i="2"/>
  <c r="O159" i="2"/>
  <c r="L160" i="2"/>
  <c r="M160" i="2"/>
  <c r="N160" i="2"/>
  <c r="O160" i="2"/>
  <c r="L161" i="2"/>
  <c r="O120" i="2"/>
  <c r="N120" i="2"/>
  <c r="M120" i="2"/>
  <c r="L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20" i="2"/>
  <c r="D121" i="2"/>
  <c r="L121" i="2" s="1"/>
  <c r="D122" i="2"/>
  <c r="D123" i="2"/>
  <c r="D124" i="2"/>
  <c r="D125" i="2"/>
  <c r="D126" i="2"/>
  <c r="L126" i="2" s="1"/>
  <c r="D128" i="2"/>
  <c r="M128" i="2" s="1"/>
  <c r="D129" i="2"/>
  <c r="L129" i="2" s="1"/>
  <c r="D130" i="2"/>
  <c r="L130" i="2" s="1"/>
  <c r="D131" i="2"/>
  <c r="D132" i="2"/>
  <c r="D133" i="2"/>
  <c r="L133" i="2" s="1"/>
  <c r="D134" i="2"/>
  <c r="L134" i="2" s="1"/>
  <c r="L135" i="2"/>
  <c r="D136" i="2"/>
  <c r="L136" i="2" s="1"/>
  <c r="D137" i="2"/>
  <c r="L137" i="2" s="1"/>
  <c r="D138" i="2"/>
  <c r="L138" i="2" s="1"/>
  <c r="D139" i="2"/>
  <c r="N139" i="2" s="1"/>
  <c r="D140" i="2"/>
  <c r="L140" i="2" s="1"/>
  <c r="D141" i="2"/>
  <c r="L141" i="2" s="1"/>
  <c r="D142" i="2"/>
  <c r="L142" i="2" s="1"/>
  <c r="D143" i="2"/>
  <c r="L143" i="2" s="1"/>
  <c r="D144" i="2"/>
  <c r="L144" i="2" s="1"/>
  <c r="D145" i="2"/>
  <c r="L145" i="2" s="1"/>
  <c r="D146" i="2"/>
  <c r="L146" i="2" s="1"/>
  <c r="D147" i="2"/>
  <c r="L148" i="2"/>
  <c r="D149" i="2"/>
  <c r="L149" i="2" s="1"/>
  <c r="D150" i="2"/>
  <c r="L150" i="2" s="1"/>
  <c r="D151" i="2"/>
  <c r="D152" i="2"/>
  <c r="O152" i="2" s="1"/>
  <c r="D153" i="2"/>
  <c r="L153" i="2" s="1"/>
  <c r="D154" i="2"/>
  <c r="L154" i="2" s="1"/>
  <c r="D155" i="2"/>
  <c r="L155" i="2" s="1"/>
  <c r="D156" i="2"/>
  <c r="L156" i="2" s="1"/>
  <c r="M157" i="2"/>
  <c r="D158" i="2"/>
  <c r="L158" i="2" s="1"/>
  <c r="D159" i="2"/>
  <c r="L159" i="2" s="1"/>
  <c r="D160" i="2"/>
  <c r="D161" i="2"/>
  <c r="N161" i="2" s="1"/>
  <c r="D162" i="2"/>
  <c r="L162" i="2" s="1"/>
  <c r="D163" i="2"/>
  <c r="L163" i="2" s="1"/>
  <c r="D119" i="2"/>
  <c r="L119" i="2" s="1"/>
  <c r="J83" i="2"/>
  <c r="J82" i="2"/>
  <c r="J81" i="2"/>
  <c r="J80" i="2"/>
  <c r="J77" i="2"/>
  <c r="J76" i="2"/>
  <c r="J74" i="2"/>
  <c r="J73" i="2"/>
  <c r="L73" i="2" s="1"/>
  <c r="N67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D61" i="2"/>
  <c r="O61" i="2" s="1"/>
  <c r="D62" i="2"/>
  <c r="O62" i="2" s="1"/>
  <c r="D63" i="2"/>
  <c r="L63" i="2" s="1"/>
  <c r="D64" i="2"/>
  <c r="L64" i="2" s="1"/>
  <c r="D65" i="2"/>
  <c r="L65" i="2" s="1"/>
  <c r="D66" i="2"/>
  <c r="L66" i="2" s="1"/>
  <c r="D67" i="2"/>
  <c r="L67" i="2" s="1"/>
  <c r="D68" i="2"/>
  <c r="O68" i="2" s="1"/>
  <c r="D69" i="2"/>
  <c r="L69" i="2" s="1"/>
  <c r="D70" i="2"/>
  <c r="L70" i="2" s="1"/>
  <c r="D71" i="2"/>
  <c r="L71" i="2" s="1"/>
  <c r="D72" i="2"/>
  <c r="L72" i="2" s="1"/>
  <c r="D74" i="2"/>
  <c r="D75" i="2"/>
  <c r="L75" i="2" s="1"/>
  <c r="D76" i="2"/>
  <c r="M76" i="2" s="1"/>
  <c r="D77" i="2"/>
  <c r="N77" i="2" s="1"/>
  <c r="D78" i="2"/>
  <c r="L78" i="2" s="1"/>
  <c r="D79" i="2"/>
  <c r="L79" i="2" s="1"/>
  <c r="D80" i="2"/>
  <c r="D81" i="2"/>
  <c r="D82" i="2"/>
  <c r="D83" i="2"/>
  <c r="L83" i="2" s="1"/>
  <c r="D14" i="2"/>
  <c r="M14" i="2" s="1"/>
  <c r="D15" i="2"/>
  <c r="O15" i="2" s="1"/>
  <c r="D16" i="2"/>
  <c r="N16" i="2" s="1"/>
  <c r="D17" i="2"/>
  <c r="N17" i="2" s="1"/>
  <c r="D18" i="2"/>
  <c r="N18" i="2" s="1"/>
  <c r="O19" i="2"/>
  <c r="D20" i="2"/>
  <c r="O20" i="2" s="1"/>
  <c r="D21" i="2"/>
  <c r="O21" i="2" s="1"/>
  <c r="D22" i="2"/>
  <c r="O22" i="2" s="1"/>
  <c r="D23" i="2"/>
  <c r="O23" i="2" s="1"/>
  <c r="D24" i="2"/>
  <c r="O24" i="2" s="1"/>
  <c r="D25" i="2"/>
  <c r="L25" i="2" s="1"/>
  <c r="D26" i="2"/>
  <c r="O26" i="2" s="1"/>
  <c r="N60" i="2"/>
  <c r="O3" i="2"/>
  <c r="O13" i="2"/>
  <c r="O14" i="2"/>
  <c r="N3" i="2"/>
  <c r="N13" i="2"/>
  <c r="N21" i="2"/>
  <c r="M3" i="2"/>
  <c r="M13" i="2"/>
  <c r="L3" i="2"/>
  <c r="L13" i="2"/>
  <c r="L14" i="2"/>
  <c r="L15" i="2"/>
  <c r="L19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60" i="2"/>
  <c r="I61" i="2"/>
  <c r="I62" i="2"/>
  <c r="D5" i="2"/>
  <c r="O5" i="2" s="1"/>
  <c r="D6" i="2"/>
  <c r="O6" i="2" s="1"/>
  <c r="D7" i="2"/>
  <c r="O7" i="2" s="1"/>
  <c r="D8" i="2"/>
  <c r="M8" i="2" s="1"/>
  <c r="D9" i="2"/>
  <c r="L9" i="2" s="1"/>
  <c r="D10" i="2"/>
  <c r="L10" i="2" s="1"/>
  <c r="D11" i="2"/>
  <c r="L11" i="2" s="1"/>
  <c r="D12" i="2"/>
  <c r="L12" i="2" s="1"/>
  <c r="D4" i="2"/>
  <c r="O4" i="2" s="1"/>
  <c r="I95" i="2"/>
  <c r="D95" i="2"/>
  <c r="L95" i="2" s="1"/>
  <c r="I94" i="2"/>
  <c r="D94" i="2"/>
  <c r="O94" i="2" s="1"/>
  <c r="I93" i="2"/>
  <c r="D93" i="2"/>
  <c r="O93" i="2" s="1"/>
  <c r="I92" i="2"/>
  <c r="D92" i="2"/>
  <c r="N92" i="2" s="1"/>
  <c r="I91" i="2"/>
  <c r="D91" i="2"/>
  <c r="O91" i="2" s="1"/>
  <c r="I90" i="2"/>
  <c r="D90" i="2"/>
  <c r="L90" i="2" s="1"/>
  <c r="I89" i="2"/>
  <c r="D89" i="2"/>
  <c r="O89" i="2" s="1"/>
  <c r="I88" i="2"/>
  <c r="D88" i="2"/>
  <c r="N88" i="2" s="1"/>
  <c r="I87" i="2"/>
  <c r="D87" i="2"/>
  <c r="O87" i="2" s="1"/>
  <c r="I86" i="2"/>
  <c r="D86" i="2"/>
  <c r="O86" i="2" s="1"/>
  <c r="I85" i="2"/>
  <c r="D85" i="2"/>
  <c r="O85" i="2" s="1"/>
  <c r="O84" i="2"/>
  <c r="N84" i="2"/>
  <c r="M84" i="2"/>
  <c r="L84" i="2"/>
  <c r="I84" i="2"/>
  <c r="I106" i="2"/>
  <c r="D106" i="2"/>
  <c r="L106" i="2" s="1"/>
  <c r="I105" i="2"/>
  <c r="D105" i="2"/>
  <c r="O105" i="2" s="1"/>
  <c r="I104" i="2"/>
  <c r="D104" i="2"/>
  <c r="O104" i="2" s="1"/>
  <c r="I103" i="2"/>
  <c r="D103" i="2"/>
  <c r="L103" i="2" s="1"/>
  <c r="I102" i="2"/>
  <c r="D102" i="2"/>
  <c r="O102" i="2" s="1"/>
  <c r="I101" i="2"/>
  <c r="D101" i="2"/>
  <c r="L101" i="2" s="1"/>
  <c r="I100" i="2"/>
  <c r="D100" i="2"/>
  <c r="O100" i="2" s="1"/>
  <c r="I99" i="2"/>
  <c r="D99" i="2"/>
  <c r="N99" i="2" s="1"/>
  <c r="I98" i="2"/>
  <c r="D98" i="2"/>
  <c r="O98" i="2" s="1"/>
  <c r="I97" i="2"/>
  <c r="D97" i="2"/>
  <c r="O97" i="2" s="1"/>
  <c r="O96" i="2"/>
  <c r="N96" i="2"/>
  <c r="M96" i="2"/>
  <c r="L96" i="2"/>
  <c r="I96" i="2"/>
  <c r="I119" i="2"/>
  <c r="I118" i="2"/>
  <c r="D118" i="2"/>
  <c r="L118" i="2" s="1"/>
  <c r="I117" i="2"/>
  <c r="D117" i="2"/>
  <c r="O117" i="2" s="1"/>
  <c r="I116" i="2"/>
  <c r="D116" i="2"/>
  <c r="O116" i="2" s="1"/>
  <c r="I115" i="2"/>
  <c r="D115" i="2"/>
  <c r="O115" i="2" s="1"/>
  <c r="I114" i="2"/>
  <c r="D114" i="2"/>
  <c r="O114" i="2" s="1"/>
  <c r="I113" i="2"/>
  <c r="D113" i="2"/>
  <c r="N113" i="2" s="1"/>
  <c r="I112" i="2"/>
  <c r="D112" i="2"/>
  <c r="N112" i="2" s="1"/>
  <c r="I111" i="2"/>
  <c r="D111" i="2"/>
  <c r="O111" i="2" s="1"/>
  <c r="I110" i="2"/>
  <c r="D110" i="2"/>
  <c r="N110" i="2" s="1"/>
  <c r="I109" i="2"/>
  <c r="D109" i="2"/>
  <c r="O109" i="2" s="1"/>
  <c r="I108" i="2"/>
  <c r="D108" i="2"/>
  <c r="O108" i="2" s="1"/>
  <c r="O107" i="2"/>
  <c r="N107" i="2"/>
  <c r="M107" i="2"/>
  <c r="L107" i="2"/>
  <c r="I107" i="2"/>
  <c r="I35" i="2"/>
  <c r="D35" i="2"/>
  <c r="O35" i="2" s="1"/>
  <c r="I34" i="2"/>
  <c r="D34" i="2"/>
  <c r="O34" i="2" s="1"/>
  <c r="I33" i="2"/>
  <c r="D33" i="2"/>
  <c r="N33" i="2" s="1"/>
  <c r="I32" i="2"/>
  <c r="D32" i="2"/>
  <c r="O32" i="2" s="1"/>
  <c r="I31" i="2"/>
  <c r="D31" i="2"/>
  <c r="O31" i="2" s="1"/>
  <c r="I30" i="2"/>
  <c r="D30" i="2"/>
  <c r="O30" i="2" s="1"/>
  <c r="I29" i="2"/>
  <c r="D29" i="2"/>
  <c r="M29" i="2" s="1"/>
  <c r="I28" i="2"/>
  <c r="D28" i="2"/>
  <c r="O28" i="2" s="1"/>
  <c r="O27" i="2"/>
  <c r="N27" i="2"/>
  <c r="M27" i="2"/>
  <c r="L27" i="2"/>
  <c r="I27" i="2"/>
  <c r="I41" i="2"/>
  <c r="D41" i="2"/>
  <c r="O41" i="2" s="1"/>
  <c r="I40" i="2"/>
  <c r="D40" i="2"/>
  <c r="O40" i="2" s="1"/>
  <c r="I39" i="2"/>
  <c r="D39" i="2"/>
  <c r="O39" i="2" s="1"/>
  <c r="I38" i="2"/>
  <c r="D38" i="2"/>
  <c r="L38" i="2" s="1"/>
  <c r="I37" i="2"/>
  <c r="D37" i="2"/>
  <c r="O37" i="2" s="1"/>
  <c r="O36" i="2"/>
  <c r="N36" i="2"/>
  <c r="M36" i="2"/>
  <c r="L36" i="2"/>
  <c r="I36" i="2"/>
  <c r="I51" i="2"/>
  <c r="D51" i="2"/>
  <c r="O51" i="2" s="1"/>
  <c r="I50" i="2"/>
  <c r="D50" i="2"/>
  <c r="O50" i="2" s="1"/>
  <c r="I49" i="2"/>
  <c r="D49" i="2"/>
  <c r="N49" i="2" s="1"/>
  <c r="I48" i="2"/>
  <c r="D48" i="2"/>
  <c r="L48" i="2" s="1"/>
  <c r="I47" i="2"/>
  <c r="D47" i="2"/>
  <c r="O47" i="2" s="1"/>
  <c r="I46" i="2"/>
  <c r="D46" i="2"/>
  <c r="N46" i="2" s="1"/>
  <c r="I45" i="2"/>
  <c r="D45" i="2"/>
  <c r="L45" i="2" s="1"/>
  <c r="O44" i="2"/>
  <c r="N44" i="2"/>
  <c r="M44" i="2"/>
  <c r="L44" i="2"/>
  <c r="I44" i="2"/>
  <c r="I59" i="2"/>
  <c r="D59" i="2"/>
  <c r="O59" i="2" s="1"/>
  <c r="I58" i="2"/>
  <c r="D58" i="2"/>
  <c r="O58" i="2" s="1"/>
  <c r="I57" i="2"/>
  <c r="D57" i="2"/>
  <c r="O57" i="2" s="1"/>
  <c r="I56" i="2"/>
  <c r="D56" i="2"/>
  <c r="O56" i="2" s="1"/>
  <c r="I55" i="2"/>
  <c r="D55" i="2"/>
  <c r="M55" i="2" s="1"/>
  <c r="I54" i="2"/>
  <c r="D54" i="2"/>
  <c r="O54" i="2" s="1"/>
  <c r="O53" i="2"/>
  <c r="N53" i="2"/>
  <c r="M53" i="2"/>
  <c r="L53" i="2"/>
  <c r="I53" i="2"/>
  <c r="O163" i="2" l="1"/>
  <c r="O162" i="2"/>
  <c r="N162" i="2"/>
  <c r="O161" i="2"/>
  <c r="M159" i="2"/>
  <c r="O157" i="2"/>
  <c r="N157" i="2"/>
  <c r="O155" i="2"/>
  <c r="O153" i="2"/>
  <c r="N150" i="2"/>
  <c r="O149" i="2"/>
  <c r="N149" i="2"/>
  <c r="M149" i="2"/>
  <c r="O148" i="2"/>
  <c r="N148" i="2"/>
  <c r="O144" i="2"/>
  <c r="O143" i="2"/>
  <c r="O141" i="2"/>
  <c r="N141" i="2"/>
  <c r="O140" i="2"/>
  <c r="N140" i="2"/>
  <c r="O139" i="2"/>
  <c r="O137" i="2"/>
  <c r="N137" i="2"/>
  <c r="M137" i="2"/>
  <c r="O136" i="2"/>
  <c r="N136" i="2"/>
  <c r="M136" i="2"/>
  <c r="O135" i="2"/>
  <c r="M135" i="2"/>
  <c r="O133" i="2"/>
  <c r="O132" i="2"/>
  <c r="N132" i="2"/>
  <c r="O129" i="2"/>
  <c r="M129" i="2"/>
  <c r="L128" i="2"/>
  <c r="N123" i="2"/>
  <c r="L122" i="2"/>
  <c r="N122" i="2"/>
  <c r="M122" i="2"/>
  <c r="O121" i="2"/>
  <c r="N121" i="2"/>
  <c r="O65" i="2"/>
  <c r="M16" i="2"/>
  <c r="M15" i="2"/>
  <c r="L80" i="2"/>
  <c r="N14" i="2"/>
  <c r="N69" i="2"/>
  <c r="L77" i="2"/>
  <c r="O78" i="2"/>
  <c r="O76" i="2"/>
  <c r="N68" i="2"/>
  <c r="L68" i="2"/>
  <c r="O67" i="2"/>
  <c r="N78" i="2"/>
  <c r="N76" i="2"/>
  <c r="L76" i="2"/>
  <c r="M66" i="2"/>
  <c r="N75" i="2"/>
  <c r="M75" i="2"/>
  <c r="O69" i="2"/>
  <c r="O71" i="2"/>
  <c r="O79" i="2"/>
  <c r="O75" i="2"/>
  <c r="L74" i="2"/>
  <c r="L82" i="2"/>
  <c r="L81" i="2"/>
  <c r="O77" i="2"/>
  <c r="O74" i="2"/>
  <c r="N74" i="2"/>
  <c r="M74" i="2"/>
  <c r="O73" i="2"/>
  <c r="N73" i="2"/>
  <c r="M73" i="2"/>
  <c r="O70" i="2"/>
  <c r="O66" i="2"/>
  <c r="N66" i="2"/>
  <c r="N65" i="2"/>
  <c r="M65" i="2"/>
  <c r="O64" i="2"/>
  <c r="N64" i="2"/>
  <c r="M64" i="2"/>
  <c r="O63" i="2"/>
  <c r="N63" i="2"/>
  <c r="M63" i="2"/>
  <c r="L16" i="2"/>
  <c r="M17" i="2"/>
  <c r="R15" i="2" s="1"/>
  <c r="N9" i="2"/>
  <c r="M21" i="2"/>
  <c r="N24" i="2"/>
  <c r="L8" i="2"/>
  <c r="N8" i="2"/>
  <c r="L7" i="2"/>
  <c r="N5" i="2"/>
  <c r="O90" i="2"/>
  <c r="L6" i="2"/>
  <c r="N40" i="2"/>
  <c r="L5" i="2"/>
  <c r="M23" i="2"/>
  <c r="L62" i="2"/>
  <c r="L22" i="2"/>
  <c r="L4" i="2"/>
  <c r="M6" i="2"/>
  <c r="N25" i="2"/>
  <c r="L21" i="2"/>
  <c r="L20" i="2"/>
  <c r="N11" i="2"/>
  <c r="N22" i="2"/>
  <c r="L26" i="2"/>
  <c r="O25" i="2"/>
  <c r="R24" i="2" s="1"/>
  <c r="L24" i="2"/>
  <c r="L23" i="2"/>
  <c r="N10" i="2"/>
  <c r="O12" i="2"/>
  <c r="L61" i="2"/>
  <c r="N7" i="2"/>
  <c r="O11" i="2"/>
  <c r="L60" i="2"/>
  <c r="M7" i="2"/>
  <c r="N6" i="2"/>
  <c r="O10" i="2"/>
  <c r="O9" i="2"/>
  <c r="M62" i="2"/>
  <c r="M5" i="2"/>
  <c r="N4" i="2"/>
  <c r="O8" i="2"/>
  <c r="M60" i="2"/>
  <c r="M4" i="2"/>
  <c r="N20" i="2"/>
  <c r="O60" i="2"/>
  <c r="O18" i="2"/>
  <c r="N62" i="2"/>
  <c r="N15" i="2"/>
  <c r="R16" i="2" s="1"/>
  <c r="O17" i="2"/>
  <c r="M20" i="2"/>
  <c r="N61" i="2"/>
  <c r="O16" i="2"/>
  <c r="L40" i="2"/>
  <c r="N90" i="2"/>
  <c r="N19" i="2"/>
  <c r="L18" i="2"/>
  <c r="L17" i="2"/>
  <c r="N23" i="2"/>
  <c r="M22" i="2"/>
  <c r="M61" i="2"/>
  <c r="M19" i="2"/>
  <c r="L98" i="2"/>
  <c r="M40" i="2"/>
  <c r="O113" i="2"/>
  <c r="N101" i="2"/>
  <c r="L55" i="2"/>
  <c r="O49" i="2"/>
  <c r="O101" i="2"/>
  <c r="L31" i="2"/>
  <c r="M31" i="2"/>
  <c r="N31" i="2"/>
  <c r="M90" i="2"/>
  <c r="N29" i="2"/>
  <c r="M38" i="2"/>
  <c r="O29" i="2"/>
  <c r="M110" i="2"/>
  <c r="O103" i="2"/>
  <c r="O110" i="2"/>
  <c r="O33" i="2"/>
  <c r="L108" i="2"/>
  <c r="M85" i="2"/>
  <c r="N38" i="2"/>
  <c r="L33" i="2"/>
  <c r="O38" i="2"/>
  <c r="R41" i="2" s="1"/>
  <c r="M108" i="2"/>
  <c r="L116" i="2"/>
  <c r="N85" i="2"/>
  <c r="L46" i="2"/>
  <c r="L110" i="2"/>
  <c r="M46" i="2"/>
  <c r="O99" i="2"/>
  <c r="O88" i="2"/>
  <c r="L41" i="2"/>
  <c r="L54" i="2"/>
  <c r="O46" i="2"/>
  <c r="L85" i="2"/>
  <c r="N108" i="2"/>
  <c r="M101" i="2"/>
  <c r="O92" i="2"/>
  <c r="L87" i="2"/>
  <c r="M87" i="2"/>
  <c r="L93" i="2"/>
  <c r="N87" i="2"/>
  <c r="L89" i="2"/>
  <c r="M89" i="2"/>
  <c r="L91" i="2"/>
  <c r="N89" i="2"/>
  <c r="N91" i="2"/>
  <c r="L86" i="2"/>
  <c r="L94" i="2"/>
  <c r="M86" i="2"/>
  <c r="N86" i="2"/>
  <c r="L88" i="2"/>
  <c r="M88" i="2"/>
  <c r="L92" i="2"/>
  <c r="M98" i="2"/>
  <c r="L104" i="2"/>
  <c r="N98" i="2"/>
  <c r="L100" i="2"/>
  <c r="M100" i="2"/>
  <c r="N100" i="2"/>
  <c r="L102" i="2"/>
  <c r="N102" i="2"/>
  <c r="L105" i="2"/>
  <c r="L97" i="2"/>
  <c r="M97" i="2"/>
  <c r="L99" i="2"/>
  <c r="N97" i="2"/>
  <c r="M99" i="2"/>
  <c r="L112" i="2"/>
  <c r="L114" i="2"/>
  <c r="M112" i="2"/>
  <c r="N114" i="2"/>
  <c r="L117" i="2"/>
  <c r="L109" i="2"/>
  <c r="O112" i="2"/>
  <c r="M109" i="2"/>
  <c r="N109" i="2"/>
  <c r="L111" i="2"/>
  <c r="L115" i="2"/>
  <c r="M111" i="2"/>
  <c r="N111" i="2"/>
  <c r="L113" i="2"/>
  <c r="L28" i="2"/>
  <c r="M28" i="2"/>
  <c r="L30" i="2"/>
  <c r="N28" i="2"/>
  <c r="M30" i="2"/>
  <c r="L34" i="2"/>
  <c r="N30" i="2"/>
  <c r="L32" i="2"/>
  <c r="N32" i="2"/>
  <c r="L29" i="2"/>
  <c r="L35" i="2"/>
  <c r="L37" i="2"/>
  <c r="M37" i="2"/>
  <c r="L39" i="2"/>
  <c r="N37" i="2"/>
  <c r="M39" i="2"/>
  <c r="N39" i="2"/>
  <c r="M41" i="2"/>
  <c r="N41" i="2"/>
  <c r="N48" i="2"/>
  <c r="L50" i="2"/>
  <c r="N50" i="2"/>
  <c r="M50" i="2"/>
  <c r="M45" i="2"/>
  <c r="L47" i="2"/>
  <c r="N45" i="2"/>
  <c r="M47" i="2"/>
  <c r="O48" i="2"/>
  <c r="O45" i="2"/>
  <c r="N47" i="2"/>
  <c r="L49" i="2"/>
  <c r="M48" i="2"/>
  <c r="M49" i="2"/>
  <c r="L51" i="2"/>
  <c r="M54" i="2"/>
  <c r="L56" i="2"/>
  <c r="N54" i="2"/>
  <c r="M56" i="2"/>
  <c r="N56" i="2"/>
  <c r="L58" i="2"/>
  <c r="N58" i="2"/>
  <c r="N55" i="2"/>
  <c r="L57" i="2"/>
  <c r="O55" i="2"/>
  <c r="R57" i="2" s="1"/>
  <c r="M57" i="2"/>
  <c r="L59" i="2"/>
  <c r="N57" i="2"/>
  <c r="N59" i="2"/>
  <c r="R66" i="2" l="1"/>
  <c r="R65" i="2"/>
  <c r="R76" i="2"/>
  <c r="R77" i="2"/>
  <c r="R78" i="2"/>
  <c r="R79" i="2"/>
  <c r="R63" i="2"/>
  <c r="R64" i="2"/>
  <c r="R14" i="2"/>
  <c r="R17" i="2"/>
  <c r="R5" i="2"/>
  <c r="R21" i="2"/>
  <c r="R7" i="2"/>
  <c r="R4" i="2"/>
  <c r="R6" i="2"/>
  <c r="R23" i="2"/>
  <c r="R22" i="2"/>
  <c r="R101" i="2"/>
  <c r="R112" i="2"/>
  <c r="R100" i="2"/>
  <c r="R89" i="2"/>
  <c r="R32" i="2"/>
  <c r="R87" i="2"/>
  <c r="R110" i="2"/>
  <c r="R31" i="2"/>
  <c r="R48" i="2"/>
  <c r="R109" i="2"/>
  <c r="R56" i="2"/>
  <c r="R39" i="2"/>
  <c r="R111" i="2"/>
  <c r="R40" i="2"/>
  <c r="R46" i="2"/>
  <c r="R54" i="2"/>
  <c r="R47" i="2"/>
  <c r="R55" i="2"/>
  <c r="R86" i="2"/>
  <c r="R98" i="2"/>
  <c r="R88" i="2"/>
  <c r="R99" i="2"/>
  <c r="R29" i="2"/>
  <c r="R30" i="2"/>
  <c r="R38" i="2"/>
  <c r="R4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Steinmann, David - NRCS, Hammonton, NJ</author>
  </authors>
  <commentList>
    <comment ref="J32" authorId="0" shapeId="0" xr:uid="{1D11C31A-54D7-483D-A908-D9F1621C36F8}">
      <text>
        <r>
          <rPr>
            <b/>
            <sz val="9"/>
            <color indexed="81"/>
            <rFont val="Tahoma"/>
            <family val="2"/>
          </rPr>
          <t>Steinmann, David - NRCS, Hammonton, NJ:</t>
        </r>
        <r>
          <rPr>
            <sz val="9"/>
            <color indexed="81"/>
            <rFont val="Tahoma"/>
            <family val="2"/>
          </rPr>
          <t xml:space="preserve">
red = estimated from other similar soils
</t>
        </r>
      </text>
    </comment>
  </commentList>
</comments>
</file>

<file path=xl/sharedStrings.xml><?xml version="1.0" encoding="utf-8"?>
<sst xmlns="http://schemas.openxmlformats.org/spreadsheetml/2006/main" count="579" uniqueCount="278">
  <si>
    <t>3-HAM Coastal Blue Carbon Data</t>
  </si>
  <si>
    <t>Ped. ID</t>
  </si>
  <si>
    <t>State</t>
  </si>
  <si>
    <t>Lat</t>
  </si>
  <si>
    <t>Long</t>
  </si>
  <si>
    <t>Date Vibracored</t>
  </si>
  <si>
    <t>Description / Sampling Date</t>
  </si>
  <si>
    <t>Date Samples Shipped</t>
  </si>
  <si>
    <t>Date Analysis Received</t>
  </si>
  <si>
    <t>Status</t>
  </si>
  <si>
    <t>Sampled As</t>
  </si>
  <si>
    <t>Correlated Series</t>
  </si>
  <si>
    <t>County</t>
  </si>
  <si>
    <t>SSO Responsible</t>
  </si>
  <si>
    <t>MLRA</t>
  </si>
  <si>
    <t>Fresh / Salt</t>
  </si>
  <si>
    <t>Organization</t>
  </si>
  <si>
    <t>Contact</t>
  </si>
  <si>
    <t>Source</t>
  </si>
  <si>
    <t>S2015NJ003001</t>
  </si>
  <si>
    <t>NJ</t>
  </si>
  <si>
    <t>N/A</t>
  </si>
  <si>
    <t>Received</t>
  </si>
  <si>
    <t>Westbrook</t>
  </si>
  <si>
    <t>Bergen</t>
  </si>
  <si>
    <t>12-TOL</t>
  </si>
  <si>
    <t>144A</t>
  </si>
  <si>
    <t>salt</t>
  </si>
  <si>
    <t>NJ Sports &amp; Expostion Authority</t>
  </si>
  <si>
    <t xml:space="preserve">SET monitoring location Saw Mill Creek, lab data received but owned by 12-TOL office and cannot edit. </t>
  </si>
  <si>
    <t>S2015NJ017001</t>
  </si>
  <si>
    <t>Hudson</t>
  </si>
  <si>
    <t xml:space="preserve">SET monitoring location Mill Creek Point Park, lab data received but owned by 12-TOL office and cannot edit. </t>
  </si>
  <si>
    <t>S2015NJ017002</t>
  </si>
  <si>
    <t xml:space="preserve">SET monitoring location, lab data received but owned by 12-TOL office and cannot edit. </t>
  </si>
  <si>
    <t>S2015NJ029025</t>
  </si>
  <si>
    <t>Correlated</t>
  </si>
  <si>
    <t>Transquaking</t>
  </si>
  <si>
    <t>Ocean</t>
  </si>
  <si>
    <t>3-HAM</t>
  </si>
  <si>
    <t>153D</t>
  </si>
  <si>
    <t xml:space="preserve">Barnegat Bay Parnership </t>
  </si>
  <si>
    <t>Martha Maxwell Doyle</t>
  </si>
  <si>
    <t>Barnegat Bay Parnership, SET monitoring location</t>
  </si>
  <si>
    <t>S2015NJ029024</t>
  </si>
  <si>
    <t>Pawcatuck</t>
  </si>
  <si>
    <t>S2015NJ029026</t>
  </si>
  <si>
    <t>Bestpitch</t>
  </si>
  <si>
    <t>S2015NJ029020</t>
  </si>
  <si>
    <t>Mispillion</t>
  </si>
  <si>
    <t>S2018PA045102</t>
  </si>
  <si>
    <t>PA</t>
  </si>
  <si>
    <t>Sampled</t>
  </si>
  <si>
    <t>Nanticoke</t>
  </si>
  <si>
    <t>Delaware</t>
  </si>
  <si>
    <t>149A</t>
  </si>
  <si>
    <t>fresh</t>
  </si>
  <si>
    <t>Drexel University</t>
  </si>
  <si>
    <t>Kirk Raper</t>
  </si>
  <si>
    <t>SET monitoring location Drexel University, Tinicum Creek</t>
  </si>
  <si>
    <t>S2018PA045100</t>
  </si>
  <si>
    <t>SET monitroing location Drexel University, Tinicum Creek</t>
  </si>
  <si>
    <t>S2019NJ029008</t>
  </si>
  <si>
    <t xml:space="preserve">salt </t>
  </si>
  <si>
    <t>JCNERR</t>
  </si>
  <si>
    <t>Andrea Habeck</t>
  </si>
  <si>
    <t>SET monitoring location JCNERR, Tuckerton</t>
  </si>
  <si>
    <t>S2019NJ029004</t>
  </si>
  <si>
    <t>S2019NJ029003</t>
  </si>
  <si>
    <t>S2019NJ011003</t>
  </si>
  <si>
    <t>Cumberland</t>
  </si>
  <si>
    <t>Partnership Delaware Estuary</t>
  </si>
  <si>
    <t>LeeAnn Haaf</t>
  </si>
  <si>
    <t>SET monitoring location PDE, Dividing Creek</t>
  </si>
  <si>
    <t>S2019NJ011001</t>
  </si>
  <si>
    <t>Broadkill tax.</t>
  </si>
  <si>
    <t>Salt</t>
  </si>
  <si>
    <t>SET monitoring location PDE, Maurice River</t>
  </si>
  <si>
    <t>S2019NJ011002</t>
  </si>
  <si>
    <t>The Nature Conservancy</t>
  </si>
  <si>
    <t>Adrianna Zito-Livingston</t>
  </si>
  <si>
    <t>SET monitoring location TNC, Fortescue / control site, east of thin layer project</t>
  </si>
  <si>
    <t>S2019NJ009001</t>
  </si>
  <si>
    <t>Cape May</t>
  </si>
  <si>
    <t>SET monitoring location TNC, Ring Island / control site, south of thin layer project</t>
  </si>
  <si>
    <t>S2019NJ009002</t>
  </si>
  <si>
    <t>Mispillion tax.</t>
  </si>
  <si>
    <t>SET monitoring location TNC, Avalon / control site, south of thin layer project</t>
  </si>
  <si>
    <t>pedon is finished, taxonomy reviewed / edited, correlated, lab send data back, etc</t>
  </si>
  <si>
    <t>Received Data</t>
  </si>
  <si>
    <t xml:space="preserve">lab send 3-HAM data, in need of certification, taxonomy review, correlation, etc. </t>
  </si>
  <si>
    <t xml:space="preserve">3-HAM staff sampled pedon, pedon received by lab, processing at lab. </t>
  </si>
  <si>
    <t>Collected</t>
  </si>
  <si>
    <t>Collected field data / cores, need to sample.</t>
  </si>
  <si>
    <t>Bestpitch tax.</t>
  </si>
  <si>
    <t>Boxiron tax.</t>
  </si>
  <si>
    <t xml:space="preserve">Broadkill tax. </t>
  </si>
  <si>
    <t>Pedon</t>
  </si>
  <si>
    <t>Horizon</t>
  </si>
  <si>
    <t>Top Depth, cm</t>
  </si>
  <si>
    <t>Bot. Depth, cm</t>
  </si>
  <si>
    <t>Total C</t>
  </si>
  <si>
    <t>Total N</t>
  </si>
  <si>
    <t>OC %</t>
  </si>
  <si>
    <t>C/N</t>
  </si>
  <si>
    <t>OD Db, g/cc</t>
  </si>
  <si>
    <t>&gt; 2mm vol</t>
  </si>
  <si>
    <t>Carbon Pool, kg/m2</t>
  </si>
  <si>
    <t>Carbon 100cm</t>
  </si>
  <si>
    <t>Carbon 150cm</t>
  </si>
  <si>
    <t>Carbon 200cm</t>
  </si>
  <si>
    <t xml:space="preserve">NJTWMN SET Site Carbon Calcs. </t>
  </si>
  <si>
    <t>S2015NJ029020 - Dinner Point</t>
  </si>
  <si>
    <t>Oe</t>
  </si>
  <si>
    <t>Oi</t>
  </si>
  <si>
    <t>Oese1</t>
  </si>
  <si>
    <t>Total C Pool, kg/m2</t>
  </si>
  <si>
    <t xml:space="preserve">Lat: 39.62515; </t>
  </si>
  <si>
    <t>Oese2</t>
  </si>
  <si>
    <t>Total C 100cm, kg/m2</t>
  </si>
  <si>
    <t>Long: -74.263404</t>
  </si>
  <si>
    <t>Cseg1</t>
  </si>
  <si>
    <t>Total C 150cm, kg/m2</t>
  </si>
  <si>
    <t>Cseg2</t>
  </si>
  <si>
    <t>Total C 200cm, kg/m2</t>
  </si>
  <si>
    <t>Cseg3</t>
  </si>
  <si>
    <t>S2015NJ029026 - Horse Point</t>
  </si>
  <si>
    <t>Oise</t>
  </si>
  <si>
    <t xml:space="preserve">Lat: 39.651191; </t>
  </si>
  <si>
    <t>Long: -74.2634083</t>
  </si>
  <si>
    <t>Oese3</t>
  </si>
  <si>
    <t>Oese4</t>
  </si>
  <si>
    <t>Oese5</t>
  </si>
  <si>
    <t>S2015NJ029024 - IBSP</t>
  </si>
  <si>
    <t>Barrier Island</t>
  </si>
  <si>
    <t>Lat: 39.798840</t>
  </si>
  <si>
    <t>Long: -74.103163</t>
  </si>
  <si>
    <t>only sampled to 130</t>
  </si>
  <si>
    <t>2Cseg</t>
  </si>
  <si>
    <t>S2015NJ029025 - Reedy Creek</t>
  </si>
  <si>
    <t>Oa</t>
  </si>
  <si>
    <t>Mainland Side</t>
  </si>
  <si>
    <t>Oese</t>
  </si>
  <si>
    <t>Lat: 40.0280988</t>
  </si>
  <si>
    <t>Cseg</t>
  </si>
  <si>
    <t>Long: -74.080988</t>
  </si>
  <si>
    <t>O'ese1</t>
  </si>
  <si>
    <t>O'ese2</t>
  </si>
  <si>
    <t>Only sampled to 182 cm</t>
  </si>
  <si>
    <t>C'seg</t>
  </si>
  <si>
    <t>2Oaseb</t>
  </si>
  <si>
    <t>2Aseb</t>
  </si>
  <si>
    <t xml:space="preserve">S2019NJ029003 - Tuckerton </t>
  </si>
  <si>
    <t xml:space="preserve">Boxiron tax. </t>
  </si>
  <si>
    <t>Open Marsh</t>
  </si>
  <si>
    <t>Cg</t>
  </si>
  <si>
    <t>Lat: 39.5766411</t>
  </si>
  <si>
    <t>Long: -74.3431320</t>
  </si>
  <si>
    <t>Cseg4</t>
  </si>
  <si>
    <t>Oase1</t>
  </si>
  <si>
    <t>Oase2</t>
  </si>
  <si>
    <t>C'seg1</t>
  </si>
  <si>
    <t>C'seg2</t>
  </si>
  <si>
    <t>S2019NJ029004 - Tuckerton</t>
  </si>
  <si>
    <t>Oi1</t>
  </si>
  <si>
    <t>Oi2</t>
  </si>
  <si>
    <t>Lat: 39.5413361</t>
  </si>
  <si>
    <t>Long: -74.3287811</t>
  </si>
  <si>
    <t>2Cseg1</t>
  </si>
  <si>
    <t>2Cseg2</t>
  </si>
  <si>
    <t>2Cseg3</t>
  </si>
  <si>
    <t>2Cseg4</t>
  </si>
  <si>
    <t>S2019NJ029008 - Tuckerton</t>
  </si>
  <si>
    <t xml:space="preserve">Broadkill </t>
  </si>
  <si>
    <t>Lat:39.5180931</t>
  </si>
  <si>
    <t>Long: -74.3198318</t>
  </si>
  <si>
    <t>Cseg5</t>
  </si>
  <si>
    <t>Cseg6</t>
  </si>
  <si>
    <t>Cseg7</t>
  </si>
  <si>
    <t>Cseg8</t>
  </si>
  <si>
    <t>Oase</t>
  </si>
  <si>
    <t xml:space="preserve"> Barnegat Bay Partnership</t>
  </si>
  <si>
    <t>Jacques Cousteau NERR</t>
  </si>
  <si>
    <t>KSSL Analyses Link</t>
  </si>
  <si>
    <t xml:space="preserve">https://ncsslabdatamart.sc.egov.usda.gov/rptExecute.aspx?p=72316&amp;r=1&amp; </t>
  </si>
  <si>
    <t xml:space="preserve">https://ncsslabdatamart.sc.egov.usda.gov/rptExecute.aspx?p=72314&amp;r=1&amp; </t>
  </si>
  <si>
    <t xml:space="preserve">http://ncsslabdatamart.sc.egov.usda.gov/rptExecute.aspx?p=72315&amp;r=1&amp; </t>
  </si>
  <si>
    <t xml:space="preserve">https://ncsslabdatamart.sc.egov.usda.gov/rptExecute.aspx?p=73195&amp;r=1&amp; </t>
  </si>
  <si>
    <t xml:space="preserve">https://ncsslabdatamart.sc.egov.usda.gov/rptExecute.aspx?p=73196&amp;r=1&amp; </t>
  </si>
  <si>
    <t xml:space="preserve">https://ncsslabdatamart.sc.egov.usda.gov/rptExecute.aspx?p=73197&amp;r=1&amp; </t>
  </si>
  <si>
    <t xml:space="preserve">https://ncsslabdatamart.sc.egov.usda.gov/rptExecute.aspx?p=73198&amp;r=1&amp; </t>
  </si>
  <si>
    <t xml:space="preserve">https://ncsslabdatamart.sc.egov.usda.gov/rptExecute.aspx?p=76054&amp;r=1&amp; </t>
  </si>
  <si>
    <t xml:space="preserve">https://ncsslabdatamart.sc.egov.usda.gov/rptExecute.aspx?p=76055&amp;r=1&amp; </t>
  </si>
  <si>
    <t xml:space="preserve">https://ncsslabdatamart.sc.egov.usda.gov/rptExecute.aspx?p=76178&amp;r=1&amp; </t>
  </si>
  <si>
    <t xml:space="preserve">https://ncsslabdatamart.sc.egov.usda.gov/rptExecute.aspx?p=76053&amp;r=1&amp; </t>
  </si>
  <si>
    <t xml:space="preserve">https://ncsslabdatamart.sc.egov.usda.gov/rptExecute.aspx?p=75648&amp;r=1&amp; </t>
  </si>
  <si>
    <t xml:space="preserve">https://ncsslabdatamart.sc.egov.usda.gov/rptExecute.aspx?p=76304&amp;r=1&amp; </t>
  </si>
  <si>
    <t xml:space="preserve">https://ncsslabdatamart.sc.egov.usda.gov/rptExecute.aspx?p=76305&amp;r=1&amp; </t>
  </si>
  <si>
    <t xml:space="preserve">https://ncsslabdatamart.sc.egov.usda.gov/rptExecute.aspx?p=76306&amp;r=1&amp; </t>
  </si>
  <si>
    <t xml:space="preserve">https://ncsslabdatamart.sc.egov.usda.gov/rptExecute.aspx?p=76307&amp;r=1&amp; </t>
  </si>
  <si>
    <t>Long: -74.091156</t>
  </si>
  <si>
    <t>Lat:  40.767606</t>
  </si>
  <si>
    <t>Oab</t>
  </si>
  <si>
    <t>Oase3</t>
  </si>
  <si>
    <t xml:space="preserve">S2015NJ003001 - Meadowlands </t>
  </si>
  <si>
    <t>S2015NJ017001 - Meadowlands</t>
  </si>
  <si>
    <t>Lat: 40.805948</t>
  </si>
  <si>
    <t>Long: -74.045976</t>
  </si>
  <si>
    <t>^Cg</t>
  </si>
  <si>
    <t>Oab1</t>
  </si>
  <si>
    <t>Oab2</t>
  </si>
  <si>
    <t>only sampled to 184cm</t>
  </si>
  <si>
    <t>only sampled to 150cm</t>
  </si>
  <si>
    <t>S2015NJ017002 - Meadowlands</t>
  </si>
  <si>
    <t>Lat: 40.752817</t>
  </si>
  <si>
    <t>Long: -74.092919</t>
  </si>
  <si>
    <t>Oe1</t>
  </si>
  <si>
    <t>Oe2</t>
  </si>
  <si>
    <t>Oe3</t>
  </si>
  <si>
    <t>Oa1</t>
  </si>
  <si>
    <t>Oa2</t>
  </si>
  <si>
    <t>Oa3</t>
  </si>
  <si>
    <t>Oa4</t>
  </si>
  <si>
    <t>Oa5</t>
  </si>
  <si>
    <t>Westbrook (Transquaking)</t>
  </si>
  <si>
    <t>Meadowlands Environmental Research Institute</t>
  </si>
  <si>
    <t>S2018PA045102 - Tinicum Creek</t>
  </si>
  <si>
    <t>Lat: 39.8822498</t>
  </si>
  <si>
    <t>Long: -75.278098</t>
  </si>
  <si>
    <t>Ag1</t>
  </si>
  <si>
    <t>Ag2</t>
  </si>
  <si>
    <t>Ag3</t>
  </si>
  <si>
    <t>Ag4</t>
  </si>
  <si>
    <t>Acg</t>
  </si>
  <si>
    <t>Cg1</t>
  </si>
  <si>
    <t>Cg2</t>
  </si>
  <si>
    <t>Agb</t>
  </si>
  <si>
    <t>Cg3</t>
  </si>
  <si>
    <t>Cg4</t>
  </si>
  <si>
    <t>Cg5</t>
  </si>
  <si>
    <t>2Oa1</t>
  </si>
  <si>
    <t>2Oa2</t>
  </si>
  <si>
    <t>S2018PA045100 - Tinicum Creek</t>
  </si>
  <si>
    <t>Lat: 39.8831723</t>
  </si>
  <si>
    <t>Long: -75.2787251</t>
  </si>
  <si>
    <t>ACg</t>
  </si>
  <si>
    <t>Cg6</t>
  </si>
  <si>
    <t>2Oa</t>
  </si>
  <si>
    <t>S2019NJ011003 - Dividing Creek</t>
  </si>
  <si>
    <t>Lat: 39.2387682</t>
  </si>
  <si>
    <t>Long: -75.10396</t>
  </si>
  <si>
    <t>S2019011001 - Maurice River</t>
  </si>
  <si>
    <t>Broadkill taxadjunct</t>
  </si>
  <si>
    <t>Aseg</t>
  </si>
  <si>
    <t>Lat: 39.244239</t>
  </si>
  <si>
    <t>Long: -75.015878</t>
  </si>
  <si>
    <t>Only sampled to 172</t>
  </si>
  <si>
    <t>Partnership for Delaware Estuary</t>
  </si>
  <si>
    <t xml:space="preserve">S2019NJ011002 - Fortescue </t>
  </si>
  <si>
    <t>Lat: 39.243906</t>
  </si>
  <si>
    <t>Long: -75.173411</t>
  </si>
  <si>
    <t>2Ab</t>
  </si>
  <si>
    <t>2Eb</t>
  </si>
  <si>
    <t>2Bhsb</t>
  </si>
  <si>
    <t>2Bgb</t>
  </si>
  <si>
    <t>2C</t>
  </si>
  <si>
    <t>2Cg</t>
  </si>
  <si>
    <t>S2019NJ009001 - Ring Island</t>
  </si>
  <si>
    <t xml:space="preserve">Mispillion tax. </t>
  </si>
  <si>
    <t>Lat: 39.051204</t>
  </si>
  <si>
    <t>Long: -74.775953</t>
  </si>
  <si>
    <t>2Acgb</t>
  </si>
  <si>
    <t>2Cg1</t>
  </si>
  <si>
    <t>2Cg2</t>
  </si>
  <si>
    <t>S2019NJ009002 - Avalon</t>
  </si>
  <si>
    <t xml:space="preserve">Bestpitch tax. </t>
  </si>
  <si>
    <t>Lat: 39.075246</t>
  </si>
  <si>
    <t>Long: -74.763555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</si>
</sst>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27">
    <xf numFmtId="0" fontId="0" fillId="0" borderId="0" xfId="0"/>
    <xf numFmtId="0" fontId="3" fillId="3" borderId="4" xfId="2" applyBorder="1"/>
    <xf numFmtId="0" fontId="4" fillId="4" borderId="1" xfId="3"/>
    <xf numFmtId="0" fontId="4" fillId="4" borderId="5" xfId="3" applyBorder="1"/>
    <xf numFmtId="14" fontId="4" fillId="4" borderId="5" xfId="3" applyNumberFormat="1" applyBorder="1"/>
    <xf numFmtId="0" fontId="2" fillId="6" borderId="3" xfId="5" applyFont="1"/>
    <xf numFmtId="14" fontId="4" fillId="4" borderId="1" xfId="3" applyNumberFormat="1"/>
    <xf numFmtId="0" fontId="2" fillId="2" borderId="1" xfId="1" applyBorder="1"/>
    <xf numFmtId="0" fontId="4" fillId="4" borderId="7" xfId="3" applyBorder="1"/>
    <xf numFmtId="0" fontId="6" fillId="0" borderId="0" xfId="0" applyFont="1"/>
    <xf numFmtId="0" fontId="2" fillId="2" borderId="8" xfId="1" applyBorder="1"/>
    <xf numFmtId="0" fontId="0" fillId="6" borderId="3" xfId="5" applyFont="1"/>
    <xf numFmtId="0" fontId="3" fillId="3" borderId="9" xfId="2" applyBorder="1"/>
    <xf numFmtId="0" fontId="5" fillId="5" borderId="2" xfId="4"/>
    <xf numFmtId="14" fontId="4" fillId="4" borderId="6" xfId="3" applyNumberFormat="1" applyBorder="1"/>
    <xf numFmtId="0" fontId="9" fillId="4" borderId="1" xfId="3" applyFont="1"/>
    <xf numFmtId="0" fontId="1" fillId="7" borderId="10" xfId="6" applyBorder="1"/>
    <xf numFmtId="0" fontId="0" fillId="0" borderId="10" xfId="0" applyBorder="1"/>
    <xf numFmtId="0" fontId="0" fillId="0" borderId="0" xfId="0" applyBorder="1"/>
    <xf numFmtId="0" fontId="1" fillId="7" borderId="0" xfId="6" applyBorder="1"/>
    <xf numFmtId="0" fontId="1" fillId="7" borderId="19" xfId="6" applyBorder="1"/>
    <xf numFmtId="1" fontId="1" fillId="7" borderId="19" xfId="6" applyNumberFormat="1" applyBorder="1"/>
    <xf numFmtId="2" fontId="1" fillId="7" borderId="19" xfId="6" applyNumberFormat="1" applyBorder="1"/>
    <xf numFmtId="0" fontId="1" fillId="7" borderId="20" xfId="6" applyBorder="1"/>
    <xf numFmtId="1" fontId="1" fillId="7" borderId="20" xfId="6" applyNumberFormat="1" applyBorder="1"/>
    <xf numFmtId="2" fontId="1" fillId="7" borderId="20" xfId="6" applyNumberFormat="1" applyBorder="1"/>
    <xf numFmtId="2" fontId="6" fillId="7" borderId="20" xfId="6" applyNumberFormat="1" applyFont="1" applyBorder="1"/>
    <xf numFmtId="0" fontId="1" fillId="8" borderId="19" xfId="7" applyBorder="1" applyAlignment="1">
      <alignment horizontal="center" vertical="center"/>
    </xf>
    <xf numFmtId="0" fontId="1" fillId="8" borderId="19" xfId="7" applyBorder="1"/>
    <xf numFmtId="1" fontId="1" fillId="8" borderId="19" xfId="7" applyNumberFormat="1" applyBorder="1"/>
    <xf numFmtId="2" fontId="1" fillId="8" borderId="19" xfId="7" applyNumberFormat="1" applyBorder="1"/>
    <xf numFmtId="0" fontId="1" fillId="8" borderId="20" xfId="7" applyBorder="1"/>
    <xf numFmtId="1" fontId="1" fillId="8" borderId="20" xfId="7" applyNumberFormat="1" applyBorder="1"/>
    <xf numFmtId="2" fontId="1" fillId="8" borderId="20" xfId="7" applyNumberFormat="1" applyBorder="1"/>
    <xf numFmtId="0" fontId="1" fillId="8" borderId="20" xfId="7" applyBorder="1" applyAlignment="1">
      <alignment horizontal="center" vertical="center"/>
    </xf>
    <xf numFmtId="0" fontId="1" fillId="7" borderId="19" xfId="6" applyBorder="1" applyAlignment="1">
      <alignment horizontal="center" vertical="center"/>
    </xf>
    <xf numFmtId="0" fontId="1" fillId="7" borderId="19" xfId="6" applyBorder="1" applyAlignment="1">
      <alignment horizontal="right"/>
    </xf>
    <xf numFmtId="0" fontId="1" fillId="7" borderId="20" xfId="6" applyBorder="1" applyAlignment="1">
      <alignment horizontal="center" vertical="center" wrapText="1"/>
    </xf>
    <xf numFmtId="0" fontId="1" fillId="7" borderId="20" xfId="6" applyBorder="1" applyAlignment="1">
      <alignment horizontal="right"/>
    </xf>
    <xf numFmtId="0" fontId="1" fillId="7" borderId="20" xfId="6" applyBorder="1" applyAlignment="1">
      <alignment horizontal="center" vertical="center"/>
    </xf>
    <xf numFmtId="0" fontId="1" fillId="7" borderId="20" xfId="6" applyBorder="1" applyAlignment="1">
      <alignment wrapText="1"/>
    </xf>
    <xf numFmtId="0" fontId="8" fillId="7" borderId="20" xfId="6" applyFont="1" applyBorder="1" applyAlignment="1">
      <alignment horizontal="right" vertical="center"/>
    </xf>
    <xf numFmtId="0" fontId="1" fillId="7" borderId="20" xfId="6" applyBorder="1" applyAlignment="1">
      <alignment horizontal="right" vertical="center"/>
    </xf>
    <xf numFmtId="0" fontId="1" fillId="7" borderId="21" xfId="6" applyBorder="1" applyAlignment="1">
      <alignment horizontal="center" vertical="center" wrapText="1"/>
    </xf>
    <xf numFmtId="0" fontId="1" fillId="7" borderId="21" xfId="6" applyBorder="1"/>
    <xf numFmtId="1" fontId="1" fillId="7" borderId="21" xfId="6" applyNumberFormat="1" applyBorder="1"/>
    <xf numFmtId="0" fontId="8" fillId="7" borderId="21" xfId="6" applyFont="1" applyBorder="1" applyAlignment="1">
      <alignment horizontal="right" vertical="center"/>
    </xf>
    <xf numFmtId="0" fontId="1" fillId="7" borderId="21" xfId="6" applyBorder="1" applyAlignment="1">
      <alignment horizontal="right" vertical="center"/>
    </xf>
    <xf numFmtId="2" fontId="1" fillId="7" borderId="21" xfId="6" applyNumberFormat="1" applyBorder="1"/>
    <xf numFmtId="0" fontId="1" fillId="7" borderId="19" xfId="6" applyBorder="1" applyAlignment="1">
      <alignment horizontal="center" vertical="center" wrapText="1"/>
    </xf>
    <xf numFmtId="0" fontId="1" fillId="7" borderId="21" xfId="6" applyBorder="1" applyAlignment="1">
      <alignment horizontal="center" vertical="center"/>
    </xf>
    <xf numFmtId="2" fontId="6" fillId="8" borderId="20" xfId="7" applyNumberFormat="1" applyFont="1" applyBorder="1"/>
    <xf numFmtId="0" fontId="1" fillId="8" borderId="21" xfId="7" applyBorder="1"/>
    <xf numFmtId="1" fontId="1" fillId="8" borderId="21" xfId="7" applyNumberFormat="1" applyBorder="1"/>
    <xf numFmtId="2" fontId="1" fillId="8" borderId="21" xfId="7" applyNumberFormat="1" applyBorder="1"/>
    <xf numFmtId="0" fontId="1" fillId="8" borderId="0" xfId="7" applyBorder="1"/>
    <xf numFmtId="0" fontId="1" fillId="8" borderId="10" xfId="7" applyBorder="1"/>
    <xf numFmtId="0" fontId="1" fillId="7" borderId="11" xfId="6" applyBorder="1"/>
    <xf numFmtId="0" fontId="1" fillId="7" borderId="14" xfId="6" applyBorder="1"/>
    <xf numFmtId="0" fontId="1" fillId="7" borderId="16" xfId="6" applyBorder="1"/>
    <xf numFmtId="0" fontId="13" fillId="7" borderId="0" xfId="6" applyFont="1" applyBorder="1"/>
    <xf numFmtId="0" fontId="1" fillId="7" borderId="18" xfId="6" applyBorder="1"/>
    <xf numFmtId="0" fontId="1" fillId="7" borderId="0" xfId="6" applyBorder="1" applyAlignment="1">
      <alignment vertical="center"/>
    </xf>
    <xf numFmtId="0" fontId="1" fillId="7" borderId="25" xfId="6" applyBorder="1"/>
    <xf numFmtId="0" fontId="1" fillId="7" borderId="27" xfId="6" applyBorder="1"/>
    <xf numFmtId="0" fontId="10" fillId="0" borderId="28" xfId="0" applyFont="1" applyBorder="1"/>
    <xf numFmtId="0" fontId="0" fillId="0" borderId="28" xfId="0" applyBorder="1"/>
    <xf numFmtId="0" fontId="8" fillId="7" borderId="20" xfId="6" applyFont="1" applyBorder="1"/>
    <xf numFmtId="0" fontId="1" fillId="7" borderId="19" xfId="6" applyBorder="1" applyAlignment="1">
      <alignment horizontal="right" vertical="center"/>
    </xf>
    <xf numFmtId="0" fontId="1" fillId="7" borderId="20" xfId="6" applyBorder="1" applyAlignment="1">
      <alignment horizontal="left" vertical="center" wrapText="1"/>
    </xf>
    <xf numFmtId="0" fontId="1" fillId="8" borderId="11" xfId="7" applyBorder="1"/>
    <xf numFmtId="0" fontId="13" fillId="8" borderId="0" xfId="7" applyFont="1" applyBorder="1"/>
    <xf numFmtId="2" fontId="1" fillId="8" borderId="19" xfId="7" applyNumberFormat="1" applyBorder="1" applyAlignment="1">
      <alignment horizontal="right" vertical="center"/>
    </xf>
    <xf numFmtId="0" fontId="1" fillId="8" borderId="19" xfId="7" applyBorder="1" applyAlignment="1">
      <alignment horizontal="right" vertical="center"/>
    </xf>
    <xf numFmtId="2" fontId="1" fillId="8" borderId="20" xfId="7" applyNumberFormat="1" applyBorder="1" applyAlignment="1">
      <alignment horizontal="right" vertical="center"/>
    </xf>
    <xf numFmtId="0" fontId="1" fillId="8" borderId="20" xfId="7" applyBorder="1" applyAlignment="1">
      <alignment horizontal="right" vertical="center"/>
    </xf>
    <xf numFmtId="2" fontId="1" fillId="8" borderId="23" xfId="7" applyNumberFormat="1" applyBorder="1"/>
    <xf numFmtId="2" fontId="1" fillId="8" borderId="25" xfId="7" applyNumberFormat="1" applyBorder="1"/>
    <xf numFmtId="2" fontId="1" fillId="8" borderId="27" xfId="7" applyNumberFormat="1" applyBorder="1"/>
    <xf numFmtId="0" fontId="1" fillId="8" borderId="14" xfId="7" applyBorder="1"/>
    <xf numFmtId="0" fontId="1" fillId="8" borderId="16" xfId="7" applyBorder="1"/>
    <xf numFmtId="0" fontId="1" fillId="8" borderId="18" xfId="7" applyBorder="1"/>
    <xf numFmtId="2" fontId="1" fillId="7" borderId="23" xfId="6" applyNumberFormat="1" applyBorder="1"/>
    <xf numFmtId="2" fontId="1" fillId="7" borderId="25" xfId="6" applyNumberFormat="1" applyBorder="1"/>
    <xf numFmtId="2" fontId="1" fillId="7" borderId="27" xfId="6" applyNumberFormat="1" applyBorder="1"/>
    <xf numFmtId="0" fontId="1" fillId="7" borderId="13" xfId="6" applyBorder="1"/>
    <xf numFmtId="0" fontId="1" fillId="7" borderId="15" xfId="6" applyBorder="1"/>
    <xf numFmtId="0" fontId="1" fillId="7" borderId="17" xfId="6" applyBorder="1"/>
    <xf numFmtId="0" fontId="1" fillId="8" borderId="13" xfId="7" applyBorder="1"/>
    <xf numFmtId="0" fontId="1" fillId="8" borderId="15" xfId="7" applyBorder="1"/>
    <xf numFmtId="0" fontId="1" fillId="8" borderId="17" xfId="7" applyBorder="1"/>
    <xf numFmtId="0" fontId="1" fillId="7" borderId="15" xfId="6" applyBorder="1" applyAlignment="1">
      <alignment horizontal="left" vertical="center"/>
    </xf>
    <xf numFmtId="0" fontId="1" fillId="7" borderId="15" xfId="6" applyBorder="1" applyAlignment="1">
      <alignment wrapText="1"/>
    </xf>
    <xf numFmtId="0" fontId="1" fillId="7" borderId="15" xfId="6" applyBorder="1" applyAlignment="1">
      <alignment vertical="center"/>
    </xf>
    <xf numFmtId="0" fontId="1" fillId="7" borderId="19" xfId="6" applyBorder="1" applyAlignment="1">
      <alignment horizontal="center"/>
    </xf>
    <xf numFmtId="0" fontId="1" fillId="7" borderId="20" xfId="6" applyBorder="1" applyAlignment="1">
      <alignment horizontal="center"/>
    </xf>
    <xf numFmtId="0" fontId="1" fillId="8" borderId="21" xfId="7" applyBorder="1" applyAlignment="1">
      <alignment horizontal="center" vertical="center"/>
    </xf>
    <xf numFmtId="0" fontId="7" fillId="4" borderId="12" xfId="3" applyFont="1" applyBorder="1" applyAlignment="1">
      <alignment horizontal="center"/>
    </xf>
    <xf numFmtId="0" fontId="7" fillId="4" borderId="0" xfId="3" applyFont="1" applyBorder="1" applyAlignment="1">
      <alignment horizontal="center"/>
    </xf>
    <xf numFmtId="0" fontId="1" fillId="7" borderId="22" xfId="6" applyBorder="1" applyAlignment="1">
      <alignment horizontal="center" vertical="center" wrapText="1"/>
    </xf>
    <xf numFmtId="0" fontId="1" fillId="7" borderId="24" xfId="6" applyBorder="1" applyAlignment="1">
      <alignment horizontal="center" vertical="center" wrapText="1"/>
    </xf>
    <xf numFmtId="0" fontId="1" fillId="7" borderId="26" xfId="6" applyBorder="1" applyAlignment="1">
      <alignment horizontal="center" vertical="center" wrapText="1"/>
    </xf>
    <xf numFmtId="0" fontId="6" fillId="7" borderId="13" xfId="6" applyFont="1" applyBorder="1" applyAlignment="1">
      <alignment horizontal="center" vertical="center"/>
    </xf>
    <xf numFmtId="0" fontId="6" fillId="7" borderId="11" xfId="6" applyFont="1" applyBorder="1" applyAlignment="1">
      <alignment horizontal="center" vertical="center"/>
    </xf>
    <xf numFmtId="0" fontId="6" fillId="7" borderId="14" xfId="6" applyFont="1" applyBorder="1" applyAlignment="1">
      <alignment horizontal="center" vertical="center"/>
    </xf>
    <xf numFmtId="0" fontId="6" fillId="7" borderId="15" xfId="6" applyFont="1" applyBorder="1" applyAlignment="1">
      <alignment horizontal="center" vertical="center"/>
    </xf>
    <xf numFmtId="0" fontId="6" fillId="7" borderId="0" xfId="6" applyFont="1" applyBorder="1" applyAlignment="1">
      <alignment horizontal="center" vertical="center"/>
    </xf>
    <xf numFmtId="0" fontId="6" fillId="7" borderId="16" xfId="6" applyFont="1" applyBorder="1" applyAlignment="1">
      <alignment horizontal="center" vertical="center"/>
    </xf>
    <xf numFmtId="0" fontId="6" fillId="7" borderId="17" xfId="6" applyFont="1" applyBorder="1" applyAlignment="1">
      <alignment horizontal="center" vertical="center"/>
    </xf>
    <xf numFmtId="0" fontId="6" fillId="7" borderId="10" xfId="6" applyFont="1" applyBorder="1" applyAlignment="1">
      <alignment horizontal="center" vertical="center"/>
    </xf>
    <xf numFmtId="0" fontId="6" fillId="7" borderId="18" xfId="6" applyFont="1" applyBorder="1" applyAlignment="1">
      <alignment horizontal="center" vertical="center"/>
    </xf>
    <xf numFmtId="0" fontId="1" fillId="8" borderId="29" xfId="7" applyBorder="1" applyAlignment="1">
      <alignment horizontal="center" vertical="center" wrapText="1"/>
    </xf>
    <xf numFmtId="0" fontId="1" fillId="8" borderId="30" xfId="7" applyBorder="1" applyAlignment="1">
      <alignment horizontal="center" vertical="center" wrapText="1"/>
    </xf>
    <xf numFmtId="0" fontId="1" fillId="8" borderId="31" xfId="7" applyBorder="1" applyAlignment="1">
      <alignment horizontal="center" vertical="center" wrapText="1"/>
    </xf>
    <xf numFmtId="0" fontId="1" fillId="8" borderId="22" xfId="7" applyBorder="1" applyAlignment="1">
      <alignment horizontal="center" vertical="center" wrapText="1"/>
    </xf>
    <xf numFmtId="0" fontId="1" fillId="8" borderId="24" xfId="7" applyBorder="1" applyAlignment="1">
      <alignment horizontal="center" vertical="center" wrapText="1"/>
    </xf>
    <xf numFmtId="0" fontId="1" fillId="8" borderId="26" xfId="7" applyBorder="1" applyAlignment="1">
      <alignment horizontal="center" vertical="center" wrapText="1"/>
    </xf>
    <xf numFmtId="0" fontId="6" fillId="8" borderId="13" xfId="7" applyFont="1" applyBorder="1" applyAlignment="1">
      <alignment horizontal="center" vertical="center"/>
    </xf>
    <xf numFmtId="0" fontId="6" fillId="8" borderId="11" xfId="7" applyFont="1" applyBorder="1" applyAlignment="1">
      <alignment horizontal="center" vertical="center"/>
    </xf>
    <xf numFmtId="0" fontId="6" fillId="8" borderId="14" xfId="7" applyFont="1" applyBorder="1" applyAlignment="1">
      <alignment horizontal="center" vertical="center"/>
    </xf>
    <xf numFmtId="0" fontId="6" fillId="8" borderId="15" xfId="7" applyFont="1" applyBorder="1" applyAlignment="1">
      <alignment horizontal="center" vertical="center"/>
    </xf>
    <xf numFmtId="0" fontId="6" fillId="8" borderId="0" xfId="7" applyFont="1" applyBorder="1" applyAlignment="1">
      <alignment horizontal="center" vertical="center"/>
    </xf>
    <xf numFmtId="0" fontId="6" fillId="8" borderId="16" xfId="7" applyFont="1" applyBorder="1" applyAlignment="1">
      <alignment horizontal="center" vertical="center"/>
    </xf>
    <xf numFmtId="0" fontId="6" fillId="8" borderId="17" xfId="7" applyFont="1" applyBorder="1" applyAlignment="1">
      <alignment horizontal="center" vertical="center"/>
    </xf>
    <xf numFmtId="0" fontId="6" fillId="8" borderId="10" xfId="7" applyFont="1" applyBorder="1" applyAlignment="1">
      <alignment horizontal="center" vertical="center"/>
    </xf>
    <xf numFmtId="0" fontId="6" fillId="8" borderId="18" xfId="7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</cellXfs>
  <cellStyles count="8">
    <cellStyle name="20% - Accent1" xfId="6" builtinId="30"/>
    <cellStyle name="20% - Accent3" xfId="7" builtinId="38"/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sslabdatamart.sc.egov.usda.gov/rptExecute.aspx?p=76054&amp;r=1&amp;" TargetMode="External"/><Relationship Id="rId13" Type="http://schemas.openxmlformats.org/officeDocument/2006/relationships/hyperlink" Target="https://ncsslabdatamart.sc.egov.usda.gov/rptExecute.aspx?p=75648&amp;r=1&amp;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ncsslabdatamart.sc.egov.usda.gov/rptExecute.aspx?p=72315&amp;r=1&amp;" TargetMode="External"/><Relationship Id="rId7" Type="http://schemas.openxmlformats.org/officeDocument/2006/relationships/hyperlink" Target="https://ncsslabdatamart.sc.egov.usda.gov/rptExecute.aspx?p=73198&amp;r=1&amp;" TargetMode="External"/><Relationship Id="rId12" Type="http://schemas.openxmlformats.org/officeDocument/2006/relationships/hyperlink" Target="https://ncsslabdatamart.sc.egov.usda.gov/rptExecute.aspx?p=75648&amp;r=1&amp;" TargetMode="External"/><Relationship Id="rId17" Type="http://schemas.openxmlformats.org/officeDocument/2006/relationships/hyperlink" Target="https://ncsslabdatamart.sc.egov.usda.gov/rptExecute.aspx?p=76307&amp;r=1&amp;" TargetMode="External"/><Relationship Id="rId2" Type="http://schemas.openxmlformats.org/officeDocument/2006/relationships/hyperlink" Target="https://ncsslabdatamart.sc.egov.usda.gov/rptExecute.aspx?p=72314&amp;r=1&amp;" TargetMode="External"/><Relationship Id="rId16" Type="http://schemas.openxmlformats.org/officeDocument/2006/relationships/hyperlink" Target="https://ncsslabdatamart.sc.egov.usda.gov/rptExecute.aspx?p=76306&amp;r=1&amp;" TargetMode="External"/><Relationship Id="rId1" Type="http://schemas.openxmlformats.org/officeDocument/2006/relationships/hyperlink" Target="https://ncsslabdatamart.sc.egov.usda.gov/rptExecute.aspx?p=72316&amp;r=1&amp;" TargetMode="External"/><Relationship Id="rId6" Type="http://schemas.openxmlformats.org/officeDocument/2006/relationships/hyperlink" Target="https://ncsslabdatamart.sc.egov.usda.gov/rptExecute.aspx?p=73197&amp;r=1&amp;" TargetMode="External"/><Relationship Id="rId11" Type="http://schemas.openxmlformats.org/officeDocument/2006/relationships/hyperlink" Target="https://ncsslabdatamart.sc.egov.usda.gov/rptExecute.aspx?p=76053&amp;r=1&amp;" TargetMode="External"/><Relationship Id="rId5" Type="http://schemas.openxmlformats.org/officeDocument/2006/relationships/hyperlink" Target="https://ncsslabdatamart.sc.egov.usda.gov/rptExecute.aspx?p=73196&amp;r=1&amp;" TargetMode="External"/><Relationship Id="rId15" Type="http://schemas.openxmlformats.org/officeDocument/2006/relationships/hyperlink" Target="https://ncsslabdatamart.sc.egov.usda.gov/rptExecute.aspx?p=76305&amp;r=1&amp;" TargetMode="External"/><Relationship Id="rId10" Type="http://schemas.openxmlformats.org/officeDocument/2006/relationships/hyperlink" Target="https://ncsslabdatamart.sc.egov.usda.gov/rptExecute.aspx?p=76178&amp;r=1&amp;" TargetMode="External"/><Relationship Id="rId4" Type="http://schemas.openxmlformats.org/officeDocument/2006/relationships/hyperlink" Target="https://ncsslabdatamart.sc.egov.usda.gov/rptExecute.aspx?p=73195&amp;r=1&amp;" TargetMode="External"/><Relationship Id="rId9" Type="http://schemas.openxmlformats.org/officeDocument/2006/relationships/hyperlink" Target="https://ncsslabdatamart.sc.egov.usda.gov/rptExecute.aspx?p=76055&amp;r=1&amp;" TargetMode="External"/><Relationship Id="rId14" Type="http://schemas.openxmlformats.org/officeDocument/2006/relationships/hyperlink" Target="https://ncsslabdatamart.sc.egov.usda.gov/rptExecute.aspx?p=76304&amp;r=1&amp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5EA7-02ED-4264-9FA1-7067D23435C8}">
  <dimension ref="A1:S27"/>
  <sheetViews>
    <sheetView workbookViewId="0">
      <selection activeCell="G25" sqref="G25"/>
    </sheetView>
  </sheetViews>
  <sheetFormatPr defaultRowHeight="15" x14ac:dyDescent="0.25"/>
  <cols>
    <col min="1" max="1" width="14.5703125" bestFit="1" customWidth="1"/>
    <col min="2" max="2" width="5.85546875" customWidth="1"/>
    <col min="3" max="3" width="11" bestFit="1" customWidth="1"/>
    <col min="4" max="4" width="11.7109375" bestFit="1" customWidth="1"/>
    <col min="5" max="5" width="15.42578125" bestFit="1" customWidth="1"/>
    <col min="6" max="6" width="26" customWidth="1"/>
    <col min="7" max="7" width="21" bestFit="1" customWidth="1"/>
    <col min="8" max="8" width="21.85546875" bestFit="1" customWidth="1"/>
    <col min="9" max="9" width="10.42578125" bestFit="1" customWidth="1"/>
    <col min="10" max="10" width="13.7109375" bestFit="1" customWidth="1"/>
    <col min="11" max="11" width="16.42578125" bestFit="1" customWidth="1"/>
    <col min="12" max="12" width="11.85546875" bestFit="1" customWidth="1"/>
    <col min="13" max="13" width="7.5703125" customWidth="1"/>
    <col min="14" max="14" width="6" bestFit="1" customWidth="1"/>
    <col min="15" max="15" width="10.85546875" bestFit="1" customWidth="1"/>
    <col min="16" max="16" width="29.7109375" bestFit="1" customWidth="1"/>
    <col min="17" max="17" width="23" bestFit="1" customWidth="1"/>
    <col min="18" max="18" width="95.85546875" customWidth="1"/>
    <col min="19" max="19" width="69" bestFit="1" customWidth="1"/>
  </cols>
  <sheetData>
    <row r="1" spans="1:19" ht="18.75" x14ac:dyDescent="0.3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183</v>
      </c>
    </row>
    <row r="3" spans="1:19" x14ac:dyDescent="0.25">
      <c r="A3" s="2" t="s">
        <v>19</v>
      </c>
      <c r="B3" s="2" t="s">
        <v>20</v>
      </c>
      <c r="C3" s="3">
        <v>40.767606000000001</v>
      </c>
      <c r="D3" s="3">
        <v>-74.091155999999998</v>
      </c>
      <c r="E3" s="3" t="s">
        <v>21</v>
      </c>
      <c r="F3" s="4">
        <v>42124</v>
      </c>
      <c r="G3" s="2"/>
      <c r="H3" s="2">
        <v>2018</v>
      </c>
      <c r="I3" s="5" t="s">
        <v>22</v>
      </c>
      <c r="J3" s="2" t="s">
        <v>23</v>
      </c>
      <c r="K3" s="15"/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/>
      <c r="R3" s="2" t="s">
        <v>29</v>
      </c>
      <c r="S3" s="2" t="s">
        <v>184</v>
      </c>
    </row>
    <row r="4" spans="1:19" x14ac:dyDescent="0.25">
      <c r="A4" s="2" t="s">
        <v>30</v>
      </c>
      <c r="B4" s="2" t="s">
        <v>20</v>
      </c>
      <c r="C4" s="2">
        <v>40.805948000000001</v>
      </c>
      <c r="D4" s="2">
        <v>-74.045975999999996</v>
      </c>
      <c r="E4" s="3" t="s">
        <v>21</v>
      </c>
      <c r="F4" s="6">
        <v>42123</v>
      </c>
      <c r="G4" s="2"/>
      <c r="H4" s="2">
        <v>2018</v>
      </c>
      <c r="I4" s="5" t="s">
        <v>22</v>
      </c>
      <c r="J4" s="2" t="s">
        <v>23</v>
      </c>
      <c r="K4" s="15"/>
      <c r="L4" s="2" t="s">
        <v>31</v>
      </c>
      <c r="M4" s="2" t="s">
        <v>25</v>
      </c>
      <c r="N4" s="2" t="s">
        <v>26</v>
      </c>
      <c r="O4" s="2" t="s">
        <v>27</v>
      </c>
      <c r="P4" s="2" t="s">
        <v>28</v>
      </c>
      <c r="Q4" s="2"/>
      <c r="R4" s="2" t="s">
        <v>32</v>
      </c>
      <c r="S4" s="2" t="s">
        <v>185</v>
      </c>
    </row>
    <row r="5" spans="1:19" x14ac:dyDescent="0.25">
      <c r="A5" s="2" t="s">
        <v>33</v>
      </c>
      <c r="B5" s="2" t="s">
        <v>20</v>
      </c>
      <c r="C5" s="2">
        <v>40.752817</v>
      </c>
      <c r="D5" s="2">
        <v>-74.092918999999995</v>
      </c>
      <c r="E5" s="3" t="s">
        <v>21</v>
      </c>
      <c r="F5" s="6">
        <v>42125</v>
      </c>
      <c r="G5" s="2"/>
      <c r="H5" s="2">
        <v>2018</v>
      </c>
      <c r="I5" s="5" t="s">
        <v>22</v>
      </c>
      <c r="J5" s="2" t="s">
        <v>23</v>
      </c>
      <c r="K5" s="15"/>
      <c r="L5" s="2" t="s">
        <v>31</v>
      </c>
      <c r="M5" s="2" t="s">
        <v>25</v>
      </c>
      <c r="N5" s="2" t="s">
        <v>26</v>
      </c>
      <c r="O5" s="2" t="s">
        <v>27</v>
      </c>
      <c r="P5" s="2" t="s">
        <v>28</v>
      </c>
      <c r="Q5" s="2"/>
      <c r="R5" s="2" t="s">
        <v>34</v>
      </c>
      <c r="S5" s="2" t="s">
        <v>186</v>
      </c>
    </row>
    <row r="6" spans="1:19" x14ac:dyDescent="0.25">
      <c r="A6" s="2" t="s">
        <v>35</v>
      </c>
      <c r="B6" s="2" t="s">
        <v>20</v>
      </c>
      <c r="C6" s="2">
        <v>40.028775000000003</v>
      </c>
      <c r="D6" s="2">
        <v>-74.080986100000004</v>
      </c>
      <c r="E6" s="3" t="s">
        <v>21</v>
      </c>
      <c r="F6" s="6">
        <v>42298</v>
      </c>
      <c r="G6" s="2"/>
      <c r="H6" s="2">
        <v>2018</v>
      </c>
      <c r="I6" s="7" t="s">
        <v>36</v>
      </c>
      <c r="J6" s="2" t="s">
        <v>37</v>
      </c>
      <c r="K6" s="15" t="s">
        <v>37</v>
      </c>
      <c r="L6" s="2" t="s">
        <v>38</v>
      </c>
      <c r="M6" s="2" t="s">
        <v>39</v>
      </c>
      <c r="N6" s="2" t="s">
        <v>40</v>
      </c>
      <c r="O6" s="2" t="s">
        <v>27</v>
      </c>
      <c r="P6" s="2" t="s">
        <v>41</v>
      </c>
      <c r="Q6" s="2" t="s">
        <v>42</v>
      </c>
      <c r="R6" s="2" t="s">
        <v>43</v>
      </c>
      <c r="S6" s="2" t="s">
        <v>189</v>
      </c>
    </row>
    <row r="7" spans="1:19" x14ac:dyDescent="0.25">
      <c r="A7" s="2" t="s">
        <v>44</v>
      </c>
      <c r="B7" s="2" t="s">
        <v>20</v>
      </c>
      <c r="C7" s="2">
        <v>39.798813899999999</v>
      </c>
      <c r="D7" s="2">
        <v>-74.103166700000003</v>
      </c>
      <c r="E7" s="3" t="s">
        <v>21</v>
      </c>
      <c r="F7" s="6">
        <v>42283</v>
      </c>
      <c r="G7" s="2"/>
      <c r="H7" s="2">
        <v>2018</v>
      </c>
      <c r="I7" s="7" t="s">
        <v>36</v>
      </c>
      <c r="J7" s="2" t="s">
        <v>45</v>
      </c>
      <c r="K7" s="15" t="s">
        <v>45</v>
      </c>
      <c r="L7" s="2" t="s">
        <v>38</v>
      </c>
      <c r="M7" s="2" t="s">
        <v>39</v>
      </c>
      <c r="N7" s="2" t="s">
        <v>40</v>
      </c>
      <c r="O7" s="2" t="s">
        <v>27</v>
      </c>
      <c r="P7" s="2" t="s">
        <v>41</v>
      </c>
      <c r="Q7" s="2" t="s">
        <v>42</v>
      </c>
      <c r="R7" s="2" t="s">
        <v>43</v>
      </c>
      <c r="S7" s="2" t="s">
        <v>188</v>
      </c>
    </row>
    <row r="8" spans="1:19" x14ac:dyDescent="0.25">
      <c r="A8" s="2" t="s">
        <v>46</v>
      </c>
      <c r="B8" s="2" t="s">
        <v>20</v>
      </c>
      <c r="C8" s="2">
        <v>39.627630600000003</v>
      </c>
      <c r="D8" s="2">
        <v>-74.257058299999997</v>
      </c>
      <c r="E8" s="3" t="s">
        <v>21</v>
      </c>
      <c r="F8" s="6">
        <v>42300</v>
      </c>
      <c r="G8" s="2"/>
      <c r="H8" s="2">
        <v>2018</v>
      </c>
      <c r="I8" s="7" t="s">
        <v>36</v>
      </c>
      <c r="J8" s="2" t="s">
        <v>37</v>
      </c>
      <c r="K8" s="15" t="s">
        <v>47</v>
      </c>
      <c r="L8" s="2" t="s">
        <v>38</v>
      </c>
      <c r="M8" s="2" t="s">
        <v>39</v>
      </c>
      <c r="N8" s="2" t="s">
        <v>40</v>
      </c>
      <c r="O8" s="2" t="s">
        <v>27</v>
      </c>
      <c r="P8" s="2" t="s">
        <v>41</v>
      </c>
      <c r="Q8" s="2" t="s">
        <v>42</v>
      </c>
      <c r="R8" s="2" t="s">
        <v>43</v>
      </c>
      <c r="S8" s="2" t="s">
        <v>190</v>
      </c>
    </row>
    <row r="9" spans="1:19" x14ac:dyDescent="0.25">
      <c r="A9" s="2" t="s">
        <v>48</v>
      </c>
      <c r="B9" s="2" t="s">
        <v>20</v>
      </c>
      <c r="C9" s="2">
        <v>39.625119400000003</v>
      </c>
      <c r="D9" s="2">
        <v>-74.263408299999995</v>
      </c>
      <c r="E9" s="3" t="s">
        <v>21</v>
      </c>
      <c r="F9" s="6">
        <v>42270</v>
      </c>
      <c r="G9" s="2"/>
      <c r="H9" s="2">
        <v>2018</v>
      </c>
      <c r="I9" s="7" t="s">
        <v>36</v>
      </c>
      <c r="J9" s="2" t="s">
        <v>49</v>
      </c>
      <c r="K9" s="15" t="s">
        <v>47</v>
      </c>
      <c r="L9" s="2" t="s">
        <v>38</v>
      </c>
      <c r="M9" s="2" t="s">
        <v>39</v>
      </c>
      <c r="N9" s="2" t="s">
        <v>40</v>
      </c>
      <c r="O9" s="2" t="s">
        <v>27</v>
      </c>
      <c r="P9" s="2" t="s">
        <v>41</v>
      </c>
      <c r="Q9" s="2" t="s">
        <v>42</v>
      </c>
      <c r="R9" s="2" t="s">
        <v>43</v>
      </c>
      <c r="S9" s="2" t="s">
        <v>187</v>
      </c>
    </row>
    <row r="10" spans="1:19" x14ac:dyDescent="0.25">
      <c r="A10" s="2" t="s">
        <v>50</v>
      </c>
      <c r="B10" s="2" t="s">
        <v>51</v>
      </c>
      <c r="C10" s="2">
        <v>39.882249799999997</v>
      </c>
      <c r="D10" s="2">
        <v>-75.278098</v>
      </c>
      <c r="E10" s="6">
        <v>43424</v>
      </c>
      <c r="F10" s="6">
        <v>43537</v>
      </c>
      <c r="G10" s="6">
        <v>43553</v>
      </c>
      <c r="H10" s="6">
        <v>44670</v>
      </c>
      <c r="I10" s="7" t="s">
        <v>36</v>
      </c>
      <c r="J10" s="2" t="s">
        <v>53</v>
      </c>
      <c r="K10" s="15" t="s">
        <v>53</v>
      </c>
      <c r="L10" s="2" t="s">
        <v>54</v>
      </c>
      <c r="M10" s="2" t="s">
        <v>39</v>
      </c>
      <c r="N10" s="2" t="s">
        <v>55</v>
      </c>
      <c r="O10" s="2" t="s">
        <v>56</v>
      </c>
      <c r="P10" s="2" t="s">
        <v>57</v>
      </c>
      <c r="Q10" s="2" t="s">
        <v>58</v>
      </c>
      <c r="R10" s="2" t="s">
        <v>59</v>
      </c>
      <c r="S10" s="2" t="s">
        <v>199</v>
      </c>
    </row>
    <row r="11" spans="1:19" x14ac:dyDescent="0.25">
      <c r="A11" s="2" t="s">
        <v>60</v>
      </c>
      <c r="B11" s="2" t="s">
        <v>51</v>
      </c>
      <c r="C11" s="2">
        <v>39.883172299999998</v>
      </c>
      <c r="D11" s="2">
        <v>-75.278725100000003</v>
      </c>
      <c r="E11" s="6">
        <v>43424</v>
      </c>
      <c r="F11" s="6">
        <v>43546</v>
      </c>
      <c r="G11" s="6">
        <v>43553</v>
      </c>
      <c r="H11" s="6">
        <v>44670</v>
      </c>
      <c r="I11" s="7" t="s">
        <v>36</v>
      </c>
      <c r="J11" s="2" t="s">
        <v>53</v>
      </c>
      <c r="K11" s="15" t="s">
        <v>53</v>
      </c>
      <c r="L11" s="2" t="s">
        <v>54</v>
      </c>
      <c r="M11" s="2" t="s">
        <v>39</v>
      </c>
      <c r="N11" s="2" t="s">
        <v>55</v>
      </c>
      <c r="O11" s="2" t="s">
        <v>56</v>
      </c>
      <c r="P11" s="2" t="s">
        <v>57</v>
      </c>
      <c r="Q11" s="2" t="s">
        <v>58</v>
      </c>
      <c r="R11" s="2" t="s">
        <v>61</v>
      </c>
      <c r="S11" s="2" t="s">
        <v>198</v>
      </c>
    </row>
    <row r="12" spans="1:19" x14ac:dyDescent="0.25">
      <c r="A12" s="2" t="s">
        <v>62</v>
      </c>
      <c r="B12" s="2" t="s">
        <v>20</v>
      </c>
      <c r="C12" s="2">
        <v>39.518093299999997</v>
      </c>
      <c r="D12" s="2">
        <v>-74.319834599999993</v>
      </c>
      <c r="E12" s="6">
        <v>43559</v>
      </c>
      <c r="F12" s="6">
        <v>43573</v>
      </c>
      <c r="G12" s="6">
        <v>43587</v>
      </c>
      <c r="H12" s="6">
        <v>44641</v>
      </c>
      <c r="I12" s="7" t="s">
        <v>36</v>
      </c>
      <c r="J12" s="2" t="s">
        <v>49</v>
      </c>
      <c r="K12" s="15" t="s">
        <v>96</v>
      </c>
      <c r="L12" s="2" t="s">
        <v>38</v>
      </c>
      <c r="M12" s="2" t="s">
        <v>39</v>
      </c>
      <c r="N12" s="2" t="s">
        <v>40</v>
      </c>
      <c r="O12" s="2" t="s">
        <v>63</v>
      </c>
      <c r="P12" s="2" t="s">
        <v>64</v>
      </c>
      <c r="Q12" s="2" t="s">
        <v>65</v>
      </c>
      <c r="R12" s="2" t="s">
        <v>66</v>
      </c>
      <c r="S12" s="2" t="s">
        <v>197</v>
      </c>
    </row>
    <row r="13" spans="1:19" x14ac:dyDescent="0.25">
      <c r="A13" s="2" t="s">
        <v>67</v>
      </c>
      <c r="B13" s="2" t="s">
        <v>20</v>
      </c>
      <c r="C13" s="2">
        <v>39.541336000000001</v>
      </c>
      <c r="D13" s="2">
        <v>-74.328779999999995</v>
      </c>
      <c r="E13" s="6">
        <v>43559</v>
      </c>
      <c r="F13" s="6">
        <v>43586</v>
      </c>
      <c r="G13" s="6">
        <v>43587</v>
      </c>
      <c r="H13" s="6">
        <v>44641</v>
      </c>
      <c r="I13" s="7" t="s">
        <v>36</v>
      </c>
      <c r="J13" s="2" t="s">
        <v>47</v>
      </c>
      <c r="K13" s="15" t="s">
        <v>47</v>
      </c>
      <c r="L13" s="2" t="s">
        <v>38</v>
      </c>
      <c r="M13" s="2" t="s">
        <v>39</v>
      </c>
      <c r="N13" s="2" t="s">
        <v>40</v>
      </c>
      <c r="O13" s="2" t="s">
        <v>63</v>
      </c>
      <c r="P13" s="2" t="s">
        <v>64</v>
      </c>
      <c r="Q13" s="2" t="s">
        <v>65</v>
      </c>
      <c r="R13" s="2" t="s">
        <v>66</v>
      </c>
      <c r="S13" s="2" t="s">
        <v>196</v>
      </c>
    </row>
    <row r="14" spans="1:19" x14ac:dyDescent="0.25">
      <c r="A14" s="2" t="s">
        <v>68</v>
      </c>
      <c r="B14" s="2" t="s">
        <v>20</v>
      </c>
      <c r="C14" s="2">
        <v>39.576641500000001</v>
      </c>
      <c r="D14" s="2">
        <v>-74.343133199999997</v>
      </c>
      <c r="E14" s="6">
        <v>43564</v>
      </c>
      <c r="F14" s="6">
        <v>43572</v>
      </c>
      <c r="G14" s="6">
        <v>43587</v>
      </c>
      <c r="H14" s="6">
        <v>44641</v>
      </c>
      <c r="I14" s="7" t="s">
        <v>36</v>
      </c>
      <c r="J14" s="2" t="s">
        <v>47</v>
      </c>
      <c r="K14" s="15" t="s">
        <v>95</v>
      </c>
      <c r="L14" s="2" t="s">
        <v>38</v>
      </c>
      <c r="M14" s="2" t="s">
        <v>39</v>
      </c>
      <c r="N14" s="2" t="s">
        <v>40</v>
      </c>
      <c r="O14" s="2" t="s">
        <v>63</v>
      </c>
      <c r="P14" s="2" t="s">
        <v>64</v>
      </c>
      <c r="Q14" s="2" t="s">
        <v>65</v>
      </c>
      <c r="R14" s="2" t="s">
        <v>66</v>
      </c>
      <c r="S14" s="2" t="s">
        <v>195</v>
      </c>
    </row>
    <row r="15" spans="1:19" x14ac:dyDescent="0.25">
      <c r="A15" s="2" t="s">
        <v>69</v>
      </c>
      <c r="B15" s="2" t="s">
        <v>20</v>
      </c>
      <c r="C15" s="2">
        <v>39.238768200000003</v>
      </c>
      <c r="D15" s="2">
        <v>-75.103960000000001</v>
      </c>
      <c r="E15" s="6">
        <v>43662</v>
      </c>
      <c r="F15" s="6">
        <v>43573</v>
      </c>
      <c r="G15" s="6">
        <v>43728</v>
      </c>
      <c r="H15" s="6">
        <v>44144</v>
      </c>
      <c r="I15" s="7" t="s">
        <v>36</v>
      </c>
      <c r="J15" s="2" t="s">
        <v>49</v>
      </c>
      <c r="K15" s="15" t="s">
        <v>47</v>
      </c>
      <c r="L15" s="2" t="s">
        <v>70</v>
      </c>
      <c r="M15" s="2" t="s">
        <v>39</v>
      </c>
      <c r="N15" s="2" t="s">
        <v>55</v>
      </c>
      <c r="O15" s="2" t="s">
        <v>63</v>
      </c>
      <c r="P15" s="2" t="s">
        <v>71</v>
      </c>
      <c r="Q15" s="2" t="s">
        <v>72</v>
      </c>
      <c r="R15" s="2" t="s">
        <v>73</v>
      </c>
      <c r="S15" s="2" t="s">
        <v>195</v>
      </c>
    </row>
    <row r="16" spans="1:19" x14ac:dyDescent="0.25">
      <c r="A16" s="2" t="s">
        <v>74</v>
      </c>
      <c r="B16" s="2" t="s">
        <v>20</v>
      </c>
      <c r="C16" s="2">
        <v>39.244239</v>
      </c>
      <c r="D16" s="2">
        <v>-75.015878000000001</v>
      </c>
      <c r="E16" s="6">
        <v>43756</v>
      </c>
      <c r="F16" s="6">
        <v>43803</v>
      </c>
      <c r="G16" s="6">
        <v>43809</v>
      </c>
      <c r="H16" s="14">
        <v>44615</v>
      </c>
      <c r="I16" s="7" t="s">
        <v>36</v>
      </c>
      <c r="J16" s="8" t="s">
        <v>75</v>
      </c>
      <c r="K16" s="15" t="s">
        <v>75</v>
      </c>
      <c r="L16" s="2" t="s">
        <v>70</v>
      </c>
      <c r="M16" s="2" t="s">
        <v>39</v>
      </c>
      <c r="N16" s="2" t="s">
        <v>55</v>
      </c>
      <c r="O16" s="2" t="s">
        <v>76</v>
      </c>
      <c r="P16" s="2" t="s">
        <v>71</v>
      </c>
      <c r="Q16" s="2" t="s">
        <v>72</v>
      </c>
      <c r="R16" s="2" t="s">
        <v>77</v>
      </c>
      <c r="S16" s="2" t="s">
        <v>193</v>
      </c>
    </row>
    <row r="17" spans="1:19" x14ac:dyDescent="0.25">
      <c r="A17" s="2" t="s">
        <v>78</v>
      </c>
      <c r="B17" s="2" t="s">
        <v>20</v>
      </c>
      <c r="C17" s="2">
        <v>39.243906000000003</v>
      </c>
      <c r="D17" s="2">
        <v>-75.173411000000002</v>
      </c>
      <c r="E17" s="6">
        <v>43759</v>
      </c>
      <c r="F17" s="6">
        <v>43880</v>
      </c>
      <c r="G17" s="6">
        <v>43893</v>
      </c>
      <c r="H17" s="14">
        <v>44519</v>
      </c>
      <c r="I17" s="7" t="s">
        <v>36</v>
      </c>
      <c r="J17" s="8" t="s">
        <v>37</v>
      </c>
      <c r="K17" s="15" t="s">
        <v>37</v>
      </c>
      <c r="L17" s="2" t="s">
        <v>70</v>
      </c>
      <c r="M17" s="2" t="s">
        <v>39</v>
      </c>
      <c r="N17" s="2" t="s">
        <v>55</v>
      </c>
      <c r="O17" s="2" t="s">
        <v>27</v>
      </c>
      <c r="P17" s="2" t="s">
        <v>79</v>
      </c>
      <c r="Q17" s="2" t="s">
        <v>80</v>
      </c>
      <c r="R17" s="2" t="s">
        <v>81</v>
      </c>
      <c r="S17" s="2" t="s">
        <v>194</v>
      </c>
    </row>
    <row r="18" spans="1:19" x14ac:dyDescent="0.25">
      <c r="A18" s="2" t="s">
        <v>82</v>
      </c>
      <c r="B18" s="2" t="s">
        <v>20</v>
      </c>
      <c r="C18" s="2">
        <v>39.051203999999998</v>
      </c>
      <c r="D18" s="2">
        <v>-74.775953000000001</v>
      </c>
      <c r="E18" s="6">
        <v>43760</v>
      </c>
      <c r="F18" s="6">
        <v>43881</v>
      </c>
      <c r="G18" s="6">
        <v>43893</v>
      </c>
      <c r="H18" s="14">
        <v>44519</v>
      </c>
      <c r="I18" s="7" t="s">
        <v>36</v>
      </c>
      <c r="J18" s="8" t="s">
        <v>47</v>
      </c>
      <c r="K18" s="15" t="s">
        <v>86</v>
      </c>
      <c r="L18" s="2" t="s">
        <v>83</v>
      </c>
      <c r="M18" s="2" t="s">
        <v>39</v>
      </c>
      <c r="N18" s="2" t="s">
        <v>40</v>
      </c>
      <c r="O18" s="2" t="s">
        <v>27</v>
      </c>
      <c r="P18" s="2" t="s">
        <v>79</v>
      </c>
      <c r="Q18" s="2" t="s">
        <v>80</v>
      </c>
      <c r="R18" s="2" t="s">
        <v>84</v>
      </c>
      <c r="S18" s="2" t="s">
        <v>191</v>
      </c>
    </row>
    <row r="19" spans="1:19" x14ac:dyDescent="0.25">
      <c r="A19" s="2" t="s">
        <v>85</v>
      </c>
      <c r="B19" s="2" t="s">
        <v>20</v>
      </c>
      <c r="C19" s="2">
        <v>39.075246</v>
      </c>
      <c r="D19" s="2">
        <v>-74.763554999999997</v>
      </c>
      <c r="E19" s="6">
        <v>43761</v>
      </c>
      <c r="F19" s="6">
        <v>43887</v>
      </c>
      <c r="G19" s="6">
        <v>43893</v>
      </c>
      <c r="H19" s="14">
        <v>44519</v>
      </c>
      <c r="I19" s="7" t="s">
        <v>36</v>
      </c>
      <c r="J19" s="8" t="s">
        <v>86</v>
      </c>
      <c r="K19" s="15" t="s">
        <v>94</v>
      </c>
      <c r="L19" s="2" t="s">
        <v>83</v>
      </c>
      <c r="M19" s="2" t="s">
        <v>39</v>
      </c>
      <c r="N19" s="2" t="s">
        <v>40</v>
      </c>
      <c r="O19" s="2" t="s">
        <v>27</v>
      </c>
      <c r="P19" s="2" t="s">
        <v>79</v>
      </c>
      <c r="Q19" s="2" t="s">
        <v>80</v>
      </c>
      <c r="R19" s="2" t="s">
        <v>87</v>
      </c>
      <c r="S19" s="2" t="s">
        <v>192</v>
      </c>
    </row>
    <row r="22" spans="1:19" ht="15.75" thickBot="1" x14ac:dyDescent="0.3">
      <c r="A22" s="9" t="s">
        <v>9</v>
      </c>
    </row>
    <row r="23" spans="1:19" ht="15.75" thickTop="1" x14ac:dyDescent="0.25">
      <c r="A23" s="10" t="s">
        <v>36</v>
      </c>
      <c r="B23" t="s">
        <v>88</v>
      </c>
    </row>
    <row r="24" spans="1:19" x14ac:dyDescent="0.25">
      <c r="A24" s="11" t="s">
        <v>89</v>
      </c>
      <c r="B24" t="s">
        <v>90</v>
      </c>
    </row>
    <row r="25" spans="1:19" ht="15.75" thickBot="1" x14ac:dyDescent="0.3">
      <c r="A25" s="12" t="s">
        <v>52</v>
      </c>
      <c r="B25" t="s">
        <v>91</v>
      </c>
    </row>
    <row r="26" spans="1:19" ht="16.5" thickTop="1" thickBot="1" x14ac:dyDescent="0.3">
      <c r="A26" s="13" t="s">
        <v>92</v>
      </c>
      <c r="B26" t="s">
        <v>93</v>
      </c>
    </row>
    <row r="27" spans="1:19" ht="15.75" thickTop="1" x14ac:dyDescent="0.25"/>
  </sheetData>
  <mergeCells count="1">
    <mergeCell ref="A1:S1"/>
  </mergeCells>
  <hyperlinks>
    <hyperlink ref="S3" r:id="rId1" xr:uid="{AE01F21F-9D2D-4F8F-AA7F-02F253DEA8BE}"/>
    <hyperlink ref="S4" r:id="rId2" xr:uid="{F448DE87-C201-4E4B-93A1-409ADD1EA2D4}"/>
    <hyperlink ref="S5" r:id="rId3" xr:uid="{FF8E1F2C-2D0C-4363-878B-A56BECC85EA9}"/>
    <hyperlink ref="S9" r:id="rId4" xr:uid="{3A79AA05-CE66-4943-B2A9-C87E5035F242}"/>
    <hyperlink ref="S7" r:id="rId5" xr:uid="{B841BF9D-4D2B-42D4-84DD-694A2C56DB7A}"/>
    <hyperlink ref="S6" r:id="rId6" xr:uid="{8B1C0841-6C75-4887-8CCC-3C7150217CC3}"/>
    <hyperlink ref="S8" r:id="rId7" xr:uid="{A2F80576-DA81-4FAC-B636-2DACCD139581}"/>
    <hyperlink ref="S18" r:id="rId8" xr:uid="{421E7ADC-6BB4-4D2E-BCB7-FC2E3BB4A99E}"/>
    <hyperlink ref="S19" r:id="rId9" xr:uid="{EC816BC9-84D9-4CA4-AD3E-6A9197AD90A2}"/>
    <hyperlink ref="S16" r:id="rId10" xr:uid="{96638A87-4FA8-4AA1-B56D-38A758A24AF2}"/>
    <hyperlink ref="S17" r:id="rId11" xr:uid="{39B986DB-10B1-4EF7-98B3-E4EEF6B5504D}"/>
    <hyperlink ref="S15" r:id="rId12" xr:uid="{A1D2B8E8-DC12-4652-A4F1-43F2510CBC35}"/>
    <hyperlink ref="S14" r:id="rId13" xr:uid="{F8F2C6BA-8F0F-476C-93A3-EB417E5D45B6}"/>
    <hyperlink ref="S13" r:id="rId14" xr:uid="{9A745C73-71CE-492E-A604-BF9DFEC063AA}"/>
    <hyperlink ref="S12" r:id="rId15" xr:uid="{DCB81222-A546-4E06-AA71-162C5818546E}"/>
    <hyperlink ref="S11" r:id="rId16" xr:uid="{1A47A5C7-919A-485B-AFBA-A153C6AA28B6}"/>
    <hyperlink ref="S10" r:id="rId17" xr:uid="{3E9DF5D7-E8F6-4AA1-A168-E0D041BEA262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7E2F-DDF2-4DBF-87DA-1DE1818AA697}">
  <dimension ref="A1:EF16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159" sqref="R159:R162"/>
    </sheetView>
  </sheetViews>
  <sheetFormatPr defaultRowHeight="15" x14ac:dyDescent="0.25"/>
  <cols>
    <col min="1" max="1" width="14.28515625" bestFit="1" customWidth="1"/>
    <col min="2" max="2" width="24.7109375" bestFit="1" customWidth="1"/>
    <col min="4" max="4" width="11.42578125" bestFit="1" customWidth="1"/>
    <col min="5" max="5" width="11.5703125" bestFit="1" customWidth="1"/>
    <col min="6" max="6" width="6.7109375" customWidth="1"/>
    <col min="7" max="7" width="6.140625" bestFit="1" customWidth="1"/>
    <col min="8" max="8" width="5" bestFit="1" customWidth="1"/>
    <col min="9" max="9" width="7.7109375" bestFit="1" customWidth="1"/>
    <col min="10" max="10" width="9.5703125" bestFit="1" customWidth="1"/>
    <col min="11" max="11" width="8.5703125" bestFit="1" customWidth="1"/>
    <col min="12" max="12" width="15.140625" bestFit="1" customWidth="1"/>
    <col min="13" max="15" width="11.140625" bestFit="1" customWidth="1"/>
    <col min="17" max="17" width="19.85546875" bestFit="1" customWidth="1"/>
    <col min="20" max="20" width="9.7109375" customWidth="1"/>
  </cols>
  <sheetData>
    <row r="1" spans="1:50" x14ac:dyDescent="0.25">
      <c r="A1" s="126" t="s">
        <v>111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</row>
    <row r="2" spans="1:50" ht="15.75" thickBot="1" x14ac:dyDescent="0.3">
      <c r="A2" s="65" t="s">
        <v>97</v>
      </c>
      <c r="B2" s="65"/>
      <c r="C2" s="65" t="s">
        <v>98</v>
      </c>
      <c r="D2" s="65" t="s">
        <v>99</v>
      </c>
      <c r="E2" s="65" t="s">
        <v>100</v>
      </c>
      <c r="F2" s="65" t="s">
        <v>101</v>
      </c>
      <c r="G2" s="65" t="s">
        <v>102</v>
      </c>
      <c r="H2" s="65" t="s">
        <v>103</v>
      </c>
      <c r="I2" s="65" t="s">
        <v>104</v>
      </c>
      <c r="J2" s="65" t="s">
        <v>105</v>
      </c>
      <c r="K2" s="65" t="s">
        <v>106</v>
      </c>
      <c r="L2" s="65" t="s">
        <v>107</v>
      </c>
      <c r="M2" s="65" t="s">
        <v>108</v>
      </c>
      <c r="N2" s="65" t="s">
        <v>109</v>
      </c>
      <c r="O2" s="65" t="s">
        <v>110</v>
      </c>
      <c r="P2" s="66"/>
      <c r="Q2" s="66"/>
      <c r="R2" s="66"/>
      <c r="S2" s="66"/>
      <c r="T2" s="66"/>
    </row>
    <row r="3" spans="1:50" x14ac:dyDescent="0.25">
      <c r="A3" s="114" t="s">
        <v>204</v>
      </c>
      <c r="B3" s="27" t="s">
        <v>23</v>
      </c>
      <c r="C3" s="28" t="s">
        <v>113</v>
      </c>
      <c r="D3" s="28">
        <v>0</v>
      </c>
      <c r="E3" s="28">
        <v>10</v>
      </c>
      <c r="F3" s="28">
        <v>11.3</v>
      </c>
      <c r="G3" s="28">
        <v>0.74</v>
      </c>
      <c r="H3" s="28">
        <v>11.3</v>
      </c>
      <c r="I3" s="29">
        <f t="shared" ref="I3:I66" si="0">F3/G3</f>
        <v>15.270270270270272</v>
      </c>
      <c r="J3" s="28">
        <v>0.28000000000000003</v>
      </c>
      <c r="K3" s="28">
        <v>0</v>
      </c>
      <c r="L3" s="30">
        <f t="shared" ref="L3:L62" si="1">(E3-D3)*J3*H3/10</f>
        <v>3.1640000000000006</v>
      </c>
      <c r="M3" s="30">
        <f t="shared" ref="M3:M62" si="2">(E3-D3)*J3*H3/10</f>
        <v>3.1640000000000006</v>
      </c>
      <c r="N3" s="30">
        <f t="shared" ref="N3:N62" si="3">(E3-D3)*J3*H3/10</f>
        <v>3.1640000000000006</v>
      </c>
      <c r="O3" s="76">
        <f t="shared" ref="O3:O62" si="4">(E3-D3)*J3*H3/10</f>
        <v>3.1640000000000006</v>
      </c>
      <c r="P3" s="88"/>
      <c r="Q3" s="70"/>
      <c r="R3" s="70"/>
      <c r="S3" s="70"/>
      <c r="T3" s="79"/>
    </row>
    <row r="4" spans="1:50" x14ac:dyDescent="0.25">
      <c r="A4" s="115"/>
      <c r="B4" s="34"/>
      <c r="C4" s="31" t="s">
        <v>121</v>
      </c>
      <c r="D4" s="31">
        <f>E3</f>
        <v>10</v>
      </c>
      <c r="E4" s="31">
        <v>18</v>
      </c>
      <c r="F4" s="31">
        <v>6.81</v>
      </c>
      <c r="G4" s="31">
        <v>0.56000000000000005</v>
      </c>
      <c r="H4" s="31">
        <v>6.8</v>
      </c>
      <c r="I4" s="32">
        <f t="shared" si="0"/>
        <v>12.160714285714285</v>
      </c>
      <c r="J4" s="31">
        <v>0.68</v>
      </c>
      <c r="K4" s="31">
        <v>0</v>
      </c>
      <c r="L4" s="33">
        <f t="shared" si="1"/>
        <v>3.6992000000000003</v>
      </c>
      <c r="M4" s="33">
        <f t="shared" si="2"/>
        <v>3.6992000000000003</v>
      </c>
      <c r="N4" s="33">
        <f t="shared" si="3"/>
        <v>3.6992000000000003</v>
      </c>
      <c r="O4" s="77">
        <f t="shared" si="4"/>
        <v>3.6992000000000003</v>
      </c>
      <c r="P4" s="89"/>
      <c r="Q4" s="31" t="s">
        <v>116</v>
      </c>
      <c r="R4" s="51">
        <f>SUM(L3:L12)</f>
        <v>98.388999999999996</v>
      </c>
      <c r="S4" s="55"/>
      <c r="T4" s="80"/>
    </row>
    <row r="5" spans="1:50" x14ac:dyDescent="0.25">
      <c r="A5" s="115"/>
      <c r="B5" s="34" t="s">
        <v>201</v>
      </c>
      <c r="C5" s="31" t="s">
        <v>123</v>
      </c>
      <c r="D5" s="31">
        <f t="shared" ref="D5:D26" si="5">E4</f>
        <v>18</v>
      </c>
      <c r="E5" s="31">
        <v>44</v>
      </c>
      <c r="F5" s="31">
        <v>6.42</v>
      </c>
      <c r="G5" s="31">
        <v>0.44</v>
      </c>
      <c r="H5" s="31">
        <v>6.4</v>
      </c>
      <c r="I5" s="32">
        <f t="shared" si="0"/>
        <v>14.59090909090909</v>
      </c>
      <c r="J5" s="31">
        <v>0.64</v>
      </c>
      <c r="K5" s="31">
        <v>0</v>
      </c>
      <c r="L5" s="33">
        <f t="shared" si="1"/>
        <v>10.649600000000001</v>
      </c>
      <c r="M5" s="33">
        <f t="shared" si="2"/>
        <v>10.649600000000001</v>
      </c>
      <c r="N5" s="33">
        <f t="shared" si="3"/>
        <v>10.649600000000001</v>
      </c>
      <c r="O5" s="77">
        <f t="shared" si="4"/>
        <v>10.649600000000001</v>
      </c>
      <c r="P5" s="89"/>
      <c r="Q5" s="31" t="s">
        <v>119</v>
      </c>
      <c r="R5" s="51">
        <f>SUM(M3:M8)</f>
        <v>55.701200000000007</v>
      </c>
      <c r="S5" s="55"/>
      <c r="T5" s="80"/>
    </row>
    <row r="6" spans="1:50" x14ac:dyDescent="0.25">
      <c r="A6" s="115"/>
      <c r="B6" s="34" t="s">
        <v>200</v>
      </c>
      <c r="C6" s="31" t="s">
        <v>125</v>
      </c>
      <c r="D6" s="31">
        <f t="shared" si="5"/>
        <v>44</v>
      </c>
      <c r="E6" s="31">
        <v>49</v>
      </c>
      <c r="F6" s="31">
        <v>7.93</v>
      </c>
      <c r="G6" s="31">
        <v>0.54</v>
      </c>
      <c r="H6" s="31">
        <v>7.9</v>
      </c>
      <c r="I6" s="32">
        <f t="shared" si="0"/>
        <v>14.685185185185183</v>
      </c>
      <c r="J6" s="31">
        <v>0.87</v>
      </c>
      <c r="K6" s="31">
        <v>0</v>
      </c>
      <c r="L6" s="33">
        <f t="shared" si="1"/>
        <v>3.4365000000000001</v>
      </c>
      <c r="M6" s="33">
        <f t="shared" si="2"/>
        <v>3.4365000000000001</v>
      </c>
      <c r="N6" s="33">
        <f t="shared" si="3"/>
        <v>3.4365000000000001</v>
      </c>
      <c r="O6" s="77">
        <f t="shared" si="4"/>
        <v>3.4365000000000001</v>
      </c>
      <c r="P6" s="89"/>
      <c r="Q6" s="31" t="s">
        <v>122</v>
      </c>
      <c r="R6" s="51">
        <f>SUM(N3:N11)</f>
        <v>82.762600000000006</v>
      </c>
      <c r="S6" s="55"/>
      <c r="T6" s="80"/>
    </row>
    <row r="7" spans="1:50" x14ac:dyDescent="0.25">
      <c r="A7" s="115"/>
      <c r="B7" s="34"/>
      <c r="C7" s="31" t="s">
        <v>202</v>
      </c>
      <c r="D7" s="31">
        <f t="shared" si="5"/>
        <v>49</v>
      </c>
      <c r="E7" s="31">
        <v>78</v>
      </c>
      <c r="F7" s="31">
        <v>8.9</v>
      </c>
      <c r="G7" s="31">
        <v>0.53</v>
      </c>
      <c r="H7" s="31">
        <v>8.9</v>
      </c>
      <c r="I7" s="32">
        <f t="shared" si="0"/>
        <v>16.79245283018868</v>
      </c>
      <c r="J7" s="31">
        <v>0.67</v>
      </c>
      <c r="K7" s="31">
        <v>0</v>
      </c>
      <c r="L7" s="33">
        <f t="shared" si="1"/>
        <v>17.2927</v>
      </c>
      <c r="M7" s="33">
        <f t="shared" si="2"/>
        <v>17.2927</v>
      </c>
      <c r="N7" s="33">
        <f t="shared" si="3"/>
        <v>17.2927</v>
      </c>
      <c r="O7" s="77">
        <f t="shared" si="4"/>
        <v>17.2927</v>
      </c>
      <c r="P7" s="89"/>
      <c r="Q7" s="31" t="s">
        <v>124</v>
      </c>
      <c r="R7" s="51">
        <f>SUM(O3:O12)</f>
        <v>98.388999999999996</v>
      </c>
      <c r="S7" s="71" t="s">
        <v>211</v>
      </c>
      <c r="T7" s="80"/>
    </row>
    <row r="8" spans="1:50" x14ac:dyDescent="0.25">
      <c r="A8" s="115"/>
      <c r="B8" s="34"/>
      <c r="C8" s="31" t="s">
        <v>158</v>
      </c>
      <c r="D8" s="31">
        <f t="shared" si="5"/>
        <v>78</v>
      </c>
      <c r="E8" s="31">
        <v>102</v>
      </c>
      <c r="F8" s="31">
        <v>12.39</v>
      </c>
      <c r="G8" s="31">
        <v>0.72</v>
      </c>
      <c r="H8" s="31">
        <v>12.4</v>
      </c>
      <c r="I8" s="32">
        <f t="shared" si="0"/>
        <v>17.208333333333336</v>
      </c>
      <c r="J8" s="31">
        <v>0.64</v>
      </c>
      <c r="K8" s="31">
        <v>0</v>
      </c>
      <c r="L8" s="33">
        <f t="shared" si="1"/>
        <v>19.046399999999998</v>
      </c>
      <c r="M8" s="33">
        <f>(100-D8)*J8*H8/10</f>
        <v>17.459200000000003</v>
      </c>
      <c r="N8" s="33">
        <f t="shared" si="3"/>
        <v>19.046399999999998</v>
      </c>
      <c r="O8" s="77">
        <f t="shared" si="4"/>
        <v>19.046399999999998</v>
      </c>
      <c r="P8" s="89"/>
      <c r="Q8" s="55"/>
      <c r="R8" s="55"/>
      <c r="S8" s="55"/>
      <c r="T8" s="80"/>
    </row>
    <row r="9" spans="1:50" x14ac:dyDescent="0.25">
      <c r="A9" s="115"/>
      <c r="B9" s="34"/>
      <c r="C9" s="31" t="s">
        <v>159</v>
      </c>
      <c r="D9" s="31">
        <f t="shared" si="5"/>
        <v>102</v>
      </c>
      <c r="E9" s="31">
        <v>119</v>
      </c>
      <c r="F9" s="31">
        <v>11.22</v>
      </c>
      <c r="G9" s="31">
        <v>0.67</v>
      </c>
      <c r="H9" s="31">
        <v>11.2</v>
      </c>
      <c r="I9" s="32">
        <f t="shared" si="0"/>
        <v>16.746268656716417</v>
      </c>
      <c r="J9" s="31">
        <v>0.48</v>
      </c>
      <c r="K9" s="31">
        <v>0</v>
      </c>
      <c r="L9" s="33">
        <f t="shared" si="1"/>
        <v>9.1391999999999989</v>
      </c>
      <c r="M9" s="33"/>
      <c r="N9" s="33">
        <f t="shared" si="3"/>
        <v>9.1391999999999989</v>
      </c>
      <c r="O9" s="77">
        <f t="shared" si="4"/>
        <v>9.1391999999999989</v>
      </c>
      <c r="P9" s="89"/>
      <c r="Q9" s="55"/>
      <c r="R9" s="55"/>
      <c r="S9" s="55"/>
      <c r="T9" s="80"/>
    </row>
    <row r="10" spans="1:50" x14ac:dyDescent="0.25">
      <c r="A10" s="115"/>
      <c r="B10" s="34"/>
      <c r="C10" s="31" t="s">
        <v>160</v>
      </c>
      <c r="D10" s="31">
        <f t="shared" si="5"/>
        <v>119</v>
      </c>
      <c r="E10" s="31">
        <v>148</v>
      </c>
      <c r="F10" s="31">
        <v>11.8</v>
      </c>
      <c r="G10" s="31">
        <v>0.67</v>
      </c>
      <c r="H10" s="31">
        <v>11.8</v>
      </c>
      <c r="I10" s="32">
        <f t="shared" si="0"/>
        <v>17.611940298507463</v>
      </c>
      <c r="J10" s="31">
        <v>0.45</v>
      </c>
      <c r="K10" s="31">
        <v>0</v>
      </c>
      <c r="L10" s="33">
        <f t="shared" si="1"/>
        <v>15.399000000000001</v>
      </c>
      <c r="M10" s="33"/>
      <c r="N10" s="33">
        <f>(E10-D10)*J10*H10/10</f>
        <v>15.399000000000001</v>
      </c>
      <c r="O10" s="77">
        <f t="shared" si="4"/>
        <v>15.399000000000001</v>
      </c>
      <c r="P10" s="89"/>
      <c r="Q10" s="55"/>
      <c r="R10" s="55"/>
      <c r="S10" s="55"/>
      <c r="T10" s="80"/>
    </row>
    <row r="11" spans="1:50" x14ac:dyDescent="0.25">
      <c r="A11" s="115"/>
      <c r="B11" s="34"/>
      <c r="C11" s="31" t="s">
        <v>203</v>
      </c>
      <c r="D11" s="31">
        <f t="shared" si="5"/>
        <v>148</v>
      </c>
      <c r="E11" s="31">
        <v>167</v>
      </c>
      <c r="F11" s="31">
        <v>10.38</v>
      </c>
      <c r="G11" s="31">
        <v>0.54</v>
      </c>
      <c r="H11" s="31">
        <v>10.4</v>
      </c>
      <c r="I11" s="32">
        <f t="shared" si="0"/>
        <v>19.222222222222221</v>
      </c>
      <c r="J11" s="31">
        <v>0.45</v>
      </c>
      <c r="K11" s="31">
        <v>0</v>
      </c>
      <c r="L11" s="33">
        <f t="shared" si="1"/>
        <v>8.8920000000000012</v>
      </c>
      <c r="M11" s="33"/>
      <c r="N11" s="33">
        <f>(150-D11)*J11*H11/10</f>
        <v>0.93600000000000017</v>
      </c>
      <c r="O11" s="77">
        <f t="shared" si="4"/>
        <v>8.8920000000000012</v>
      </c>
      <c r="P11" s="89"/>
      <c r="Q11" s="55"/>
      <c r="R11" s="55"/>
      <c r="S11" s="55"/>
      <c r="T11" s="80"/>
    </row>
    <row r="12" spans="1:50" s="17" customFormat="1" ht="15.75" thickBot="1" x14ac:dyDescent="0.3">
      <c r="A12" s="116"/>
      <c r="B12" s="96"/>
      <c r="C12" s="52" t="s">
        <v>142</v>
      </c>
      <c r="D12" s="52">
        <f t="shared" si="5"/>
        <v>167</v>
      </c>
      <c r="E12" s="52">
        <v>184</v>
      </c>
      <c r="F12" s="52">
        <v>9.39</v>
      </c>
      <c r="G12" s="52">
        <v>0.51</v>
      </c>
      <c r="H12" s="52">
        <v>9.4</v>
      </c>
      <c r="I12" s="53">
        <f t="shared" si="0"/>
        <v>18.411764705882355</v>
      </c>
      <c r="J12" s="52">
        <v>0.48</v>
      </c>
      <c r="K12" s="52">
        <v>0</v>
      </c>
      <c r="L12" s="54">
        <f t="shared" si="1"/>
        <v>7.6704000000000008</v>
      </c>
      <c r="M12" s="54"/>
      <c r="N12" s="54"/>
      <c r="O12" s="78">
        <f t="shared" si="4"/>
        <v>7.6704000000000008</v>
      </c>
      <c r="P12" s="90"/>
      <c r="Q12" s="56"/>
      <c r="R12" s="56"/>
      <c r="S12" s="56"/>
      <c r="T12" s="81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</row>
    <row r="13" spans="1:50" ht="15.75" thickBot="1" x14ac:dyDescent="0.3">
      <c r="A13" s="114" t="s">
        <v>205</v>
      </c>
      <c r="B13" s="27" t="s">
        <v>23</v>
      </c>
      <c r="C13" s="28" t="s">
        <v>140</v>
      </c>
      <c r="D13" s="28">
        <v>0</v>
      </c>
      <c r="E13" s="28">
        <v>8</v>
      </c>
      <c r="F13" s="28">
        <v>15.9</v>
      </c>
      <c r="G13" s="28">
        <v>1.17</v>
      </c>
      <c r="H13" s="28">
        <v>15.9</v>
      </c>
      <c r="I13" s="29">
        <f t="shared" si="0"/>
        <v>13.589743589743591</v>
      </c>
      <c r="J13" s="28">
        <v>0.52</v>
      </c>
      <c r="K13" s="28">
        <v>0</v>
      </c>
      <c r="L13" s="30">
        <f t="shared" si="1"/>
        <v>6.6144000000000007</v>
      </c>
      <c r="M13" s="30">
        <f t="shared" si="2"/>
        <v>6.6144000000000007</v>
      </c>
      <c r="N13" s="30">
        <f t="shared" si="3"/>
        <v>6.6144000000000007</v>
      </c>
      <c r="O13" s="76">
        <f t="shared" si="4"/>
        <v>6.6144000000000007</v>
      </c>
      <c r="P13" s="88"/>
      <c r="Q13" s="70"/>
      <c r="R13" s="70"/>
      <c r="S13" s="70"/>
      <c r="T13" s="79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</row>
    <row r="14" spans="1:50" x14ac:dyDescent="0.25">
      <c r="A14" s="115"/>
      <c r="B14" s="34"/>
      <c r="C14" s="31" t="s">
        <v>208</v>
      </c>
      <c r="D14" s="31">
        <f t="shared" si="5"/>
        <v>8</v>
      </c>
      <c r="E14" s="31">
        <v>10</v>
      </c>
      <c r="F14" s="31">
        <v>1.25</v>
      </c>
      <c r="G14" s="31">
        <v>0.09</v>
      </c>
      <c r="H14" s="31">
        <v>1.3</v>
      </c>
      <c r="I14" s="32">
        <f t="shared" si="0"/>
        <v>13.888888888888889</v>
      </c>
      <c r="J14" s="31">
        <v>0.76</v>
      </c>
      <c r="K14" s="31">
        <v>2</v>
      </c>
      <c r="L14" s="33">
        <f t="shared" si="1"/>
        <v>0.19760000000000003</v>
      </c>
      <c r="M14" s="33">
        <f t="shared" si="2"/>
        <v>0.19760000000000003</v>
      </c>
      <c r="N14" s="33">
        <f t="shared" si="3"/>
        <v>0.19760000000000003</v>
      </c>
      <c r="O14" s="77">
        <f t="shared" si="4"/>
        <v>0.19760000000000003</v>
      </c>
      <c r="P14" s="89"/>
      <c r="Q14" s="31" t="s">
        <v>116</v>
      </c>
      <c r="R14" s="51">
        <f>SUM(L13:L18)</f>
        <v>106.79679999999999</v>
      </c>
      <c r="S14" s="55"/>
      <c r="T14" s="80"/>
      <c r="U14" s="118" t="s">
        <v>225</v>
      </c>
      <c r="V14" s="118"/>
      <c r="W14" s="118"/>
      <c r="X14" s="118"/>
      <c r="Y14" s="119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</row>
    <row r="15" spans="1:50" x14ac:dyDescent="0.25">
      <c r="A15" s="115"/>
      <c r="B15" s="34" t="s">
        <v>206</v>
      </c>
      <c r="C15" s="31" t="s">
        <v>209</v>
      </c>
      <c r="D15" s="31">
        <f t="shared" si="5"/>
        <v>10</v>
      </c>
      <c r="E15" s="31">
        <v>22</v>
      </c>
      <c r="F15" s="31">
        <v>16.239999999999998</v>
      </c>
      <c r="G15" s="31">
        <v>1.29</v>
      </c>
      <c r="H15" s="31">
        <v>16.2</v>
      </c>
      <c r="I15" s="32">
        <f t="shared" si="0"/>
        <v>12.589147286821705</v>
      </c>
      <c r="J15" s="31">
        <v>0.45</v>
      </c>
      <c r="K15" s="31">
        <v>0</v>
      </c>
      <c r="L15" s="33">
        <f t="shared" si="1"/>
        <v>8.7480000000000011</v>
      </c>
      <c r="M15" s="33">
        <f t="shared" si="2"/>
        <v>8.7480000000000011</v>
      </c>
      <c r="N15" s="33">
        <f t="shared" si="3"/>
        <v>8.7480000000000011</v>
      </c>
      <c r="O15" s="77">
        <f t="shared" si="4"/>
        <v>8.7480000000000011</v>
      </c>
      <c r="P15" s="89"/>
      <c r="Q15" s="31" t="s">
        <v>119</v>
      </c>
      <c r="R15" s="51">
        <f>SUM(M13:M17)</f>
        <v>83.534400000000005</v>
      </c>
      <c r="S15" s="55"/>
      <c r="T15" s="80"/>
      <c r="U15" s="121"/>
      <c r="V15" s="121"/>
      <c r="W15" s="121"/>
      <c r="X15" s="121"/>
      <c r="Y15" s="122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</row>
    <row r="16" spans="1:50" ht="15.75" thickBot="1" x14ac:dyDescent="0.3">
      <c r="A16" s="115"/>
      <c r="B16" s="34" t="s">
        <v>207</v>
      </c>
      <c r="C16" s="31" t="s">
        <v>210</v>
      </c>
      <c r="D16" s="31">
        <f t="shared" si="5"/>
        <v>22</v>
      </c>
      <c r="E16" s="31">
        <v>48</v>
      </c>
      <c r="F16" s="31">
        <v>19.18</v>
      </c>
      <c r="G16" s="31">
        <v>1.1100000000000001</v>
      </c>
      <c r="H16" s="31">
        <v>19.2</v>
      </c>
      <c r="I16" s="32">
        <f t="shared" si="0"/>
        <v>17.279279279279276</v>
      </c>
      <c r="J16" s="31">
        <v>0.48</v>
      </c>
      <c r="K16" s="31">
        <v>0</v>
      </c>
      <c r="L16" s="33">
        <f t="shared" si="1"/>
        <v>23.961599999999997</v>
      </c>
      <c r="M16" s="33">
        <f t="shared" si="2"/>
        <v>23.961599999999997</v>
      </c>
      <c r="N16" s="33">
        <f t="shared" si="3"/>
        <v>23.961599999999997</v>
      </c>
      <c r="O16" s="77">
        <f t="shared" si="4"/>
        <v>23.961599999999997</v>
      </c>
      <c r="P16" s="89"/>
      <c r="Q16" s="31" t="s">
        <v>122</v>
      </c>
      <c r="R16" s="51">
        <f>SUM(N13:N18)</f>
        <v>106.79679999999999</v>
      </c>
      <c r="S16" s="55"/>
      <c r="T16" s="80"/>
      <c r="U16" s="124"/>
      <c r="V16" s="124"/>
      <c r="W16" s="124"/>
      <c r="X16" s="124"/>
      <c r="Y16" s="125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</row>
    <row r="17" spans="1:50" x14ac:dyDescent="0.25">
      <c r="A17" s="115"/>
      <c r="B17" s="34"/>
      <c r="C17" s="31" t="s">
        <v>121</v>
      </c>
      <c r="D17" s="31">
        <f t="shared" si="5"/>
        <v>48</v>
      </c>
      <c r="E17" s="31">
        <v>107</v>
      </c>
      <c r="F17" s="31">
        <v>9.24</v>
      </c>
      <c r="G17" s="31">
        <v>0.59</v>
      </c>
      <c r="H17" s="31">
        <v>9.1999999999999993</v>
      </c>
      <c r="I17" s="32">
        <f t="shared" si="0"/>
        <v>15.661016949152543</v>
      </c>
      <c r="J17" s="31">
        <v>0.92</v>
      </c>
      <c r="K17" s="31">
        <v>0</v>
      </c>
      <c r="L17" s="33">
        <f t="shared" si="1"/>
        <v>49.937599999999996</v>
      </c>
      <c r="M17" s="33">
        <f>(100-D17)*J17*H17/10</f>
        <v>44.012799999999999</v>
      </c>
      <c r="N17" s="33">
        <f t="shared" si="3"/>
        <v>49.937599999999996</v>
      </c>
      <c r="O17" s="77">
        <f t="shared" si="4"/>
        <v>49.937599999999996</v>
      </c>
      <c r="P17" s="89"/>
      <c r="Q17" s="31" t="s">
        <v>124</v>
      </c>
      <c r="R17" s="51">
        <f>SUM(O13:O18)</f>
        <v>106.79679999999999</v>
      </c>
      <c r="S17" s="71" t="s">
        <v>212</v>
      </c>
      <c r="T17" s="80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</row>
    <row r="18" spans="1:50" s="17" customFormat="1" ht="15.75" thickBot="1" x14ac:dyDescent="0.3">
      <c r="A18" s="116"/>
      <c r="B18" s="96"/>
      <c r="C18" s="52" t="s">
        <v>123</v>
      </c>
      <c r="D18" s="52">
        <f t="shared" si="5"/>
        <v>107</v>
      </c>
      <c r="E18" s="52">
        <v>150</v>
      </c>
      <c r="F18" s="52">
        <v>4.76</v>
      </c>
      <c r="G18" s="52">
        <v>0.34</v>
      </c>
      <c r="H18" s="52">
        <v>4.8</v>
      </c>
      <c r="I18" s="53">
        <f t="shared" si="0"/>
        <v>13.999999999999998</v>
      </c>
      <c r="J18" s="52">
        <v>0.84</v>
      </c>
      <c r="K18" s="52">
        <v>0</v>
      </c>
      <c r="L18" s="54">
        <f t="shared" si="1"/>
        <v>17.337599999999998</v>
      </c>
      <c r="M18" s="54"/>
      <c r="N18" s="54">
        <f t="shared" si="3"/>
        <v>17.337599999999998</v>
      </c>
      <c r="O18" s="78">
        <f t="shared" si="4"/>
        <v>17.337599999999998</v>
      </c>
      <c r="P18" s="90"/>
      <c r="Q18" s="56"/>
      <c r="R18" s="56"/>
      <c r="S18" s="56"/>
      <c r="T18" s="81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</row>
    <row r="19" spans="1:50" x14ac:dyDescent="0.25">
      <c r="A19" s="114" t="s">
        <v>213</v>
      </c>
      <c r="B19" s="27" t="s">
        <v>224</v>
      </c>
      <c r="C19" s="28" t="s">
        <v>216</v>
      </c>
      <c r="D19" s="28">
        <v>0</v>
      </c>
      <c r="E19" s="28">
        <v>10</v>
      </c>
      <c r="F19" s="28">
        <v>31.34</v>
      </c>
      <c r="G19" s="28">
        <v>1.47</v>
      </c>
      <c r="H19" s="28">
        <v>31.3</v>
      </c>
      <c r="I19" s="29">
        <f t="shared" si="0"/>
        <v>21.319727891156464</v>
      </c>
      <c r="J19" s="28">
        <v>0.28999999999999998</v>
      </c>
      <c r="K19" s="28">
        <v>0</v>
      </c>
      <c r="L19" s="30">
        <f t="shared" si="1"/>
        <v>9.077</v>
      </c>
      <c r="M19" s="30">
        <f t="shared" si="2"/>
        <v>9.077</v>
      </c>
      <c r="N19" s="30">
        <f t="shared" si="3"/>
        <v>9.077</v>
      </c>
      <c r="O19" s="76">
        <f t="shared" si="4"/>
        <v>9.077</v>
      </c>
      <c r="P19" s="88"/>
      <c r="Q19" s="70"/>
      <c r="R19" s="70"/>
      <c r="S19" s="70"/>
      <c r="T19" s="79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</row>
    <row r="20" spans="1:50" x14ac:dyDescent="0.25">
      <c r="A20" s="115"/>
      <c r="B20" s="34"/>
      <c r="C20" s="31" t="s">
        <v>217</v>
      </c>
      <c r="D20" s="31">
        <f t="shared" si="5"/>
        <v>10</v>
      </c>
      <c r="E20" s="31">
        <v>21</v>
      </c>
      <c r="F20" s="31">
        <v>27.28</v>
      </c>
      <c r="G20" s="31">
        <v>1.48</v>
      </c>
      <c r="H20" s="31">
        <v>27.3</v>
      </c>
      <c r="I20" s="32">
        <f t="shared" si="0"/>
        <v>18.432432432432435</v>
      </c>
      <c r="J20" s="31">
        <v>0.25</v>
      </c>
      <c r="K20" s="31">
        <v>0</v>
      </c>
      <c r="L20" s="33">
        <f t="shared" si="1"/>
        <v>7.5075000000000003</v>
      </c>
      <c r="M20" s="33">
        <f t="shared" si="2"/>
        <v>7.5075000000000003</v>
      </c>
      <c r="N20" s="33">
        <f t="shared" si="3"/>
        <v>7.5075000000000003</v>
      </c>
      <c r="O20" s="77">
        <f t="shared" si="4"/>
        <v>7.5075000000000003</v>
      </c>
      <c r="P20" s="89"/>
      <c r="Q20" s="55"/>
      <c r="R20" s="55"/>
      <c r="S20" s="55"/>
      <c r="T20" s="80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</row>
    <row r="21" spans="1:50" x14ac:dyDescent="0.25">
      <c r="A21" s="115"/>
      <c r="B21" s="34" t="s">
        <v>214</v>
      </c>
      <c r="C21" s="31" t="s">
        <v>218</v>
      </c>
      <c r="D21" s="31">
        <f t="shared" si="5"/>
        <v>21</v>
      </c>
      <c r="E21" s="31">
        <v>37</v>
      </c>
      <c r="F21" s="31">
        <v>35.74</v>
      </c>
      <c r="G21" s="31">
        <v>1.1599999999999999</v>
      </c>
      <c r="H21" s="31">
        <v>35.700000000000003</v>
      </c>
      <c r="I21" s="32">
        <f t="shared" si="0"/>
        <v>30.81034482758621</v>
      </c>
      <c r="J21" s="31">
        <v>0.35</v>
      </c>
      <c r="K21" s="31">
        <v>0</v>
      </c>
      <c r="L21" s="33">
        <f t="shared" si="1"/>
        <v>19.992000000000001</v>
      </c>
      <c r="M21" s="33">
        <f t="shared" si="2"/>
        <v>19.992000000000001</v>
      </c>
      <c r="N21" s="33">
        <f t="shared" si="3"/>
        <v>19.992000000000001</v>
      </c>
      <c r="O21" s="77">
        <f t="shared" si="4"/>
        <v>19.992000000000001</v>
      </c>
      <c r="P21" s="89"/>
      <c r="Q21" s="31" t="s">
        <v>116</v>
      </c>
      <c r="R21" s="51">
        <f>SUM(L19:L26)</f>
        <v>142.98049999999998</v>
      </c>
      <c r="S21" s="55"/>
      <c r="T21" s="80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</row>
    <row r="22" spans="1:50" x14ac:dyDescent="0.25">
      <c r="A22" s="115"/>
      <c r="B22" s="34" t="s">
        <v>215</v>
      </c>
      <c r="C22" s="31" t="s">
        <v>219</v>
      </c>
      <c r="D22" s="31">
        <f t="shared" si="5"/>
        <v>37</v>
      </c>
      <c r="E22" s="31">
        <v>74</v>
      </c>
      <c r="F22" s="31">
        <v>23.55</v>
      </c>
      <c r="G22" s="31">
        <v>1.26</v>
      </c>
      <c r="H22" s="31">
        <v>23.6</v>
      </c>
      <c r="I22" s="32">
        <f t="shared" si="0"/>
        <v>18.69047619047619</v>
      </c>
      <c r="J22" s="31">
        <v>0.3</v>
      </c>
      <c r="K22" s="31">
        <v>0</v>
      </c>
      <c r="L22" s="33">
        <f t="shared" si="1"/>
        <v>26.195999999999998</v>
      </c>
      <c r="M22" s="33">
        <f t="shared" si="2"/>
        <v>26.195999999999998</v>
      </c>
      <c r="N22" s="33">
        <f t="shared" si="3"/>
        <v>26.195999999999998</v>
      </c>
      <c r="O22" s="77">
        <f t="shared" si="4"/>
        <v>26.195999999999998</v>
      </c>
      <c r="P22" s="89"/>
      <c r="Q22" s="31" t="s">
        <v>119</v>
      </c>
      <c r="R22" s="51">
        <f>SUM(M19:M23)</f>
        <v>80.74369999999999</v>
      </c>
      <c r="S22" s="55"/>
      <c r="T22" s="80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</row>
    <row r="23" spans="1:50" x14ac:dyDescent="0.25">
      <c r="A23" s="115"/>
      <c r="B23" s="34"/>
      <c r="C23" s="31" t="s">
        <v>220</v>
      </c>
      <c r="D23" s="31">
        <f t="shared" si="5"/>
        <v>74</v>
      </c>
      <c r="E23" s="31">
        <v>101</v>
      </c>
      <c r="F23" s="31">
        <v>21.59</v>
      </c>
      <c r="G23" s="31">
        <v>1.17</v>
      </c>
      <c r="H23" s="31">
        <v>21.6</v>
      </c>
      <c r="I23" s="32">
        <f t="shared" si="0"/>
        <v>18.452991452991455</v>
      </c>
      <c r="J23" s="31">
        <v>0.32</v>
      </c>
      <c r="K23" s="31">
        <v>0</v>
      </c>
      <c r="L23" s="33">
        <f t="shared" si="1"/>
        <v>18.662400000000002</v>
      </c>
      <c r="M23" s="33">
        <f>(100-D23)*J23*H23/10</f>
        <v>17.971200000000003</v>
      </c>
      <c r="N23" s="33">
        <f t="shared" si="3"/>
        <v>18.662400000000002</v>
      </c>
      <c r="O23" s="77">
        <f t="shared" si="4"/>
        <v>18.662400000000002</v>
      </c>
      <c r="P23" s="89"/>
      <c r="Q23" s="31" t="s">
        <v>122</v>
      </c>
      <c r="R23" s="51">
        <f>SUM(N19:N25)</f>
        <v>112.74289999999999</v>
      </c>
      <c r="S23" s="55"/>
      <c r="T23" s="80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</row>
    <row r="24" spans="1:50" x14ac:dyDescent="0.25">
      <c r="A24" s="115"/>
      <c r="B24" s="34"/>
      <c r="C24" s="31" t="s">
        <v>221</v>
      </c>
      <c r="D24" s="31">
        <f t="shared" si="5"/>
        <v>101</v>
      </c>
      <c r="E24" s="31">
        <v>117</v>
      </c>
      <c r="F24" s="31">
        <v>14.97</v>
      </c>
      <c r="G24" s="31">
        <v>0.94</v>
      </c>
      <c r="H24" s="31">
        <v>15</v>
      </c>
      <c r="I24" s="32">
        <f t="shared" si="0"/>
        <v>15.925531914893618</v>
      </c>
      <c r="J24" s="31">
        <v>0.43</v>
      </c>
      <c r="K24" s="31">
        <v>0</v>
      </c>
      <c r="L24" s="33">
        <f t="shared" si="1"/>
        <v>10.32</v>
      </c>
      <c r="M24" s="33"/>
      <c r="N24" s="33">
        <f t="shared" si="3"/>
        <v>10.32</v>
      </c>
      <c r="O24" s="77">
        <f t="shared" si="4"/>
        <v>10.32</v>
      </c>
      <c r="P24" s="89"/>
      <c r="Q24" s="31" t="s">
        <v>124</v>
      </c>
      <c r="R24" s="51">
        <f>SUM(O19:O26)</f>
        <v>142.98049999999998</v>
      </c>
      <c r="S24" s="55"/>
      <c r="T24" s="80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</row>
    <row r="25" spans="1:50" x14ac:dyDescent="0.25">
      <c r="A25" s="115"/>
      <c r="B25" s="34"/>
      <c r="C25" s="31" t="s">
        <v>222</v>
      </c>
      <c r="D25" s="31">
        <f t="shared" si="5"/>
        <v>117</v>
      </c>
      <c r="E25" s="31">
        <v>179</v>
      </c>
      <c r="F25" s="31">
        <v>15.94</v>
      </c>
      <c r="G25" s="31">
        <v>0.98</v>
      </c>
      <c r="H25" s="31">
        <v>15.9</v>
      </c>
      <c r="I25" s="32">
        <f t="shared" si="0"/>
        <v>16.26530612244898</v>
      </c>
      <c r="J25" s="31">
        <v>0.4</v>
      </c>
      <c r="K25" s="31">
        <v>0</v>
      </c>
      <c r="L25" s="33">
        <f t="shared" si="1"/>
        <v>39.432000000000002</v>
      </c>
      <c r="M25" s="33"/>
      <c r="N25" s="33">
        <f>(150-D25)*J25*H25/10</f>
        <v>20.988000000000003</v>
      </c>
      <c r="O25" s="77">
        <f t="shared" si="4"/>
        <v>39.432000000000002</v>
      </c>
      <c r="P25" s="89"/>
      <c r="Q25" s="55"/>
      <c r="R25" s="55"/>
      <c r="S25" s="55"/>
      <c r="T25" s="80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</row>
    <row r="26" spans="1:50" s="17" customFormat="1" ht="15.75" thickBot="1" x14ac:dyDescent="0.3">
      <c r="A26" s="116"/>
      <c r="B26" s="96"/>
      <c r="C26" s="52" t="s">
        <v>223</v>
      </c>
      <c r="D26" s="52">
        <f t="shared" si="5"/>
        <v>179</v>
      </c>
      <c r="E26" s="52">
        <v>200</v>
      </c>
      <c r="F26" s="52">
        <v>11.66</v>
      </c>
      <c r="G26" s="52">
        <v>0.64</v>
      </c>
      <c r="H26" s="52">
        <v>11.7</v>
      </c>
      <c r="I26" s="53">
        <f t="shared" si="0"/>
        <v>18.21875</v>
      </c>
      <c r="J26" s="52">
        <v>0.48</v>
      </c>
      <c r="K26" s="52">
        <v>0</v>
      </c>
      <c r="L26" s="54">
        <f t="shared" si="1"/>
        <v>11.7936</v>
      </c>
      <c r="M26" s="54"/>
      <c r="N26" s="54"/>
      <c r="O26" s="78">
        <f t="shared" si="4"/>
        <v>11.7936</v>
      </c>
      <c r="P26" s="90"/>
      <c r="Q26" s="56"/>
      <c r="R26" s="56"/>
      <c r="S26" s="56"/>
      <c r="T26" s="81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</row>
    <row r="27" spans="1:50" x14ac:dyDescent="0.25">
      <c r="A27" s="99" t="s">
        <v>139</v>
      </c>
      <c r="B27" s="49" t="s">
        <v>37</v>
      </c>
      <c r="C27" s="20" t="s">
        <v>140</v>
      </c>
      <c r="D27" s="20">
        <v>0</v>
      </c>
      <c r="E27" s="20">
        <v>8</v>
      </c>
      <c r="F27" s="20">
        <v>18.72</v>
      </c>
      <c r="G27" s="20">
        <v>1.46</v>
      </c>
      <c r="H27" s="20">
        <v>18</v>
      </c>
      <c r="I27" s="21">
        <f t="shared" ref="I27:I35" si="6">F27/G27</f>
        <v>12.821917808219178</v>
      </c>
      <c r="J27" s="20">
        <v>0.31</v>
      </c>
      <c r="K27" s="20">
        <v>0</v>
      </c>
      <c r="L27" s="22">
        <f t="shared" ref="L27:L35" si="7">(E27-D27)*H27*J27/10</f>
        <v>4.4640000000000004</v>
      </c>
      <c r="M27" s="22">
        <f>(E27-D27)*H27*J27/10</f>
        <v>4.4640000000000004</v>
      </c>
      <c r="N27" s="22">
        <f t="shared" ref="N27:N32" si="8">(E27-D27)*H27*J27/10</f>
        <v>4.4640000000000004</v>
      </c>
      <c r="O27" s="82">
        <f t="shared" ref="O27:O35" si="9">(E27-D27)*H27*J27/10</f>
        <v>4.4640000000000004</v>
      </c>
      <c r="P27" s="85"/>
      <c r="Q27" s="57"/>
      <c r="R27" s="57"/>
      <c r="S27" s="57"/>
      <c r="T27" s="58"/>
    </row>
    <row r="28" spans="1:50" x14ac:dyDescent="0.25">
      <c r="A28" s="100"/>
      <c r="B28" s="37"/>
      <c r="C28" s="23" t="s">
        <v>113</v>
      </c>
      <c r="D28" s="23">
        <f>E27</f>
        <v>8</v>
      </c>
      <c r="E28" s="23">
        <v>19</v>
      </c>
      <c r="F28" s="23">
        <v>29.89</v>
      </c>
      <c r="G28" s="23">
        <v>1.59</v>
      </c>
      <c r="H28" s="23">
        <v>29.9</v>
      </c>
      <c r="I28" s="24">
        <f t="shared" si="6"/>
        <v>18.79874213836478</v>
      </c>
      <c r="J28" s="23">
        <v>0.03</v>
      </c>
      <c r="K28" s="23">
        <v>0</v>
      </c>
      <c r="L28" s="25">
        <f t="shared" si="7"/>
        <v>0.98669999999999991</v>
      </c>
      <c r="M28" s="25">
        <f>(E28-D28)*H28*J28/10</f>
        <v>0.98669999999999991</v>
      </c>
      <c r="N28" s="25">
        <f t="shared" si="8"/>
        <v>0.98669999999999991</v>
      </c>
      <c r="O28" s="83">
        <f t="shared" si="9"/>
        <v>0.98669999999999991</v>
      </c>
      <c r="P28" s="86"/>
      <c r="Q28" s="19"/>
      <c r="R28" s="19"/>
      <c r="S28" s="19"/>
      <c r="T28" s="59"/>
    </row>
    <row r="29" spans="1:50" x14ac:dyDescent="0.25">
      <c r="A29" s="100"/>
      <c r="B29" s="37" t="s">
        <v>141</v>
      </c>
      <c r="C29" s="23" t="s">
        <v>142</v>
      </c>
      <c r="D29" s="23">
        <f t="shared" ref="D29:D35" si="10">E28</f>
        <v>19</v>
      </c>
      <c r="E29" s="23">
        <v>34</v>
      </c>
      <c r="F29" s="23">
        <v>18.52</v>
      </c>
      <c r="G29" s="23">
        <v>1.03</v>
      </c>
      <c r="H29" s="23">
        <v>18.5</v>
      </c>
      <c r="I29" s="24">
        <f t="shared" si="6"/>
        <v>17.980582524271846</v>
      </c>
      <c r="J29" s="23">
        <v>0.6</v>
      </c>
      <c r="K29" s="23">
        <v>0</v>
      </c>
      <c r="L29" s="25">
        <f t="shared" si="7"/>
        <v>16.649999999999999</v>
      </c>
      <c r="M29" s="25">
        <f>(E29-D29)*H29*J29/10</f>
        <v>16.649999999999999</v>
      </c>
      <c r="N29" s="25">
        <f t="shared" si="8"/>
        <v>16.649999999999999</v>
      </c>
      <c r="O29" s="83">
        <f t="shared" si="9"/>
        <v>16.649999999999999</v>
      </c>
      <c r="P29" s="91"/>
      <c r="Q29" s="23" t="s">
        <v>116</v>
      </c>
      <c r="R29" s="26">
        <f>SUM(L27:L35)</f>
        <v>153.608</v>
      </c>
      <c r="S29" s="19"/>
      <c r="T29" s="59"/>
    </row>
    <row r="30" spans="1:50" x14ac:dyDescent="0.25">
      <c r="A30" s="100"/>
      <c r="B30" s="40" t="s">
        <v>143</v>
      </c>
      <c r="C30" s="23" t="s">
        <v>144</v>
      </c>
      <c r="D30" s="23">
        <f t="shared" si="10"/>
        <v>34</v>
      </c>
      <c r="E30" s="23">
        <v>50</v>
      </c>
      <c r="F30" s="23">
        <v>13.47</v>
      </c>
      <c r="G30" s="23">
        <v>0.67</v>
      </c>
      <c r="H30" s="23">
        <v>13.5</v>
      </c>
      <c r="I30" s="24">
        <f t="shared" si="6"/>
        <v>20.104477611940297</v>
      </c>
      <c r="J30" s="23">
        <v>0.68</v>
      </c>
      <c r="K30" s="23">
        <v>0</v>
      </c>
      <c r="L30" s="25">
        <f t="shared" si="7"/>
        <v>14.688000000000002</v>
      </c>
      <c r="M30" s="25">
        <f>(E30-D30)*H30*J30/10</f>
        <v>14.688000000000002</v>
      </c>
      <c r="N30" s="25">
        <f t="shared" si="8"/>
        <v>14.688000000000002</v>
      </c>
      <c r="O30" s="83">
        <f t="shared" si="9"/>
        <v>14.688000000000002</v>
      </c>
      <c r="P30" s="92"/>
      <c r="Q30" s="23" t="s">
        <v>119</v>
      </c>
      <c r="R30" s="26">
        <f>SUM(M27:M31)</f>
        <v>89.5137</v>
      </c>
      <c r="S30" s="19"/>
      <c r="T30" s="59"/>
    </row>
    <row r="31" spans="1:50" x14ac:dyDescent="0.25">
      <c r="A31" s="100"/>
      <c r="B31" s="40" t="s">
        <v>145</v>
      </c>
      <c r="C31" s="23" t="s">
        <v>146</v>
      </c>
      <c r="D31" s="23">
        <f t="shared" si="10"/>
        <v>50</v>
      </c>
      <c r="E31" s="23">
        <v>113</v>
      </c>
      <c r="F31" s="23">
        <v>18.53</v>
      </c>
      <c r="G31" s="23">
        <v>0.99</v>
      </c>
      <c r="H31" s="23">
        <v>18.5</v>
      </c>
      <c r="I31" s="24">
        <f t="shared" si="6"/>
        <v>18.71717171717172</v>
      </c>
      <c r="J31" s="23">
        <v>0.56999999999999995</v>
      </c>
      <c r="K31" s="23">
        <v>0</v>
      </c>
      <c r="L31" s="25">
        <f t="shared" si="7"/>
        <v>66.433499999999995</v>
      </c>
      <c r="M31" s="25">
        <f>(100-D31)*H31*J31/10</f>
        <v>52.725000000000001</v>
      </c>
      <c r="N31" s="25">
        <f t="shared" si="8"/>
        <v>66.433499999999995</v>
      </c>
      <c r="O31" s="83">
        <f t="shared" si="9"/>
        <v>66.433499999999995</v>
      </c>
      <c r="P31" s="86"/>
      <c r="Q31" s="23" t="s">
        <v>122</v>
      </c>
      <c r="R31" s="26">
        <f>SUM(N27:N33)</f>
        <v>137.49760000000001</v>
      </c>
      <c r="S31" s="19"/>
      <c r="T31" s="59"/>
    </row>
    <row r="32" spans="1:50" x14ac:dyDescent="0.25">
      <c r="A32" s="100"/>
      <c r="B32" s="37"/>
      <c r="C32" s="23" t="s">
        <v>147</v>
      </c>
      <c r="D32" s="23">
        <f t="shared" si="10"/>
        <v>113</v>
      </c>
      <c r="E32" s="23">
        <v>134</v>
      </c>
      <c r="F32" s="23">
        <v>17.04</v>
      </c>
      <c r="G32" s="23">
        <v>0.7</v>
      </c>
      <c r="H32" s="23">
        <v>17</v>
      </c>
      <c r="I32" s="24">
        <f t="shared" si="6"/>
        <v>24.342857142857142</v>
      </c>
      <c r="J32" s="41">
        <v>0.56999999999999995</v>
      </c>
      <c r="K32" s="42">
        <v>0</v>
      </c>
      <c r="L32" s="25">
        <f t="shared" si="7"/>
        <v>20.348999999999997</v>
      </c>
      <c r="M32" s="25"/>
      <c r="N32" s="25">
        <f t="shared" si="8"/>
        <v>20.348999999999997</v>
      </c>
      <c r="O32" s="83">
        <f t="shared" si="9"/>
        <v>20.348999999999997</v>
      </c>
      <c r="P32" s="86"/>
      <c r="Q32" s="23" t="s">
        <v>124</v>
      </c>
      <c r="R32" s="26">
        <f>SUM(O27:O35)</f>
        <v>153.608</v>
      </c>
      <c r="S32" s="60" t="s">
        <v>148</v>
      </c>
      <c r="T32" s="59"/>
    </row>
    <row r="33" spans="1:25" x14ac:dyDescent="0.25">
      <c r="A33" s="100"/>
      <c r="B33" s="37"/>
      <c r="C33" s="23" t="s">
        <v>149</v>
      </c>
      <c r="D33" s="23">
        <f t="shared" si="10"/>
        <v>134</v>
      </c>
      <c r="E33" s="23">
        <v>160</v>
      </c>
      <c r="F33" s="23">
        <v>12.81</v>
      </c>
      <c r="G33" s="23">
        <v>0.56999999999999995</v>
      </c>
      <c r="H33" s="23">
        <v>12.8</v>
      </c>
      <c r="I33" s="24">
        <f t="shared" si="6"/>
        <v>22.473684210526319</v>
      </c>
      <c r="J33" s="41">
        <v>0.68</v>
      </c>
      <c r="K33" s="42">
        <v>0</v>
      </c>
      <c r="L33" s="25">
        <f t="shared" si="7"/>
        <v>22.630400000000002</v>
      </c>
      <c r="M33" s="25"/>
      <c r="N33" s="25">
        <f>(150-D33)*H33*J33/10</f>
        <v>13.926400000000001</v>
      </c>
      <c r="O33" s="83">
        <f t="shared" si="9"/>
        <v>22.630400000000002</v>
      </c>
      <c r="P33" s="86"/>
      <c r="Q33" s="19"/>
      <c r="R33" s="19"/>
      <c r="S33" s="19"/>
      <c r="T33" s="59"/>
    </row>
    <row r="34" spans="1:25" x14ac:dyDescent="0.25">
      <c r="A34" s="100"/>
      <c r="B34" s="37"/>
      <c r="C34" s="23" t="s">
        <v>150</v>
      </c>
      <c r="D34" s="23">
        <f t="shared" si="10"/>
        <v>160</v>
      </c>
      <c r="E34" s="23">
        <v>176</v>
      </c>
      <c r="F34" s="23">
        <v>6.97</v>
      </c>
      <c r="G34" s="23">
        <v>0.25</v>
      </c>
      <c r="H34" s="23">
        <v>7</v>
      </c>
      <c r="I34" s="24">
        <f t="shared" si="6"/>
        <v>27.88</v>
      </c>
      <c r="J34" s="41">
        <v>0.6</v>
      </c>
      <c r="K34" s="42">
        <v>0</v>
      </c>
      <c r="L34" s="25">
        <f t="shared" si="7"/>
        <v>6.7200000000000006</v>
      </c>
      <c r="M34" s="25"/>
      <c r="N34" s="25"/>
      <c r="O34" s="83">
        <f t="shared" si="9"/>
        <v>6.7200000000000006</v>
      </c>
      <c r="P34" s="86"/>
      <c r="Q34" s="19"/>
      <c r="R34" s="19"/>
      <c r="S34" s="19"/>
      <c r="T34" s="59"/>
    </row>
    <row r="35" spans="1:25" ht="15.75" thickBot="1" x14ac:dyDescent="0.3">
      <c r="A35" s="101"/>
      <c r="B35" s="43"/>
      <c r="C35" s="44" t="s">
        <v>151</v>
      </c>
      <c r="D35" s="44">
        <f t="shared" si="10"/>
        <v>176</v>
      </c>
      <c r="E35" s="44">
        <v>182</v>
      </c>
      <c r="F35" s="44">
        <v>1.34</v>
      </c>
      <c r="G35" s="44">
        <v>0.04</v>
      </c>
      <c r="H35" s="44">
        <v>1.3</v>
      </c>
      <c r="I35" s="45">
        <f t="shared" si="6"/>
        <v>33.5</v>
      </c>
      <c r="J35" s="46">
        <v>0.88</v>
      </c>
      <c r="K35" s="47">
        <v>1</v>
      </c>
      <c r="L35" s="48">
        <f t="shared" si="7"/>
        <v>0.68640000000000012</v>
      </c>
      <c r="M35" s="48"/>
      <c r="N35" s="48"/>
      <c r="O35" s="84">
        <f t="shared" si="9"/>
        <v>0.68640000000000012</v>
      </c>
      <c r="P35" s="87"/>
      <c r="Q35" s="16"/>
      <c r="R35" s="16"/>
      <c r="S35" s="16"/>
      <c r="T35" s="61"/>
    </row>
    <row r="36" spans="1:25" s="18" customFormat="1" x14ac:dyDescent="0.25">
      <c r="A36" s="99" t="s">
        <v>133</v>
      </c>
      <c r="B36" s="49" t="s">
        <v>45</v>
      </c>
      <c r="C36" s="20" t="s">
        <v>113</v>
      </c>
      <c r="D36" s="20">
        <v>0</v>
      </c>
      <c r="E36" s="20">
        <v>17</v>
      </c>
      <c r="F36" s="20">
        <v>20.04</v>
      </c>
      <c r="G36" s="20">
        <v>1.31</v>
      </c>
      <c r="H36" s="20">
        <v>20</v>
      </c>
      <c r="I36" s="21">
        <f t="shared" ref="I36:I41" si="11">F36/G36</f>
        <v>15.297709923664121</v>
      </c>
      <c r="J36" s="20">
        <v>0.36</v>
      </c>
      <c r="K36" s="20">
        <v>0</v>
      </c>
      <c r="L36" s="22">
        <f t="shared" ref="L36:L41" si="12">(E36-D36)*H36*J36/10</f>
        <v>12.239999999999998</v>
      </c>
      <c r="M36" s="22">
        <f>(E36-D36)*H36*J36/10</f>
        <v>12.239999999999998</v>
      </c>
      <c r="N36" s="22">
        <f t="shared" ref="N36:N41" si="13">(E36-D36)*H36*J36/10</f>
        <v>12.239999999999998</v>
      </c>
      <c r="O36" s="82">
        <f t="shared" ref="O36:O41" si="14">(E36-D36)*H36*J36/10</f>
        <v>12.239999999999998</v>
      </c>
      <c r="P36" s="85"/>
      <c r="Q36" s="57"/>
      <c r="R36" s="57"/>
      <c r="S36" s="57"/>
      <c r="T36" s="58"/>
      <c r="U36"/>
      <c r="V36"/>
      <c r="W36"/>
      <c r="X36"/>
      <c r="Y36"/>
    </row>
    <row r="37" spans="1:25" s="18" customFormat="1" x14ac:dyDescent="0.25">
      <c r="A37" s="100"/>
      <c r="B37" s="37"/>
      <c r="C37" s="23" t="s">
        <v>115</v>
      </c>
      <c r="D37" s="23">
        <f>E36</f>
        <v>17</v>
      </c>
      <c r="E37" s="23">
        <v>33</v>
      </c>
      <c r="F37" s="23">
        <v>10.7</v>
      </c>
      <c r="G37" s="23">
        <v>0.71</v>
      </c>
      <c r="H37" s="23">
        <v>10.7</v>
      </c>
      <c r="I37" s="24">
        <f t="shared" si="11"/>
        <v>15.070422535211268</v>
      </c>
      <c r="J37" s="23">
        <v>0.65</v>
      </c>
      <c r="K37" s="23">
        <v>0</v>
      </c>
      <c r="L37" s="25">
        <f t="shared" si="12"/>
        <v>11.128</v>
      </c>
      <c r="M37" s="25">
        <f>(E37-D37)*H37*J37/10</f>
        <v>11.128</v>
      </c>
      <c r="N37" s="25">
        <f t="shared" si="13"/>
        <v>11.128</v>
      </c>
      <c r="O37" s="83">
        <f t="shared" si="14"/>
        <v>11.128</v>
      </c>
      <c r="P37" s="93"/>
      <c r="Q37" s="62"/>
      <c r="R37" s="62"/>
      <c r="S37" s="19"/>
      <c r="T37" s="59"/>
      <c r="U37"/>
      <c r="V37"/>
      <c r="W37"/>
      <c r="X37"/>
      <c r="Y37"/>
    </row>
    <row r="38" spans="1:25" ht="15.75" thickBot="1" x14ac:dyDescent="0.3">
      <c r="A38" s="100"/>
      <c r="B38" s="37" t="s">
        <v>134</v>
      </c>
      <c r="C38" s="23" t="s">
        <v>118</v>
      </c>
      <c r="D38" s="23">
        <f t="shared" ref="D38:D41" si="15">E37</f>
        <v>33</v>
      </c>
      <c r="E38" s="23">
        <v>52</v>
      </c>
      <c r="F38" s="23">
        <v>10.47</v>
      </c>
      <c r="G38" s="23">
        <v>0.59</v>
      </c>
      <c r="H38" s="23">
        <v>10.5</v>
      </c>
      <c r="I38" s="24">
        <f t="shared" si="11"/>
        <v>17.745762711864408</v>
      </c>
      <c r="J38" s="23">
        <v>0.5</v>
      </c>
      <c r="K38" s="23">
        <v>0</v>
      </c>
      <c r="L38" s="25">
        <f t="shared" si="12"/>
        <v>9.9749999999999996</v>
      </c>
      <c r="M38" s="25">
        <f>(E38-D38)*H38*J38/10</f>
        <v>9.9749999999999996</v>
      </c>
      <c r="N38" s="25">
        <f t="shared" si="13"/>
        <v>9.9749999999999996</v>
      </c>
      <c r="O38" s="83">
        <f t="shared" si="14"/>
        <v>9.9749999999999996</v>
      </c>
      <c r="P38" s="86"/>
      <c r="Q38" s="23" t="s">
        <v>116</v>
      </c>
      <c r="R38" s="26">
        <f>SUM(L36:L41)</f>
        <v>58.751399999999997</v>
      </c>
      <c r="S38" s="19"/>
      <c r="T38" s="59"/>
    </row>
    <row r="39" spans="1:25" x14ac:dyDescent="0.25">
      <c r="A39" s="100"/>
      <c r="B39" s="40" t="s">
        <v>135</v>
      </c>
      <c r="C39" s="23" t="s">
        <v>130</v>
      </c>
      <c r="D39" s="23">
        <f t="shared" si="15"/>
        <v>52</v>
      </c>
      <c r="E39" s="23">
        <v>70</v>
      </c>
      <c r="F39" s="23">
        <v>7.22</v>
      </c>
      <c r="G39" s="23">
        <v>0.41</v>
      </c>
      <c r="H39" s="23">
        <v>7.2</v>
      </c>
      <c r="I39" s="24">
        <f t="shared" si="11"/>
        <v>17.609756097560975</v>
      </c>
      <c r="J39" s="23">
        <v>0.63</v>
      </c>
      <c r="K39" s="23">
        <v>0</v>
      </c>
      <c r="L39" s="25">
        <f t="shared" si="12"/>
        <v>8.1647999999999996</v>
      </c>
      <c r="M39" s="25">
        <f>(E39-D39)*H39*J39/10</f>
        <v>8.1647999999999996</v>
      </c>
      <c r="N39" s="25">
        <f t="shared" si="13"/>
        <v>8.1647999999999996</v>
      </c>
      <c r="O39" s="83">
        <f t="shared" si="14"/>
        <v>8.1647999999999996</v>
      </c>
      <c r="P39" s="86"/>
      <c r="Q39" s="23" t="s">
        <v>119</v>
      </c>
      <c r="R39" s="26">
        <f>SUM(M36:M41)</f>
        <v>53.306399999999996</v>
      </c>
      <c r="S39" s="19"/>
      <c r="T39" s="59"/>
      <c r="U39" s="103" t="s">
        <v>181</v>
      </c>
      <c r="V39" s="103"/>
      <c r="W39" s="103"/>
      <c r="X39" s="103"/>
      <c r="Y39" s="104"/>
    </row>
    <row r="40" spans="1:25" x14ac:dyDescent="0.25">
      <c r="A40" s="100"/>
      <c r="B40" s="40" t="s">
        <v>136</v>
      </c>
      <c r="C40" s="23" t="s">
        <v>131</v>
      </c>
      <c r="D40" s="23">
        <f t="shared" si="15"/>
        <v>70</v>
      </c>
      <c r="E40" s="23">
        <v>89</v>
      </c>
      <c r="F40" s="23">
        <v>7.67</v>
      </c>
      <c r="G40" s="23">
        <v>0.4</v>
      </c>
      <c r="H40" s="23">
        <v>7.7</v>
      </c>
      <c r="I40" s="24">
        <f t="shared" si="11"/>
        <v>19.174999999999997</v>
      </c>
      <c r="J40" s="23">
        <v>0.67</v>
      </c>
      <c r="K40" s="23">
        <v>0</v>
      </c>
      <c r="L40" s="25">
        <f t="shared" si="12"/>
        <v>9.8021000000000011</v>
      </c>
      <c r="M40" s="25">
        <f>(E40-D40)*H40*J40/10</f>
        <v>9.8021000000000011</v>
      </c>
      <c r="N40" s="25">
        <f t="shared" si="13"/>
        <v>9.8021000000000011</v>
      </c>
      <c r="O40" s="83">
        <f t="shared" si="14"/>
        <v>9.8021000000000011</v>
      </c>
      <c r="P40" s="86"/>
      <c r="Q40" s="23" t="s">
        <v>122</v>
      </c>
      <c r="R40" s="26">
        <f>SUM(N36:N41)</f>
        <v>58.751399999999997</v>
      </c>
      <c r="S40" s="60" t="s">
        <v>137</v>
      </c>
      <c r="T40" s="59"/>
      <c r="U40" s="106"/>
      <c r="V40" s="106"/>
      <c r="W40" s="106"/>
      <c r="X40" s="106"/>
      <c r="Y40" s="107"/>
    </row>
    <row r="41" spans="1:25" ht="15.75" thickBot="1" x14ac:dyDescent="0.3">
      <c r="A41" s="100"/>
      <c r="B41" s="37"/>
      <c r="C41" s="23" t="s">
        <v>138</v>
      </c>
      <c r="D41" s="23">
        <f t="shared" si="15"/>
        <v>89</v>
      </c>
      <c r="E41" s="23">
        <v>130</v>
      </c>
      <c r="F41" s="23">
        <v>1.05</v>
      </c>
      <c r="G41" s="23">
        <v>0.03</v>
      </c>
      <c r="H41" s="23">
        <v>1.1000000000000001</v>
      </c>
      <c r="I41" s="24">
        <f t="shared" si="11"/>
        <v>35</v>
      </c>
      <c r="J41" s="67">
        <v>1.65</v>
      </c>
      <c r="K41" s="23">
        <v>0</v>
      </c>
      <c r="L41" s="25">
        <f t="shared" si="12"/>
        <v>7.4414999999999996</v>
      </c>
      <c r="M41" s="25">
        <f>(100-D41)*H41*J41/10</f>
        <v>1.9964999999999999</v>
      </c>
      <c r="N41" s="25">
        <f t="shared" si="13"/>
        <v>7.4414999999999996</v>
      </c>
      <c r="O41" s="83">
        <f t="shared" si="14"/>
        <v>7.4414999999999996</v>
      </c>
      <c r="P41" s="86"/>
      <c r="Q41" s="23" t="s">
        <v>124</v>
      </c>
      <c r="R41" s="26">
        <f>SUM(O36:O41)</f>
        <v>58.751399999999997</v>
      </c>
      <c r="S41" s="60" t="s">
        <v>137</v>
      </c>
      <c r="T41" s="59"/>
      <c r="U41" s="109"/>
      <c r="V41" s="109"/>
      <c r="W41" s="109"/>
      <c r="X41" s="109"/>
      <c r="Y41" s="110"/>
    </row>
    <row r="42" spans="1:25" x14ac:dyDescent="0.25">
      <c r="A42" s="100"/>
      <c r="B42" s="37"/>
      <c r="C42" s="23"/>
      <c r="D42" s="23"/>
      <c r="E42" s="23"/>
      <c r="F42" s="23"/>
      <c r="G42" s="23"/>
      <c r="H42" s="23"/>
      <c r="I42" s="24"/>
      <c r="J42" s="23"/>
      <c r="K42" s="23"/>
      <c r="L42" s="23"/>
      <c r="M42" s="23"/>
      <c r="N42" s="23"/>
      <c r="O42" s="63"/>
      <c r="P42" s="86"/>
      <c r="Q42" s="19"/>
      <c r="R42" s="19"/>
      <c r="S42" s="19"/>
      <c r="T42" s="59"/>
    </row>
    <row r="43" spans="1:25" ht="15.75" thickBot="1" x14ac:dyDescent="0.3">
      <c r="A43" s="101"/>
      <c r="B43" s="43"/>
      <c r="C43" s="44"/>
      <c r="D43" s="44"/>
      <c r="E43" s="44"/>
      <c r="F43" s="44"/>
      <c r="G43" s="44"/>
      <c r="H43" s="44"/>
      <c r="I43" s="45"/>
      <c r="J43" s="44"/>
      <c r="K43" s="44"/>
      <c r="L43" s="44"/>
      <c r="M43" s="44"/>
      <c r="N43" s="44"/>
      <c r="O43" s="64"/>
      <c r="P43" s="87"/>
      <c r="Q43" s="16"/>
      <c r="R43" s="16"/>
      <c r="S43" s="16"/>
      <c r="T43" s="61"/>
    </row>
    <row r="44" spans="1:25" s="18" customFormat="1" x14ac:dyDescent="0.25">
      <c r="A44" s="99" t="s">
        <v>126</v>
      </c>
      <c r="B44" s="49" t="s">
        <v>47</v>
      </c>
      <c r="C44" s="20" t="s">
        <v>114</v>
      </c>
      <c r="D44" s="20">
        <v>0</v>
      </c>
      <c r="E44" s="20">
        <v>10</v>
      </c>
      <c r="F44" s="20">
        <v>14.42</v>
      </c>
      <c r="G44" s="20">
        <v>0.63</v>
      </c>
      <c r="H44" s="20">
        <v>14.4</v>
      </c>
      <c r="I44" s="21">
        <f t="shared" ref="I44:I51" si="16">F44/G44</f>
        <v>22.888888888888889</v>
      </c>
      <c r="J44" s="20">
        <v>0.36</v>
      </c>
      <c r="K44" s="36">
        <v>0</v>
      </c>
      <c r="L44" s="22">
        <f t="shared" ref="L44:L51" si="17">(E44-D44)*H44*J44/10</f>
        <v>5.1839999999999993</v>
      </c>
      <c r="M44" s="22">
        <f t="shared" ref="M44:M49" si="18">(E44-D44)*H44*J44/10</f>
        <v>5.1839999999999993</v>
      </c>
      <c r="N44" s="22">
        <f t="shared" ref="N44:N49" si="19">(E44-D44)*H44*J44/10</f>
        <v>5.1839999999999993</v>
      </c>
      <c r="O44" s="82">
        <f t="shared" ref="O44:O51" si="20">(E44-D44)*H44*J44/10</f>
        <v>5.1839999999999993</v>
      </c>
      <c r="P44" s="85"/>
      <c r="Q44" s="57"/>
      <c r="R44" s="57"/>
      <c r="S44" s="57"/>
      <c r="T44" s="58"/>
      <c r="U44"/>
      <c r="V44"/>
      <c r="W44"/>
      <c r="X44"/>
      <c r="Y44"/>
    </row>
    <row r="45" spans="1:25" s="18" customFormat="1" x14ac:dyDescent="0.25">
      <c r="A45" s="100"/>
      <c r="B45" s="37"/>
      <c r="C45" s="23" t="s">
        <v>127</v>
      </c>
      <c r="D45" s="23">
        <f t="shared" ref="D45:D50" si="21">E44</f>
        <v>10</v>
      </c>
      <c r="E45" s="23">
        <v>24</v>
      </c>
      <c r="F45" s="23">
        <v>14.13</v>
      </c>
      <c r="G45" s="23">
        <v>0.63</v>
      </c>
      <c r="H45" s="23">
        <v>14.1</v>
      </c>
      <c r="I45" s="24">
        <f t="shared" si="16"/>
        <v>22.428571428571431</v>
      </c>
      <c r="J45" s="23">
        <v>0.41</v>
      </c>
      <c r="K45" s="38">
        <v>0</v>
      </c>
      <c r="L45" s="25">
        <f t="shared" si="17"/>
        <v>8.093399999999999</v>
      </c>
      <c r="M45" s="25">
        <f t="shared" si="18"/>
        <v>8.093399999999999</v>
      </c>
      <c r="N45" s="25">
        <f t="shared" si="19"/>
        <v>8.093399999999999</v>
      </c>
      <c r="O45" s="83">
        <f t="shared" si="20"/>
        <v>8.093399999999999</v>
      </c>
      <c r="P45" s="86"/>
      <c r="Q45" s="19"/>
      <c r="R45" s="19"/>
      <c r="S45" s="19"/>
      <c r="T45" s="59"/>
      <c r="U45"/>
      <c r="V45"/>
      <c r="W45"/>
      <c r="X45"/>
      <c r="Y45"/>
    </row>
    <row r="46" spans="1:25" s="18" customFormat="1" x14ac:dyDescent="0.25">
      <c r="A46" s="100"/>
      <c r="B46" s="39"/>
      <c r="C46" s="23" t="s">
        <v>115</v>
      </c>
      <c r="D46" s="23">
        <f t="shared" si="21"/>
        <v>24</v>
      </c>
      <c r="E46" s="23">
        <v>33</v>
      </c>
      <c r="F46" s="23">
        <v>6.47</v>
      </c>
      <c r="G46" s="23">
        <v>0.4</v>
      </c>
      <c r="H46" s="23">
        <v>6.5</v>
      </c>
      <c r="I46" s="24">
        <f t="shared" si="16"/>
        <v>16.174999999999997</v>
      </c>
      <c r="J46" s="23">
        <v>0.63</v>
      </c>
      <c r="K46" s="38">
        <v>0</v>
      </c>
      <c r="L46" s="25">
        <f t="shared" si="17"/>
        <v>3.6854999999999998</v>
      </c>
      <c r="M46" s="25">
        <f t="shared" si="18"/>
        <v>3.6854999999999998</v>
      </c>
      <c r="N46" s="25">
        <f t="shared" si="19"/>
        <v>3.6854999999999998</v>
      </c>
      <c r="O46" s="83">
        <f t="shared" si="20"/>
        <v>3.6854999999999998</v>
      </c>
      <c r="P46" s="93"/>
      <c r="Q46" s="23" t="s">
        <v>116</v>
      </c>
      <c r="R46" s="26">
        <f>SUM(L44:L51)</f>
        <v>91.30680000000001</v>
      </c>
      <c r="S46" s="19"/>
      <c r="T46" s="59"/>
      <c r="U46"/>
      <c r="V46"/>
      <c r="W46"/>
      <c r="X46"/>
      <c r="Y46"/>
    </row>
    <row r="47" spans="1:25" s="18" customFormat="1" x14ac:dyDescent="0.25">
      <c r="A47" s="100"/>
      <c r="B47" s="37" t="s">
        <v>128</v>
      </c>
      <c r="C47" s="23" t="s">
        <v>118</v>
      </c>
      <c r="D47" s="23">
        <f t="shared" si="21"/>
        <v>33</v>
      </c>
      <c r="E47" s="23">
        <v>41</v>
      </c>
      <c r="F47" s="23">
        <v>7.27</v>
      </c>
      <c r="G47" s="23">
        <v>0.46</v>
      </c>
      <c r="H47" s="23">
        <v>7.3</v>
      </c>
      <c r="I47" s="24">
        <f t="shared" si="16"/>
        <v>15.804347826086955</v>
      </c>
      <c r="J47" s="23">
        <v>0.66</v>
      </c>
      <c r="K47" s="38">
        <v>0</v>
      </c>
      <c r="L47" s="25">
        <f t="shared" si="17"/>
        <v>3.8544000000000005</v>
      </c>
      <c r="M47" s="25">
        <f t="shared" si="18"/>
        <v>3.8544000000000005</v>
      </c>
      <c r="N47" s="25">
        <f t="shared" si="19"/>
        <v>3.8544000000000005</v>
      </c>
      <c r="O47" s="83">
        <f t="shared" si="20"/>
        <v>3.8544000000000005</v>
      </c>
      <c r="P47" s="92"/>
      <c r="Q47" s="23" t="s">
        <v>119</v>
      </c>
      <c r="R47" s="26">
        <f>SUM(M44:M50)</f>
        <v>50.986800000000002</v>
      </c>
      <c r="S47" s="19"/>
      <c r="T47" s="59"/>
      <c r="U47"/>
      <c r="V47"/>
      <c r="W47"/>
      <c r="X47"/>
      <c r="Y47"/>
    </row>
    <row r="48" spans="1:25" s="18" customFormat="1" x14ac:dyDescent="0.25">
      <c r="A48" s="100"/>
      <c r="B48" s="37" t="s">
        <v>129</v>
      </c>
      <c r="C48" s="23" t="s">
        <v>130</v>
      </c>
      <c r="D48" s="23">
        <f t="shared" si="21"/>
        <v>41</v>
      </c>
      <c r="E48" s="23">
        <v>60</v>
      </c>
      <c r="F48" s="23">
        <v>7.55</v>
      </c>
      <c r="G48" s="23">
        <v>0.51</v>
      </c>
      <c r="H48" s="23">
        <v>7.6</v>
      </c>
      <c r="I48" s="24">
        <f t="shared" si="16"/>
        <v>14.80392156862745</v>
      </c>
      <c r="J48" s="23">
        <v>0.69</v>
      </c>
      <c r="K48" s="38">
        <v>0</v>
      </c>
      <c r="L48" s="25">
        <f t="shared" si="17"/>
        <v>9.9635999999999996</v>
      </c>
      <c r="M48" s="25">
        <f t="shared" si="18"/>
        <v>9.9635999999999996</v>
      </c>
      <c r="N48" s="25">
        <f t="shared" si="19"/>
        <v>9.9635999999999996</v>
      </c>
      <c r="O48" s="83">
        <f t="shared" si="20"/>
        <v>9.9635999999999996</v>
      </c>
      <c r="P48" s="86"/>
      <c r="Q48" s="23" t="s">
        <v>122</v>
      </c>
      <c r="R48" s="26">
        <f>SUM(N44:N50)</f>
        <v>76.861800000000002</v>
      </c>
      <c r="S48" s="19"/>
      <c r="T48" s="59"/>
      <c r="U48"/>
      <c r="V48"/>
      <c r="W48"/>
      <c r="X48"/>
      <c r="Y48"/>
    </row>
    <row r="49" spans="1:25" s="18" customFormat="1" x14ac:dyDescent="0.25">
      <c r="A49" s="100"/>
      <c r="B49" s="37"/>
      <c r="C49" s="23" t="s">
        <v>131</v>
      </c>
      <c r="D49" s="23">
        <f t="shared" si="21"/>
        <v>60</v>
      </c>
      <c r="E49" s="23">
        <v>87</v>
      </c>
      <c r="F49" s="23">
        <v>6.42</v>
      </c>
      <c r="G49" s="23">
        <v>0.34</v>
      </c>
      <c r="H49" s="23">
        <v>6.4</v>
      </c>
      <c r="I49" s="24">
        <f t="shared" si="16"/>
        <v>18.882352941176467</v>
      </c>
      <c r="J49" s="38">
        <v>0.78</v>
      </c>
      <c r="K49" s="38">
        <v>0</v>
      </c>
      <c r="L49" s="25">
        <f t="shared" si="17"/>
        <v>13.478400000000002</v>
      </c>
      <c r="M49" s="25">
        <f t="shared" si="18"/>
        <v>13.478400000000002</v>
      </c>
      <c r="N49" s="25">
        <f t="shared" si="19"/>
        <v>13.478400000000002</v>
      </c>
      <c r="O49" s="83">
        <f t="shared" si="20"/>
        <v>13.478400000000002</v>
      </c>
      <c r="P49" s="86"/>
      <c r="Q49" s="23" t="s">
        <v>124</v>
      </c>
      <c r="R49" s="26">
        <f>SUM(O44:O51)</f>
        <v>91.30680000000001</v>
      </c>
      <c r="S49" s="19"/>
      <c r="T49" s="59"/>
      <c r="U49"/>
      <c r="V49"/>
      <c r="W49"/>
      <c r="X49"/>
      <c r="Y49"/>
    </row>
    <row r="50" spans="1:25" s="18" customFormat="1" x14ac:dyDescent="0.25">
      <c r="A50" s="100"/>
      <c r="B50" s="37"/>
      <c r="C50" s="23" t="s">
        <v>132</v>
      </c>
      <c r="D50" s="23">
        <f t="shared" si="21"/>
        <v>87</v>
      </c>
      <c r="E50" s="23">
        <v>156</v>
      </c>
      <c r="F50" s="23">
        <v>7.52</v>
      </c>
      <c r="G50" s="23">
        <v>0.39</v>
      </c>
      <c r="H50" s="23">
        <v>7.5</v>
      </c>
      <c r="I50" s="24">
        <f t="shared" si="16"/>
        <v>19.282051282051281</v>
      </c>
      <c r="J50" s="41">
        <v>0.69</v>
      </c>
      <c r="K50" s="42">
        <v>0</v>
      </c>
      <c r="L50" s="25">
        <f t="shared" si="17"/>
        <v>35.707499999999996</v>
      </c>
      <c r="M50" s="25">
        <f>(100-D50)*H50*J50/10</f>
        <v>6.7274999999999991</v>
      </c>
      <c r="N50" s="25">
        <f>(150-D50)*H50*J50/10</f>
        <v>32.602499999999999</v>
      </c>
      <c r="O50" s="83">
        <f t="shared" si="20"/>
        <v>35.707499999999996</v>
      </c>
      <c r="P50" s="86"/>
      <c r="Q50" s="19"/>
      <c r="R50" s="19"/>
      <c r="S50" s="19"/>
      <c r="T50" s="59"/>
    </row>
    <row r="51" spans="1:25" s="18" customFormat="1" x14ac:dyDescent="0.25">
      <c r="A51" s="100"/>
      <c r="B51" s="37"/>
      <c r="C51" s="23" t="s">
        <v>121</v>
      </c>
      <c r="D51" s="23">
        <f>E50</f>
        <v>156</v>
      </c>
      <c r="E51" s="23">
        <v>183</v>
      </c>
      <c r="F51" s="23">
        <v>6.02</v>
      </c>
      <c r="G51" s="23">
        <v>0.37</v>
      </c>
      <c r="H51" s="23">
        <v>6</v>
      </c>
      <c r="I51" s="24">
        <f t="shared" si="16"/>
        <v>16.27027027027027</v>
      </c>
      <c r="J51" s="41">
        <v>0.7</v>
      </c>
      <c r="K51" s="42">
        <v>0</v>
      </c>
      <c r="L51" s="25">
        <f t="shared" si="17"/>
        <v>11.34</v>
      </c>
      <c r="M51" s="25"/>
      <c r="N51" s="25"/>
      <c r="O51" s="83">
        <f t="shared" si="20"/>
        <v>11.34</v>
      </c>
      <c r="P51" s="86"/>
      <c r="Q51" s="19"/>
      <c r="R51" s="19"/>
      <c r="S51" s="19"/>
      <c r="T51" s="59"/>
    </row>
    <row r="52" spans="1:25" s="18" customFormat="1" ht="15.75" thickBot="1" x14ac:dyDescent="0.3">
      <c r="A52" s="101"/>
      <c r="B52" s="43"/>
      <c r="C52" s="44"/>
      <c r="D52" s="44"/>
      <c r="E52" s="44"/>
      <c r="F52" s="44"/>
      <c r="G52" s="44"/>
      <c r="H52" s="44"/>
      <c r="I52" s="45"/>
      <c r="J52" s="50"/>
      <c r="K52" s="47"/>
      <c r="L52" s="48"/>
      <c r="M52" s="48"/>
      <c r="N52" s="48"/>
      <c r="O52" s="64"/>
      <c r="P52" s="87"/>
      <c r="Q52" s="16"/>
      <c r="R52" s="16"/>
      <c r="S52" s="16"/>
      <c r="T52" s="61"/>
    </row>
    <row r="53" spans="1:25" s="18" customFormat="1" x14ac:dyDescent="0.25">
      <c r="A53" s="99" t="s">
        <v>112</v>
      </c>
      <c r="B53" s="35" t="s">
        <v>47</v>
      </c>
      <c r="C53" s="20" t="s">
        <v>113</v>
      </c>
      <c r="D53" s="20">
        <v>0</v>
      </c>
      <c r="E53" s="20">
        <v>17</v>
      </c>
      <c r="F53" s="20">
        <v>16.68</v>
      </c>
      <c r="G53" s="20">
        <v>0.78</v>
      </c>
      <c r="H53" s="20">
        <v>16.7</v>
      </c>
      <c r="I53" s="21">
        <f>F53/G53</f>
        <v>21.384615384615383</v>
      </c>
      <c r="J53" s="20">
        <v>0.25</v>
      </c>
      <c r="K53" s="36">
        <v>0</v>
      </c>
      <c r="L53" s="22">
        <f>(E53-D53)*J53*H53/10</f>
        <v>7.0974999999999993</v>
      </c>
      <c r="M53" s="22">
        <f>(E53-D53)*J53*H53/10</f>
        <v>7.0974999999999993</v>
      </c>
      <c r="N53" s="22">
        <f t="shared" ref="N53:N58" si="22">(E53-D53)*J53*H53/10</f>
        <v>7.0974999999999993</v>
      </c>
      <c r="O53" s="82">
        <f t="shared" ref="O53:O58" si="23">(E53-D53)*J53*H53/10</f>
        <v>7.0974999999999993</v>
      </c>
      <c r="P53" s="85"/>
      <c r="Q53" s="57"/>
      <c r="R53" s="57"/>
      <c r="S53" s="57"/>
      <c r="T53" s="58"/>
      <c r="U53"/>
      <c r="V53"/>
      <c r="W53"/>
      <c r="X53"/>
      <c r="Y53"/>
    </row>
    <row r="54" spans="1:25" s="18" customFormat="1" x14ac:dyDescent="0.25">
      <c r="A54" s="100"/>
      <c r="B54" s="37"/>
      <c r="C54" s="23" t="s">
        <v>114</v>
      </c>
      <c r="D54" s="23">
        <f>E53</f>
        <v>17</v>
      </c>
      <c r="E54" s="23">
        <v>26</v>
      </c>
      <c r="F54" s="23">
        <v>20.37</v>
      </c>
      <c r="G54" s="23">
        <v>0.86</v>
      </c>
      <c r="H54" s="23">
        <v>20.399999999999999</v>
      </c>
      <c r="I54" s="24">
        <f t="shared" ref="I54:I59" si="24">F54/G54</f>
        <v>23.686046511627907</v>
      </c>
      <c r="J54" s="23">
        <v>0.19</v>
      </c>
      <c r="K54" s="38">
        <v>0</v>
      </c>
      <c r="L54" s="25">
        <f>(E54-D54)*H54*J54/10</f>
        <v>3.4883999999999999</v>
      </c>
      <c r="M54" s="25">
        <f>(E54-D54)*J54*H54/10</f>
        <v>3.4883999999999999</v>
      </c>
      <c r="N54" s="25">
        <f t="shared" si="22"/>
        <v>3.4883999999999999</v>
      </c>
      <c r="O54" s="83">
        <f t="shared" si="23"/>
        <v>3.4883999999999999</v>
      </c>
      <c r="P54" s="91"/>
      <c r="Q54" s="23" t="s">
        <v>116</v>
      </c>
      <c r="R54" s="26">
        <f>SUM(L53:L59)</f>
        <v>92.699999999999989</v>
      </c>
      <c r="S54" s="19"/>
      <c r="T54" s="59"/>
      <c r="U54"/>
      <c r="V54"/>
      <c r="W54"/>
      <c r="X54"/>
      <c r="Y54"/>
    </row>
    <row r="55" spans="1:25" s="18" customFormat="1" x14ac:dyDescent="0.25">
      <c r="A55" s="100"/>
      <c r="B55" s="39"/>
      <c r="C55" s="23" t="s">
        <v>115</v>
      </c>
      <c r="D55" s="23">
        <f>E54</f>
        <v>26</v>
      </c>
      <c r="E55" s="23">
        <v>54</v>
      </c>
      <c r="F55" s="23">
        <v>11.56</v>
      </c>
      <c r="G55" s="23">
        <v>0.69</v>
      </c>
      <c r="H55" s="23">
        <v>11.6</v>
      </c>
      <c r="I55" s="24">
        <f t="shared" si="24"/>
        <v>16.7536231884058</v>
      </c>
      <c r="J55" s="23">
        <v>0.61</v>
      </c>
      <c r="K55" s="38">
        <v>0</v>
      </c>
      <c r="L55" s="25">
        <f>(E55-D55)*J55*H55/10</f>
        <v>19.812799999999999</v>
      </c>
      <c r="M55" s="25">
        <f>(E55-D55)*J55*H55/10</f>
        <v>19.812799999999999</v>
      </c>
      <c r="N55" s="25">
        <f t="shared" si="22"/>
        <v>19.812799999999999</v>
      </c>
      <c r="O55" s="83">
        <f t="shared" si="23"/>
        <v>19.812799999999999</v>
      </c>
      <c r="P55" s="92"/>
      <c r="Q55" s="23" t="s">
        <v>119</v>
      </c>
      <c r="R55" s="26">
        <f>SUM(M53:M57)</f>
        <v>52.594499999999996</v>
      </c>
      <c r="S55" s="19"/>
      <c r="T55" s="59"/>
      <c r="U55"/>
      <c r="V55"/>
      <c r="W55"/>
      <c r="X55"/>
      <c r="Y55"/>
    </row>
    <row r="56" spans="1:25" s="18" customFormat="1" x14ac:dyDescent="0.25">
      <c r="A56" s="100"/>
      <c r="B56" s="37" t="s">
        <v>117</v>
      </c>
      <c r="C56" s="23" t="s">
        <v>118</v>
      </c>
      <c r="D56" s="23">
        <f t="shared" ref="D56:D83" si="25">E55</f>
        <v>54</v>
      </c>
      <c r="E56" s="23">
        <v>90</v>
      </c>
      <c r="F56" s="23">
        <v>6.78</v>
      </c>
      <c r="G56" s="23">
        <v>0.43</v>
      </c>
      <c r="H56" s="23">
        <v>6.8</v>
      </c>
      <c r="I56" s="24">
        <f t="shared" si="24"/>
        <v>15.767441860465118</v>
      </c>
      <c r="J56" s="23">
        <v>0.71</v>
      </c>
      <c r="K56" s="38">
        <v>0</v>
      </c>
      <c r="L56" s="25">
        <f>(E56-D56)*J56*H56/10</f>
        <v>17.380800000000001</v>
      </c>
      <c r="M56" s="25">
        <f>(E56-D56)*J56*H56/10</f>
        <v>17.380800000000001</v>
      </c>
      <c r="N56" s="25">
        <f t="shared" si="22"/>
        <v>17.380800000000001</v>
      </c>
      <c r="O56" s="83">
        <f t="shared" si="23"/>
        <v>17.380800000000001</v>
      </c>
      <c r="P56" s="86"/>
      <c r="Q56" s="23" t="s">
        <v>122</v>
      </c>
      <c r="R56" s="26">
        <f>SUM(N53:N59)</f>
        <v>75.815999999999988</v>
      </c>
      <c r="S56" s="19"/>
      <c r="T56" s="59"/>
      <c r="U56"/>
      <c r="V56"/>
      <c r="W56"/>
      <c r="X56"/>
      <c r="Y56"/>
    </row>
    <row r="57" spans="1:25" s="18" customFormat="1" x14ac:dyDescent="0.25">
      <c r="A57" s="100"/>
      <c r="B57" s="39" t="s">
        <v>120</v>
      </c>
      <c r="C57" s="23" t="s">
        <v>121</v>
      </c>
      <c r="D57" s="23">
        <f t="shared" si="25"/>
        <v>90</v>
      </c>
      <c r="E57" s="23">
        <v>117</v>
      </c>
      <c r="F57" s="23">
        <v>4.4800000000000004</v>
      </c>
      <c r="G57" s="23">
        <v>0.32</v>
      </c>
      <c r="H57" s="23">
        <v>4.5</v>
      </c>
      <c r="I57" s="24">
        <f t="shared" si="24"/>
        <v>14.000000000000002</v>
      </c>
      <c r="J57" s="23">
        <v>1.07</v>
      </c>
      <c r="K57" s="38">
        <v>0</v>
      </c>
      <c r="L57" s="25">
        <f>(E57-D57)*J57*H57/10</f>
        <v>13.000499999999999</v>
      </c>
      <c r="M57" s="25">
        <f>(100-D57)*J57*H57/10</f>
        <v>4.8150000000000004</v>
      </c>
      <c r="N57" s="25">
        <f t="shared" si="22"/>
        <v>13.000499999999999</v>
      </c>
      <c r="O57" s="83">
        <f t="shared" si="23"/>
        <v>13.000499999999999</v>
      </c>
      <c r="P57" s="86"/>
      <c r="Q57" s="23" t="s">
        <v>124</v>
      </c>
      <c r="R57" s="26">
        <f>SUM(O53:O59)</f>
        <v>88.415999999999997</v>
      </c>
      <c r="S57" s="19"/>
      <c r="T57" s="59"/>
      <c r="U57"/>
      <c r="V57"/>
      <c r="W57"/>
      <c r="X57"/>
      <c r="Y57"/>
    </row>
    <row r="58" spans="1:25" s="18" customFormat="1" x14ac:dyDescent="0.25">
      <c r="A58" s="100"/>
      <c r="B58" s="37"/>
      <c r="C58" s="23" t="s">
        <v>123</v>
      </c>
      <c r="D58" s="23">
        <f t="shared" si="25"/>
        <v>117</v>
      </c>
      <c r="E58" s="23">
        <v>149</v>
      </c>
      <c r="F58" s="23">
        <v>6.61</v>
      </c>
      <c r="G58" s="23">
        <v>0.57999999999999996</v>
      </c>
      <c r="H58" s="23">
        <v>6.6</v>
      </c>
      <c r="I58" s="24">
        <f t="shared" si="24"/>
        <v>11.396551724137932</v>
      </c>
      <c r="J58" s="41">
        <v>0.7</v>
      </c>
      <c r="K58" s="42">
        <v>0</v>
      </c>
      <c r="L58" s="25">
        <f>(E58-D58)*J58*H58/10</f>
        <v>14.783999999999997</v>
      </c>
      <c r="M58" s="25"/>
      <c r="N58" s="25">
        <f t="shared" si="22"/>
        <v>14.783999999999997</v>
      </c>
      <c r="O58" s="83">
        <f t="shared" si="23"/>
        <v>14.783999999999997</v>
      </c>
      <c r="P58" s="86"/>
      <c r="Q58" s="19"/>
      <c r="R58" s="19"/>
      <c r="S58" s="19"/>
      <c r="T58" s="59"/>
      <c r="U58"/>
      <c r="V58"/>
      <c r="W58"/>
      <c r="X58"/>
      <c r="Y58"/>
    </row>
    <row r="59" spans="1:25" s="18" customFormat="1" ht="15.75" thickBot="1" x14ac:dyDescent="0.3">
      <c r="A59" s="101"/>
      <c r="B59" s="43"/>
      <c r="C59" s="44" t="s">
        <v>125</v>
      </c>
      <c r="D59" s="44">
        <f t="shared" si="25"/>
        <v>149</v>
      </c>
      <c r="E59" s="44">
        <v>217</v>
      </c>
      <c r="F59" s="44">
        <v>3.46</v>
      </c>
      <c r="G59" s="44">
        <v>0.28000000000000003</v>
      </c>
      <c r="H59" s="44">
        <v>3.5</v>
      </c>
      <c r="I59" s="45">
        <f t="shared" si="24"/>
        <v>12.357142857142856</v>
      </c>
      <c r="J59" s="46">
        <v>0.72</v>
      </c>
      <c r="K59" s="47">
        <v>0</v>
      </c>
      <c r="L59" s="48">
        <f>(E59-D59)*J59*H59/10</f>
        <v>17.136000000000003</v>
      </c>
      <c r="M59" s="48"/>
      <c r="N59" s="48">
        <f>(150-D59)*J59*H59/10</f>
        <v>0.252</v>
      </c>
      <c r="O59" s="84">
        <f>(200-D59)*J59*H59/10</f>
        <v>12.851999999999999</v>
      </c>
      <c r="P59" s="87"/>
      <c r="Q59" s="16"/>
      <c r="R59" s="16"/>
      <c r="S59" s="16"/>
      <c r="T59" s="61"/>
      <c r="U59"/>
      <c r="V59"/>
      <c r="W59"/>
      <c r="X59"/>
      <c r="Y59"/>
    </row>
    <row r="60" spans="1:25" x14ac:dyDescent="0.25">
      <c r="A60" s="114" t="s">
        <v>226</v>
      </c>
      <c r="B60" s="27" t="s">
        <v>53</v>
      </c>
      <c r="C60" s="28" t="s">
        <v>229</v>
      </c>
      <c r="D60" s="28">
        <v>0</v>
      </c>
      <c r="E60" s="28">
        <v>12</v>
      </c>
      <c r="F60" s="28">
        <v>7.33</v>
      </c>
      <c r="G60" s="28">
        <v>0.56999999999999995</v>
      </c>
      <c r="H60" s="28">
        <v>7.3</v>
      </c>
      <c r="I60" s="29">
        <f t="shared" si="0"/>
        <v>12.859649122807019</v>
      </c>
      <c r="J60" s="28">
        <v>0.31</v>
      </c>
      <c r="K60" s="28">
        <v>0</v>
      </c>
      <c r="L60" s="30">
        <f t="shared" si="1"/>
        <v>2.7155999999999998</v>
      </c>
      <c r="M60" s="30">
        <f t="shared" si="2"/>
        <v>2.7155999999999998</v>
      </c>
      <c r="N60" s="30">
        <f t="shared" si="3"/>
        <v>2.7155999999999998</v>
      </c>
      <c r="O60" s="76">
        <f t="shared" si="4"/>
        <v>2.7155999999999998</v>
      </c>
      <c r="P60" s="88"/>
      <c r="Q60" s="70"/>
      <c r="R60" s="70"/>
      <c r="S60" s="70"/>
      <c r="T60" s="79"/>
    </row>
    <row r="61" spans="1:25" x14ac:dyDescent="0.25">
      <c r="A61" s="115"/>
      <c r="B61" s="31"/>
      <c r="C61" s="31" t="s">
        <v>230</v>
      </c>
      <c r="D61" s="31">
        <f t="shared" si="25"/>
        <v>12</v>
      </c>
      <c r="E61" s="31">
        <v>30</v>
      </c>
      <c r="F61" s="31">
        <v>6.57</v>
      </c>
      <c r="G61" s="31">
        <v>0.45</v>
      </c>
      <c r="H61" s="31">
        <v>6.6</v>
      </c>
      <c r="I61" s="32">
        <f t="shared" si="0"/>
        <v>14.6</v>
      </c>
      <c r="J61" s="31">
        <v>0.56000000000000005</v>
      </c>
      <c r="K61" s="31">
        <v>0</v>
      </c>
      <c r="L61" s="33">
        <f t="shared" si="1"/>
        <v>6.6528000000000009</v>
      </c>
      <c r="M61" s="33">
        <f t="shared" si="2"/>
        <v>6.6528000000000009</v>
      </c>
      <c r="N61" s="33">
        <f t="shared" si="3"/>
        <v>6.6528000000000009</v>
      </c>
      <c r="O61" s="77">
        <f t="shared" si="4"/>
        <v>6.6528000000000009</v>
      </c>
      <c r="P61" s="89"/>
      <c r="Q61" s="55"/>
      <c r="R61" s="55"/>
      <c r="S61" s="55"/>
      <c r="T61" s="80"/>
    </row>
    <row r="62" spans="1:25" x14ac:dyDescent="0.25">
      <c r="A62" s="115"/>
      <c r="B62" s="34" t="s">
        <v>227</v>
      </c>
      <c r="C62" s="31" t="s">
        <v>231</v>
      </c>
      <c r="D62" s="31">
        <f t="shared" si="25"/>
        <v>30</v>
      </c>
      <c r="E62" s="31">
        <v>42</v>
      </c>
      <c r="F62" s="31">
        <v>6.7</v>
      </c>
      <c r="G62" s="31">
        <v>0.38</v>
      </c>
      <c r="H62" s="31">
        <v>6.7</v>
      </c>
      <c r="I62" s="32">
        <f t="shared" si="0"/>
        <v>17.631578947368421</v>
      </c>
      <c r="J62" s="31">
        <v>0.67</v>
      </c>
      <c r="K62" s="31">
        <v>0</v>
      </c>
      <c r="L62" s="33">
        <f t="shared" si="1"/>
        <v>5.3868000000000009</v>
      </c>
      <c r="M62" s="33">
        <f t="shared" si="2"/>
        <v>5.3868000000000009</v>
      </c>
      <c r="N62" s="33">
        <f t="shared" si="3"/>
        <v>5.3868000000000009</v>
      </c>
      <c r="O62" s="77">
        <f t="shared" si="4"/>
        <v>5.3868000000000009</v>
      </c>
      <c r="P62" s="89"/>
      <c r="Q62" s="55"/>
      <c r="R62" s="55"/>
      <c r="S62" s="55"/>
      <c r="T62" s="80"/>
    </row>
    <row r="63" spans="1:25" x14ac:dyDescent="0.25">
      <c r="A63" s="115"/>
      <c r="B63" s="34" t="s">
        <v>228</v>
      </c>
      <c r="C63" s="31" t="s">
        <v>232</v>
      </c>
      <c r="D63" s="31">
        <f t="shared" si="25"/>
        <v>42</v>
      </c>
      <c r="E63" s="31">
        <v>59</v>
      </c>
      <c r="F63" s="31">
        <v>6.03</v>
      </c>
      <c r="G63" s="31">
        <v>0.36</v>
      </c>
      <c r="H63" s="31">
        <v>6</v>
      </c>
      <c r="I63" s="32">
        <f t="shared" si="0"/>
        <v>16.75</v>
      </c>
      <c r="J63" s="31">
        <v>0.76</v>
      </c>
      <c r="K63" s="31">
        <v>0</v>
      </c>
      <c r="L63" s="33">
        <f t="shared" ref="L63:L83" si="26">(E63-D63)*J63*H63/10</f>
        <v>7.7519999999999998</v>
      </c>
      <c r="M63" s="33">
        <f t="shared" ref="M63:M75" si="27">(E63-D63)*J63*H63/10</f>
        <v>7.7519999999999998</v>
      </c>
      <c r="N63" s="33">
        <f t="shared" ref="N63:N77" si="28">(E63-D63)*J63*H63/10</f>
        <v>7.7519999999999998</v>
      </c>
      <c r="O63" s="77">
        <f t="shared" ref="O63:O78" si="29">(E63-D63)*J63*H63/10</f>
        <v>7.7519999999999998</v>
      </c>
      <c r="P63" s="89"/>
      <c r="Q63" s="31" t="s">
        <v>116</v>
      </c>
      <c r="R63" s="51">
        <f>SUM(L60:L72)</f>
        <v>97.256899999999987</v>
      </c>
      <c r="S63" s="55"/>
      <c r="T63" s="80"/>
    </row>
    <row r="64" spans="1:25" x14ac:dyDescent="0.25">
      <c r="A64" s="115"/>
      <c r="B64" s="31"/>
      <c r="C64" s="31" t="s">
        <v>233</v>
      </c>
      <c r="D64" s="31">
        <f t="shared" si="25"/>
        <v>59</v>
      </c>
      <c r="E64" s="31">
        <v>74</v>
      </c>
      <c r="F64" s="31">
        <v>3.59</v>
      </c>
      <c r="G64" s="31">
        <v>0.28999999999999998</v>
      </c>
      <c r="H64" s="31">
        <v>3.6</v>
      </c>
      <c r="I64" s="32">
        <f t="shared" si="0"/>
        <v>12.379310344827587</v>
      </c>
      <c r="J64" s="31">
        <v>0.77</v>
      </c>
      <c r="K64" s="31">
        <v>0</v>
      </c>
      <c r="L64" s="33">
        <f t="shared" si="26"/>
        <v>4.1580000000000004</v>
      </c>
      <c r="M64" s="33">
        <f t="shared" si="27"/>
        <v>4.1580000000000004</v>
      </c>
      <c r="N64" s="33">
        <f t="shared" si="28"/>
        <v>4.1580000000000004</v>
      </c>
      <c r="O64" s="77">
        <f t="shared" si="29"/>
        <v>4.1580000000000004</v>
      </c>
      <c r="P64" s="89"/>
      <c r="Q64" s="31" t="s">
        <v>119</v>
      </c>
      <c r="R64" s="51">
        <f>SUM(M60:M66)</f>
        <v>32.855300000000007</v>
      </c>
      <c r="S64" s="55"/>
      <c r="T64" s="80"/>
    </row>
    <row r="65" spans="1:52" x14ac:dyDescent="0.25">
      <c r="A65" s="115"/>
      <c r="B65" s="31"/>
      <c r="C65" s="31" t="s">
        <v>234</v>
      </c>
      <c r="D65" s="31">
        <f t="shared" si="25"/>
        <v>74</v>
      </c>
      <c r="E65" s="31">
        <v>93</v>
      </c>
      <c r="F65" s="31">
        <v>2.44</v>
      </c>
      <c r="G65" s="31">
        <v>0.26</v>
      </c>
      <c r="H65" s="31">
        <v>2.4</v>
      </c>
      <c r="I65" s="32">
        <f t="shared" si="0"/>
        <v>9.3846153846153832</v>
      </c>
      <c r="J65" s="31">
        <v>1.1200000000000001</v>
      </c>
      <c r="K65" s="31">
        <v>0</v>
      </c>
      <c r="L65" s="33">
        <f t="shared" si="26"/>
        <v>5.1072000000000006</v>
      </c>
      <c r="M65" s="33">
        <f t="shared" si="27"/>
        <v>5.1072000000000006</v>
      </c>
      <c r="N65" s="33">
        <f t="shared" si="28"/>
        <v>5.1072000000000006</v>
      </c>
      <c r="O65" s="77">
        <f t="shared" si="29"/>
        <v>5.1072000000000006</v>
      </c>
      <c r="P65" s="89"/>
      <c r="Q65" s="31" t="s">
        <v>122</v>
      </c>
      <c r="R65" s="51">
        <f>SUM(N60:N69)</f>
        <v>44.177900000000008</v>
      </c>
      <c r="S65" s="55"/>
      <c r="T65" s="80"/>
    </row>
    <row r="66" spans="1:52" x14ac:dyDescent="0.25">
      <c r="A66" s="115"/>
      <c r="B66" s="31"/>
      <c r="C66" s="31" t="s">
        <v>235</v>
      </c>
      <c r="D66" s="31">
        <f t="shared" si="25"/>
        <v>93</v>
      </c>
      <c r="E66" s="31">
        <v>107</v>
      </c>
      <c r="F66" s="31">
        <v>1.33</v>
      </c>
      <c r="G66" s="31">
        <v>0.16</v>
      </c>
      <c r="H66" s="31">
        <v>1.3</v>
      </c>
      <c r="I66" s="32">
        <f t="shared" si="0"/>
        <v>8.3125</v>
      </c>
      <c r="J66" s="31">
        <v>1.19</v>
      </c>
      <c r="K66" s="31">
        <v>0</v>
      </c>
      <c r="L66" s="33">
        <f t="shared" si="26"/>
        <v>2.1657999999999999</v>
      </c>
      <c r="M66" s="33">
        <f>(100-D66)*J66*H66/10</f>
        <v>1.0829</v>
      </c>
      <c r="N66" s="33">
        <f t="shared" si="28"/>
        <v>2.1657999999999999</v>
      </c>
      <c r="O66" s="77">
        <f t="shared" si="29"/>
        <v>2.1657999999999999</v>
      </c>
      <c r="P66" s="89"/>
      <c r="Q66" s="31" t="s">
        <v>124</v>
      </c>
      <c r="R66" s="51">
        <f>SUM(O60:O71)</f>
        <v>66.891499999999994</v>
      </c>
      <c r="S66" s="55"/>
      <c r="T66" s="80"/>
    </row>
    <row r="67" spans="1:52" x14ac:dyDescent="0.25">
      <c r="A67" s="115"/>
      <c r="B67" s="31"/>
      <c r="C67" s="31" t="s">
        <v>236</v>
      </c>
      <c r="D67" s="31">
        <f t="shared" si="25"/>
        <v>107</v>
      </c>
      <c r="E67" s="31">
        <v>120</v>
      </c>
      <c r="F67" s="31">
        <v>3.74</v>
      </c>
      <c r="G67" s="31">
        <v>0.32</v>
      </c>
      <c r="H67" s="31">
        <v>3.7</v>
      </c>
      <c r="I67" s="32">
        <f t="shared" ref="I67:I83" si="30">F67/G67</f>
        <v>11.6875</v>
      </c>
      <c r="J67" s="31">
        <v>0.67</v>
      </c>
      <c r="K67" s="31">
        <v>0</v>
      </c>
      <c r="L67" s="33">
        <f t="shared" si="26"/>
        <v>3.2227000000000006</v>
      </c>
      <c r="M67" s="33"/>
      <c r="N67" s="33">
        <f t="shared" si="28"/>
        <v>3.2227000000000006</v>
      </c>
      <c r="O67" s="77">
        <f t="shared" si="29"/>
        <v>3.2227000000000006</v>
      </c>
      <c r="P67" s="89"/>
      <c r="Q67" s="55"/>
      <c r="R67" s="55"/>
      <c r="S67" s="55"/>
      <c r="T67" s="80"/>
    </row>
    <row r="68" spans="1:52" ht="15.75" thickBot="1" x14ac:dyDescent="0.3">
      <c r="A68" s="115"/>
      <c r="B68" s="31"/>
      <c r="C68" s="31" t="s">
        <v>237</v>
      </c>
      <c r="D68" s="31">
        <f t="shared" si="25"/>
        <v>120</v>
      </c>
      <c r="E68" s="31">
        <v>135</v>
      </c>
      <c r="F68" s="31">
        <v>1.64</v>
      </c>
      <c r="G68" s="31">
        <v>0.17</v>
      </c>
      <c r="H68" s="31">
        <v>1.6</v>
      </c>
      <c r="I68" s="32">
        <f t="shared" si="30"/>
        <v>9.6470588235294112</v>
      </c>
      <c r="J68" s="31">
        <v>0.94</v>
      </c>
      <c r="K68" s="31">
        <v>0</v>
      </c>
      <c r="L68" s="33">
        <f t="shared" si="26"/>
        <v>2.2560000000000002</v>
      </c>
      <c r="M68" s="33"/>
      <c r="N68" s="33">
        <f t="shared" si="28"/>
        <v>2.2560000000000002</v>
      </c>
      <c r="O68" s="77">
        <f t="shared" si="29"/>
        <v>2.2560000000000002</v>
      </c>
      <c r="P68" s="89"/>
      <c r="Q68" s="55"/>
      <c r="R68" s="55"/>
      <c r="S68" s="55"/>
      <c r="T68" s="80"/>
    </row>
    <row r="69" spans="1:52" x14ac:dyDescent="0.25">
      <c r="A69" s="115"/>
      <c r="B69" s="31"/>
      <c r="C69" s="31" t="s">
        <v>238</v>
      </c>
      <c r="D69" s="31">
        <f t="shared" si="25"/>
        <v>135</v>
      </c>
      <c r="E69" s="31">
        <v>158</v>
      </c>
      <c r="F69" s="31">
        <v>4.59</v>
      </c>
      <c r="G69" s="31">
        <v>0.36</v>
      </c>
      <c r="H69" s="31">
        <v>4.5999999999999996</v>
      </c>
      <c r="I69" s="32">
        <f t="shared" si="30"/>
        <v>12.75</v>
      </c>
      <c r="J69" s="31">
        <v>0.69</v>
      </c>
      <c r="K69" s="31">
        <v>0</v>
      </c>
      <c r="L69" s="33">
        <f t="shared" si="26"/>
        <v>7.3001999999999994</v>
      </c>
      <c r="M69" s="33"/>
      <c r="N69" s="33">
        <f>(150-D69)*J69*H69/10</f>
        <v>4.7609999999999992</v>
      </c>
      <c r="O69" s="77">
        <f t="shared" si="29"/>
        <v>7.3001999999999994</v>
      </c>
      <c r="P69" s="89"/>
      <c r="Q69" s="55"/>
      <c r="R69" s="55"/>
      <c r="S69" s="55"/>
      <c r="T69" s="80"/>
      <c r="U69" s="118" t="s">
        <v>57</v>
      </c>
      <c r="V69" s="118"/>
      <c r="W69" s="118"/>
      <c r="X69" s="118"/>
      <c r="Y69" s="119"/>
    </row>
    <row r="70" spans="1:52" x14ac:dyDescent="0.25">
      <c r="A70" s="115"/>
      <c r="B70" s="31"/>
      <c r="C70" s="31" t="s">
        <v>239</v>
      </c>
      <c r="D70" s="31">
        <f t="shared" si="25"/>
        <v>158</v>
      </c>
      <c r="E70" s="31">
        <v>176</v>
      </c>
      <c r="F70" s="31">
        <v>6.28</v>
      </c>
      <c r="G70" s="31">
        <v>0.44</v>
      </c>
      <c r="H70" s="31">
        <v>6.3</v>
      </c>
      <c r="I70" s="32">
        <f t="shared" si="30"/>
        <v>14.272727272727273</v>
      </c>
      <c r="J70" s="31">
        <v>0.64</v>
      </c>
      <c r="K70" s="31">
        <v>0</v>
      </c>
      <c r="L70" s="33">
        <f t="shared" si="26"/>
        <v>7.2575999999999992</v>
      </c>
      <c r="M70" s="33"/>
      <c r="N70" s="33"/>
      <c r="O70" s="77">
        <f t="shared" si="29"/>
        <v>7.2575999999999992</v>
      </c>
      <c r="P70" s="89"/>
      <c r="Q70" s="55"/>
      <c r="R70" s="55"/>
      <c r="S70" s="55"/>
      <c r="T70" s="80"/>
      <c r="U70" s="121"/>
      <c r="V70" s="121"/>
      <c r="W70" s="121"/>
      <c r="X70" s="121"/>
      <c r="Y70" s="122"/>
    </row>
    <row r="71" spans="1:52" ht="15.75" thickBot="1" x14ac:dyDescent="0.3">
      <c r="A71" s="115"/>
      <c r="B71" s="31"/>
      <c r="C71" s="31" t="s">
        <v>240</v>
      </c>
      <c r="D71" s="31">
        <f t="shared" si="25"/>
        <v>176</v>
      </c>
      <c r="E71" s="31">
        <v>207</v>
      </c>
      <c r="F71" s="31">
        <v>23.44</v>
      </c>
      <c r="G71" s="31">
        <v>1.29</v>
      </c>
      <c r="H71" s="31">
        <v>23.4</v>
      </c>
      <c r="I71" s="32">
        <f t="shared" si="30"/>
        <v>18.170542635658915</v>
      </c>
      <c r="J71" s="31">
        <v>0.23</v>
      </c>
      <c r="K71" s="31">
        <v>0</v>
      </c>
      <c r="L71" s="33">
        <f t="shared" si="26"/>
        <v>16.684199999999997</v>
      </c>
      <c r="M71" s="33"/>
      <c r="N71" s="33"/>
      <c r="O71" s="77">
        <f>(200-D71)*J71*H71/10</f>
        <v>12.9168</v>
      </c>
      <c r="P71" s="89"/>
      <c r="Q71" s="55"/>
      <c r="R71" s="55"/>
      <c r="S71" s="55"/>
      <c r="T71" s="80"/>
      <c r="U71" s="124"/>
      <c r="V71" s="124"/>
      <c r="W71" s="124"/>
      <c r="X71" s="124"/>
      <c r="Y71" s="125"/>
    </row>
    <row r="72" spans="1:52" s="17" customFormat="1" ht="15.75" thickBot="1" x14ac:dyDescent="0.3">
      <c r="A72" s="116"/>
      <c r="B72" s="52"/>
      <c r="C72" s="52" t="s">
        <v>241</v>
      </c>
      <c r="D72" s="52">
        <f t="shared" si="25"/>
        <v>207</v>
      </c>
      <c r="E72" s="52">
        <v>259</v>
      </c>
      <c r="F72" s="52">
        <v>46.52</v>
      </c>
      <c r="G72" s="52">
        <v>2.31</v>
      </c>
      <c r="H72" s="52">
        <v>46.5</v>
      </c>
      <c r="I72" s="53">
        <f t="shared" si="30"/>
        <v>20.138528138528141</v>
      </c>
      <c r="J72" s="52">
        <v>0.11</v>
      </c>
      <c r="K72" s="52">
        <v>0</v>
      </c>
      <c r="L72" s="54">
        <f t="shared" si="26"/>
        <v>26.597999999999995</v>
      </c>
      <c r="M72" s="54"/>
      <c r="N72" s="54"/>
      <c r="O72" s="78"/>
      <c r="P72" s="90"/>
      <c r="Q72" s="56"/>
      <c r="R72" s="56"/>
      <c r="S72" s="56"/>
      <c r="T72" s="81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x14ac:dyDescent="0.25">
      <c r="A73" s="111" t="s">
        <v>242</v>
      </c>
      <c r="B73" s="27" t="s">
        <v>53</v>
      </c>
      <c r="C73" s="28" t="s">
        <v>229</v>
      </c>
      <c r="D73" s="28">
        <v>0</v>
      </c>
      <c r="E73" s="28">
        <v>16</v>
      </c>
      <c r="F73" s="28">
        <v>6.49</v>
      </c>
      <c r="G73" s="28">
        <v>0.5</v>
      </c>
      <c r="H73" s="28">
        <v>6.5</v>
      </c>
      <c r="I73" s="29">
        <f t="shared" si="30"/>
        <v>12.98</v>
      </c>
      <c r="J73" s="30">
        <f>(0.48+0.64)/2</f>
        <v>0.56000000000000005</v>
      </c>
      <c r="K73" s="28">
        <v>0</v>
      </c>
      <c r="L73" s="30">
        <f t="shared" si="26"/>
        <v>5.8240000000000007</v>
      </c>
      <c r="M73" s="30">
        <f t="shared" si="27"/>
        <v>5.8240000000000007</v>
      </c>
      <c r="N73" s="30">
        <f t="shared" si="28"/>
        <v>5.8240000000000007</v>
      </c>
      <c r="O73" s="76">
        <f t="shared" si="29"/>
        <v>5.8240000000000007</v>
      </c>
      <c r="P73" s="88"/>
      <c r="Q73" s="70"/>
      <c r="R73" s="70"/>
      <c r="S73" s="70"/>
      <c r="T73" s="79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x14ac:dyDescent="0.25">
      <c r="A74" s="112"/>
      <c r="B74" s="34"/>
      <c r="C74" s="31" t="s">
        <v>230</v>
      </c>
      <c r="D74" s="31">
        <f t="shared" si="25"/>
        <v>16</v>
      </c>
      <c r="E74" s="31">
        <v>45</v>
      </c>
      <c r="F74" s="31">
        <v>7.48</v>
      </c>
      <c r="G74" s="31">
        <v>0.38</v>
      </c>
      <c r="H74" s="31">
        <v>7.5</v>
      </c>
      <c r="I74" s="32">
        <f t="shared" si="30"/>
        <v>19.684210526315791</v>
      </c>
      <c r="J74" s="33">
        <f>(0.77+0.92)/2</f>
        <v>0.84499999999999997</v>
      </c>
      <c r="K74" s="31">
        <v>0</v>
      </c>
      <c r="L74" s="33">
        <f t="shared" si="26"/>
        <v>18.37875</v>
      </c>
      <c r="M74" s="33">
        <f t="shared" si="27"/>
        <v>18.37875</v>
      </c>
      <c r="N74" s="33">
        <f t="shared" si="28"/>
        <v>18.37875</v>
      </c>
      <c r="O74" s="77">
        <f t="shared" si="29"/>
        <v>18.37875</v>
      </c>
      <c r="P74" s="89"/>
      <c r="Q74" s="55"/>
      <c r="R74" s="55"/>
      <c r="S74" s="55"/>
      <c r="T74" s="80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x14ac:dyDescent="0.25">
      <c r="A75" s="112"/>
      <c r="B75" s="34" t="s">
        <v>243</v>
      </c>
      <c r="C75" s="31" t="s">
        <v>245</v>
      </c>
      <c r="D75" s="31">
        <f t="shared" si="25"/>
        <v>45</v>
      </c>
      <c r="E75" s="31">
        <v>73</v>
      </c>
      <c r="F75" s="31">
        <v>3.84</v>
      </c>
      <c r="G75" s="31">
        <v>0.27</v>
      </c>
      <c r="H75" s="31">
        <v>3.8</v>
      </c>
      <c r="I75" s="32">
        <f t="shared" si="30"/>
        <v>14.222222222222221</v>
      </c>
      <c r="J75" s="33">
        <v>0.82</v>
      </c>
      <c r="K75" s="31">
        <v>0</v>
      </c>
      <c r="L75" s="33">
        <f t="shared" si="26"/>
        <v>8.7247999999999983</v>
      </c>
      <c r="M75" s="33">
        <f t="shared" si="27"/>
        <v>8.7247999999999983</v>
      </c>
      <c r="N75" s="33">
        <f t="shared" si="28"/>
        <v>8.7247999999999983</v>
      </c>
      <c r="O75" s="77">
        <f t="shared" si="29"/>
        <v>8.7247999999999983</v>
      </c>
      <c r="P75" s="89"/>
      <c r="Q75" s="55"/>
      <c r="R75" s="55"/>
      <c r="S75" s="55"/>
      <c r="T75" s="80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x14ac:dyDescent="0.25">
      <c r="A76" s="112"/>
      <c r="B76" s="34" t="s">
        <v>244</v>
      </c>
      <c r="C76" s="31" t="s">
        <v>234</v>
      </c>
      <c r="D76" s="31">
        <f t="shared" si="25"/>
        <v>73</v>
      </c>
      <c r="E76" s="31">
        <v>121</v>
      </c>
      <c r="F76" s="31">
        <v>1.1100000000000001</v>
      </c>
      <c r="G76" s="31">
        <v>0.12</v>
      </c>
      <c r="H76" s="31">
        <v>1.1000000000000001</v>
      </c>
      <c r="I76" s="32">
        <f t="shared" si="30"/>
        <v>9.2500000000000018</v>
      </c>
      <c r="J76" s="33">
        <f>(1.26+0.86)/2</f>
        <v>1.06</v>
      </c>
      <c r="K76" s="31">
        <v>0</v>
      </c>
      <c r="L76" s="33">
        <f t="shared" si="26"/>
        <v>5.5968000000000009</v>
      </c>
      <c r="M76" s="33">
        <f>(100-D76)*J76*H76/10</f>
        <v>3.1482000000000001</v>
      </c>
      <c r="N76" s="33">
        <f t="shared" si="28"/>
        <v>5.5968000000000009</v>
      </c>
      <c r="O76" s="77">
        <f t="shared" si="29"/>
        <v>5.5968000000000009</v>
      </c>
      <c r="P76" s="89"/>
      <c r="Q76" s="31" t="s">
        <v>116</v>
      </c>
      <c r="R76" s="51">
        <f>SUM(L73:L83)</f>
        <v>113.9032</v>
      </c>
      <c r="S76" s="55"/>
      <c r="T76" s="80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x14ac:dyDescent="0.25">
      <c r="A77" s="112"/>
      <c r="B77" s="31"/>
      <c r="C77" s="31" t="s">
        <v>235</v>
      </c>
      <c r="D77" s="31">
        <f t="shared" si="25"/>
        <v>121</v>
      </c>
      <c r="E77" s="31">
        <v>145</v>
      </c>
      <c r="F77" s="31">
        <v>1.3</v>
      </c>
      <c r="G77" s="31">
        <v>0.16</v>
      </c>
      <c r="H77" s="31">
        <v>1.3</v>
      </c>
      <c r="I77" s="32">
        <f t="shared" si="30"/>
        <v>8.125</v>
      </c>
      <c r="J77" s="33">
        <f>(0.98+1.24)/2</f>
        <v>1.1099999999999999</v>
      </c>
      <c r="K77" s="31">
        <v>0</v>
      </c>
      <c r="L77" s="33">
        <f t="shared" si="26"/>
        <v>3.4631999999999996</v>
      </c>
      <c r="M77" s="33"/>
      <c r="N77" s="33">
        <f t="shared" si="28"/>
        <v>3.4631999999999996</v>
      </c>
      <c r="O77" s="77">
        <f t="shared" si="29"/>
        <v>3.4631999999999996</v>
      </c>
      <c r="P77" s="89"/>
      <c r="Q77" s="31" t="s">
        <v>119</v>
      </c>
      <c r="R77" s="51">
        <f>SUM(M73:M76)</f>
        <v>36.075749999999999</v>
      </c>
      <c r="S77" s="55"/>
      <c r="T77" s="80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x14ac:dyDescent="0.25">
      <c r="A78" s="112"/>
      <c r="B78" s="31"/>
      <c r="C78" s="31" t="s">
        <v>237</v>
      </c>
      <c r="D78" s="31">
        <f t="shared" si="25"/>
        <v>145</v>
      </c>
      <c r="E78" s="31">
        <v>187</v>
      </c>
      <c r="F78" s="31">
        <v>2.5499999999999998</v>
      </c>
      <c r="G78" s="31">
        <v>0.24</v>
      </c>
      <c r="H78" s="31">
        <v>2.6</v>
      </c>
      <c r="I78" s="32">
        <f t="shared" si="30"/>
        <v>10.625</v>
      </c>
      <c r="J78" s="33">
        <v>0.89</v>
      </c>
      <c r="K78" s="31">
        <v>0</v>
      </c>
      <c r="L78" s="33">
        <f t="shared" si="26"/>
        <v>9.7188000000000017</v>
      </c>
      <c r="M78" s="33"/>
      <c r="N78" s="33">
        <f>(150-D78)*J78*H78/10</f>
        <v>1.157</v>
      </c>
      <c r="O78" s="77">
        <f t="shared" si="29"/>
        <v>9.7188000000000017</v>
      </c>
      <c r="P78" s="89"/>
      <c r="Q78" s="31" t="s">
        <v>122</v>
      </c>
      <c r="R78" s="51">
        <f>SUM(N73:N78)</f>
        <v>43.144549999999995</v>
      </c>
      <c r="S78" s="55"/>
      <c r="T78" s="80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x14ac:dyDescent="0.25">
      <c r="A79" s="112"/>
      <c r="B79" s="31"/>
      <c r="C79" s="31" t="s">
        <v>113</v>
      </c>
      <c r="D79" s="31">
        <f t="shared" si="25"/>
        <v>187</v>
      </c>
      <c r="E79" s="31">
        <v>202</v>
      </c>
      <c r="F79" s="31">
        <v>21.68</v>
      </c>
      <c r="G79" s="31">
        <v>0.6</v>
      </c>
      <c r="H79" s="31">
        <v>21.7</v>
      </c>
      <c r="I79" s="32">
        <f t="shared" si="30"/>
        <v>36.133333333333333</v>
      </c>
      <c r="J79" s="33">
        <v>0.44</v>
      </c>
      <c r="K79" s="31">
        <v>0</v>
      </c>
      <c r="L79" s="33">
        <f t="shared" si="26"/>
        <v>14.321999999999999</v>
      </c>
      <c r="M79" s="33"/>
      <c r="N79" s="33"/>
      <c r="O79" s="77">
        <f>(200-D79)*J79*H79/10</f>
        <v>12.4124</v>
      </c>
      <c r="P79" s="89"/>
      <c r="Q79" s="31" t="s">
        <v>124</v>
      </c>
      <c r="R79" s="51">
        <f>SUM(O73:O79)</f>
        <v>64.118750000000006</v>
      </c>
      <c r="S79" s="55"/>
      <c r="T79" s="80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x14ac:dyDescent="0.25">
      <c r="A80" s="112"/>
      <c r="B80" s="31"/>
      <c r="C80" s="31" t="s">
        <v>238</v>
      </c>
      <c r="D80" s="31">
        <f t="shared" si="25"/>
        <v>202</v>
      </c>
      <c r="E80" s="31">
        <v>218</v>
      </c>
      <c r="F80" s="31">
        <v>6.65</v>
      </c>
      <c r="G80" s="31">
        <v>0.25</v>
      </c>
      <c r="H80" s="31">
        <v>2.7</v>
      </c>
      <c r="I80" s="32">
        <f t="shared" si="30"/>
        <v>26.6</v>
      </c>
      <c r="J80" s="33">
        <f>(0.99+0.98)/2</f>
        <v>0.98499999999999999</v>
      </c>
      <c r="K80" s="31">
        <v>0</v>
      </c>
      <c r="L80" s="33">
        <f t="shared" si="26"/>
        <v>4.2552000000000003</v>
      </c>
      <c r="M80" s="33"/>
      <c r="N80" s="33"/>
      <c r="O80" s="77"/>
      <c r="P80" s="89"/>
      <c r="Q80" s="55"/>
      <c r="R80" s="55"/>
      <c r="S80" s="55"/>
      <c r="T80" s="80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  <row r="81" spans="1:52" x14ac:dyDescent="0.25">
      <c r="A81" s="112"/>
      <c r="B81" s="31"/>
      <c r="C81" s="31" t="s">
        <v>239</v>
      </c>
      <c r="D81" s="31">
        <f t="shared" si="25"/>
        <v>218</v>
      </c>
      <c r="E81" s="31">
        <v>263</v>
      </c>
      <c r="F81" s="31">
        <v>3.1</v>
      </c>
      <c r="G81" s="31">
        <v>0.28999999999999998</v>
      </c>
      <c r="H81" s="31">
        <v>3.1</v>
      </c>
      <c r="I81" s="32">
        <f t="shared" si="30"/>
        <v>10.689655172413794</v>
      </c>
      <c r="J81" s="33">
        <f>(0.76+0.72)/2</f>
        <v>0.74</v>
      </c>
      <c r="K81" s="31">
        <v>0</v>
      </c>
      <c r="L81" s="33">
        <f t="shared" si="26"/>
        <v>10.322999999999999</v>
      </c>
      <c r="M81" s="33"/>
      <c r="N81" s="33"/>
      <c r="O81" s="77"/>
      <c r="P81" s="89"/>
      <c r="Q81" s="55"/>
      <c r="R81" s="55"/>
      <c r="S81" s="55"/>
      <c r="T81" s="80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</row>
    <row r="82" spans="1:52" x14ac:dyDescent="0.25">
      <c r="A82" s="112"/>
      <c r="B82" s="31"/>
      <c r="C82" s="31" t="s">
        <v>246</v>
      </c>
      <c r="D82" s="31">
        <f t="shared" si="25"/>
        <v>263</v>
      </c>
      <c r="E82" s="31">
        <v>274</v>
      </c>
      <c r="F82" s="31">
        <v>9.69</v>
      </c>
      <c r="G82" s="31">
        <v>0.6</v>
      </c>
      <c r="H82" s="31">
        <v>9.6999999999999993</v>
      </c>
      <c r="I82" s="32">
        <f t="shared" si="30"/>
        <v>16.149999999999999</v>
      </c>
      <c r="J82" s="33">
        <f>(0.37+0.5)/2</f>
        <v>0.435</v>
      </c>
      <c r="K82" s="31">
        <v>0</v>
      </c>
      <c r="L82" s="33">
        <f t="shared" si="26"/>
        <v>4.6414499999999999</v>
      </c>
      <c r="M82" s="33"/>
      <c r="N82" s="33"/>
      <c r="O82" s="77"/>
      <c r="P82" s="89"/>
      <c r="Q82" s="55"/>
      <c r="R82" s="55"/>
      <c r="S82" s="55"/>
      <c r="T82" s="80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</row>
    <row r="83" spans="1:52" s="17" customFormat="1" ht="15.75" thickBot="1" x14ac:dyDescent="0.3">
      <c r="A83" s="113"/>
      <c r="B83" s="52"/>
      <c r="C83" s="52" t="s">
        <v>247</v>
      </c>
      <c r="D83" s="52">
        <f t="shared" si="25"/>
        <v>274</v>
      </c>
      <c r="E83" s="52">
        <v>308</v>
      </c>
      <c r="F83" s="52">
        <v>39.18</v>
      </c>
      <c r="G83" s="52">
        <v>2.02</v>
      </c>
      <c r="H83" s="52">
        <v>39.200000000000003</v>
      </c>
      <c r="I83" s="53">
        <f t="shared" si="30"/>
        <v>19.396039603960396</v>
      </c>
      <c r="J83" s="54">
        <f>(0.15+0.28)/2</f>
        <v>0.21500000000000002</v>
      </c>
      <c r="K83" s="52">
        <v>0</v>
      </c>
      <c r="L83" s="54">
        <f t="shared" si="26"/>
        <v>28.655200000000001</v>
      </c>
      <c r="M83" s="54"/>
      <c r="N83" s="54"/>
      <c r="O83" s="78"/>
      <c r="P83" s="90"/>
      <c r="Q83" s="56"/>
      <c r="R83" s="56"/>
      <c r="S83" s="56"/>
      <c r="T83" s="81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</row>
    <row r="84" spans="1:52" x14ac:dyDescent="0.25">
      <c r="A84" s="99" t="s">
        <v>172</v>
      </c>
      <c r="B84" s="49" t="s">
        <v>173</v>
      </c>
      <c r="C84" s="20" t="s">
        <v>127</v>
      </c>
      <c r="D84" s="20">
        <v>0</v>
      </c>
      <c r="E84" s="20">
        <v>17</v>
      </c>
      <c r="F84" s="20">
        <v>21.7</v>
      </c>
      <c r="G84" s="20">
        <v>1.1100000000000001</v>
      </c>
      <c r="H84" s="20">
        <v>21.7</v>
      </c>
      <c r="I84" s="21">
        <f t="shared" ref="I84:I106" si="31">F84/G84</f>
        <v>19.549549549549546</v>
      </c>
      <c r="J84" s="68">
        <v>0.19</v>
      </c>
      <c r="K84" s="68">
        <v>0</v>
      </c>
      <c r="L84" s="22">
        <f t="shared" ref="L84:L106" si="32">(E84-D84)*H84*J84/10</f>
        <v>7.0090999999999992</v>
      </c>
      <c r="M84" s="22">
        <f>(E84-D84)*H84*J84/10</f>
        <v>7.0090999999999992</v>
      </c>
      <c r="N84" s="22">
        <f>(E84-D84)*H84*J84/10</f>
        <v>7.0090999999999992</v>
      </c>
      <c r="O84" s="82">
        <f>(E84-D84)*H84*J84/10</f>
        <v>7.0090999999999992</v>
      </c>
      <c r="P84" s="85"/>
      <c r="Q84" s="57"/>
      <c r="R84" s="57"/>
      <c r="S84" s="57"/>
      <c r="T84" s="58"/>
    </row>
    <row r="85" spans="1:52" x14ac:dyDescent="0.25">
      <c r="A85" s="100"/>
      <c r="B85" s="37"/>
      <c r="C85" s="23" t="s">
        <v>155</v>
      </c>
      <c r="D85" s="23">
        <f t="shared" ref="D85:D95" si="33">E84</f>
        <v>17</v>
      </c>
      <c r="E85" s="23">
        <v>29</v>
      </c>
      <c r="F85" s="23">
        <v>8.26</v>
      </c>
      <c r="G85" s="23">
        <v>0.45</v>
      </c>
      <c r="H85" s="23">
        <v>8.3000000000000007</v>
      </c>
      <c r="I85" s="24">
        <f t="shared" si="31"/>
        <v>18.355555555555554</v>
      </c>
      <c r="J85" s="42">
        <v>0.31</v>
      </c>
      <c r="K85" s="42">
        <v>0</v>
      </c>
      <c r="L85" s="25">
        <f t="shared" si="32"/>
        <v>3.0876000000000001</v>
      </c>
      <c r="M85" s="25">
        <f t="shared" ref="M85:M89" si="34">(E85-D85)*H85*J85/10</f>
        <v>3.0876000000000001</v>
      </c>
      <c r="N85" s="25">
        <f t="shared" ref="N85:N91" si="35">(E85-D85)*H85*J85/10</f>
        <v>3.0876000000000001</v>
      </c>
      <c r="O85" s="83">
        <f t="shared" ref="O85:O93" si="36">(E85-D85)*H85*J85/10</f>
        <v>3.0876000000000001</v>
      </c>
      <c r="P85" s="86"/>
      <c r="Q85" s="19"/>
      <c r="R85" s="19"/>
      <c r="S85" s="19"/>
      <c r="T85" s="59"/>
    </row>
    <row r="86" spans="1:52" x14ac:dyDescent="0.25">
      <c r="A86" s="100"/>
      <c r="B86" s="37" t="s">
        <v>154</v>
      </c>
      <c r="C86" s="23" t="s">
        <v>121</v>
      </c>
      <c r="D86" s="23">
        <f t="shared" si="33"/>
        <v>29</v>
      </c>
      <c r="E86" s="23">
        <v>44</v>
      </c>
      <c r="F86" s="23">
        <v>1.34</v>
      </c>
      <c r="G86" s="23">
        <v>0.11</v>
      </c>
      <c r="H86" s="23">
        <v>1.3</v>
      </c>
      <c r="I86" s="24">
        <f t="shared" si="31"/>
        <v>12.181818181818182</v>
      </c>
      <c r="J86" s="42">
        <v>1.38</v>
      </c>
      <c r="K86" s="42">
        <v>0</v>
      </c>
      <c r="L86" s="25">
        <f t="shared" si="32"/>
        <v>2.6909999999999998</v>
      </c>
      <c r="M86" s="25">
        <f t="shared" si="34"/>
        <v>2.6909999999999998</v>
      </c>
      <c r="N86" s="25">
        <f t="shared" si="35"/>
        <v>2.6909999999999998</v>
      </c>
      <c r="O86" s="83">
        <f t="shared" si="36"/>
        <v>2.6909999999999998</v>
      </c>
      <c r="P86" s="86"/>
      <c r="Q86" s="23" t="s">
        <v>116</v>
      </c>
      <c r="R86" s="26">
        <f>SUM(L84:L95)</f>
        <v>76.514099999999999</v>
      </c>
      <c r="S86" s="19"/>
      <c r="T86" s="59"/>
    </row>
    <row r="87" spans="1:52" x14ac:dyDescent="0.25">
      <c r="A87" s="100"/>
      <c r="B87" s="37" t="s">
        <v>174</v>
      </c>
      <c r="C87" s="23" t="s">
        <v>123</v>
      </c>
      <c r="D87" s="23">
        <f t="shared" si="33"/>
        <v>44</v>
      </c>
      <c r="E87" s="23">
        <v>55</v>
      </c>
      <c r="F87" s="23">
        <v>11.21</v>
      </c>
      <c r="G87" s="23">
        <v>0.68</v>
      </c>
      <c r="H87" s="23">
        <v>11.2</v>
      </c>
      <c r="I87" s="24">
        <f t="shared" si="31"/>
        <v>16.485294117647058</v>
      </c>
      <c r="J87" s="42">
        <v>0.46</v>
      </c>
      <c r="K87" s="42">
        <v>0</v>
      </c>
      <c r="L87" s="25">
        <f t="shared" si="32"/>
        <v>5.6671999999999993</v>
      </c>
      <c r="M87" s="25">
        <f t="shared" si="34"/>
        <v>5.6671999999999993</v>
      </c>
      <c r="N87" s="25">
        <f t="shared" si="35"/>
        <v>5.6671999999999993</v>
      </c>
      <c r="O87" s="83">
        <f t="shared" si="36"/>
        <v>5.6671999999999993</v>
      </c>
      <c r="P87" s="86"/>
      <c r="Q87" s="23" t="s">
        <v>119</v>
      </c>
      <c r="R87" s="26">
        <f>SUM(M84:M90)</f>
        <v>33.425099999999993</v>
      </c>
      <c r="S87" s="19"/>
      <c r="T87" s="59"/>
    </row>
    <row r="88" spans="1:52" x14ac:dyDescent="0.25">
      <c r="A88" s="100"/>
      <c r="B88" s="37" t="s">
        <v>175</v>
      </c>
      <c r="C88" s="23" t="s">
        <v>125</v>
      </c>
      <c r="D88" s="23">
        <f t="shared" si="33"/>
        <v>55</v>
      </c>
      <c r="E88" s="23">
        <v>66</v>
      </c>
      <c r="F88" s="23">
        <v>8.9700000000000006</v>
      </c>
      <c r="G88" s="23">
        <v>0.51</v>
      </c>
      <c r="H88" s="23">
        <v>9</v>
      </c>
      <c r="I88" s="24">
        <f t="shared" si="31"/>
        <v>17.588235294117649</v>
      </c>
      <c r="J88" s="42">
        <v>0.35</v>
      </c>
      <c r="K88" s="42">
        <v>0</v>
      </c>
      <c r="L88" s="25">
        <f t="shared" si="32"/>
        <v>3.4649999999999999</v>
      </c>
      <c r="M88" s="25">
        <f t="shared" si="34"/>
        <v>3.4649999999999999</v>
      </c>
      <c r="N88" s="25">
        <f t="shared" si="35"/>
        <v>3.4649999999999999</v>
      </c>
      <c r="O88" s="83">
        <f t="shared" si="36"/>
        <v>3.4649999999999999</v>
      </c>
      <c r="P88" s="86"/>
      <c r="Q88" s="23" t="s">
        <v>122</v>
      </c>
      <c r="R88" s="26">
        <f>SUM(N84:N92)</f>
        <v>50.309100000000001</v>
      </c>
      <c r="S88" s="19"/>
      <c r="T88" s="59"/>
    </row>
    <row r="89" spans="1:52" x14ac:dyDescent="0.25">
      <c r="A89" s="100"/>
      <c r="B89" s="37"/>
      <c r="C89" s="23" t="s">
        <v>158</v>
      </c>
      <c r="D89" s="23">
        <f t="shared" si="33"/>
        <v>66</v>
      </c>
      <c r="E89" s="23">
        <v>76</v>
      </c>
      <c r="F89" s="23">
        <v>6.24</v>
      </c>
      <c r="G89" s="23">
        <v>0.48</v>
      </c>
      <c r="H89" s="23">
        <v>6.2</v>
      </c>
      <c r="I89" s="24">
        <f t="shared" si="31"/>
        <v>13.000000000000002</v>
      </c>
      <c r="J89" s="42">
        <v>0.49</v>
      </c>
      <c r="K89" s="42">
        <v>0</v>
      </c>
      <c r="L89" s="25">
        <f t="shared" si="32"/>
        <v>3.0379999999999998</v>
      </c>
      <c r="M89" s="25">
        <f t="shared" si="34"/>
        <v>3.0379999999999998</v>
      </c>
      <c r="N89" s="25">
        <f t="shared" si="35"/>
        <v>3.0379999999999998</v>
      </c>
      <c r="O89" s="83">
        <f t="shared" si="36"/>
        <v>3.0379999999999998</v>
      </c>
      <c r="P89" s="86"/>
      <c r="Q89" s="23" t="s">
        <v>124</v>
      </c>
      <c r="R89" s="26">
        <f>SUM(O84:O94)</f>
        <v>68.544299999999993</v>
      </c>
      <c r="S89" s="19"/>
      <c r="T89" s="59"/>
    </row>
    <row r="90" spans="1:52" x14ac:dyDescent="0.25">
      <c r="A90" s="100"/>
      <c r="B90" s="37"/>
      <c r="C90" s="23" t="s">
        <v>176</v>
      </c>
      <c r="D90" s="23">
        <f t="shared" si="33"/>
        <v>76</v>
      </c>
      <c r="E90" s="23">
        <v>106</v>
      </c>
      <c r="F90" s="23">
        <v>7.17</v>
      </c>
      <c r="G90" s="23">
        <v>0.49</v>
      </c>
      <c r="H90" s="23">
        <v>7.2</v>
      </c>
      <c r="I90" s="24">
        <f t="shared" si="31"/>
        <v>14.63265306122449</v>
      </c>
      <c r="J90" s="42">
        <v>0.49</v>
      </c>
      <c r="K90" s="42">
        <v>0</v>
      </c>
      <c r="L90" s="25">
        <f t="shared" si="32"/>
        <v>10.584</v>
      </c>
      <c r="M90" s="25">
        <f>(100-D90)*H90*J90/10</f>
        <v>8.4672000000000001</v>
      </c>
      <c r="N90" s="25">
        <f t="shared" si="35"/>
        <v>10.584</v>
      </c>
      <c r="O90" s="83">
        <f t="shared" si="36"/>
        <v>10.584</v>
      </c>
      <c r="P90" s="86"/>
      <c r="Q90" s="19"/>
      <c r="R90" s="19"/>
      <c r="S90" s="19"/>
      <c r="T90" s="59"/>
    </row>
    <row r="91" spans="1:52" x14ac:dyDescent="0.25">
      <c r="A91" s="100"/>
      <c r="B91" s="37"/>
      <c r="C91" s="23" t="s">
        <v>177</v>
      </c>
      <c r="D91" s="23">
        <f t="shared" si="33"/>
        <v>106</v>
      </c>
      <c r="E91" s="23">
        <v>135</v>
      </c>
      <c r="F91" s="23">
        <v>8.35</v>
      </c>
      <c r="G91" s="23">
        <v>0.51</v>
      </c>
      <c r="H91" s="23">
        <v>8.4</v>
      </c>
      <c r="I91" s="24">
        <f t="shared" si="31"/>
        <v>16.372549019607842</v>
      </c>
      <c r="J91" s="42">
        <v>0.42</v>
      </c>
      <c r="K91" s="42">
        <v>0</v>
      </c>
      <c r="L91" s="25">
        <f t="shared" si="32"/>
        <v>10.231200000000001</v>
      </c>
      <c r="M91" s="25"/>
      <c r="N91" s="25">
        <f t="shared" si="35"/>
        <v>10.231200000000001</v>
      </c>
      <c r="O91" s="83">
        <f t="shared" si="36"/>
        <v>10.231200000000001</v>
      </c>
      <c r="P91" s="86"/>
      <c r="Q91" s="19"/>
      <c r="R91" s="19"/>
      <c r="S91" s="19"/>
      <c r="T91" s="59"/>
    </row>
    <row r="92" spans="1:52" x14ac:dyDescent="0.25">
      <c r="A92" s="100"/>
      <c r="B92" s="37"/>
      <c r="C92" s="23" t="s">
        <v>178</v>
      </c>
      <c r="D92" s="23">
        <f t="shared" si="33"/>
        <v>135</v>
      </c>
      <c r="E92" s="23">
        <v>160</v>
      </c>
      <c r="F92" s="23">
        <v>8.3800000000000008</v>
      </c>
      <c r="G92" s="23">
        <v>0.55000000000000004</v>
      </c>
      <c r="H92" s="23">
        <v>8.4</v>
      </c>
      <c r="I92" s="24">
        <f t="shared" si="31"/>
        <v>15.236363636363636</v>
      </c>
      <c r="J92" s="42">
        <v>0.36</v>
      </c>
      <c r="K92" s="42">
        <v>0</v>
      </c>
      <c r="L92" s="25">
        <f t="shared" si="32"/>
        <v>7.56</v>
      </c>
      <c r="M92" s="25"/>
      <c r="N92" s="25">
        <f>(150-D92)*H92*J92/10</f>
        <v>4.5359999999999996</v>
      </c>
      <c r="O92" s="83">
        <f t="shared" si="36"/>
        <v>7.56</v>
      </c>
      <c r="P92" s="86"/>
      <c r="Q92" s="19"/>
      <c r="R92" s="19"/>
      <c r="S92" s="19"/>
      <c r="T92" s="59"/>
    </row>
    <row r="93" spans="1:52" x14ac:dyDescent="0.25">
      <c r="A93" s="100"/>
      <c r="B93" s="37"/>
      <c r="C93" s="23" t="s">
        <v>179</v>
      </c>
      <c r="D93" s="23">
        <f t="shared" si="33"/>
        <v>160</v>
      </c>
      <c r="E93" s="23">
        <v>176</v>
      </c>
      <c r="F93" s="23">
        <v>7.92</v>
      </c>
      <c r="G93" s="23">
        <v>0.46</v>
      </c>
      <c r="H93" s="23">
        <v>7.9</v>
      </c>
      <c r="I93" s="24">
        <f t="shared" si="31"/>
        <v>17.217391304347824</v>
      </c>
      <c r="J93" s="42">
        <v>0.48</v>
      </c>
      <c r="K93" s="42">
        <v>0</v>
      </c>
      <c r="L93" s="25">
        <f t="shared" si="32"/>
        <v>6.0671999999999997</v>
      </c>
      <c r="M93" s="25"/>
      <c r="N93" s="25"/>
      <c r="O93" s="83">
        <f t="shared" si="36"/>
        <v>6.0671999999999997</v>
      </c>
      <c r="P93" s="86"/>
      <c r="Q93" s="19"/>
      <c r="R93" s="19"/>
      <c r="S93" s="19"/>
      <c r="T93" s="59"/>
    </row>
    <row r="94" spans="1:52" x14ac:dyDescent="0.25">
      <c r="A94" s="100"/>
      <c r="B94" s="37"/>
      <c r="C94" s="23" t="s">
        <v>180</v>
      </c>
      <c r="D94" s="23">
        <f t="shared" si="33"/>
        <v>176</v>
      </c>
      <c r="E94" s="23">
        <v>209</v>
      </c>
      <c r="F94" s="23">
        <v>12.67</v>
      </c>
      <c r="G94" s="23">
        <v>0.64</v>
      </c>
      <c r="H94" s="23">
        <v>12.7</v>
      </c>
      <c r="I94" s="24">
        <f t="shared" si="31"/>
        <v>19.796875</v>
      </c>
      <c r="J94" s="42">
        <v>0.3</v>
      </c>
      <c r="K94" s="42">
        <v>0</v>
      </c>
      <c r="L94" s="25">
        <f t="shared" si="32"/>
        <v>12.572999999999999</v>
      </c>
      <c r="M94" s="25"/>
      <c r="N94" s="25"/>
      <c r="O94" s="83">
        <f>(200-D94)*H94*J94/10</f>
        <v>9.1439999999999984</v>
      </c>
      <c r="P94" s="86"/>
      <c r="Q94" s="19"/>
      <c r="R94" s="19"/>
      <c r="S94" s="19"/>
      <c r="T94" s="59"/>
    </row>
    <row r="95" spans="1:52" ht="15.75" thickBot="1" x14ac:dyDescent="0.3">
      <c r="A95" s="101"/>
      <c r="B95" s="43"/>
      <c r="C95" s="44" t="s">
        <v>149</v>
      </c>
      <c r="D95" s="44">
        <f t="shared" si="33"/>
        <v>209</v>
      </c>
      <c r="E95" s="44">
        <v>220</v>
      </c>
      <c r="F95" s="44">
        <v>8.57</v>
      </c>
      <c r="G95" s="44">
        <v>0.54</v>
      </c>
      <c r="H95" s="44">
        <v>8.6</v>
      </c>
      <c r="I95" s="45">
        <f t="shared" si="31"/>
        <v>15.87037037037037</v>
      </c>
      <c r="J95" s="47">
        <v>0.48</v>
      </c>
      <c r="K95" s="47">
        <v>0</v>
      </c>
      <c r="L95" s="48">
        <f t="shared" si="32"/>
        <v>4.5407999999999991</v>
      </c>
      <c r="M95" s="48"/>
      <c r="N95" s="48"/>
      <c r="O95" s="84"/>
      <c r="P95" s="87"/>
      <c r="Q95" s="16"/>
      <c r="R95" s="16"/>
      <c r="S95" s="16"/>
      <c r="T95" s="61"/>
    </row>
    <row r="96" spans="1:52" x14ac:dyDescent="0.25">
      <c r="A96" s="99" t="s">
        <v>163</v>
      </c>
      <c r="B96" s="49" t="s">
        <v>47</v>
      </c>
      <c r="C96" s="20" t="s">
        <v>164</v>
      </c>
      <c r="D96" s="20">
        <v>0</v>
      </c>
      <c r="E96" s="20">
        <v>10</v>
      </c>
      <c r="F96" s="20">
        <v>26.31</v>
      </c>
      <c r="G96" s="20">
        <v>1.36</v>
      </c>
      <c r="H96" s="20">
        <v>26.3</v>
      </c>
      <c r="I96" s="21">
        <f t="shared" si="31"/>
        <v>19.345588235294116</v>
      </c>
      <c r="J96" s="68">
        <v>0.13</v>
      </c>
      <c r="K96" s="68">
        <v>0</v>
      </c>
      <c r="L96" s="22">
        <f t="shared" si="32"/>
        <v>3.4189999999999996</v>
      </c>
      <c r="M96" s="22">
        <f>(E96-D96)*H96*J96/10</f>
        <v>3.4189999999999996</v>
      </c>
      <c r="N96" s="22">
        <f>(E96-D96)*H96*J96/10</f>
        <v>3.4189999999999996</v>
      </c>
      <c r="O96" s="82">
        <f>(E96-D96)*H96*J96/10</f>
        <v>3.4189999999999996</v>
      </c>
      <c r="P96" s="85"/>
      <c r="Q96" s="57"/>
      <c r="R96" s="57"/>
      <c r="S96" s="57"/>
      <c r="T96" s="58"/>
    </row>
    <row r="97" spans="1:25" ht="15.75" thickBot="1" x14ac:dyDescent="0.3">
      <c r="A97" s="100"/>
      <c r="B97" s="37"/>
      <c r="C97" s="23" t="s">
        <v>165</v>
      </c>
      <c r="D97" s="23">
        <f t="shared" ref="D97:D106" si="37">E96</f>
        <v>10</v>
      </c>
      <c r="E97" s="23">
        <v>20</v>
      </c>
      <c r="F97" s="23">
        <v>24.9</v>
      </c>
      <c r="G97" s="23">
        <v>1.21</v>
      </c>
      <c r="H97" s="23">
        <v>24.9</v>
      </c>
      <c r="I97" s="24">
        <f t="shared" si="31"/>
        <v>20.578512396694215</v>
      </c>
      <c r="J97" s="42">
        <v>0.12</v>
      </c>
      <c r="K97" s="42">
        <v>0</v>
      </c>
      <c r="L97" s="25">
        <f t="shared" si="32"/>
        <v>2.988</v>
      </c>
      <c r="M97" s="25">
        <f t="shared" ref="M97:M100" si="38">(E97-D97)*H97*J97/10</f>
        <v>2.988</v>
      </c>
      <c r="N97" s="25">
        <f t="shared" ref="N97:N101" si="39">(E97-D97)*H97*J97/10</f>
        <v>2.988</v>
      </c>
      <c r="O97" s="83">
        <f t="shared" ref="O97:O104" si="40">(E97-D97)*H97*J97/10</f>
        <v>2.988</v>
      </c>
      <c r="P97" s="86"/>
      <c r="Q97" s="19"/>
      <c r="R97" s="19"/>
      <c r="S97" s="19"/>
      <c r="T97" s="59"/>
    </row>
    <row r="98" spans="1:25" x14ac:dyDescent="0.25">
      <c r="A98" s="100"/>
      <c r="B98" s="37" t="s">
        <v>154</v>
      </c>
      <c r="C98" s="23" t="s">
        <v>142</v>
      </c>
      <c r="D98" s="23">
        <f t="shared" si="37"/>
        <v>20</v>
      </c>
      <c r="E98" s="23">
        <v>31</v>
      </c>
      <c r="F98" s="23">
        <v>13.64</v>
      </c>
      <c r="G98" s="23">
        <v>0.76</v>
      </c>
      <c r="H98" s="23">
        <v>13.6</v>
      </c>
      <c r="I98" s="24">
        <f t="shared" si="31"/>
        <v>17.947368421052634</v>
      </c>
      <c r="J98" s="42">
        <v>0.22</v>
      </c>
      <c r="K98" s="42">
        <v>0</v>
      </c>
      <c r="L98" s="25">
        <f t="shared" si="32"/>
        <v>3.2911999999999999</v>
      </c>
      <c r="M98" s="25">
        <f t="shared" si="38"/>
        <v>3.2911999999999999</v>
      </c>
      <c r="N98" s="25">
        <f t="shared" si="39"/>
        <v>3.2911999999999999</v>
      </c>
      <c r="O98" s="83">
        <f t="shared" si="40"/>
        <v>3.2911999999999999</v>
      </c>
      <c r="P98" s="86"/>
      <c r="Q98" s="23" t="s">
        <v>116</v>
      </c>
      <c r="R98" s="26">
        <f>SUM(L96:L106)</f>
        <v>77.2483</v>
      </c>
      <c r="S98" s="19"/>
      <c r="T98" s="59"/>
      <c r="U98" s="102" t="s">
        <v>182</v>
      </c>
      <c r="V98" s="103"/>
      <c r="W98" s="103"/>
      <c r="X98" s="103"/>
      <c r="Y98" s="104"/>
    </row>
    <row r="99" spans="1:25" x14ac:dyDescent="0.25">
      <c r="A99" s="100"/>
      <c r="B99" s="37" t="s">
        <v>166</v>
      </c>
      <c r="C99" s="23" t="s">
        <v>121</v>
      </c>
      <c r="D99" s="23">
        <f t="shared" si="37"/>
        <v>31</v>
      </c>
      <c r="E99" s="23">
        <v>44</v>
      </c>
      <c r="F99" s="23">
        <v>8.27</v>
      </c>
      <c r="G99" s="23">
        <v>0.52</v>
      </c>
      <c r="H99" s="23">
        <v>8.3000000000000007</v>
      </c>
      <c r="I99" s="24">
        <f t="shared" si="31"/>
        <v>15.903846153846153</v>
      </c>
      <c r="J99" s="42">
        <v>0.26</v>
      </c>
      <c r="K99" s="42">
        <v>0</v>
      </c>
      <c r="L99" s="25">
        <f t="shared" si="32"/>
        <v>2.8054000000000001</v>
      </c>
      <c r="M99" s="25">
        <f t="shared" si="38"/>
        <v>2.8054000000000001</v>
      </c>
      <c r="N99" s="25">
        <f t="shared" si="39"/>
        <v>2.8054000000000001</v>
      </c>
      <c r="O99" s="83">
        <f t="shared" si="40"/>
        <v>2.8054000000000001</v>
      </c>
      <c r="P99" s="86"/>
      <c r="Q99" s="23" t="s">
        <v>119</v>
      </c>
      <c r="R99" s="26">
        <f>SUM(M96:M101)</f>
        <v>35.579900000000002</v>
      </c>
      <c r="S99" s="19"/>
      <c r="T99" s="59"/>
      <c r="U99" s="105"/>
      <c r="V99" s="106"/>
      <c r="W99" s="106"/>
      <c r="X99" s="106"/>
      <c r="Y99" s="107"/>
    </row>
    <row r="100" spans="1:25" ht="15.75" thickBot="1" x14ac:dyDescent="0.3">
      <c r="A100" s="100"/>
      <c r="B100" s="37" t="s">
        <v>167</v>
      </c>
      <c r="C100" s="23" t="s">
        <v>123</v>
      </c>
      <c r="D100" s="23">
        <f t="shared" si="37"/>
        <v>44</v>
      </c>
      <c r="E100" s="23">
        <v>97</v>
      </c>
      <c r="F100" s="23">
        <v>7.49</v>
      </c>
      <c r="G100" s="23">
        <v>0.43</v>
      </c>
      <c r="H100" s="23">
        <v>7.5</v>
      </c>
      <c r="I100" s="24">
        <f t="shared" si="31"/>
        <v>17.418604651162791</v>
      </c>
      <c r="J100" s="42">
        <v>0.55000000000000004</v>
      </c>
      <c r="K100" s="42">
        <v>0</v>
      </c>
      <c r="L100" s="25">
        <f t="shared" si="32"/>
        <v>21.862500000000004</v>
      </c>
      <c r="M100" s="25">
        <f t="shared" si="38"/>
        <v>21.862500000000004</v>
      </c>
      <c r="N100" s="25">
        <f t="shared" si="39"/>
        <v>21.862500000000004</v>
      </c>
      <c r="O100" s="83">
        <f t="shared" si="40"/>
        <v>21.862500000000004</v>
      </c>
      <c r="P100" s="86"/>
      <c r="Q100" s="23" t="s">
        <v>122</v>
      </c>
      <c r="R100" s="26">
        <f>SUM(N96:N102)</f>
        <v>53.064500000000002</v>
      </c>
      <c r="S100" s="19"/>
      <c r="T100" s="59"/>
      <c r="U100" s="108"/>
      <c r="V100" s="109"/>
      <c r="W100" s="109"/>
      <c r="X100" s="109"/>
      <c r="Y100" s="110"/>
    </row>
    <row r="101" spans="1:25" x14ac:dyDescent="0.25">
      <c r="A101" s="100"/>
      <c r="B101" s="37"/>
      <c r="C101" s="23" t="s">
        <v>146</v>
      </c>
      <c r="D101" s="23">
        <f t="shared" si="37"/>
        <v>97</v>
      </c>
      <c r="E101" s="23">
        <v>113</v>
      </c>
      <c r="F101" s="23">
        <v>11.86</v>
      </c>
      <c r="G101" s="23">
        <v>0.63</v>
      </c>
      <c r="H101" s="23">
        <v>11.9</v>
      </c>
      <c r="I101" s="24">
        <f t="shared" si="31"/>
        <v>18.825396825396826</v>
      </c>
      <c r="J101" s="42">
        <v>0.34</v>
      </c>
      <c r="K101" s="42">
        <v>0</v>
      </c>
      <c r="L101" s="25">
        <f t="shared" si="32"/>
        <v>6.4736000000000002</v>
      </c>
      <c r="M101" s="25">
        <f>(100-D101)*H101*J101/10</f>
        <v>1.2138000000000002</v>
      </c>
      <c r="N101" s="25">
        <f t="shared" si="39"/>
        <v>6.4736000000000002</v>
      </c>
      <c r="O101" s="83">
        <f t="shared" si="40"/>
        <v>6.4736000000000002</v>
      </c>
      <c r="P101" s="86"/>
      <c r="Q101" s="23" t="s">
        <v>124</v>
      </c>
      <c r="R101" s="26">
        <f>SUM(O96:O105)</f>
        <v>70.147500000000008</v>
      </c>
      <c r="S101" s="19"/>
      <c r="T101" s="59"/>
    </row>
    <row r="102" spans="1:25" x14ac:dyDescent="0.25">
      <c r="A102" s="100"/>
      <c r="B102" s="37"/>
      <c r="C102" s="23" t="s">
        <v>147</v>
      </c>
      <c r="D102" s="23">
        <f t="shared" si="37"/>
        <v>113</v>
      </c>
      <c r="E102" s="23">
        <v>156</v>
      </c>
      <c r="F102" s="23">
        <v>11.78</v>
      </c>
      <c r="G102" s="23">
        <v>0.6</v>
      </c>
      <c r="H102" s="23">
        <v>11.8</v>
      </c>
      <c r="I102" s="24">
        <f t="shared" si="31"/>
        <v>19.633333333333333</v>
      </c>
      <c r="J102" s="42">
        <v>0.28000000000000003</v>
      </c>
      <c r="K102" s="42">
        <v>0</v>
      </c>
      <c r="L102" s="25">
        <f t="shared" si="32"/>
        <v>14.207200000000004</v>
      </c>
      <c r="M102" s="25"/>
      <c r="N102" s="25">
        <f>(150-D102)*H102*J102/10</f>
        <v>12.224800000000002</v>
      </c>
      <c r="O102" s="83">
        <f t="shared" si="40"/>
        <v>14.207200000000004</v>
      </c>
      <c r="P102" s="86"/>
      <c r="Q102" s="19"/>
      <c r="R102" s="19"/>
      <c r="S102" s="19"/>
      <c r="T102" s="59"/>
    </row>
    <row r="103" spans="1:25" x14ac:dyDescent="0.25">
      <c r="A103" s="100"/>
      <c r="B103" s="37"/>
      <c r="C103" s="23" t="s">
        <v>168</v>
      </c>
      <c r="D103" s="23">
        <f t="shared" si="37"/>
        <v>156</v>
      </c>
      <c r="E103" s="23">
        <v>176</v>
      </c>
      <c r="F103" s="23">
        <v>9.24</v>
      </c>
      <c r="G103" s="23">
        <v>0.55000000000000004</v>
      </c>
      <c r="H103" s="23">
        <v>9.1999999999999993</v>
      </c>
      <c r="I103" s="24">
        <f t="shared" si="31"/>
        <v>16.8</v>
      </c>
      <c r="J103" s="42">
        <v>0.4</v>
      </c>
      <c r="K103" s="42">
        <v>0</v>
      </c>
      <c r="L103" s="25">
        <f t="shared" si="32"/>
        <v>7.3600000000000012</v>
      </c>
      <c r="M103" s="25"/>
      <c r="N103" s="25"/>
      <c r="O103" s="83">
        <f t="shared" si="40"/>
        <v>7.3600000000000012</v>
      </c>
      <c r="P103" s="86"/>
      <c r="Q103" s="19"/>
      <c r="R103" s="19"/>
      <c r="S103" s="19"/>
      <c r="T103" s="59"/>
    </row>
    <row r="104" spans="1:25" x14ac:dyDescent="0.25">
      <c r="A104" s="100"/>
      <c r="B104" s="37"/>
      <c r="C104" s="23" t="s">
        <v>169</v>
      </c>
      <c r="D104" s="23">
        <f t="shared" si="37"/>
        <v>176</v>
      </c>
      <c r="E104" s="23">
        <v>197</v>
      </c>
      <c r="F104" s="23">
        <v>7.08</v>
      </c>
      <c r="G104" s="23">
        <v>0.48</v>
      </c>
      <c r="H104" s="23">
        <v>7.1</v>
      </c>
      <c r="I104" s="24">
        <f t="shared" si="31"/>
        <v>14.75</v>
      </c>
      <c r="J104" s="42">
        <v>0.46</v>
      </c>
      <c r="K104" s="42">
        <v>0</v>
      </c>
      <c r="L104" s="25">
        <f t="shared" si="32"/>
        <v>6.8586</v>
      </c>
      <c r="M104" s="25"/>
      <c r="N104" s="25"/>
      <c r="O104" s="83">
        <f t="shared" si="40"/>
        <v>6.8586</v>
      </c>
      <c r="P104" s="86"/>
      <c r="Q104" s="19"/>
      <c r="R104" s="19"/>
      <c r="S104" s="19"/>
      <c r="T104" s="59"/>
    </row>
    <row r="105" spans="1:25" x14ac:dyDescent="0.25">
      <c r="A105" s="100"/>
      <c r="B105" s="37"/>
      <c r="C105" s="23" t="s">
        <v>170</v>
      </c>
      <c r="D105" s="23">
        <f t="shared" si="37"/>
        <v>197</v>
      </c>
      <c r="E105" s="23">
        <v>212</v>
      </c>
      <c r="F105" s="23">
        <v>8.35</v>
      </c>
      <c r="G105" s="23">
        <v>0.55000000000000004</v>
      </c>
      <c r="H105" s="23">
        <v>8.4</v>
      </c>
      <c r="I105" s="24">
        <f t="shared" si="31"/>
        <v>15.18181818181818</v>
      </c>
      <c r="J105" s="42">
        <v>0.35</v>
      </c>
      <c r="K105" s="42">
        <v>0</v>
      </c>
      <c r="L105" s="25">
        <f t="shared" si="32"/>
        <v>4.4099999999999993</v>
      </c>
      <c r="M105" s="25"/>
      <c r="N105" s="25"/>
      <c r="O105" s="83">
        <f>(200-D105)*H105*J105/10</f>
        <v>0.88200000000000001</v>
      </c>
      <c r="P105" s="86"/>
      <c r="Q105" s="19"/>
      <c r="R105" s="19"/>
      <c r="S105" s="19"/>
      <c r="T105" s="59"/>
    </row>
    <row r="106" spans="1:25" ht="15.75" thickBot="1" x14ac:dyDescent="0.3">
      <c r="A106" s="101"/>
      <c r="B106" s="43"/>
      <c r="C106" s="44" t="s">
        <v>171</v>
      </c>
      <c r="D106" s="44">
        <f t="shared" si="37"/>
        <v>212</v>
      </c>
      <c r="E106" s="44">
        <v>226</v>
      </c>
      <c r="F106" s="44">
        <v>5.79</v>
      </c>
      <c r="G106" s="44">
        <v>0.41</v>
      </c>
      <c r="H106" s="44">
        <v>5.8</v>
      </c>
      <c r="I106" s="45">
        <f t="shared" si="31"/>
        <v>14.121951219512196</v>
      </c>
      <c r="J106" s="47">
        <v>0.44</v>
      </c>
      <c r="K106" s="47">
        <v>0</v>
      </c>
      <c r="L106" s="48">
        <f t="shared" si="32"/>
        <v>3.5728</v>
      </c>
      <c r="M106" s="48"/>
      <c r="N106" s="48"/>
      <c r="O106" s="84"/>
      <c r="P106" s="87"/>
      <c r="Q106" s="16"/>
      <c r="R106" s="16"/>
      <c r="S106" s="16"/>
      <c r="T106" s="61"/>
    </row>
    <row r="107" spans="1:25" x14ac:dyDescent="0.25">
      <c r="A107" s="99" t="s">
        <v>152</v>
      </c>
      <c r="B107" s="49" t="s">
        <v>153</v>
      </c>
      <c r="C107" s="20" t="s">
        <v>127</v>
      </c>
      <c r="D107" s="20">
        <v>0</v>
      </c>
      <c r="E107" s="20">
        <v>13</v>
      </c>
      <c r="F107" s="20">
        <v>16.07</v>
      </c>
      <c r="G107" s="20">
        <v>1.04</v>
      </c>
      <c r="H107" s="20">
        <v>16.100000000000001</v>
      </c>
      <c r="I107" s="21">
        <f t="shared" ref="I107:I165" si="41">F107/G107</f>
        <v>15.451923076923077</v>
      </c>
      <c r="J107" s="68">
        <v>0.26</v>
      </c>
      <c r="K107" s="68">
        <v>0</v>
      </c>
      <c r="L107" s="22">
        <f t="shared" ref="L107:L120" si="42">(E107-D107)*H107*J107/10</f>
        <v>5.4418000000000006</v>
      </c>
      <c r="M107" s="22">
        <f>(E107-D107)*H107*J107/10</f>
        <v>5.4418000000000006</v>
      </c>
      <c r="N107" s="22">
        <f>(E107-D107)*H107*J107/10</f>
        <v>5.4418000000000006</v>
      </c>
      <c r="O107" s="82">
        <f t="shared" ref="O107:O116" si="43">(E107-D107)*H107*J107/10</f>
        <v>5.4418000000000006</v>
      </c>
      <c r="P107" s="85"/>
      <c r="Q107" s="57"/>
      <c r="R107" s="57"/>
      <c r="S107" s="57"/>
      <c r="T107" s="58"/>
    </row>
    <row r="108" spans="1:25" x14ac:dyDescent="0.25">
      <c r="A108" s="100"/>
      <c r="B108" s="37"/>
      <c r="C108" s="23" t="s">
        <v>115</v>
      </c>
      <c r="D108" s="23">
        <f>E107</f>
        <v>13</v>
      </c>
      <c r="E108" s="23">
        <v>23</v>
      </c>
      <c r="F108" s="23">
        <v>11.93</v>
      </c>
      <c r="G108" s="23">
        <v>0.79</v>
      </c>
      <c r="H108" s="23">
        <v>11.9</v>
      </c>
      <c r="I108" s="24">
        <f t="shared" si="41"/>
        <v>15.101265822784809</v>
      </c>
      <c r="J108" s="42">
        <v>0.48</v>
      </c>
      <c r="K108" s="42">
        <v>0</v>
      </c>
      <c r="L108" s="25">
        <f t="shared" si="42"/>
        <v>5.7119999999999997</v>
      </c>
      <c r="M108" s="25">
        <f t="shared" ref="M108:M111" si="44">(E108-D108)*H108*J108/10</f>
        <v>5.7119999999999997</v>
      </c>
      <c r="N108" s="25">
        <f t="shared" ref="N108:N113" si="45">(E108-D108)*H108*J108/10</f>
        <v>5.7119999999999997</v>
      </c>
      <c r="O108" s="83">
        <f t="shared" si="43"/>
        <v>5.7119999999999997</v>
      </c>
      <c r="P108" s="86"/>
      <c r="Q108" s="19"/>
      <c r="R108" s="19"/>
      <c r="S108" s="19"/>
      <c r="T108" s="59"/>
    </row>
    <row r="109" spans="1:25" x14ac:dyDescent="0.25">
      <c r="A109" s="100"/>
      <c r="B109" s="37" t="s">
        <v>154</v>
      </c>
      <c r="C109" s="23" t="s">
        <v>155</v>
      </c>
      <c r="D109" s="23">
        <f t="shared" ref="D109:D118" si="46">E108</f>
        <v>23</v>
      </c>
      <c r="E109" s="23">
        <v>40</v>
      </c>
      <c r="F109" s="23">
        <v>10.79</v>
      </c>
      <c r="G109" s="23">
        <v>0.71</v>
      </c>
      <c r="H109" s="23">
        <v>10.8</v>
      </c>
      <c r="I109" s="24">
        <f t="shared" si="41"/>
        <v>15.197183098591548</v>
      </c>
      <c r="J109" s="42">
        <v>0.19</v>
      </c>
      <c r="K109" s="42">
        <v>0</v>
      </c>
      <c r="L109" s="25">
        <f t="shared" si="42"/>
        <v>3.4884000000000008</v>
      </c>
      <c r="M109" s="25">
        <f t="shared" si="44"/>
        <v>3.4884000000000008</v>
      </c>
      <c r="N109" s="25">
        <f t="shared" si="45"/>
        <v>3.4884000000000008</v>
      </c>
      <c r="O109" s="83">
        <f t="shared" si="43"/>
        <v>3.4884000000000008</v>
      </c>
      <c r="P109" s="86"/>
      <c r="Q109" s="23" t="s">
        <v>116</v>
      </c>
      <c r="R109" s="26">
        <f>SUM(L107:L119)</f>
        <v>92.0518</v>
      </c>
      <c r="S109" s="19"/>
      <c r="T109" s="59"/>
    </row>
    <row r="110" spans="1:25" x14ac:dyDescent="0.25">
      <c r="A110" s="100"/>
      <c r="B110" s="69" t="s">
        <v>156</v>
      </c>
      <c r="C110" s="23" t="s">
        <v>121</v>
      </c>
      <c r="D110" s="23">
        <f t="shared" si="46"/>
        <v>40</v>
      </c>
      <c r="E110" s="23">
        <v>69</v>
      </c>
      <c r="F110" s="23">
        <v>7.45</v>
      </c>
      <c r="G110" s="23">
        <v>0.54</v>
      </c>
      <c r="H110" s="23">
        <v>7.4</v>
      </c>
      <c r="I110" s="24">
        <f t="shared" si="41"/>
        <v>13.796296296296296</v>
      </c>
      <c r="J110" s="42">
        <v>0.45</v>
      </c>
      <c r="K110" s="42">
        <v>0</v>
      </c>
      <c r="L110" s="25">
        <f t="shared" si="42"/>
        <v>9.657</v>
      </c>
      <c r="M110" s="25">
        <f t="shared" si="44"/>
        <v>9.657</v>
      </c>
      <c r="N110" s="25">
        <f t="shared" si="45"/>
        <v>9.657</v>
      </c>
      <c r="O110" s="83">
        <f t="shared" si="43"/>
        <v>9.657</v>
      </c>
      <c r="P110" s="86"/>
      <c r="Q110" s="23" t="s">
        <v>119</v>
      </c>
      <c r="R110" s="26">
        <f>SUM(M107:M112)</f>
        <v>34.657600000000002</v>
      </c>
      <c r="S110" s="19"/>
      <c r="T110" s="59"/>
    </row>
    <row r="111" spans="1:25" x14ac:dyDescent="0.25">
      <c r="A111" s="100"/>
      <c r="B111" s="69" t="s">
        <v>157</v>
      </c>
      <c r="C111" s="23" t="s">
        <v>123</v>
      </c>
      <c r="D111" s="23">
        <f t="shared" si="46"/>
        <v>69</v>
      </c>
      <c r="E111" s="23">
        <v>86</v>
      </c>
      <c r="F111" s="23">
        <v>4.75</v>
      </c>
      <c r="G111" s="23">
        <v>0.41</v>
      </c>
      <c r="H111" s="23">
        <v>4.8</v>
      </c>
      <c r="I111" s="24">
        <f t="shared" si="41"/>
        <v>11.585365853658537</v>
      </c>
      <c r="J111" s="42">
        <v>0.66</v>
      </c>
      <c r="K111" s="42">
        <v>0</v>
      </c>
      <c r="L111" s="25">
        <f t="shared" si="42"/>
        <v>5.3856000000000002</v>
      </c>
      <c r="M111" s="25">
        <f t="shared" si="44"/>
        <v>5.3856000000000002</v>
      </c>
      <c r="N111" s="25">
        <f t="shared" si="45"/>
        <v>5.3856000000000002</v>
      </c>
      <c r="O111" s="83">
        <f t="shared" si="43"/>
        <v>5.3856000000000002</v>
      </c>
      <c r="P111" s="86"/>
      <c r="Q111" s="23" t="s">
        <v>122</v>
      </c>
      <c r="R111" s="26">
        <f>SUM(N107:N114)</f>
        <v>52.4574</v>
      </c>
      <c r="S111" s="19"/>
      <c r="T111" s="59"/>
    </row>
    <row r="112" spans="1:25" x14ac:dyDescent="0.25">
      <c r="A112" s="100"/>
      <c r="B112" s="37"/>
      <c r="C112" s="23" t="s">
        <v>125</v>
      </c>
      <c r="D112" s="23">
        <f t="shared" si="46"/>
        <v>86</v>
      </c>
      <c r="E112" s="23">
        <v>116</v>
      </c>
      <c r="F112" s="23">
        <v>11.12</v>
      </c>
      <c r="G112" s="23">
        <v>0.57999999999999996</v>
      </c>
      <c r="H112" s="23">
        <v>11.1</v>
      </c>
      <c r="I112" s="24">
        <f t="shared" si="41"/>
        <v>19.172413793103448</v>
      </c>
      <c r="J112" s="42">
        <v>0.32</v>
      </c>
      <c r="K112" s="42">
        <v>0</v>
      </c>
      <c r="L112" s="25">
        <f t="shared" si="42"/>
        <v>10.656000000000001</v>
      </c>
      <c r="M112" s="25">
        <f>(100-D112)*H112*J112/10</f>
        <v>4.9728000000000003</v>
      </c>
      <c r="N112" s="25">
        <f t="shared" si="45"/>
        <v>10.656000000000001</v>
      </c>
      <c r="O112" s="83">
        <f t="shared" si="43"/>
        <v>10.656000000000001</v>
      </c>
      <c r="P112" s="86"/>
      <c r="Q112" s="23" t="s">
        <v>124</v>
      </c>
      <c r="R112" s="26">
        <f>SUM(O107:O117)</f>
        <v>76.317800000000005</v>
      </c>
      <c r="S112" s="19"/>
      <c r="T112" s="59"/>
    </row>
    <row r="113" spans="1:25" x14ac:dyDescent="0.25">
      <c r="A113" s="100"/>
      <c r="B113" s="37"/>
      <c r="C113" s="23" t="s">
        <v>158</v>
      </c>
      <c r="D113" s="23">
        <f t="shared" si="46"/>
        <v>116</v>
      </c>
      <c r="E113" s="23">
        <v>132</v>
      </c>
      <c r="F113" s="23">
        <v>10.61</v>
      </c>
      <c r="G113" s="23">
        <v>0.55000000000000004</v>
      </c>
      <c r="H113" s="23">
        <v>10.6</v>
      </c>
      <c r="I113" s="24">
        <f t="shared" si="41"/>
        <v>19.290909090909089</v>
      </c>
      <c r="J113" s="42">
        <v>0.28999999999999998</v>
      </c>
      <c r="K113" s="42">
        <v>0</v>
      </c>
      <c r="L113" s="25">
        <f t="shared" si="42"/>
        <v>4.9184000000000001</v>
      </c>
      <c r="M113" s="25"/>
      <c r="N113" s="25">
        <f t="shared" si="45"/>
        <v>4.9184000000000001</v>
      </c>
      <c r="O113" s="83">
        <f t="shared" si="43"/>
        <v>4.9184000000000001</v>
      </c>
      <c r="P113" s="86"/>
      <c r="Q113" s="19"/>
      <c r="R113" s="19"/>
      <c r="S113" s="19"/>
      <c r="T113" s="59"/>
    </row>
    <row r="114" spans="1:25" x14ac:dyDescent="0.25">
      <c r="A114" s="100"/>
      <c r="B114" s="37"/>
      <c r="C114" s="23" t="s">
        <v>146</v>
      </c>
      <c r="D114" s="23">
        <f t="shared" si="46"/>
        <v>132</v>
      </c>
      <c r="E114" s="23">
        <v>158</v>
      </c>
      <c r="F114" s="23">
        <v>12.95</v>
      </c>
      <c r="G114" s="23">
        <v>0.68</v>
      </c>
      <c r="H114" s="23">
        <v>12.9</v>
      </c>
      <c r="I114" s="24">
        <f t="shared" si="41"/>
        <v>19.044117647058822</v>
      </c>
      <c r="J114" s="42">
        <v>0.31</v>
      </c>
      <c r="K114" s="42">
        <v>0</v>
      </c>
      <c r="L114" s="25">
        <f t="shared" si="42"/>
        <v>10.397400000000001</v>
      </c>
      <c r="M114" s="25"/>
      <c r="N114" s="25">
        <f>(150-D114)*H114*J114/10</f>
        <v>7.1981999999999999</v>
      </c>
      <c r="O114" s="83">
        <f t="shared" si="43"/>
        <v>10.397400000000001</v>
      </c>
      <c r="P114" s="86"/>
      <c r="Q114" s="19"/>
      <c r="R114" s="19"/>
      <c r="S114" s="19"/>
      <c r="T114" s="59"/>
    </row>
    <row r="115" spans="1:25" x14ac:dyDescent="0.25">
      <c r="A115" s="100"/>
      <c r="B115" s="37"/>
      <c r="C115" s="23" t="s">
        <v>147</v>
      </c>
      <c r="D115" s="23">
        <f t="shared" si="46"/>
        <v>158</v>
      </c>
      <c r="E115" s="23">
        <v>178</v>
      </c>
      <c r="F115" s="23">
        <v>20.350000000000001</v>
      </c>
      <c r="G115" s="23">
        <v>1.1200000000000001</v>
      </c>
      <c r="H115" s="23">
        <v>20.399999999999999</v>
      </c>
      <c r="I115" s="24">
        <f t="shared" si="41"/>
        <v>18.169642857142858</v>
      </c>
      <c r="J115" s="42">
        <v>0.25</v>
      </c>
      <c r="K115" s="42">
        <v>0</v>
      </c>
      <c r="L115" s="25">
        <f t="shared" si="42"/>
        <v>10.199999999999999</v>
      </c>
      <c r="M115" s="25"/>
      <c r="N115" s="25"/>
      <c r="O115" s="83">
        <f t="shared" si="43"/>
        <v>10.199999999999999</v>
      </c>
      <c r="P115" s="86"/>
      <c r="Q115" s="19"/>
      <c r="R115" s="19"/>
      <c r="S115" s="19"/>
      <c r="T115" s="59"/>
    </row>
    <row r="116" spans="1:25" x14ac:dyDescent="0.25">
      <c r="A116" s="100"/>
      <c r="B116" s="37"/>
      <c r="C116" s="23" t="s">
        <v>159</v>
      </c>
      <c r="D116" s="23">
        <f t="shared" si="46"/>
        <v>178</v>
      </c>
      <c r="E116" s="23">
        <v>198</v>
      </c>
      <c r="F116" s="23">
        <v>23.23</v>
      </c>
      <c r="G116" s="23">
        <v>1.27</v>
      </c>
      <c r="H116" s="23">
        <v>23.2</v>
      </c>
      <c r="I116" s="24">
        <f t="shared" si="41"/>
        <v>18.291338582677167</v>
      </c>
      <c r="J116" s="42">
        <v>0.21</v>
      </c>
      <c r="K116" s="42">
        <v>0</v>
      </c>
      <c r="L116" s="25">
        <f t="shared" si="42"/>
        <v>9.7439999999999998</v>
      </c>
      <c r="M116" s="25"/>
      <c r="N116" s="25"/>
      <c r="O116" s="83">
        <f t="shared" si="43"/>
        <v>9.7439999999999998</v>
      </c>
      <c r="P116" s="86"/>
      <c r="Q116" s="19"/>
      <c r="R116" s="19"/>
      <c r="S116" s="19"/>
      <c r="T116" s="59"/>
    </row>
    <row r="117" spans="1:25" x14ac:dyDescent="0.25">
      <c r="A117" s="100"/>
      <c r="B117" s="37"/>
      <c r="C117" s="23" t="s">
        <v>160</v>
      </c>
      <c r="D117" s="23">
        <f t="shared" si="46"/>
        <v>198</v>
      </c>
      <c r="E117" s="23">
        <v>211</v>
      </c>
      <c r="F117" s="23">
        <v>16.260000000000002</v>
      </c>
      <c r="G117" s="23">
        <v>0.85</v>
      </c>
      <c r="H117" s="23">
        <v>16.3</v>
      </c>
      <c r="I117" s="24">
        <f t="shared" si="41"/>
        <v>19.129411764705885</v>
      </c>
      <c r="J117" s="42">
        <v>0.22</v>
      </c>
      <c r="K117" s="42">
        <v>0</v>
      </c>
      <c r="L117" s="25">
        <f t="shared" si="42"/>
        <v>4.6618000000000004</v>
      </c>
      <c r="M117" s="25"/>
      <c r="N117" s="25"/>
      <c r="O117" s="83">
        <f>(200-D117)*H117*J117/10</f>
        <v>0.71720000000000006</v>
      </c>
      <c r="P117" s="86"/>
      <c r="Q117" s="19"/>
      <c r="R117" s="19"/>
      <c r="S117" s="19"/>
      <c r="T117" s="59"/>
    </row>
    <row r="118" spans="1:25" x14ac:dyDescent="0.25">
      <c r="A118" s="100"/>
      <c r="B118" s="37"/>
      <c r="C118" s="23" t="s">
        <v>161</v>
      </c>
      <c r="D118" s="23">
        <f t="shared" si="46"/>
        <v>211</v>
      </c>
      <c r="E118" s="23">
        <v>232</v>
      </c>
      <c r="F118" s="23">
        <v>10.66</v>
      </c>
      <c r="G118" s="23">
        <v>0.56000000000000005</v>
      </c>
      <c r="H118" s="23">
        <v>10.6</v>
      </c>
      <c r="I118" s="24">
        <f t="shared" si="41"/>
        <v>19.035714285714285</v>
      </c>
      <c r="J118" s="42">
        <v>0.34</v>
      </c>
      <c r="K118" s="42">
        <v>0</v>
      </c>
      <c r="L118" s="25">
        <f t="shared" si="42"/>
        <v>7.5683999999999996</v>
      </c>
      <c r="M118" s="25"/>
      <c r="N118" s="25"/>
      <c r="O118" s="83"/>
      <c r="P118" s="86"/>
      <c r="Q118" s="19"/>
      <c r="R118" s="19"/>
      <c r="S118" s="19"/>
      <c r="T118" s="59"/>
    </row>
    <row r="119" spans="1:25" ht="15.75" thickBot="1" x14ac:dyDescent="0.3">
      <c r="A119" s="101"/>
      <c r="B119" s="43"/>
      <c r="C119" s="44" t="s">
        <v>162</v>
      </c>
      <c r="D119" s="44">
        <f>E118</f>
        <v>232</v>
      </c>
      <c r="E119" s="44">
        <v>247</v>
      </c>
      <c r="F119" s="44">
        <v>6.77</v>
      </c>
      <c r="G119" s="44">
        <v>0.53</v>
      </c>
      <c r="H119" s="44">
        <v>6.7</v>
      </c>
      <c r="I119" s="45">
        <f t="shared" si="41"/>
        <v>12.773584905660377</v>
      </c>
      <c r="J119" s="47">
        <v>0.42</v>
      </c>
      <c r="K119" s="47">
        <v>0</v>
      </c>
      <c r="L119" s="48">
        <f t="shared" si="42"/>
        <v>4.2210000000000001</v>
      </c>
      <c r="M119" s="48"/>
      <c r="N119" s="48"/>
      <c r="O119" s="84"/>
      <c r="P119" s="87"/>
      <c r="Q119" s="16"/>
      <c r="R119" s="16"/>
      <c r="S119" s="16"/>
      <c r="T119" s="61"/>
    </row>
    <row r="120" spans="1:25" x14ac:dyDescent="0.25">
      <c r="A120" s="114" t="s">
        <v>248</v>
      </c>
      <c r="B120" s="27" t="s">
        <v>47</v>
      </c>
      <c r="C120" s="28" t="s">
        <v>127</v>
      </c>
      <c r="D120" s="28">
        <v>0</v>
      </c>
      <c r="E120" s="28">
        <v>22</v>
      </c>
      <c r="F120" s="28">
        <v>15.47</v>
      </c>
      <c r="G120" s="28">
        <v>0.77</v>
      </c>
      <c r="H120" s="28">
        <v>15.5</v>
      </c>
      <c r="I120" s="29">
        <f t="shared" si="41"/>
        <v>20.09090909090909</v>
      </c>
      <c r="J120" s="72">
        <v>0.28999999999999998</v>
      </c>
      <c r="K120" s="73">
        <v>0</v>
      </c>
      <c r="L120" s="30">
        <f t="shared" si="42"/>
        <v>9.8889999999999993</v>
      </c>
      <c r="M120" s="30">
        <f>(E120-D120)*H120*J120/10</f>
        <v>9.8889999999999993</v>
      </c>
      <c r="N120" s="30">
        <f t="shared" ref="N120" si="47">(E120-D120)*H120*J120/10</f>
        <v>9.8889999999999993</v>
      </c>
      <c r="O120" s="76">
        <f t="shared" ref="O120" si="48">(E120-D120)*H120*J120/10</f>
        <v>9.8889999999999993</v>
      </c>
      <c r="P120" s="70"/>
      <c r="Q120" s="70"/>
      <c r="R120" s="70"/>
      <c r="S120" s="70"/>
      <c r="T120" s="79"/>
    </row>
    <row r="121" spans="1:25" x14ac:dyDescent="0.25">
      <c r="A121" s="115"/>
      <c r="B121" s="34"/>
      <c r="C121" s="31" t="s">
        <v>142</v>
      </c>
      <c r="D121" s="31">
        <f t="shared" ref="D121:D165" si="49">E120</f>
        <v>22</v>
      </c>
      <c r="E121" s="31">
        <v>41</v>
      </c>
      <c r="F121" s="31">
        <v>17.510000000000002</v>
      </c>
      <c r="G121" s="31">
        <v>0.88</v>
      </c>
      <c r="H121" s="31">
        <v>17.5</v>
      </c>
      <c r="I121" s="32">
        <f t="shared" si="41"/>
        <v>19.897727272727273</v>
      </c>
      <c r="J121" s="74">
        <v>0.21</v>
      </c>
      <c r="K121" s="75">
        <v>0</v>
      </c>
      <c r="L121" s="33">
        <f t="shared" ref="L121:L165" si="50">(E121-D121)*H121*J121/10</f>
        <v>6.9824999999999999</v>
      </c>
      <c r="M121" s="33">
        <f t="shared" ref="M121:M160" si="51">(E121-D121)*H121*J121/10</f>
        <v>6.9824999999999999</v>
      </c>
      <c r="N121" s="33">
        <f t="shared" ref="N121:N162" si="52">(E121-D121)*H121*J121/10</f>
        <v>6.9824999999999999</v>
      </c>
      <c r="O121" s="77">
        <f t="shared" ref="O121:O163" si="53">(E121-D121)*H121*J121/10</f>
        <v>6.9824999999999999</v>
      </c>
      <c r="P121" s="55"/>
      <c r="Q121" s="31" t="s">
        <v>116</v>
      </c>
      <c r="R121" s="51">
        <f>SUM(L120:L126)</f>
        <v>63.226299999999995</v>
      </c>
      <c r="S121" s="55"/>
      <c r="T121" s="80"/>
    </row>
    <row r="122" spans="1:25" x14ac:dyDescent="0.25">
      <c r="A122" s="115"/>
      <c r="B122" s="34" t="s">
        <v>249</v>
      </c>
      <c r="C122" s="31" t="s">
        <v>121</v>
      </c>
      <c r="D122" s="31">
        <f t="shared" si="49"/>
        <v>41</v>
      </c>
      <c r="E122" s="31">
        <v>66</v>
      </c>
      <c r="F122" s="31">
        <v>5.35</v>
      </c>
      <c r="G122" s="31">
        <v>0.34</v>
      </c>
      <c r="H122" s="31">
        <v>5.4</v>
      </c>
      <c r="I122" s="32">
        <f t="shared" si="41"/>
        <v>15.735294117647056</v>
      </c>
      <c r="J122" s="33">
        <f>(0.39+0.49)/2</f>
        <v>0.44</v>
      </c>
      <c r="K122" s="75">
        <v>0</v>
      </c>
      <c r="L122" s="33">
        <f t="shared" si="50"/>
        <v>5.9399999999999995</v>
      </c>
      <c r="M122" s="33">
        <f t="shared" si="51"/>
        <v>5.9399999999999995</v>
      </c>
      <c r="N122" s="33">
        <f t="shared" si="52"/>
        <v>5.9399999999999995</v>
      </c>
      <c r="O122" s="77">
        <f t="shared" si="53"/>
        <v>5.9399999999999995</v>
      </c>
      <c r="P122" s="55"/>
      <c r="Q122" s="31" t="s">
        <v>119</v>
      </c>
      <c r="R122" s="51">
        <f>SUM(M120:M124)</f>
        <v>30.441099999999995</v>
      </c>
      <c r="S122" s="55"/>
      <c r="T122" s="80"/>
    </row>
    <row r="123" spans="1:25" x14ac:dyDescent="0.25">
      <c r="A123" s="115"/>
      <c r="B123" s="34" t="s">
        <v>250</v>
      </c>
      <c r="C123" s="31" t="s">
        <v>123</v>
      </c>
      <c r="D123" s="31">
        <f t="shared" si="49"/>
        <v>66</v>
      </c>
      <c r="E123" s="31">
        <v>90</v>
      </c>
      <c r="F123" s="31">
        <v>5.3</v>
      </c>
      <c r="G123" s="31">
        <v>0.37</v>
      </c>
      <c r="H123" s="31">
        <v>5.3</v>
      </c>
      <c r="I123" s="32">
        <f t="shared" si="41"/>
        <v>14.324324324324325</v>
      </c>
      <c r="J123" s="33">
        <f>(0.5+0.36)/2</f>
        <v>0.43</v>
      </c>
      <c r="K123" s="75">
        <v>0</v>
      </c>
      <c r="L123" s="33">
        <f t="shared" si="50"/>
        <v>5.4695999999999989</v>
      </c>
      <c r="M123" s="33">
        <f t="shared" si="51"/>
        <v>5.4695999999999989</v>
      </c>
      <c r="N123" s="33">
        <f t="shared" si="52"/>
        <v>5.4695999999999989</v>
      </c>
      <c r="O123" s="77">
        <f t="shared" si="53"/>
        <v>5.4695999999999989</v>
      </c>
      <c r="P123" s="55"/>
      <c r="Q123" s="31" t="s">
        <v>122</v>
      </c>
      <c r="R123" s="51">
        <f>SUM(N120:N125)</f>
        <v>41.861199999999997</v>
      </c>
      <c r="S123" s="55"/>
      <c r="T123" s="80"/>
    </row>
    <row r="124" spans="1:25" ht="15.75" thickBot="1" x14ac:dyDescent="0.3">
      <c r="A124" s="115"/>
      <c r="B124" s="31"/>
      <c r="C124" s="31" t="s">
        <v>125</v>
      </c>
      <c r="D124" s="31">
        <f t="shared" si="49"/>
        <v>90</v>
      </c>
      <c r="E124" s="31">
        <v>124</v>
      </c>
      <c r="F124" s="31">
        <v>4</v>
      </c>
      <c r="G124" s="31">
        <v>0.32</v>
      </c>
      <c r="H124" s="31">
        <v>4</v>
      </c>
      <c r="I124" s="32">
        <f t="shared" si="41"/>
        <v>12.5</v>
      </c>
      <c r="J124" s="33">
        <f>(0.59+0.49)/2</f>
        <v>0.54</v>
      </c>
      <c r="K124" s="75">
        <v>0</v>
      </c>
      <c r="L124" s="33">
        <f t="shared" si="50"/>
        <v>7.3439999999999994</v>
      </c>
      <c r="M124" s="33">
        <f>(100-D124)*H124*J124/10</f>
        <v>2.16</v>
      </c>
      <c r="N124" s="33">
        <f t="shared" si="52"/>
        <v>7.3439999999999994</v>
      </c>
      <c r="O124" s="77">
        <f t="shared" si="53"/>
        <v>7.3439999999999994</v>
      </c>
      <c r="P124" s="55"/>
      <c r="Q124" s="31" t="s">
        <v>124</v>
      </c>
      <c r="R124" s="51">
        <f>SUM(O120:O126)</f>
        <v>54.148899999999998</v>
      </c>
      <c r="S124" s="55"/>
      <c r="T124" s="80"/>
    </row>
    <row r="125" spans="1:25" x14ac:dyDescent="0.25">
      <c r="A125" s="115"/>
      <c r="B125" s="31"/>
      <c r="C125" s="31" t="s">
        <v>158</v>
      </c>
      <c r="D125" s="31">
        <f t="shared" si="49"/>
        <v>124</v>
      </c>
      <c r="E125" s="31">
        <v>176</v>
      </c>
      <c r="F125" s="31">
        <v>3.86</v>
      </c>
      <c r="G125" s="31">
        <v>0.32</v>
      </c>
      <c r="H125" s="31">
        <v>3.9</v>
      </c>
      <c r="I125" s="32">
        <f t="shared" si="41"/>
        <v>12.0625</v>
      </c>
      <c r="J125" s="33">
        <f>(0.65+0.58)/2</f>
        <v>0.61499999999999999</v>
      </c>
      <c r="K125" s="75">
        <v>0</v>
      </c>
      <c r="L125" s="33">
        <f t="shared" si="50"/>
        <v>12.472199999999999</v>
      </c>
      <c r="M125" s="33"/>
      <c r="N125" s="33">
        <f>(150-D125)*H125*J125/10</f>
        <v>6.2360999999999995</v>
      </c>
      <c r="O125" s="77">
        <f t="shared" si="53"/>
        <v>12.472199999999999</v>
      </c>
      <c r="P125" s="55"/>
      <c r="Q125" s="55"/>
      <c r="R125" s="55"/>
      <c r="S125" s="55"/>
      <c r="T125" s="80"/>
      <c r="U125" s="117" t="s">
        <v>257</v>
      </c>
      <c r="V125" s="118"/>
      <c r="W125" s="118"/>
      <c r="X125" s="118"/>
      <c r="Y125" s="119"/>
    </row>
    <row r="126" spans="1:25" ht="15.75" thickBot="1" x14ac:dyDescent="0.3">
      <c r="A126" s="116"/>
      <c r="B126" s="52"/>
      <c r="C126" s="52" t="s">
        <v>176</v>
      </c>
      <c r="D126" s="52">
        <f t="shared" si="49"/>
        <v>176</v>
      </c>
      <c r="E126" s="52">
        <v>236</v>
      </c>
      <c r="F126" s="52">
        <v>4.0599999999999996</v>
      </c>
      <c r="G126" s="52">
        <v>0.35</v>
      </c>
      <c r="H126" s="52">
        <v>4.0999999999999996</v>
      </c>
      <c r="I126" s="53">
        <f t="shared" si="41"/>
        <v>11.6</v>
      </c>
      <c r="J126" s="54">
        <f>(0.68+0.55)/2</f>
        <v>0.61499999999999999</v>
      </c>
      <c r="K126" s="52">
        <v>0</v>
      </c>
      <c r="L126" s="54">
        <f t="shared" si="50"/>
        <v>15.129</v>
      </c>
      <c r="M126" s="54"/>
      <c r="N126" s="54"/>
      <c r="O126" s="78">
        <f>(200-D126)*H126*J126/10</f>
        <v>6.0515999999999988</v>
      </c>
      <c r="P126" s="56"/>
      <c r="Q126" s="56"/>
      <c r="R126" s="56"/>
      <c r="S126" s="56"/>
      <c r="T126" s="81"/>
      <c r="U126" s="120"/>
      <c r="V126" s="121"/>
      <c r="W126" s="121"/>
      <c r="X126" s="121"/>
      <c r="Y126" s="122"/>
    </row>
    <row r="127" spans="1:25" ht="15.75" thickBot="1" x14ac:dyDescent="0.3">
      <c r="A127" s="114" t="s">
        <v>251</v>
      </c>
      <c r="B127" s="27" t="s">
        <v>252</v>
      </c>
      <c r="C127" s="28" t="s">
        <v>253</v>
      </c>
      <c r="D127" s="28">
        <v>0</v>
      </c>
      <c r="E127" s="28">
        <v>18</v>
      </c>
      <c r="F127" s="28">
        <v>7.56</v>
      </c>
      <c r="G127" s="28">
        <v>0.55000000000000004</v>
      </c>
      <c r="H127" s="28">
        <v>7.6</v>
      </c>
      <c r="I127" s="29">
        <f t="shared" si="41"/>
        <v>13.745454545454544</v>
      </c>
      <c r="J127" s="28">
        <v>1.06</v>
      </c>
      <c r="K127" s="28">
        <v>0</v>
      </c>
      <c r="L127" s="30">
        <f t="shared" si="50"/>
        <v>14.500799999999998</v>
      </c>
      <c r="M127" s="30">
        <f t="shared" si="51"/>
        <v>14.500799999999998</v>
      </c>
      <c r="N127" s="30">
        <f t="shared" si="52"/>
        <v>14.500799999999998</v>
      </c>
      <c r="O127" s="76">
        <f t="shared" si="53"/>
        <v>14.500799999999998</v>
      </c>
      <c r="P127" s="70"/>
      <c r="Q127" s="70"/>
      <c r="R127" s="70"/>
      <c r="S127" s="70"/>
      <c r="T127" s="79"/>
      <c r="U127" s="123"/>
      <c r="V127" s="124"/>
      <c r="W127" s="124"/>
      <c r="X127" s="124"/>
      <c r="Y127" s="125"/>
    </row>
    <row r="128" spans="1:25" x14ac:dyDescent="0.25">
      <c r="A128" s="115"/>
      <c r="B128" s="34"/>
      <c r="C128" s="31" t="s">
        <v>121</v>
      </c>
      <c r="D128" s="31">
        <f t="shared" si="49"/>
        <v>18</v>
      </c>
      <c r="E128" s="31">
        <v>30</v>
      </c>
      <c r="F128" s="31">
        <v>6.77</v>
      </c>
      <c r="G128" s="31">
        <v>0.43</v>
      </c>
      <c r="H128" s="31">
        <v>6.8</v>
      </c>
      <c r="I128" s="32">
        <f t="shared" si="41"/>
        <v>15.744186046511627</v>
      </c>
      <c r="J128" s="31">
        <v>0.24</v>
      </c>
      <c r="K128" s="75">
        <v>0</v>
      </c>
      <c r="L128" s="33">
        <f t="shared" si="50"/>
        <v>1.9583999999999999</v>
      </c>
      <c r="M128" s="33">
        <f t="shared" si="51"/>
        <v>1.9583999999999999</v>
      </c>
      <c r="N128" s="33">
        <f t="shared" si="52"/>
        <v>1.9583999999999999</v>
      </c>
      <c r="O128" s="77">
        <f t="shared" si="53"/>
        <v>1.9583999999999999</v>
      </c>
      <c r="P128" s="55"/>
      <c r="Q128" s="55"/>
      <c r="R128" s="55"/>
      <c r="S128" s="55"/>
      <c r="T128" s="80"/>
    </row>
    <row r="129" spans="1:20" x14ac:dyDescent="0.25">
      <c r="A129" s="115"/>
      <c r="B129" s="34" t="s">
        <v>254</v>
      </c>
      <c r="C129" s="31" t="s">
        <v>123</v>
      </c>
      <c r="D129" s="31">
        <f t="shared" si="49"/>
        <v>30</v>
      </c>
      <c r="E129" s="31">
        <v>44</v>
      </c>
      <c r="F129" s="31">
        <v>4.26</v>
      </c>
      <c r="G129" s="31">
        <v>0.28000000000000003</v>
      </c>
      <c r="H129" s="31">
        <v>4.3</v>
      </c>
      <c r="I129" s="32">
        <f t="shared" si="41"/>
        <v>15.214285714285712</v>
      </c>
      <c r="J129" s="31">
        <v>0.28999999999999998</v>
      </c>
      <c r="K129" s="75">
        <v>0</v>
      </c>
      <c r="L129" s="33">
        <f t="shared" si="50"/>
        <v>1.7457999999999998</v>
      </c>
      <c r="M129" s="33">
        <f t="shared" si="51"/>
        <v>1.7457999999999998</v>
      </c>
      <c r="N129" s="33">
        <f t="shared" si="52"/>
        <v>1.7457999999999998</v>
      </c>
      <c r="O129" s="77">
        <f t="shared" si="53"/>
        <v>1.7457999999999998</v>
      </c>
      <c r="P129" s="55"/>
      <c r="Q129" s="31" t="s">
        <v>116</v>
      </c>
      <c r="R129" s="51">
        <f>SUM(L127:L134)</f>
        <v>35.058499999999995</v>
      </c>
      <c r="S129" s="55"/>
      <c r="T129" s="80"/>
    </row>
    <row r="130" spans="1:20" x14ac:dyDescent="0.25">
      <c r="A130" s="115"/>
      <c r="B130" s="34" t="s">
        <v>255</v>
      </c>
      <c r="C130" s="31" t="s">
        <v>125</v>
      </c>
      <c r="D130" s="31">
        <f t="shared" si="49"/>
        <v>44</v>
      </c>
      <c r="E130" s="31">
        <v>86</v>
      </c>
      <c r="F130" s="31">
        <v>3.57</v>
      </c>
      <c r="G130" s="31">
        <v>0.24</v>
      </c>
      <c r="H130" s="31">
        <v>3.6</v>
      </c>
      <c r="I130" s="32">
        <f t="shared" si="41"/>
        <v>14.875</v>
      </c>
      <c r="J130" s="31">
        <v>0.34</v>
      </c>
      <c r="K130" s="75">
        <v>0</v>
      </c>
      <c r="L130" s="33">
        <f t="shared" si="50"/>
        <v>5.1408000000000005</v>
      </c>
      <c r="M130" s="33">
        <f t="shared" si="51"/>
        <v>5.1408000000000005</v>
      </c>
      <c r="N130" s="33">
        <f t="shared" si="52"/>
        <v>5.1408000000000005</v>
      </c>
      <c r="O130" s="77">
        <f t="shared" si="53"/>
        <v>5.1408000000000005</v>
      </c>
      <c r="P130" s="55"/>
      <c r="Q130" s="31" t="s">
        <v>119</v>
      </c>
      <c r="R130" s="51">
        <f>SUM(M127:M131)</f>
        <v>26.021199999999997</v>
      </c>
      <c r="S130" s="55"/>
      <c r="T130" s="80"/>
    </row>
    <row r="131" spans="1:20" x14ac:dyDescent="0.25">
      <c r="A131" s="115"/>
      <c r="B131" s="31"/>
      <c r="C131" s="31" t="s">
        <v>158</v>
      </c>
      <c r="D131" s="31">
        <f t="shared" si="49"/>
        <v>86</v>
      </c>
      <c r="E131" s="31">
        <v>102</v>
      </c>
      <c r="F131" s="31">
        <v>9.06</v>
      </c>
      <c r="G131" s="31">
        <v>0.51</v>
      </c>
      <c r="H131" s="31">
        <v>9.1</v>
      </c>
      <c r="I131" s="32">
        <f t="shared" si="41"/>
        <v>17.764705882352942</v>
      </c>
      <c r="J131" s="31">
        <v>0.21</v>
      </c>
      <c r="K131" s="75">
        <v>0</v>
      </c>
      <c r="L131" s="33">
        <f t="shared" si="50"/>
        <v>3.0575999999999999</v>
      </c>
      <c r="M131" s="33">
        <f>(100-D131)*H131*J131/10</f>
        <v>2.6753999999999998</v>
      </c>
      <c r="N131" s="33">
        <f t="shared" si="52"/>
        <v>3.0575999999999999</v>
      </c>
      <c r="O131" s="77">
        <f t="shared" si="53"/>
        <v>3.0575999999999999</v>
      </c>
      <c r="P131" s="55"/>
      <c r="Q131" s="31" t="s">
        <v>122</v>
      </c>
      <c r="R131" s="51">
        <f>SUM(N127:N133)</f>
        <v>32.470199999999998</v>
      </c>
      <c r="S131" s="55"/>
      <c r="T131" s="80"/>
    </row>
    <row r="132" spans="1:20" x14ac:dyDescent="0.25">
      <c r="A132" s="115"/>
      <c r="B132" s="31"/>
      <c r="C132" s="31" t="s">
        <v>176</v>
      </c>
      <c r="D132" s="31">
        <f t="shared" si="49"/>
        <v>102</v>
      </c>
      <c r="E132" s="31">
        <v>127</v>
      </c>
      <c r="F132" s="31">
        <v>6.39</v>
      </c>
      <c r="G132" s="31">
        <v>0.37</v>
      </c>
      <c r="H132" s="31">
        <v>6.4</v>
      </c>
      <c r="I132" s="32">
        <f t="shared" si="41"/>
        <v>17.27027027027027</v>
      </c>
      <c r="J132" s="31">
        <v>0.19</v>
      </c>
      <c r="K132" s="75">
        <v>0</v>
      </c>
      <c r="L132" s="33">
        <f t="shared" si="50"/>
        <v>3.04</v>
      </c>
      <c r="M132" s="33"/>
      <c r="N132" s="33">
        <f t="shared" si="52"/>
        <v>3.04</v>
      </c>
      <c r="O132" s="77">
        <f t="shared" si="53"/>
        <v>3.04</v>
      </c>
      <c r="P132" s="55"/>
      <c r="Q132" s="31" t="s">
        <v>124</v>
      </c>
      <c r="R132" s="51">
        <f>SUM(O127:O134)</f>
        <v>35.058499999999995</v>
      </c>
      <c r="S132" s="71" t="s">
        <v>256</v>
      </c>
      <c r="T132" s="80"/>
    </row>
    <row r="133" spans="1:20" x14ac:dyDescent="0.25">
      <c r="A133" s="115"/>
      <c r="B133" s="31"/>
      <c r="C133" s="31" t="s">
        <v>177</v>
      </c>
      <c r="D133" s="31">
        <f t="shared" si="49"/>
        <v>127</v>
      </c>
      <c r="E133" s="31">
        <v>163</v>
      </c>
      <c r="F133" s="31">
        <v>4.68</v>
      </c>
      <c r="G133" s="31">
        <v>0.26</v>
      </c>
      <c r="H133" s="31">
        <v>4.7</v>
      </c>
      <c r="I133" s="32">
        <f t="shared" si="41"/>
        <v>18</v>
      </c>
      <c r="J133" s="31">
        <v>0.28000000000000003</v>
      </c>
      <c r="K133" s="75">
        <v>0</v>
      </c>
      <c r="L133" s="33">
        <f t="shared" si="50"/>
        <v>4.7376000000000014</v>
      </c>
      <c r="M133" s="33"/>
      <c r="N133" s="33">
        <f>(150-D133)*H133*J133/10</f>
        <v>3.0268000000000006</v>
      </c>
      <c r="O133" s="77">
        <f t="shared" si="53"/>
        <v>4.7376000000000014</v>
      </c>
      <c r="P133" s="55"/>
      <c r="Q133" s="55"/>
      <c r="R133" s="55"/>
      <c r="S133" s="55"/>
      <c r="T133" s="80"/>
    </row>
    <row r="134" spans="1:20" ht="15.75" thickBot="1" x14ac:dyDescent="0.3">
      <c r="A134" s="116"/>
      <c r="B134" s="52"/>
      <c r="C134" s="52" t="s">
        <v>178</v>
      </c>
      <c r="D134" s="52">
        <f t="shared" si="49"/>
        <v>163</v>
      </c>
      <c r="E134" s="52">
        <v>172</v>
      </c>
      <c r="F134" s="52">
        <v>3.94</v>
      </c>
      <c r="G134" s="52">
        <v>0.25</v>
      </c>
      <c r="H134" s="52">
        <v>3.9</v>
      </c>
      <c r="I134" s="53">
        <f t="shared" si="41"/>
        <v>15.76</v>
      </c>
      <c r="J134" s="52">
        <v>0.25</v>
      </c>
      <c r="K134" s="52">
        <v>0</v>
      </c>
      <c r="L134" s="54">
        <f t="shared" si="50"/>
        <v>0.87750000000000006</v>
      </c>
      <c r="M134" s="54"/>
      <c r="N134" s="54"/>
      <c r="O134" s="78">
        <f t="shared" si="53"/>
        <v>0.87750000000000006</v>
      </c>
      <c r="P134" s="56"/>
      <c r="Q134" s="56"/>
      <c r="R134" s="56"/>
      <c r="S134" s="56"/>
      <c r="T134" s="81"/>
    </row>
    <row r="135" spans="1:20" ht="15" customHeight="1" x14ac:dyDescent="0.25">
      <c r="A135" s="99" t="s">
        <v>258</v>
      </c>
      <c r="B135" s="94" t="s">
        <v>37</v>
      </c>
      <c r="C135" s="20" t="s">
        <v>127</v>
      </c>
      <c r="D135" s="20">
        <v>0</v>
      </c>
      <c r="E135" s="20">
        <v>16</v>
      </c>
      <c r="F135" s="20">
        <v>10.7</v>
      </c>
      <c r="G135" s="20">
        <v>0.64</v>
      </c>
      <c r="H135" s="20">
        <v>10.7</v>
      </c>
      <c r="I135" s="21">
        <f t="shared" si="41"/>
        <v>16.71875</v>
      </c>
      <c r="J135" s="20">
        <v>0.28999999999999998</v>
      </c>
      <c r="K135" s="20">
        <v>0</v>
      </c>
      <c r="L135" s="22">
        <f t="shared" si="50"/>
        <v>4.9647999999999994</v>
      </c>
      <c r="M135" s="22">
        <f t="shared" si="51"/>
        <v>4.9647999999999994</v>
      </c>
      <c r="N135" s="22">
        <f t="shared" si="52"/>
        <v>4.9647999999999994</v>
      </c>
      <c r="O135" s="82">
        <f t="shared" si="53"/>
        <v>4.9647999999999994</v>
      </c>
      <c r="P135" s="85"/>
      <c r="Q135" s="57"/>
      <c r="R135" s="57"/>
      <c r="S135" s="57"/>
      <c r="T135" s="58"/>
    </row>
    <row r="136" spans="1:20" x14ac:dyDescent="0.25">
      <c r="A136" s="100"/>
      <c r="B136" s="95"/>
      <c r="C136" s="23" t="s">
        <v>115</v>
      </c>
      <c r="D136" s="23">
        <f t="shared" si="49"/>
        <v>16</v>
      </c>
      <c r="E136" s="23">
        <v>31</v>
      </c>
      <c r="F136" s="23">
        <v>13.01</v>
      </c>
      <c r="G136" s="23">
        <v>0.67</v>
      </c>
      <c r="H136" s="23">
        <v>13</v>
      </c>
      <c r="I136" s="24">
        <f t="shared" si="41"/>
        <v>19.417910447761191</v>
      </c>
      <c r="J136" s="23">
        <v>0.25</v>
      </c>
      <c r="K136" s="23">
        <v>0</v>
      </c>
      <c r="L136" s="25">
        <f t="shared" si="50"/>
        <v>4.875</v>
      </c>
      <c r="M136" s="25">
        <f t="shared" si="51"/>
        <v>4.875</v>
      </c>
      <c r="N136" s="25">
        <f t="shared" si="52"/>
        <v>4.875</v>
      </c>
      <c r="O136" s="83">
        <f t="shared" si="53"/>
        <v>4.875</v>
      </c>
      <c r="P136" s="86"/>
      <c r="Q136" s="19"/>
      <c r="R136" s="19"/>
      <c r="S136" s="19"/>
      <c r="T136" s="59"/>
    </row>
    <row r="137" spans="1:20" x14ac:dyDescent="0.25">
      <c r="A137" s="100"/>
      <c r="B137" s="95" t="s">
        <v>259</v>
      </c>
      <c r="C137" s="23" t="s">
        <v>118</v>
      </c>
      <c r="D137" s="23">
        <f t="shared" si="49"/>
        <v>31</v>
      </c>
      <c r="E137" s="23">
        <v>61</v>
      </c>
      <c r="F137" s="23">
        <v>10.65</v>
      </c>
      <c r="G137" s="23">
        <v>0.59</v>
      </c>
      <c r="H137" s="23">
        <v>10.7</v>
      </c>
      <c r="I137" s="24">
        <f t="shared" si="41"/>
        <v>18.050847457627121</v>
      </c>
      <c r="J137" s="23">
        <v>0.33</v>
      </c>
      <c r="K137" s="23">
        <v>0</v>
      </c>
      <c r="L137" s="25">
        <f t="shared" si="50"/>
        <v>10.593</v>
      </c>
      <c r="M137" s="25">
        <f t="shared" si="51"/>
        <v>10.593</v>
      </c>
      <c r="N137" s="25">
        <f t="shared" si="52"/>
        <v>10.593</v>
      </c>
      <c r="O137" s="83">
        <f t="shared" si="53"/>
        <v>10.593</v>
      </c>
      <c r="P137" s="86"/>
      <c r="Q137" s="19"/>
      <c r="R137" s="19"/>
      <c r="S137" s="19"/>
      <c r="T137" s="59"/>
    </row>
    <row r="138" spans="1:20" x14ac:dyDescent="0.25">
      <c r="A138" s="100"/>
      <c r="B138" s="95" t="s">
        <v>260</v>
      </c>
      <c r="C138" s="23" t="s">
        <v>130</v>
      </c>
      <c r="D138" s="23">
        <f t="shared" si="49"/>
        <v>61</v>
      </c>
      <c r="E138" s="23">
        <v>74</v>
      </c>
      <c r="F138" s="23">
        <v>15.73</v>
      </c>
      <c r="G138" s="23">
        <v>0.73</v>
      </c>
      <c r="H138" s="23">
        <v>15.7</v>
      </c>
      <c r="I138" s="24">
        <f t="shared" si="41"/>
        <v>21.547945205479454</v>
      </c>
      <c r="J138" s="23">
        <v>0.18</v>
      </c>
      <c r="K138" s="23">
        <v>0</v>
      </c>
      <c r="L138" s="25">
        <f t="shared" si="50"/>
        <v>3.6738</v>
      </c>
      <c r="M138" s="25">
        <f t="shared" si="51"/>
        <v>3.6738</v>
      </c>
      <c r="N138" s="25">
        <f t="shared" si="52"/>
        <v>3.6738</v>
      </c>
      <c r="O138" s="83">
        <f t="shared" si="53"/>
        <v>3.6738</v>
      </c>
      <c r="P138" s="86"/>
      <c r="Q138" s="23" t="s">
        <v>116</v>
      </c>
      <c r="R138" s="26">
        <f>SUM(L135:L147)</f>
        <v>76.489800000000002</v>
      </c>
      <c r="S138" s="19"/>
      <c r="T138" s="59"/>
    </row>
    <row r="139" spans="1:20" x14ac:dyDescent="0.25">
      <c r="A139" s="100"/>
      <c r="B139" s="23"/>
      <c r="C139" s="23" t="s">
        <v>144</v>
      </c>
      <c r="D139" s="23">
        <f t="shared" si="49"/>
        <v>74</v>
      </c>
      <c r="E139" s="23">
        <v>89</v>
      </c>
      <c r="F139" s="23">
        <v>12</v>
      </c>
      <c r="G139" s="23">
        <v>0.69</v>
      </c>
      <c r="H139" s="23">
        <v>12</v>
      </c>
      <c r="I139" s="24">
        <f t="shared" si="41"/>
        <v>17.39130434782609</v>
      </c>
      <c r="J139" s="23">
        <v>0.33</v>
      </c>
      <c r="K139" s="23">
        <v>0</v>
      </c>
      <c r="L139" s="25">
        <f t="shared" si="50"/>
        <v>5.94</v>
      </c>
      <c r="M139" s="25">
        <f t="shared" si="51"/>
        <v>5.94</v>
      </c>
      <c r="N139" s="25">
        <f t="shared" si="52"/>
        <v>5.94</v>
      </c>
      <c r="O139" s="83">
        <f t="shared" si="53"/>
        <v>5.94</v>
      </c>
      <c r="P139" s="86"/>
      <c r="Q139" s="23" t="s">
        <v>119</v>
      </c>
      <c r="R139" s="26">
        <f>SUM(M135:M140)</f>
        <v>35.3596</v>
      </c>
      <c r="S139" s="19"/>
      <c r="T139" s="59"/>
    </row>
    <row r="140" spans="1:20" x14ac:dyDescent="0.25">
      <c r="A140" s="100"/>
      <c r="B140" s="23"/>
      <c r="C140" s="23" t="s">
        <v>159</v>
      </c>
      <c r="D140" s="23">
        <f t="shared" si="49"/>
        <v>89</v>
      </c>
      <c r="E140" s="23">
        <v>128</v>
      </c>
      <c r="F140" s="23">
        <v>22.96</v>
      </c>
      <c r="G140" s="23">
        <v>1.38</v>
      </c>
      <c r="H140" s="23">
        <v>23</v>
      </c>
      <c r="I140" s="24">
        <f t="shared" si="41"/>
        <v>16.637681159420293</v>
      </c>
      <c r="J140" s="23">
        <v>0.21</v>
      </c>
      <c r="K140" s="23">
        <v>0</v>
      </c>
      <c r="L140" s="25">
        <f t="shared" si="50"/>
        <v>18.837</v>
      </c>
      <c r="M140" s="25">
        <f>(100-D140)*H140*J140/10</f>
        <v>5.3129999999999997</v>
      </c>
      <c r="N140" s="25">
        <f t="shared" si="52"/>
        <v>18.837</v>
      </c>
      <c r="O140" s="83">
        <f t="shared" si="53"/>
        <v>18.837</v>
      </c>
      <c r="P140" s="86"/>
      <c r="Q140" s="23" t="s">
        <v>122</v>
      </c>
      <c r="R140" s="26">
        <f>SUM(N135:N142)</f>
        <v>57.398899999999998</v>
      </c>
      <c r="S140" s="19"/>
      <c r="T140" s="59"/>
    </row>
    <row r="141" spans="1:20" x14ac:dyDescent="0.25">
      <c r="A141" s="100"/>
      <c r="B141" s="23"/>
      <c r="C141" s="23" t="s">
        <v>160</v>
      </c>
      <c r="D141" s="23">
        <f t="shared" si="49"/>
        <v>128</v>
      </c>
      <c r="E141" s="23">
        <v>147</v>
      </c>
      <c r="F141" s="23">
        <v>27.05</v>
      </c>
      <c r="G141" s="23">
        <v>1.44</v>
      </c>
      <c r="H141" s="23">
        <v>27.1</v>
      </c>
      <c r="I141" s="24">
        <f t="shared" si="41"/>
        <v>18.784722222222225</v>
      </c>
      <c r="J141" s="23">
        <v>0.13</v>
      </c>
      <c r="K141" s="23">
        <v>0</v>
      </c>
      <c r="L141" s="25">
        <f t="shared" si="50"/>
        <v>6.6936999999999998</v>
      </c>
      <c r="M141" s="25"/>
      <c r="N141" s="25">
        <f t="shared" si="52"/>
        <v>6.6936999999999998</v>
      </c>
      <c r="O141" s="83">
        <f t="shared" si="53"/>
        <v>6.6936999999999998</v>
      </c>
      <c r="P141" s="86"/>
      <c r="Q141" s="23" t="s">
        <v>124</v>
      </c>
      <c r="R141" s="26">
        <f>SUM(O135:O145)</f>
        <v>73.129099999999994</v>
      </c>
      <c r="S141" s="19"/>
      <c r="T141" s="59"/>
    </row>
    <row r="142" spans="1:20" x14ac:dyDescent="0.25">
      <c r="A142" s="100"/>
      <c r="B142" s="23"/>
      <c r="C142" s="23" t="s">
        <v>261</v>
      </c>
      <c r="D142" s="23">
        <f t="shared" si="49"/>
        <v>147</v>
      </c>
      <c r="E142" s="23">
        <v>155</v>
      </c>
      <c r="F142" s="23">
        <v>4.62</v>
      </c>
      <c r="G142" s="23">
        <v>0.17</v>
      </c>
      <c r="H142" s="23">
        <v>4.5999999999999996</v>
      </c>
      <c r="I142" s="24">
        <f t="shared" si="41"/>
        <v>27.176470588235293</v>
      </c>
      <c r="J142" s="23">
        <v>1.32</v>
      </c>
      <c r="K142" s="23">
        <v>0</v>
      </c>
      <c r="L142" s="25">
        <f t="shared" si="50"/>
        <v>4.8575999999999997</v>
      </c>
      <c r="M142" s="25"/>
      <c r="N142" s="25">
        <f>(150-D142)*H142*J142/10</f>
        <v>1.8216000000000001</v>
      </c>
      <c r="O142" s="83">
        <f t="shared" si="53"/>
        <v>4.8575999999999997</v>
      </c>
      <c r="P142" s="86"/>
      <c r="Q142" s="19"/>
      <c r="R142" s="19"/>
      <c r="S142" s="19"/>
      <c r="T142" s="59"/>
    </row>
    <row r="143" spans="1:20" x14ac:dyDescent="0.25">
      <c r="A143" s="100"/>
      <c r="B143" s="23"/>
      <c r="C143" s="23" t="s">
        <v>262</v>
      </c>
      <c r="D143" s="23">
        <f t="shared" si="49"/>
        <v>155</v>
      </c>
      <c r="E143" s="23">
        <v>163</v>
      </c>
      <c r="F143" s="23">
        <v>0.84</v>
      </c>
      <c r="G143" s="23">
        <v>0.05</v>
      </c>
      <c r="H143" s="23">
        <v>0.8</v>
      </c>
      <c r="I143" s="24">
        <f t="shared" si="41"/>
        <v>16.799999999999997</v>
      </c>
      <c r="J143" s="23">
        <v>1.7</v>
      </c>
      <c r="K143" s="23">
        <v>0</v>
      </c>
      <c r="L143" s="25">
        <f t="shared" si="50"/>
        <v>1.0880000000000001</v>
      </c>
      <c r="M143" s="25"/>
      <c r="N143" s="25"/>
      <c r="O143" s="83">
        <f t="shared" si="53"/>
        <v>1.0880000000000001</v>
      </c>
      <c r="P143" s="86"/>
      <c r="Q143" s="19"/>
      <c r="R143" s="19"/>
      <c r="S143" s="19"/>
      <c r="T143" s="59"/>
    </row>
    <row r="144" spans="1:20" x14ac:dyDescent="0.25">
      <c r="A144" s="100"/>
      <c r="B144" s="23"/>
      <c r="C144" s="23" t="s">
        <v>263</v>
      </c>
      <c r="D144" s="23">
        <f t="shared" si="49"/>
        <v>163</v>
      </c>
      <c r="E144" s="23">
        <v>184</v>
      </c>
      <c r="F144" s="23">
        <v>3.14</v>
      </c>
      <c r="G144" s="23">
        <v>0.13</v>
      </c>
      <c r="H144" s="23">
        <v>3.1</v>
      </c>
      <c r="I144" s="24">
        <f t="shared" si="41"/>
        <v>24.153846153846153</v>
      </c>
      <c r="J144" s="23">
        <v>1.38</v>
      </c>
      <c r="K144" s="23">
        <v>0</v>
      </c>
      <c r="L144" s="25">
        <f t="shared" si="50"/>
        <v>8.9838000000000005</v>
      </c>
      <c r="M144" s="25"/>
      <c r="N144" s="25"/>
      <c r="O144" s="83">
        <f t="shared" si="53"/>
        <v>8.9838000000000005</v>
      </c>
      <c r="P144" s="86"/>
      <c r="Q144" s="19"/>
      <c r="R144" s="19"/>
      <c r="S144" s="19"/>
      <c r="T144" s="59"/>
    </row>
    <row r="145" spans="1:136" x14ac:dyDescent="0.25">
      <c r="A145" s="100"/>
      <c r="B145" s="23"/>
      <c r="C145" s="23" t="s">
        <v>264</v>
      </c>
      <c r="D145" s="23">
        <f t="shared" si="49"/>
        <v>184</v>
      </c>
      <c r="E145" s="23">
        <v>207</v>
      </c>
      <c r="F145" s="23">
        <v>1.06</v>
      </c>
      <c r="G145" s="23">
        <v>0.06</v>
      </c>
      <c r="H145" s="23">
        <v>1.1000000000000001</v>
      </c>
      <c r="I145" s="24">
        <f t="shared" si="41"/>
        <v>17.666666666666668</v>
      </c>
      <c r="J145" s="23">
        <v>1.49</v>
      </c>
      <c r="K145" s="23">
        <v>0</v>
      </c>
      <c r="L145" s="25">
        <f t="shared" si="50"/>
        <v>3.7697000000000003</v>
      </c>
      <c r="M145" s="25"/>
      <c r="N145" s="25"/>
      <c r="O145" s="83">
        <f>(200-D145)*H145*J145/10</f>
        <v>2.6223999999999998</v>
      </c>
      <c r="P145" s="86"/>
      <c r="Q145" s="19"/>
      <c r="R145" s="19"/>
      <c r="S145" s="19"/>
      <c r="T145" s="59"/>
    </row>
    <row r="146" spans="1:136" ht="15.75" thickBot="1" x14ac:dyDescent="0.3">
      <c r="A146" s="100"/>
      <c r="B146" s="23"/>
      <c r="C146" s="23" t="s">
        <v>265</v>
      </c>
      <c r="D146" s="23">
        <f t="shared" si="49"/>
        <v>207</v>
      </c>
      <c r="E146" s="23">
        <v>229</v>
      </c>
      <c r="F146" s="23">
        <v>0.31</v>
      </c>
      <c r="G146" s="23">
        <v>0.02</v>
      </c>
      <c r="H146" s="23">
        <v>0.3</v>
      </c>
      <c r="I146" s="24">
        <f t="shared" si="41"/>
        <v>15.5</v>
      </c>
      <c r="J146" s="23">
        <v>1.39</v>
      </c>
      <c r="K146" s="23">
        <v>0</v>
      </c>
      <c r="L146" s="25">
        <f t="shared" si="50"/>
        <v>0.91739999999999999</v>
      </c>
      <c r="M146" s="25"/>
      <c r="N146" s="25"/>
      <c r="O146" s="83"/>
      <c r="P146" s="86"/>
      <c r="Q146" s="19"/>
      <c r="R146" s="19"/>
      <c r="S146" s="19"/>
      <c r="T146" s="59"/>
    </row>
    <row r="147" spans="1:136" s="18" customFormat="1" ht="15.75" thickBot="1" x14ac:dyDescent="0.3">
      <c r="A147" s="101"/>
      <c r="B147" s="44"/>
      <c r="C147" s="44" t="s">
        <v>266</v>
      </c>
      <c r="D147" s="44">
        <f t="shared" si="49"/>
        <v>229</v>
      </c>
      <c r="E147" s="44">
        <v>253</v>
      </c>
      <c r="F147" s="44">
        <v>0.26</v>
      </c>
      <c r="G147" s="44">
        <v>0.02</v>
      </c>
      <c r="H147" s="44">
        <v>0.3</v>
      </c>
      <c r="I147" s="45">
        <f t="shared" si="41"/>
        <v>13</v>
      </c>
      <c r="J147" s="44">
        <v>1.8</v>
      </c>
      <c r="K147" s="44">
        <v>0</v>
      </c>
      <c r="L147" s="48">
        <f t="shared" si="50"/>
        <v>1.2959999999999998</v>
      </c>
      <c r="M147" s="48"/>
      <c r="N147" s="48"/>
      <c r="O147" s="84"/>
      <c r="P147" s="87"/>
      <c r="Q147" s="16"/>
      <c r="R147" s="16"/>
      <c r="S147" s="16"/>
      <c r="T147" s="61"/>
      <c r="U147" s="102" t="s">
        <v>79</v>
      </c>
      <c r="V147" s="103"/>
      <c r="W147" s="103"/>
      <c r="X147" s="103"/>
      <c r="Y147" s="104"/>
    </row>
    <row r="148" spans="1:136" s="18" customFormat="1" x14ac:dyDescent="0.25">
      <c r="A148" s="99" t="s">
        <v>267</v>
      </c>
      <c r="B148" s="35" t="s">
        <v>268</v>
      </c>
      <c r="C148" s="20" t="s">
        <v>127</v>
      </c>
      <c r="D148" s="20">
        <v>0</v>
      </c>
      <c r="E148" s="20">
        <v>29</v>
      </c>
      <c r="F148" s="20">
        <v>15.31</v>
      </c>
      <c r="G148" s="20">
        <v>0.79</v>
      </c>
      <c r="H148" s="20">
        <v>15.3</v>
      </c>
      <c r="I148" s="21">
        <f t="shared" si="41"/>
        <v>19.379746835443036</v>
      </c>
      <c r="J148" s="20">
        <v>0.25</v>
      </c>
      <c r="K148" s="20">
        <v>0</v>
      </c>
      <c r="L148" s="22">
        <f t="shared" si="50"/>
        <v>11.092500000000001</v>
      </c>
      <c r="M148" s="22">
        <f t="shared" si="51"/>
        <v>11.092500000000001</v>
      </c>
      <c r="N148" s="22">
        <f t="shared" si="52"/>
        <v>11.092500000000001</v>
      </c>
      <c r="O148" s="82">
        <f t="shared" si="53"/>
        <v>11.092500000000001</v>
      </c>
      <c r="P148" s="85"/>
      <c r="Q148" s="57"/>
      <c r="R148" s="57"/>
      <c r="S148" s="57"/>
      <c r="T148" s="58"/>
      <c r="U148" s="105"/>
      <c r="V148" s="106"/>
      <c r="W148" s="106"/>
      <c r="X148" s="106"/>
      <c r="Y148" s="107"/>
    </row>
    <row r="149" spans="1:136" ht="15.75" thickBot="1" x14ac:dyDescent="0.3">
      <c r="A149" s="100"/>
      <c r="B149" s="39"/>
      <c r="C149" s="23" t="s">
        <v>115</v>
      </c>
      <c r="D149" s="23">
        <f t="shared" si="49"/>
        <v>29</v>
      </c>
      <c r="E149" s="23">
        <v>53</v>
      </c>
      <c r="F149" s="23">
        <v>10.119999999999999</v>
      </c>
      <c r="G149" s="23">
        <v>0.49</v>
      </c>
      <c r="H149" s="23">
        <v>10.1</v>
      </c>
      <c r="I149" s="24">
        <f t="shared" si="41"/>
        <v>20.653061224489793</v>
      </c>
      <c r="J149" s="23">
        <v>0.3</v>
      </c>
      <c r="K149" s="23">
        <v>0</v>
      </c>
      <c r="L149" s="25">
        <f t="shared" si="50"/>
        <v>7.2719999999999985</v>
      </c>
      <c r="M149" s="25">
        <f t="shared" si="51"/>
        <v>7.2719999999999985</v>
      </c>
      <c r="N149" s="25">
        <f t="shared" si="52"/>
        <v>7.2719999999999985</v>
      </c>
      <c r="O149" s="83">
        <f t="shared" si="53"/>
        <v>7.2719999999999985</v>
      </c>
      <c r="P149" s="86"/>
      <c r="Q149" s="19"/>
      <c r="R149" s="19"/>
      <c r="S149" s="19"/>
      <c r="T149" s="59"/>
      <c r="U149" s="108"/>
      <c r="V149" s="109"/>
      <c r="W149" s="109"/>
      <c r="X149" s="109"/>
      <c r="Y149" s="110"/>
    </row>
    <row r="150" spans="1:136" x14ac:dyDescent="0.25">
      <c r="A150" s="100"/>
      <c r="B150" s="39" t="s">
        <v>269</v>
      </c>
      <c r="C150" s="23" t="s">
        <v>118</v>
      </c>
      <c r="D150" s="23">
        <f t="shared" si="49"/>
        <v>53</v>
      </c>
      <c r="E150" s="23">
        <v>74</v>
      </c>
      <c r="F150" s="23">
        <v>10.7</v>
      </c>
      <c r="G150" s="23">
        <v>0.53</v>
      </c>
      <c r="H150" s="23">
        <v>10.7</v>
      </c>
      <c r="I150" s="24">
        <f t="shared" si="41"/>
        <v>20.188679245283016</v>
      </c>
      <c r="J150" s="23">
        <v>0.36</v>
      </c>
      <c r="K150" s="23">
        <v>0</v>
      </c>
      <c r="L150" s="25">
        <f t="shared" si="50"/>
        <v>8.0891999999999999</v>
      </c>
      <c r="M150" s="25">
        <f t="shared" si="51"/>
        <v>8.0891999999999999</v>
      </c>
      <c r="N150" s="25">
        <f t="shared" si="52"/>
        <v>8.0891999999999999</v>
      </c>
      <c r="O150" s="83">
        <f t="shared" si="53"/>
        <v>8.0891999999999999</v>
      </c>
      <c r="P150" s="86"/>
      <c r="Q150" s="23" t="s">
        <v>116</v>
      </c>
      <c r="R150" s="26">
        <f>SUM(L148:L156)</f>
        <v>49.826699999999995</v>
      </c>
      <c r="S150" s="19"/>
      <c r="T150" s="59"/>
    </row>
    <row r="151" spans="1:136" x14ac:dyDescent="0.25">
      <c r="A151" s="100"/>
      <c r="B151" s="39" t="s">
        <v>270</v>
      </c>
      <c r="C151" s="23" t="s">
        <v>121</v>
      </c>
      <c r="D151" s="23">
        <f t="shared" si="49"/>
        <v>74</v>
      </c>
      <c r="E151" s="23">
        <v>89</v>
      </c>
      <c r="F151" s="23">
        <v>8.56</v>
      </c>
      <c r="G151" s="23">
        <v>0.49</v>
      </c>
      <c r="H151" s="23">
        <v>8.6</v>
      </c>
      <c r="I151" s="24">
        <f t="shared" si="41"/>
        <v>17.469387755102041</v>
      </c>
      <c r="J151" s="23">
        <v>0.35</v>
      </c>
      <c r="K151" s="23">
        <v>0</v>
      </c>
      <c r="L151" s="25">
        <f t="shared" si="50"/>
        <v>4.5149999999999997</v>
      </c>
      <c r="M151" s="25">
        <f t="shared" si="51"/>
        <v>4.5149999999999997</v>
      </c>
      <c r="N151" s="25">
        <f t="shared" si="52"/>
        <v>4.5149999999999997</v>
      </c>
      <c r="O151" s="83">
        <f t="shared" si="53"/>
        <v>4.5149999999999997</v>
      </c>
      <c r="P151" s="86"/>
      <c r="Q151" s="23" t="s">
        <v>119</v>
      </c>
      <c r="R151" s="26">
        <f>SUM(M148:M152)</f>
        <v>34.2423</v>
      </c>
      <c r="S151" s="19"/>
      <c r="T151" s="59"/>
    </row>
    <row r="152" spans="1:136" x14ac:dyDescent="0.25">
      <c r="A152" s="100"/>
      <c r="B152" s="23"/>
      <c r="C152" s="23" t="s">
        <v>123</v>
      </c>
      <c r="D152" s="23">
        <f t="shared" si="49"/>
        <v>89</v>
      </c>
      <c r="E152" s="23">
        <v>137</v>
      </c>
      <c r="F152" s="23">
        <v>4.78</v>
      </c>
      <c r="G152" s="23">
        <v>0.27</v>
      </c>
      <c r="H152" s="23">
        <v>4.8</v>
      </c>
      <c r="I152" s="24">
        <f t="shared" si="41"/>
        <v>17.703703703703702</v>
      </c>
      <c r="J152" s="23">
        <v>0.62</v>
      </c>
      <c r="K152" s="23">
        <v>0</v>
      </c>
      <c r="L152" s="25">
        <f t="shared" si="50"/>
        <v>14.284799999999999</v>
      </c>
      <c r="M152" s="25">
        <f>(100-D152)*H152*J152/10</f>
        <v>3.2735999999999996</v>
      </c>
      <c r="N152" s="25">
        <f t="shared" si="52"/>
        <v>14.284799999999999</v>
      </c>
      <c r="O152" s="83">
        <f t="shared" si="53"/>
        <v>14.284799999999999</v>
      </c>
      <c r="P152" s="86"/>
      <c r="Q152" s="23" t="s">
        <v>122</v>
      </c>
      <c r="R152" s="26">
        <f>SUM(N148:N153)</f>
        <v>48.437199999999997</v>
      </c>
      <c r="S152" s="19"/>
      <c r="T152" s="59"/>
    </row>
    <row r="153" spans="1:136" x14ac:dyDescent="0.25">
      <c r="A153" s="100"/>
      <c r="B153" s="23"/>
      <c r="C153" s="23" t="s">
        <v>125</v>
      </c>
      <c r="D153" s="23">
        <f t="shared" si="49"/>
        <v>137</v>
      </c>
      <c r="E153" s="23">
        <v>152</v>
      </c>
      <c r="F153" s="23">
        <v>3.11</v>
      </c>
      <c r="G153" s="23">
        <v>0.21</v>
      </c>
      <c r="H153" s="23">
        <v>3.1</v>
      </c>
      <c r="I153" s="24">
        <f t="shared" si="41"/>
        <v>14.80952380952381</v>
      </c>
      <c r="J153" s="23">
        <v>0.79</v>
      </c>
      <c r="K153" s="23">
        <v>0</v>
      </c>
      <c r="L153" s="25">
        <f t="shared" si="50"/>
        <v>3.6734999999999998</v>
      </c>
      <c r="M153" s="25"/>
      <c r="N153" s="25">
        <f>(150-D153)*H153*J153/10</f>
        <v>3.1837000000000004</v>
      </c>
      <c r="O153" s="83">
        <f t="shared" si="53"/>
        <v>3.6734999999999998</v>
      </c>
      <c r="P153" s="86"/>
      <c r="Q153" s="23" t="s">
        <v>124</v>
      </c>
      <c r="R153" s="26">
        <f>SUM(O148:O156)</f>
        <v>49.742519999999992</v>
      </c>
      <c r="S153" s="19"/>
      <c r="T153" s="59"/>
    </row>
    <row r="154" spans="1:136" x14ac:dyDescent="0.25">
      <c r="A154" s="100"/>
      <c r="B154" s="23"/>
      <c r="C154" s="23" t="s">
        <v>271</v>
      </c>
      <c r="D154" s="23">
        <f t="shared" si="49"/>
        <v>152</v>
      </c>
      <c r="E154" s="23">
        <v>164</v>
      </c>
      <c r="F154" s="23">
        <v>0.31</v>
      </c>
      <c r="G154" s="23">
        <v>0.01</v>
      </c>
      <c r="H154" s="23">
        <v>0.3</v>
      </c>
      <c r="I154" s="24">
        <f t="shared" si="41"/>
        <v>31</v>
      </c>
      <c r="J154" s="23">
        <v>1.35</v>
      </c>
      <c r="K154" s="23">
        <v>0</v>
      </c>
      <c r="L154" s="25">
        <f t="shared" si="50"/>
        <v>0.48599999999999993</v>
      </c>
      <c r="M154" s="25"/>
      <c r="N154" s="25"/>
      <c r="O154" s="83">
        <f t="shared" si="53"/>
        <v>0.48599999999999993</v>
      </c>
      <c r="P154" s="86"/>
      <c r="Q154" s="19"/>
      <c r="R154" s="19"/>
      <c r="S154" s="19"/>
      <c r="T154" s="59"/>
    </row>
    <row r="155" spans="1:136" x14ac:dyDescent="0.25">
      <c r="A155" s="100"/>
      <c r="B155" s="23"/>
      <c r="C155" s="23" t="s">
        <v>272</v>
      </c>
      <c r="D155" s="23">
        <f t="shared" si="49"/>
        <v>164</v>
      </c>
      <c r="E155" s="23">
        <v>188</v>
      </c>
      <c r="F155" s="23">
        <v>7.0000000000000007E-2</v>
      </c>
      <c r="G155" s="23">
        <v>0.03</v>
      </c>
      <c r="H155" s="23">
        <v>0.1</v>
      </c>
      <c r="I155" s="24">
        <f t="shared" si="41"/>
        <v>2.3333333333333335</v>
      </c>
      <c r="J155" s="23">
        <v>1.19</v>
      </c>
      <c r="K155" s="23">
        <v>0</v>
      </c>
      <c r="L155" s="25">
        <f t="shared" si="50"/>
        <v>0.28560000000000002</v>
      </c>
      <c r="M155" s="25"/>
      <c r="N155" s="25"/>
      <c r="O155" s="83">
        <f t="shared" si="53"/>
        <v>0.28560000000000002</v>
      </c>
      <c r="P155" s="86"/>
      <c r="Q155" s="19"/>
      <c r="R155" s="19"/>
      <c r="S155" s="19"/>
      <c r="T155" s="59"/>
    </row>
    <row r="156" spans="1:136" s="17" customFormat="1" ht="15.75" thickBot="1" x14ac:dyDescent="0.3">
      <c r="A156" s="101"/>
      <c r="B156" s="44"/>
      <c r="C156" s="44" t="s">
        <v>273</v>
      </c>
      <c r="D156" s="44">
        <f t="shared" si="49"/>
        <v>188</v>
      </c>
      <c r="E156" s="44">
        <v>223</v>
      </c>
      <c r="F156" s="44">
        <v>0.03</v>
      </c>
      <c r="G156" s="44">
        <v>0.02</v>
      </c>
      <c r="H156" s="44">
        <v>0.03</v>
      </c>
      <c r="I156" s="45">
        <f t="shared" si="41"/>
        <v>1.5</v>
      </c>
      <c r="J156" s="44">
        <v>1.22</v>
      </c>
      <c r="K156" s="44">
        <v>0</v>
      </c>
      <c r="L156" s="48">
        <f t="shared" si="50"/>
        <v>0.12809999999999999</v>
      </c>
      <c r="M156" s="48"/>
      <c r="N156" s="48"/>
      <c r="O156" s="84">
        <f>(200-D156)*H156*J156/10</f>
        <v>4.3920000000000001E-2</v>
      </c>
      <c r="P156" s="87"/>
      <c r="Q156" s="16"/>
      <c r="R156" s="16"/>
      <c r="S156" s="16"/>
      <c r="T156" s="61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</row>
    <row r="157" spans="1:136" x14ac:dyDescent="0.25">
      <c r="A157" s="99" t="s">
        <v>274</v>
      </c>
      <c r="B157" s="35" t="s">
        <v>275</v>
      </c>
      <c r="C157" s="20" t="s">
        <v>127</v>
      </c>
      <c r="D157" s="20">
        <v>0</v>
      </c>
      <c r="E157" s="20">
        <v>11</v>
      </c>
      <c r="F157" s="20">
        <v>16.43</v>
      </c>
      <c r="G157" s="20">
        <v>0.85</v>
      </c>
      <c r="H157" s="20">
        <v>16.399999999999999</v>
      </c>
      <c r="I157" s="21">
        <f t="shared" si="41"/>
        <v>19.329411764705881</v>
      </c>
      <c r="J157" s="20">
        <v>0.22</v>
      </c>
      <c r="K157" s="20">
        <v>0</v>
      </c>
      <c r="L157" s="22">
        <f t="shared" si="50"/>
        <v>3.9687999999999994</v>
      </c>
      <c r="M157" s="22">
        <f t="shared" si="51"/>
        <v>3.9687999999999994</v>
      </c>
      <c r="N157" s="22">
        <f t="shared" si="52"/>
        <v>3.9687999999999994</v>
      </c>
      <c r="O157" s="82">
        <f t="shared" si="53"/>
        <v>3.9687999999999994</v>
      </c>
      <c r="P157" s="57"/>
      <c r="Q157" s="57"/>
      <c r="R157" s="57"/>
      <c r="S157" s="57"/>
      <c r="T157" s="5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</row>
    <row r="158" spans="1:136" x14ac:dyDescent="0.25">
      <c r="A158" s="100"/>
      <c r="B158" s="39"/>
      <c r="C158" s="23" t="s">
        <v>142</v>
      </c>
      <c r="D158" s="23">
        <f t="shared" si="49"/>
        <v>11</v>
      </c>
      <c r="E158" s="23">
        <v>44</v>
      </c>
      <c r="F158" s="23">
        <v>18.11</v>
      </c>
      <c r="G158" s="23">
        <v>0.87</v>
      </c>
      <c r="H158" s="23">
        <v>18.100000000000001</v>
      </c>
      <c r="I158" s="24">
        <f t="shared" si="41"/>
        <v>20.816091954022987</v>
      </c>
      <c r="J158" s="23">
        <v>0.16</v>
      </c>
      <c r="K158" s="23">
        <v>0</v>
      </c>
      <c r="L158" s="25">
        <f t="shared" si="50"/>
        <v>9.5568000000000008</v>
      </c>
      <c r="M158" s="25">
        <f t="shared" si="51"/>
        <v>9.5568000000000008</v>
      </c>
      <c r="N158" s="25">
        <f t="shared" si="52"/>
        <v>9.5568000000000008</v>
      </c>
      <c r="O158" s="83">
        <f t="shared" si="53"/>
        <v>9.5568000000000008</v>
      </c>
      <c r="P158" s="19"/>
      <c r="Q158" s="19"/>
      <c r="R158" s="19"/>
      <c r="S158" s="19"/>
      <c r="T158" s="59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</row>
    <row r="159" spans="1:136" x14ac:dyDescent="0.25">
      <c r="A159" s="100"/>
      <c r="B159" s="39" t="s">
        <v>276</v>
      </c>
      <c r="C159" s="23" t="s">
        <v>159</v>
      </c>
      <c r="D159" s="23">
        <f t="shared" si="49"/>
        <v>44</v>
      </c>
      <c r="E159" s="23">
        <v>63</v>
      </c>
      <c r="F159" s="23">
        <v>11.02</v>
      </c>
      <c r="G159" s="23">
        <v>0.56000000000000005</v>
      </c>
      <c r="H159" s="23">
        <v>11</v>
      </c>
      <c r="I159" s="24">
        <f t="shared" si="41"/>
        <v>19.678571428571427</v>
      </c>
      <c r="J159" s="23">
        <v>0.24</v>
      </c>
      <c r="K159" s="23">
        <v>0</v>
      </c>
      <c r="L159" s="25">
        <f t="shared" si="50"/>
        <v>5.016</v>
      </c>
      <c r="M159" s="25">
        <f t="shared" si="51"/>
        <v>5.016</v>
      </c>
      <c r="N159" s="25">
        <f t="shared" si="52"/>
        <v>5.016</v>
      </c>
      <c r="O159" s="83">
        <f t="shared" si="53"/>
        <v>5.016</v>
      </c>
      <c r="P159" s="19"/>
      <c r="Q159" s="23" t="s">
        <v>116</v>
      </c>
      <c r="R159" s="26">
        <f>SUM(L157:L165)</f>
        <v>76.903600000000012</v>
      </c>
      <c r="S159" s="19"/>
      <c r="T159" s="59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</row>
    <row r="160" spans="1:136" x14ac:dyDescent="0.25">
      <c r="A160" s="100"/>
      <c r="B160" s="39" t="s">
        <v>277</v>
      </c>
      <c r="C160" s="23" t="s">
        <v>121</v>
      </c>
      <c r="D160" s="23">
        <f t="shared" si="49"/>
        <v>63</v>
      </c>
      <c r="E160" s="23">
        <v>79</v>
      </c>
      <c r="F160" s="23">
        <v>6.33</v>
      </c>
      <c r="G160" s="23">
        <v>0.4</v>
      </c>
      <c r="H160" s="23">
        <v>6.3</v>
      </c>
      <c r="I160" s="24">
        <f t="shared" si="41"/>
        <v>15.824999999999999</v>
      </c>
      <c r="J160" s="23">
        <v>0.41</v>
      </c>
      <c r="K160" s="23">
        <v>0</v>
      </c>
      <c r="L160" s="25">
        <f t="shared" si="50"/>
        <v>4.1327999999999996</v>
      </c>
      <c r="M160" s="25">
        <f t="shared" si="51"/>
        <v>4.1327999999999996</v>
      </c>
      <c r="N160" s="25">
        <f t="shared" si="52"/>
        <v>4.1327999999999996</v>
      </c>
      <c r="O160" s="83">
        <f t="shared" si="53"/>
        <v>4.1327999999999996</v>
      </c>
      <c r="P160" s="19"/>
      <c r="Q160" s="23" t="s">
        <v>119</v>
      </c>
      <c r="R160" s="26">
        <f>SUM(M157:M161)</f>
        <v>27.895000000000003</v>
      </c>
      <c r="S160" s="19"/>
      <c r="T160" s="59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</row>
    <row r="161" spans="1:136" x14ac:dyDescent="0.25">
      <c r="A161" s="100"/>
      <c r="B161" s="39"/>
      <c r="C161" s="23" t="s">
        <v>160</v>
      </c>
      <c r="D161" s="23">
        <f t="shared" si="49"/>
        <v>79</v>
      </c>
      <c r="E161" s="23">
        <v>107</v>
      </c>
      <c r="F161" s="23">
        <v>11.28</v>
      </c>
      <c r="G161" s="23">
        <v>0.68</v>
      </c>
      <c r="H161" s="23">
        <v>11.3</v>
      </c>
      <c r="I161" s="24">
        <f t="shared" si="41"/>
        <v>16.588235294117645</v>
      </c>
      <c r="J161" s="23">
        <v>0.22</v>
      </c>
      <c r="K161" s="23">
        <v>0</v>
      </c>
      <c r="L161" s="25">
        <f t="shared" si="50"/>
        <v>6.9608000000000008</v>
      </c>
      <c r="M161" s="25">
        <f>(100-D161)*H161*J161/10</f>
        <v>5.2206000000000001</v>
      </c>
      <c r="N161" s="25">
        <f t="shared" si="52"/>
        <v>6.9608000000000008</v>
      </c>
      <c r="O161" s="83">
        <f t="shared" si="53"/>
        <v>6.9608000000000008</v>
      </c>
      <c r="P161" s="19"/>
      <c r="Q161" s="23" t="s">
        <v>122</v>
      </c>
      <c r="R161" s="26">
        <f>SUM(N157:N163)</f>
        <v>41.525200000000005</v>
      </c>
      <c r="S161" s="19"/>
      <c r="T161" s="59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</row>
    <row r="162" spans="1:136" x14ac:dyDescent="0.25">
      <c r="A162" s="100"/>
      <c r="B162" s="23"/>
      <c r="C162" s="23" t="s">
        <v>123</v>
      </c>
      <c r="D162" s="23">
        <f t="shared" si="49"/>
        <v>107</v>
      </c>
      <c r="E162" s="23">
        <v>114</v>
      </c>
      <c r="F162" s="23">
        <v>6.15</v>
      </c>
      <c r="G162" s="23">
        <v>0.44</v>
      </c>
      <c r="H162" s="23">
        <v>6.2</v>
      </c>
      <c r="I162" s="24">
        <f t="shared" si="41"/>
        <v>13.977272727272728</v>
      </c>
      <c r="J162" s="23">
        <v>0.5</v>
      </c>
      <c r="K162" s="23">
        <v>0</v>
      </c>
      <c r="L162" s="25">
        <f t="shared" si="50"/>
        <v>2.17</v>
      </c>
      <c r="M162" s="25"/>
      <c r="N162" s="25">
        <f t="shared" si="52"/>
        <v>2.17</v>
      </c>
      <c r="O162" s="83">
        <f t="shared" si="53"/>
        <v>2.17</v>
      </c>
      <c r="P162" s="19"/>
      <c r="Q162" s="23" t="s">
        <v>124</v>
      </c>
      <c r="R162" s="26">
        <f>SUM(O157:O164)</f>
        <v>56.188000000000009</v>
      </c>
      <c r="S162" s="19"/>
      <c r="T162" s="59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</row>
    <row r="163" spans="1:136" x14ac:dyDescent="0.25">
      <c r="A163" s="100"/>
      <c r="B163" s="23"/>
      <c r="C163" s="23" t="s">
        <v>125</v>
      </c>
      <c r="D163" s="23">
        <f t="shared" si="49"/>
        <v>114</v>
      </c>
      <c r="E163" s="23">
        <v>183</v>
      </c>
      <c r="F163" s="23">
        <v>7.46</v>
      </c>
      <c r="G163" s="23">
        <v>0.47</v>
      </c>
      <c r="H163" s="23">
        <v>7.5</v>
      </c>
      <c r="I163" s="24">
        <f t="shared" si="41"/>
        <v>15.872340425531915</v>
      </c>
      <c r="J163" s="23">
        <v>0.36</v>
      </c>
      <c r="K163" s="23">
        <v>0</v>
      </c>
      <c r="L163" s="25">
        <f t="shared" si="50"/>
        <v>18.63</v>
      </c>
      <c r="M163" s="25"/>
      <c r="N163" s="25">
        <f>(150-D163)*H163*J163/10</f>
        <v>9.7200000000000006</v>
      </c>
      <c r="O163" s="83">
        <f t="shared" si="53"/>
        <v>18.63</v>
      </c>
      <c r="P163" s="19"/>
      <c r="Q163" s="19"/>
      <c r="R163" s="19"/>
      <c r="S163" s="19"/>
      <c r="T163" s="59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</row>
    <row r="164" spans="1:136" x14ac:dyDescent="0.25">
      <c r="A164" s="100"/>
      <c r="B164" s="23"/>
      <c r="C164" s="23" t="s">
        <v>158</v>
      </c>
      <c r="D164" s="23">
        <f t="shared" si="49"/>
        <v>183</v>
      </c>
      <c r="E164" s="23">
        <v>211</v>
      </c>
      <c r="F164" s="23">
        <v>7.17</v>
      </c>
      <c r="G164" s="23">
        <v>0.4</v>
      </c>
      <c r="H164" s="23">
        <v>7.2</v>
      </c>
      <c r="I164" s="24">
        <f t="shared" si="41"/>
        <v>17.924999999999997</v>
      </c>
      <c r="J164" s="23">
        <v>0.47</v>
      </c>
      <c r="K164" s="23">
        <v>0</v>
      </c>
      <c r="L164" s="25">
        <f t="shared" si="50"/>
        <v>9.4751999999999992</v>
      </c>
      <c r="M164" s="25"/>
      <c r="N164" s="25"/>
      <c r="O164" s="83">
        <f>(200-D164)*H164*J164/10</f>
        <v>5.7527999999999997</v>
      </c>
      <c r="P164" s="19"/>
      <c r="Q164" s="19"/>
      <c r="R164" s="19"/>
      <c r="S164" s="19"/>
      <c r="T164" s="59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</row>
    <row r="165" spans="1:136" s="17" customFormat="1" ht="15.75" thickBot="1" x14ac:dyDescent="0.3">
      <c r="A165" s="101"/>
      <c r="B165" s="44"/>
      <c r="C165" s="44" t="s">
        <v>176</v>
      </c>
      <c r="D165" s="44">
        <f t="shared" si="49"/>
        <v>211</v>
      </c>
      <c r="E165" s="44">
        <v>262</v>
      </c>
      <c r="F165" s="44">
        <v>4.92</v>
      </c>
      <c r="G165" s="44">
        <v>0.25</v>
      </c>
      <c r="H165" s="44">
        <v>4.9000000000000004</v>
      </c>
      <c r="I165" s="45">
        <f t="shared" si="41"/>
        <v>19.68</v>
      </c>
      <c r="J165" s="44">
        <v>0.68</v>
      </c>
      <c r="K165" s="44">
        <v>0</v>
      </c>
      <c r="L165" s="48">
        <f t="shared" si="50"/>
        <v>16.993200000000002</v>
      </c>
      <c r="M165" s="48"/>
      <c r="N165" s="48"/>
      <c r="O165" s="84"/>
      <c r="P165" s="16"/>
      <c r="Q165" s="16"/>
      <c r="R165" s="16"/>
      <c r="S165" s="16"/>
      <c r="T165" s="61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</row>
  </sheetData>
  <mergeCells count="24">
    <mergeCell ref="U39:Y41"/>
    <mergeCell ref="U98:Y100"/>
    <mergeCell ref="A1:T1"/>
    <mergeCell ref="A53:A59"/>
    <mergeCell ref="A44:A52"/>
    <mergeCell ref="A36:A43"/>
    <mergeCell ref="A27:A35"/>
    <mergeCell ref="A3:A12"/>
    <mergeCell ref="A13:A18"/>
    <mergeCell ref="A19:A26"/>
    <mergeCell ref="U14:Y16"/>
    <mergeCell ref="A60:A72"/>
    <mergeCell ref="U69:Y71"/>
    <mergeCell ref="A157:A165"/>
    <mergeCell ref="U147:Y149"/>
    <mergeCell ref="A73:A83"/>
    <mergeCell ref="A120:A126"/>
    <mergeCell ref="A127:A134"/>
    <mergeCell ref="U125:Y127"/>
    <mergeCell ref="A135:A147"/>
    <mergeCell ref="A148:A156"/>
    <mergeCell ref="A96:A106"/>
    <mergeCell ref="A84:A95"/>
    <mergeCell ref="A107:A119"/>
  </mergeCells>
  <phoneticPr fontId="1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NJTWMN Sites</vt:lpstr>
      <vt:lpstr>NJTWMN Carbon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Steinmann, David - NRCS, Hammonton, NJ</dc:creator>
  <cp:lastModifiedBy>Steinmann, David - NRCS, Hammonton, NJ</cp:lastModifiedBy>
  <dcterms:created xsi:type="dcterms:W3CDTF">2021-06-28T13:14:05Z</dcterms:created>
  <dcterms:modified xsi:type="dcterms:W3CDTF">2023-01-09T13:51:41Z</dcterms:modified>
</cp:coreProperties>
</file>